
<file path=[Content_Types].xml><?xml version="1.0" encoding="utf-8"?>
<Types xmlns="http://schemas.openxmlformats.org/package/2006/content-types">
  <Default Extension="tmp"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3.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drawings/drawing5.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6.xml" ContentType="application/vnd.openxmlformats-officedocument.drawing+xml"/>
  <Override PartName="/xl/comments1.xml" ContentType="application/vnd.openxmlformats-officedocument.spreadsheetml.comments+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7.xml" ContentType="application/vnd.openxmlformats-officedocument.drawing+xml"/>
  <Override PartName="/xl/charts/chart23.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drawings/drawing10.xml" ContentType="application/vnd.openxmlformats-officedocument.drawing+xml"/>
  <Override PartName="/xl/charts/chart26.xml" ContentType="application/vnd.openxmlformats-officedocument.drawingml.chart+xml"/>
  <Override PartName="/xl/drawings/drawing11.xml" ContentType="application/vnd.openxmlformats-officedocument.drawing+xml"/>
  <Override PartName="/xl/charts/chart27.xml" ContentType="application/vnd.openxmlformats-officedocument.drawingml.chart+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30" yWindow="435" windowWidth="9945" windowHeight="8025" tabRatio="793"/>
  </bookViews>
  <sheets>
    <sheet name="PIB" sheetId="22" r:id="rId1"/>
    <sheet name="FODA" sheetId="21" r:id="rId2"/>
    <sheet name="PARETO" sheetId="1" r:id="rId3"/>
    <sheet name=" Poliester Claro " sheetId="3" r:id="rId4"/>
    <sheet name="Poliester Crudo" sheetId="4" r:id="rId5"/>
    <sheet name=" Poliester Obscuro" sheetId="5" r:id="rId6"/>
    <sheet name="Demanda graficos" sheetId="6" r:id="rId7"/>
    <sheet name="DEPURACIÓN DE DATOS" sheetId="7" r:id="rId8"/>
    <sheet name="POLIESTER ANUAL" sheetId="19" r:id="rId9"/>
    <sheet name="Variables " sheetId="9" r:id="rId10"/>
    <sheet name="REPRESENTACIÓN MATEMÁTICA" sheetId="20" r:id="rId11"/>
    <sheet name="PRONÓSTICO CRUDO" sheetId="13" r:id="rId12"/>
    <sheet name="PRONÓSTICO OBSCURO" sheetId="16" r:id="rId13"/>
    <sheet name="PRONÓSTICO CLARO" sheetId="17" r:id="rId14"/>
    <sheet name="TABLA DE RESULTADOS" sheetId="18" r:id="rId15"/>
    <sheet name="LEAD TIME" sheetId="12" r:id="rId16"/>
    <sheet name="RESULTADOS PARA INVENTARIOS" sheetId="11" r:id="rId17"/>
  </sheets>
  <definedNames>
    <definedName name="_xlnm._FilterDatabase" localSheetId="16" hidden="1">'RESULTADOS PARA INVENTARIOS'!$A$4:$AA$4</definedName>
  </definedNames>
  <calcPr calcId="144525"/>
</workbook>
</file>

<file path=xl/calcChain.xml><?xml version="1.0" encoding="utf-8"?>
<calcChain xmlns="http://schemas.openxmlformats.org/spreadsheetml/2006/main">
  <c r="K29" i="9" l="1"/>
  <c r="K30" i="9" s="1"/>
  <c r="K31" i="9" s="1"/>
  <c r="J29" i="9"/>
  <c r="J30" i="9" s="1"/>
  <c r="J31" i="9" s="1"/>
  <c r="I29" i="9"/>
  <c r="I30" i="9" s="1"/>
  <c r="I31" i="9" s="1"/>
  <c r="J28" i="9"/>
  <c r="K28" i="9"/>
  <c r="H29" i="9"/>
  <c r="H30" i="9" s="1"/>
  <c r="H31" i="9" s="1"/>
  <c r="I9" i="13" l="1"/>
  <c r="E12" i="13"/>
  <c r="D86" i="13"/>
  <c r="AD5" i="11" l="1"/>
  <c r="L64" i="11"/>
  <c r="I52" i="11"/>
  <c r="AG26" i="11"/>
  <c r="AG6" i="11"/>
  <c r="AG7" i="11"/>
  <c r="AG8" i="11"/>
  <c r="AG9" i="11"/>
  <c r="AG10" i="11"/>
  <c r="AG11" i="11"/>
  <c r="AG12" i="11"/>
  <c r="AG13" i="11"/>
  <c r="AG14" i="11"/>
  <c r="AG15" i="11"/>
  <c r="AG16" i="11"/>
  <c r="AG17" i="11"/>
  <c r="AG18" i="11"/>
  <c r="AG19" i="11"/>
  <c r="AG20" i="11"/>
  <c r="AG21" i="11"/>
  <c r="AG22" i="11"/>
  <c r="AG23" i="11"/>
  <c r="AG24" i="11"/>
  <c r="AG25" i="11"/>
  <c r="AG5" i="11"/>
  <c r="T12" i="11"/>
  <c r="T13" i="11"/>
  <c r="T14" i="11"/>
  <c r="T15" i="11"/>
  <c r="T16" i="11"/>
  <c r="T17" i="11"/>
  <c r="T18" i="11"/>
  <c r="T19" i="11"/>
  <c r="T20" i="11"/>
  <c r="T21" i="11"/>
  <c r="T22" i="11"/>
  <c r="T23" i="11"/>
  <c r="T24" i="11"/>
  <c r="T25" i="11"/>
  <c r="T5" i="11"/>
  <c r="J10" i="17"/>
  <c r="J11" i="17"/>
  <c r="J12" i="17"/>
  <c r="J13" i="17"/>
  <c r="J14" i="17"/>
  <c r="J15" i="17"/>
  <c r="J16" i="17"/>
  <c r="J17" i="17"/>
  <c r="J18" i="17"/>
  <c r="J19" i="17"/>
  <c r="J20" i="17"/>
  <c r="J21" i="17"/>
  <c r="J22" i="17"/>
  <c r="J23" i="17"/>
  <c r="J24" i="17"/>
  <c r="J25" i="17"/>
  <c r="J26" i="17"/>
  <c r="J27" i="17"/>
  <c r="J28" i="17"/>
  <c r="J29" i="17"/>
  <c r="J30" i="17"/>
  <c r="J31" i="17"/>
  <c r="J32" i="17"/>
  <c r="J33" i="17"/>
  <c r="J34" i="17"/>
  <c r="J35" i="17"/>
  <c r="J36" i="17"/>
  <c r="J37" i="17"/>
  <c r="J38" i="17"/>
  <c r="J39" i="17"/>
  <c r="J40" i="17"/>
  <c r="J41" i="17"/>
  <c r="J42" i="17"/>
  <c r="J43" i="17"/>
  <c r="J44" i="17"/>
  <c r="J45" i="17"/>
  <c r="J46" i="17"/>
  <c r="J47" i="17"/>
  <c r="J48" i="17"/>
  <c r="J49" i="17"/>
  <c r="J50" i="17"/>
  <c r="J51" i="17"/>
  <c r="J52" i="17"/>
  <c r="J53" i="17"/>
  <c r="J54" i="17"/>
  <c r="J55" i="17"/>
  <c r="J56" i="17"/>
  <c r="J57" i="17"/>
  <c r="J58" i="17"/>
  <c r="J59" i="17"/>
  <c r="J60" i="17"/>
  <c r="J61" i="17"/>
  <c r="J62" i="17"/>
  <c r="J63" i="17"/>
  <c r="J64" i="17"/>
  <c r="J65" i="17"/>
  <c r="J66" i="17"/>
  <c r="J67" i="17"/>
  <c r="J68" i="17"/>
  <c r="J69" i="17"/>
  <c r="J70" i="17"/>
  <c r="J71" i="17"/>
  <c r="J72" i="17"/>
  <c r="J73" i="17"/>
  <c r="J74" i="17"/>
  <c r="J75" i="17"/>
  <c r="J76" i="17"/>
  <c r="J77" i="17"/>
  <c r="J78" i="17"/>
  <c r="J79" i="17"/>
  <c r="J80" i="17"/>
  <c r="J81" i="17"/>
  <c r="J82" i="17"/>
  <c r="J83" i="17"/>
  <c r="J84" i="17"/>
  <c r="J85" i="17"/>
  <c r="J86" i="17"/>
  <c r="J87" i="17"/>
  <c r="J88" i="17"/>
  <c r="J89" i="17"/>
  <c r="I10" i="17"/>
  <c r="I11" i="17"/>
  <c r="I12" i="17"/>
  <c r="I13" i="17"/>
  <c r="I14" i="17"/>
  <c r="I15" i="17"/>
  <c r="I16" i="17"/>
  <c r="I17" i="17"/>
  <c r="I18" i="17"/>
  <c r="I19" i="17"/>
  <c r="I20" i="17"/>
  <c r="I21" i="17"/>
  <c r="I22" i="17"/>
  <c r="I23" i="17"/>
  <c r="I24" i="17"/>
  <c r="I25" i="17"/>
  <c r="I26" i="17"/>
  <c r="I27" i="17"/>
  <c r="I28" i="17"/>
  <c r="I29" i="17"/>
  <c r="I30" i="17"/>
  <c r="I31" i="17"/>
  <c r="I32" i="17"/>
  <c r="I33" i="17"/>
  <c r="I34" i="17"/>
  <c r="I35" i="17"/>
  <c r="I36" i="17"/>
  <c r="I37" i="17"/>
  <c r="I38" i="17"/>
  <c r="I39" i="17"/>
  <c r="I40" i="17"/>
  <c r="I41" i="17"/>
  <c r="I42" i="17"/>
  <c r="I43" i="17"/>
  <c r="I44" i="17"/>
  <c r="I45" i="17"/>
  <c r="I46" i="17"/>
  <c r="I47" i="17"/>
  <c r="I48" i="17"/>
  <c r="I49" i="17"/>
  <c r="I50" i="17"/>
  <c r="I51" i="17"/>
  <c r="I52" i="17"/>
  <c r="I53" i="17"/>
  <c r="I54" i="17"/>
  <c r="I55" i="17"/>
  <c r="I56" i="17"/>
  <c r="I57" i="17"/>
  <c r="I58" i="17"/>
  <c r="I59" i="17"/>
  <c r="I60" i="17"/>
  <c r="I61" i="17"/>
  <c r="I62" i="17"/>
  <c r="I63" i="17"/>
  <c r="I64" i="17"/>
  <c r="I65" i="17"/>
  <c r="I66" i="17"/>
  <c r="I67" i="17"/>
  <c r="I68" i="17"/>
  <c r="I69" i="17"/>
  <c r="I70" i="17"/>
  <c r="I71" i="17"/>
  <c r="I72" i="17"/>
  <c r="I73" i="17"/>
  <c r="I74" i="17"/>
  <c r="I75" i="17"/>
  <c r="I76" i="17"/>
  <c r="I77" i="17"/>
  <c r="I78" i="17"/>
  <c r="I79" i="17"/>
  <c r="I80" i="17"/>
  <c r="I81" i="17"/>
  <c r="I82" i="17"/>
  <c r="I83" i="17"/>
  <c r="I84" i="17"/>
  <c r="I85" i="17"/>
  <c r="I86" i="17"/>
  <c r="I87" i="17"/>
  <c r="I88" i="17"/>
  <c r="I89" i="17"/>
  <c r="J9" i="17"/>
  <c r="I9" i="17"/>
  <c r="B132" i="17"/>
  <c r="C129" i="17" s="1"/>
  <c r="C131" i="17"/>
  <c r="C130" i="17"/>
  <c r="B132" i="16"/>
  <c r="C129" i="16" s="1"/>
  <c r="B133" i="13"/>
  <c r="C130" i="13" s="1"/>
  <c r="C132" i="17" l="1"/>
  <c r="D9" i="13" l="1"/>
  <c r="L6" i="7" l="1"/>
  <c r="M6" i="7"/>
  <c r="N6" i="7"/>
  <c r="L9" i="7"/>
  <c r="M9" i="7"/>
  <c r="N9" i="7"/>
  <c r="L12" i="7"/>
  <c r="M12" i="7"/>
  <c r="N12" i="7"/>
  <c r="L15" i="7"/>
  <c r="M15" i="7"/>
  <c r="N15" i="7"/>
  <c r="L18" i="7"/>
  <c r="M18" i="7"/>
  <c r="N18" i="7"/>
  <c r="L21" i="7"/>
  <c r="M21" i="7"/>
  <c r="N21" i="7"/>
  <c r="L24" i="7"/>
  <c r="M24" i="7"/>
  <c r="N24" i="7"/>
  <c r="L27" i="7"/>
  <c r="M27" i="7"/>
  <c r="N27" i="7"/>
  <c r="L30" i="7"/>
  <c r="M30" i="7"/>
  <c r="N30" i="7"/>
  <c r="L33" i="7"/>
  <c r="M33" i="7"/>
  <c r="N33" i="7"/>
  <c r="L36" i="7"/>
  <c r="M36" i="7"/>
  <c r="N36" i="7"/>
  <c r="L39" i="7"/>
  <c r="M39" i="7"/>
  <c r="N39" i="7"/>
  <c r="L42" i="7"/>
  <c r="M42" i="7"/>
  <c r="N42" i="7"/>
  <c r="L45" i="7"/>
  <c r="M45" i="7"/>
  <c r="N45" i="7"/>
  <c r="L48" i="7"/>
  <c r="M48" i="7"/>
  <c r="N48" i="7"/>
  <c r="L51" i="7"/>
  <c r="M51" i="7"/>
  <c r="N51" i="7"/>
  <c r="L54" i="7"/>
  <c r="M54" i="7"/>
  <c r="N54" i="7"/>
  <c r="L57" i="7"/>
  <c r="M57" i="7"/>
  <c r="N57" i="7"/>
  <c r="L60" i="7"/>
  <c r="M60" i="7"/>
  <c r="N60" i="7"/>
  <c r="L63" i="7"/>
  <c r="M63" i="7"/>
  <c r="N63" i="7"/>
  <c r="L66" i="7"/>
  <c r="M66" i="7"/>
  <c r="N66" i="7"/>
  <c r="L69" i="7"/>
  <c r="M69" i="7"/>
  <c r="N69" i="7"/>
  <c r="L72" i="7"/>
  <c r="M72" i="7"/>
  <c r="N72" i="7"/>
  <c r="L75" i="7"/>
  <c r="M75" i="7"/>
  <c r="N75" i="7"/>
  <c r="L78" i="7"/>
  <c r="M78" i="7"/>
  <c r="N78" i="7"/>
  <c r="L81" i="7"/>
  <c r="M81" i="7"/>
  <c r="N81" i="7"/>
  <c r="L84" i="7"/>
  <c r="M84" i="7"/>
  <c r="N84" i="7"/>
  <c r="L87" i="7"/>
  <c r="M87" i="7"/>
  <c r="N87" i="7"/>
  <c r="K87" i="7"/>
  <c r="K84" i="7"/>
  <c r="K12" i="7"/>
  <c r="K9" i="7"/>
  <c r="K15" i="7"/>
  <c r="K18" i="7"/>
  <c r="K21" i="7"/>
  <c r="K24" i="7"/>
  <c r="K27" i="7"/>
  <c r="K30" i="7"/>
  <c r="K33" i="7"/>
  <c r="K36" i="7"/>
  <c r="K39" i="7"/>
  <c r="K42" i="7"/>
  <c r="K45" i="7"/>
  <c r="K48" i="7"/>
  <c r="K51" i="7"/>
  <c r="K54" i="7"/>
  <c r="K57" i="7"/>
  <c r="K60" i="7"/>
  <c r="K63" i="7"/>
  <c r="K66" i="7"/>
  <c r="K69" i="7"/>
  <c r="K72" i="7"/>
  <c r="K75" i="7"/>
  <c r="K78" i="7"/>
  <c r="K81" i="7"/>
  <c r="K6" i="7"/>
  <c r="R4" i="7"/>
  <c r="S4" i="7"/>
  <c r="T4" i="7"/>
  <c r="U4" i="7"/>
  <c r="R5" i="7"/>
  <c r="S5" i="7"/>
  <c r="T5" i="7"/>
  <c r="U5" i="7"/>
  <c r="R6" i="7"/>
  <c r="S6" i="7"/>
  <c r="T6" i="7"/>
  <c r="U6" i="7"/>
  <c r="R7" i="7"/>
  <c r="S7" i="7"/>
  <c r="T7" i="7"/>
  <c r="U7" i="7"/>
  <c r="R8" i="7"/>
  <c r="S8" i="7"/>
  <c r="T8" i="7"/>
  <c r="U8" i="7"/>
  <c r="R9" i="7"/>
  <c r="S9" i="7"/>
  <c r="T9" i="7"/>
  <c r="U9" i="7"/>
  <c r="R10" i="7"/>
  <c r="S10" i="7"/>
  <c r="T10" i="7"/>
  <c r="U10" i="7"/>
  <c r="R11" i="7"/>
  <c r="S11" i="7"/>
  <c r="T11" i="7"/>
  <c r="U11" i="7"/>
  <c r="R12" i="7"/>
  <c r="S12" i="7"/>
  <c r="T12" i="7"/>
  <c r="U12" i="7"/>
  <c r="R13" i="7"/>
  <c r="S13" i="7"/>
  <c r="T13" i="7"/>
  <c r="U13" i="7"/>
  <c r="R14" i="7"/>
  <c r="S14" i="7"/>
  <c r="T14" i="7"/>
  <c r="U14" i="7"/>
  <c r="R15" i="7"/>
  <c r="S15" i="7"/>
  <c r="T15" i="7"/>
  <c r="U15" i="7"/>
  <c r="R16" i="7"/>
  <c r="S16" i="7"/>
  <c r="T16" i="7"/>
  <c r="U16" i="7"/>
  <c r="R17" i="7"/>
  <c r="S17" i="7"/>
  <c r="T17" i="7"/>
  <c r="U17" i="7"/>
  <c r="R18" i="7"/>
  <c r="S18" i="7"/>
  <c r="T18" i="7"/>
  <c r="U18" i="7"/>
  <c r="R19" i="7"/>
  <c r="S19" i="7"/>
  <c r="T19" i="7"/>
  <c r="U19" i="7"/>
  <c r="R20" i="7"/>
  <c r="S20" i="7"/>
  <c r="T20" i="7"/>
  <c r="U20" i="7"/>
  <c r="R21" i="7"/>
  <c r="S21" i="7"/>
  <c r="T21" i="7"/>
  <c r="U21" i="7"/>
  <c r="R22" i="7"/>
  <c r="S22" i="7"/>
  <c r="T22" i="7"/>
  <c r="U22" i="7"/>
  <c r="R23" i="7"/>
  <c r="S23" i="7"/>
  <c r="T23" i="7"/>
  <c r="U23" i="7"/>
  <c r="R24" i="7"/>
  <c r="S24" i="7"/>
  <c r="T24" i="7"/>
  <c r="U24" i="7"/>
  <c r="R25" i="7"/>
  <c r="S25" i="7"/>
  <c r="T25" i="7"/>
  <c r="U25" i="7"/>
  <c r="R26" i="7"/>
  <c r="S26" i="7"/>
  <c r="T26" i="7"/>
  <c r="U26" i="7"/>
  <c r="R27" i="7"/>
  <c r="S27" i="7"/>
  <c r="T27" i="7"/>
  <c r="U27" i="7"/>
  <c r="R28" i="7"/>
  <c r="S28" i="7"/>
  <c r="T28" i="7"/>
  <c r="U28" i="7"/>
  <c r="R29" i="7"/>
  <c r="S29" i="7"/>
  <c r="T29" i="7"/>
  <c r="U29" i="7"/>
  <c r="R30" i="7"/>
  <c r="S30" i="7"/>
  <c r="T30" i="7"/>
  <c r="U30" i="7"/>
  <c r="R31" i="7"/>
  <c r="S31" i="7"/>
  <c r="T31" i="7"/>
  <c r="U31" i="7"/>
  <c r="R32" i="7"/>
  <c r="S32" i="7"/>
  <c r="T32" i="7"/>
  <c r="U32" i="7"/>
  <c r="R33" i="7"/>
  <c r="S33" i="7"/>
  <c r="T33" i="7"/>
  <c r="U33" i="7"/>
  <c r="R34" i="7"/>
  <c r="S34" i="7"/>
  <c r="T34" i="7"/>
  <c r="U34" i="7"/>
  <c r="R35" i="7"/>
  <c r="S35" i="7"/>
  <c r="T35" i="7"/>
  <c r="U35" i="7"/>
  <c r="R36" i="7"/>
  <c r="S36" i="7"/>
  <c r="T36" i="7"/>
  <c r="U36" i="7"/>
  <c r="R37" i="7"/>
  <c r="S37" i="7"/>
  <c r="T37" i="7"/>
  <c r="U37" i="7"/>
  <c r="R38" i="7"/>
  <c r="S38" i="7"/>
  <c r="T38" i="7"/>
  <c r="U38" i="7"/>
  <c r="R39" i="7"/>
  <c r="S39" i="7"/>
  <c r="T39" i="7"/>
  <c r="U39" i="7"/>
  <c r="R40" i="7"/>
  <c r="S40" i="7"/>
  <c r="T40" i="7"/>
  <c r="U40" i="7"/>
  <c r="R41" i="7"/>
  <c r="S41" i="7"/>
  <c r="T41" i="7"/>
  <c r="U41" i="7"/>
  <c r="R42" i="7"/>
  <c r="S42" i="7"/>
  <c r="T42" i="7"/>
  <c r="U42" i="7"/>
  <c r="R43" i="7"/>
  <c r="S43" i="7"/>
  <c r="T43" i="7"/>
  <c r="U43" i="7"/>
  <c r="R44" i="7"/>
  <c r="S44" i="7"/>
  <c r="T44" i="7"/>
  <c r="U44" i="7"/>
  <c r="R45" i="7"/>
  <c r="S45" i="7"/>
  <c r="T45" i="7"/>
  <c r="U45" i="7"/>
  <c r="R46" i="7"/>
  <c r="S46" i="7"/>
  <c r="T46" i="7"/>
  <c r="U46" i="7"/>
  <c r="R47" i="7"/>
  <c r="S47" i="7"/>
  <c r="T47" i="7"/>
  <c r="U47" i="7"/>
  <c r="R48" i="7"/>
  <c r="S48" i="7"/>
  <c r="T48" i="7"/>
  <c r="U48" i="7"/>
  <c r="R49" i="7"/>
  <c r="S49" i="7"/>
  <c r="T49" i="7"/>
  <c r="U49" i="7"/>
  <c r="R50" i="7"/>
  <c r="S50" i="7"/>
  <c r="T50" i="7"/>
  <c r="U50" i="7"/>
  <c r="R51" i="7"/>
  <c r="S51" i="7"/>
  <c r="T51" i="7"/>
  <c r="R52" i="7"/>
  <c r="S52" i="7"/>
  <c r="T52" i="7"/>
  <c r="U52" i="7"/>
  <c r="R53" i="7"/>
  <c r="S53" i="7"/>
  <c r="T53" i="7"/>
  <c r="U53" i="7"/>
  <c r="R54" i="7"/>
  <c r="S54" i="7"/>
  <c r="T54" i="7"/>
  <c r="U54" i="7"/>
  <c r="R55" i="7"/>
  <c r="S55" i="7"/>
  <c r="T55" i="7"/>
  <c r="U55" i="7"/>
  <c r="R56" i="7"/>
  <c r="S56" i="7"/>
  <c r="T56" i="7"/>
  <c r="U56" i="7"/>
  <c r="R57" i="7"/>
  <c r="S57" i="7"/>
  <c r="T57" i="7"/>
  <c r="U57" i="7"/>
  <c r="R58" i="7"/>
  <c r="S58" i="7"/>
  <c r="T58" i="7"/>
  <c r="U58" i="7"/>
  <c r="R59" i="7"/>
  <c r="S59" i="7"/>
  <c r="T59" i="7"/>
  <c r="U59" i="7"/>
  <c r="R60" i="7"/>
  <c r="S60" i="7"/>
  <c r="T60" i="7"/>
  <c r="U60" i="7"/>
  <c r="R61" i="7"/>
  <c r="S61" i="7"/>
  <c r="T61" i="7"/>
  <c r="U61" i="7"/>
  <c r="R62" i="7"/>
  <c r="S62" i="7"/>
  <c r="T62" i="7"/>
  <c r="U62" i="7"/>
  <c r="R63" i="7"/>
  <c r="S63" i="7"/>
  <c r="T63" i="7"/>
  <c r="U63" i="7"/>
  <c r="R64" i="7"/>
  <c r="S64" i="7"/>
  <c r="T64" i="7"/>
  <c r="U64" i="7"/>
  <c r="R65" i="7"/>
  <c r="S65" i="7"/>
  <c r="T65" i="7"/>
  <c r="R66" i="7"/>
  <c r="S66" i="7"/>
  <c r="T66" i="7"/>
  <c r="R67" i="7"/>
  <c r="S67" i="7"/>
  <c r="T67" i="7"/>
  <c r="R68" i="7"/>
  <c r="S68" i="7"/>
  <c r="T68" i="7"/>
  <c r="U68" i="7" s="1"/>
  <c r="R69" i="7"/>
  <c r="S69" i="7"/>
  <c r="T69" i="7"/>
  <c r="U69" i="7"/>
  <c r="R70" i="7"/>
  <c r="S70" i="7"/>
  <c r="T70" i="7"/>
  <c r="U70" i="7"/>
  <c r="R71" i="7"/>
  <c r="S71" i="7"/>
  <c r="T71" i="7"/>
  <c r="U71" i="7"/>
  <c r="R72" i="7"/>
  <c r="S72" i="7"/>
  <c r="T72" i="7"/>
  <c r="U72" i="7"/>
  <c r="R73" i="7"/>
  <c r="S73" i="7"/>
  <c r="T73" i="7"/>
  <c r="U73" i="7"/>
  <c r="R74" i="7"/>
  <c r="S74" i="7"/>
  <c r="T74" i="7"/>
  <c r="U74" i="7"/>
  <c r="R75" i="7"/>
  <c r="S75" i="7"/>
  <c r="T75" i="7"/>
  <c r="U75" i="7"/>
  <c r="R76" i="7"/>
  <c r="S76" i="7"/>
  <c r="T76" i="7"/>
  <c r="U76" i="7"/>
  <c r="R77" i="7"/>
  <c r="S77" i="7"/>
  <c r="T77" i="7"/>
  <c r="U77" i="7"/>
  <c r="R78" i="7"/>
  <c r="S78" i="7"/>
  <c r="T78" i="7"/>
  <c r="U78" i="7"/>
  <c r="R79" i="7"/>
  <c r="S79" i="7"/>
  <c r="T79" i="7"/>
  <c r="U79" i="7"/>
  <c r="R80" i="7"/>
  <c r="S80" i="7"/>
  <c r="T80" i="7"/>
  <c r="U80" i="7"/>
  <c r="R81" i="7"/>
  <c r="S81" i="7"/>
  <c r="T81" i="7"/>
  <c r="U81" i="7"/>
  <c r="R82" i="7"/>
  <c r="S82" i="7"/>
  <c r="T82" i="7"/>
  <c r="U82" i="7"/>
  <c r="R83" i="7"/>
  <c r="S83" i="7"/>
  <c r="T83" i="7"/>
  <c r="U83" i="7"/>
  <c r="R84" i="7"/>
  <c r="S84" i="7"/>
  <c r="T84" i="7"/>
  <c r="U84" i="7"/>
  <c r="R85" i="7"/>
  <c r="S85" i="7"/>
  <c r="T85" i="7"/>
  <c r="U85" i="7"/>
  <c r="R86" i="7"/>
  <c r="S86" i="7"/>
  <c r="T86" i="7"/>
  <c r="U86" i="7"/>
  <c r="U96" i="7"/>
  <c r="X6" i="7"/>
  <c r="W9" i="7"/>
  <c r="X9" i="7"/>
  <c r="X12" i="7"/>
  <c r="V15" i="7"/>
  <c r="W15" i="7"/>
  <c r="X15" i="7"/>
  <c r="X18" i="7"/>
  <c r="W21" i="7"/>
  <c r="X21" i="7"/>
  <c r="X24" i="7"/>
  <c r="V27" i="7"/>
  <c r="W27" i="7"/>
  <c r="X27" i="7"/>
  <c r="X30" i="7"/>
  <c r="W33" i="7"/>
  <c r="X33" i="7"/>
  <c r="X36" i="7"/>
  <c r="V39" i="7"/>
  <c r="W39" i="7"/>
  <c r="X39" i="7"/>
  <c r="X42" i="7"/>
  <c r="W45" i="7"/>
  <c r="X45" i="7"/>
  <c r="X48" i="7"/>
  <c r="V51" i="7"/>
  <c r="W51" i="7"/>
  <c r="X51" i="7"/>
  <c r="X54" i="7"/>
  <c r="W57" i="7"/>
  <c r="X57" i="7"/>
  <c r="X60" i="7"/>
  <c r="V63" i="7"/>
  <c r="W63" i="7"/>
  <c r="X63" i="7"/>
  <c r="X66" i="7"/>
  <c r="W69" i="7"/>
  <c r="X69" i="7"/>
  <c r="X72" i="7"/>
  <c r="V75" i="7"/>
  <c r="W75" i="7"/>
  <c r="X75" i="7"/>
  <c r="X78" i="7"/>
  <c r="W81" i="7"/>
  <c r="X81" i="7"/>
  <c r="X84" i="7"/>
  <c r="D92" i="17"/>
  <c r="D91" i="17"/>
  <c r="C91" i="17"/>
  <c r="C92" i="17"/>
  <c r="C90" i="17"/>
  <c r="U67" i="7" l="1"/>
  <c r="U65" i="7"/>
  <c r="U66" i="7"/>
  <c r="U51" i="7"/>
  <c r="D90" i="17"/>
  <c r="D89" i="17"/>
  <c r="D88" i="17"/>
  <c r="D87" i="17"/>
  <c r="D86" i="17"/>
  <c r="D85" i="17"/>
  <c r="D84" i="17"/>
  <c r="D83" i="17"/>
  <c r="D82" i="17"/>
  <c r="D81" i="17"/>
  <c r="D80" i="17"/>
  <c r="D79" i="17"/>
  <c r="D78" i="17"/>
  <c r="D77" i="17"/>
  <c r="D76" i="17"/>
  <c r="D75" i="17"/>
  <c r="D74" i="17"/>
  <c r="D73" i="17"/>
  <c r="D72" i="17"/>
  <c r="D71" i="17"/>
  <c r="D70" i="17"/>
  <c r="D69" i="17"/>
  <c r="D68" i="17"/>
  <c r="D67" i="17"/>
  <c r="D66" i="17"/>
  <c r="D65" i="17"/>
  <c r="D64" i="17"/>
  <c r="D63" i="17"/>
  <c r="D62" i="17"/>
  <c r="D61" i="17"/>
  <c r="D60" i="17"/>
  <c r="D59" i="17"/>
  <c r="D58" i="17"/>
  <c r="D57" i="17"/>
  <c r="D56" i="17"/>
  <c r="D55" i="17"/>
  <c r="D54" i="17"/>
  <c r="D53" i="17"/>
  <c r="D52" i="17"/>
  <c r="D51" i="17"/>
  <c r="D50" i="17"/>
  <c r="D49" i="17"/>
  <c r="D48" i="17"/>
  <c r="D47" i="17"/>
  <c r="D46" i="17"/>
  <c r="D45" i="17"/>
  <c r="D44" i="17"/>
  <c r="D43" i="17"/>
  <c r="D42" i="17"/>
  <c r="D41" i="17"/>
  <c r="D40" i="17"/>
  <c r="D39" i="17"/>
  <c r="D38" i="17"/>
  <c r="D37" i="17"/>
  <c r="D36" i="17"/>
  <c r="D35" i="17"/>
  <c r="D34" i="17"/>
  <c r="D33" i="17"/>
  <c r="D32" i="17"/>
  <c r="D31" i="17"/>
  <c r="D30" i="17"/>
  <c r="D29" i="17"/>
  <c r="D28" i="17"/>
  <c r="D27" i="17"/>
  <c r="D26" i="17"/>
  <c r="D25" i="17"/>
  <c r="D24" i="17"/>
  <c r="D23" i="17"/>
  <c r="D22" i="17"/>
  <c r="D21" i="17"/>
  <c r="D20" i="17"/>
  <c r="D19" i="17"/>
  <c r="D18" i="17"/>
  <c r="D17" i="17"/>
  <c r="D16" i="17"/>
  <c r="D15" i="17"/>
  <c r="D14" i="17"/>
  <c r="D13" i="17"/>
  <c r="D12" i="17"/>
  <c r="D11" i="17"/>
  <c r="D10" i="17"/>
  <c r="L9" i="17"/>
  <c r="D9" i="17"/>
  <c r="J95" i="17" s="1"/>
  <c r="G6" i="17"/>
  <c r="H6" i="17" s="1"/>
  <c r="F6" i="17"/>
  <c r="F7" i="17" s="1"/>
  <c r="M5" i="17"/>
  <c r="N4" i="17" s="1"/>
  <c r="N3" i="17"/>
  <c r="H3" i="17"/>
  <c r="B7" i="17" s="1"/>
  <c r="N2" i="17"/>
  <c r="D90" i="13"/>
  <c r="D90" i="16"/>
  <c r="C90" i="16" s="1"/>
  <c r="D89" i="16"/>
  <c r="I89" i="16" s="1"/>
  <c r="D88" i="16"/>
  <c r="I88" i="16" s="1"/>
  <c r="D87" i="16"/>
  <c r="I87" i="16" s="1"/>
  <c r="D86" i="16"/>
  <c r="I86" i="16" s="1"/>
  <c r="D85" i="16"/>
  <c r="I85" i="16" s="1"/>
  <c r="D84" i="16"/>
  <c r="I84" i="16" s="1"/>
  <c r="D83" i="16"/>
  <c r="I83" i="16" s="1"/>
  <c r="D82" i="16"/>
  <c r="I82" i="16" s="1"/>
  <c r="D81" i="16"/>
  <c r="I81" i="16" s="1"/>
  <c r="D80" i="16"/>
  <c r="I80" i="16" s="1"/>
  <c r="D79" i="16"/>
  <c r="I79" i="16" s="1"/>
  <c r="D78" i="16"/>
  <c r="I78" i="16" s="1"/>
  <c r="D77" i="16"/>
  <c r="I77" i="16" s="1"/>
  <c r="D76" i="16"/>
  <c r="I76" i="16" s="1"/>
  <c r="D75" i="16"/>
  <c r="I75" i="16" s="1"/>
  <c r="D74" i="16"/>
  <c r="I74" i="16" s="1"/>
  <c r="D73" i="16"/>
  <c r="I73" i="16" s="1"/>
  <c r="D72" i="16"/>
  <c r="I72" i="16" s="1"/>
  <c r="D71" i="16"/>
  <c r="I71" i="16" s="1"/>
  <c r="D70" i="16"/>
  <c r="I70" i="16" s="1"/>
  <c r="D69" i="16"/>
  <c r="I69" i="16" s="1"/>
  <c r="D68" i="16"/>
  <c r="I68" i="16" s="1"/>
  <c r="D67" i="16"/>
  <c r="I67" i="16" s="1"/>
  <c r="D66" i="16"/>
  <c r="I66" i="16" s="1"/>
  <c r="D65" i="16"/>
  <c r="I65" i="16" s="1"/>
  <c r="D64" i="16"/>
  <c r="I64" i="16" s="1"/>
  <c r="D63" i="16"/>
  <c r="I63" i="16" s="1"/>
  <c r="D62" i="16"/>
  <c r="I62" i="16" s="1"/>
  <c r="D61" i="16"/>
  <c r="I61" i="16" s="1"/>
  <c r="D60" i="16"/>
  <c r="I60" i="16" s="1"/>
  <c r="D59" i="16"/>
  <c r="I59" i="16" s="1"/>
  <c r="D58" i="16"/>
  <c r="I58" i="16" s="1"/>
  <c r="D57" i="16"/>
  <c r="I57" i="16" s="1"/>
  <c r="D56" i="16"/>
  <c r="I56" i="16" s="1"/>
  <c r="D55" i="16"/>
  <c r="I55" i="16" s="1"/>
  <c r="D54" i="16"/>
  <c r="I54" i="16" s="1"/>
  <c r="D53" i="16"/>
  <c r="I53" i="16" s="1"/>
  <c r="D52" i="16"/>
  <c r="I52" i="16" s="1"/>
  <c r="D51" i="16"/>
  <c r="I51" i="16" s="1"/>
  <c r="D50" i="16"/>
  <c r="I50" i="16" s="1"/>
  <c r="D49" i="16"/>
  <c r="I49" i="16" s="1"/>
  <c r="D48" i="16"/>
  <c r="I48" i="16" s="1"/>
  <c r="D47" i="16"/>
  <c r="I47" i="16" s="1"/>
  <c r="D46" i="16"/>
  <c r="I46" i="16" s="1"/>
  <c r="D45" i="16"/>
  <c r="I45" i="16" s="1"/>
  <c r="D44" i="16"/>
  <c r="I44" i="16" s="1"/>
  <c r="D43" i="16"/>
  <c r="I43" i="16" s="1"/>
  <c r="D42" i="16"/>
  <c r="I42" i="16" s="1"/>
  <c r="D41" i="16"/>
  <c r="I41" i="16" s="1"/>
  <c r="D40" i="16"/>
  <c r="I40" i="16" s="1"/>
  <c r="D39" i="16"/>
  <c r="I39" i="16" s="1"/>
  <c r="D38" i="16"/>
  <c r="I38" i="16" s="1"/>
  <c r="D37" i="16"/>
  <c r="I37" i="16" s="1"/>
  <c r="D36" i="16"/>
  <c r="I36" i="16" s="1"/>
  <c r="D35" i="16"/>
  <c r="I35" i="16" s="1"/>
  <c r="D34" i="16"/>
  <c r="I34" i="16" s="1"/>
  <c r="D33" i="16"/>
  <c r="I33" i="16" s="1"/>
  <c r="D32" i="16"/>
  <c r="I32" i="16" s="1"/>
  <c r="D31" i="16"/>
  <c r="I31" i="16" s="1"/>
  <c r="D30" i="16"/>
  <c r="I30" i="16" s="1"/>
  <c r="D29" i="16"/>
  <c r="I29" i="16" s="1"/>
  <c r="D28" i="16"/>
  <c r="I28" i="16" s="1"/>
  <c r="D27" i="16"/>
  <c r="I27" i="16" s="1"/>
  <c r="D26" i="16"/>
  <c r="I26" i="16" s="1"/>
  <c r="D25" i="16"/>
  <c r="I25" i="16" s="1"/>
  <c r="D24" i="16"/>
  <c r="I24" i="16" s="1"/>
  <c r="D23" i="16"/>
  <c r="I23" i="16" s="1"/>
  <c r="D22" i="16"/>
  <c r="I22" i="16" s="1"/>
  <c r="D21" i="16"/>
  <c r="I21" i="16" s="1"/>
  <c r="D20" i="16"/>
  <c r="I20" i="16" s="1"/>
  <c r="D19" i="16"/>
  <c r="I19" i="16" s="1"/>
  <c r="D18" i="16"/>
  <c r="I18" i="16" s="1"/>
  <c r="D17" i="16"/>
  <c r="I17" i="16" s="1"/>
  <c r="D16" i="16"/>
  <c r="I16" i="16" s="1"/>
  <c r="D15" i="16"/>
  <c r="I15" i="16" s="1"/>
  <c r="D14" i="16"/>
  <c r="I14" i="16" s="1"/>
  <c r="D13" i="16"/>
  <c r="I13" i="16" s="1"/>
  <c r="D12" i="16"/>
  <c r="I12" i="16" s="1"/>
  <c r="D11" i="16"/>
  <c r="I11" i="16" s="1"/>
  <c r="D10" i="16"/>
  <c r="I10" i="16" s="1"/>
  <c r="L9" i="16"/>
  <c r="D9" i="16"/>
  <c r="I9" i="16" s="1"/>
  <c r="G6" i="16"/>
  <c r="H6" i="16" s="1"/>
  <c r="F6" i="16"/>
  <c r="F7" i="16" s="1"/>
  <c r="M5" i="16"/>
  <c r="N3" i="16" s="1"/>
  <c r="H3" i="16"/>
  <c r="B7" i="16" s="1"/>
  <c r="N2" i="16"/>
  <c r="G6" i="13"/>
  <c r="H6" i="13" s="1"/>
  <c r="H3" i="13"/>
  <c r="B7" i="13" s="1"/>
  <c r="B8" i="13" s="1"/>
  <c r="B9" i="13" s="1"/>
  <c r="G9" i="13" s="1"/>
  <c r="H9" i="13" s="1"/>
  <c r="D88" i="13"/>
  <c r="I88" i="13" s="1"/>
  <c r="D89" i="13"/>
  <c r="I89" i="13" s="1"/>
  <c r="D10" i="13"/>
  <c r="I10" i="13" s="1"/>
  <c r="D11" i="13"/>
  <c r="I11" i="13" s="1"/>
  <c r="D12" i="13"/>
  <c r="I12" i="13" s="1"/>
  <c r="D13" i="13"/>
  <c r="I13" i="13" s="1"/>
  <c r="D14" i="13"/>
  <c r="I14" i="13" s="1"/>
  <c r="D15" i="13"/>
  <c r="I15" i="13" s="1"/>
  <c r="D16" i="13"/>
  <c r="I16" i="13" s="1"/>
  <c r="D17" i="13"/>
  <c r="I17" i="13" s="1"/>
  <c r="D18" i="13"/>
  <c r="I18" i="13" s="1"/>
  <c r="D19" i="13"/>
  <c r="I19" i="13" s="1"/>
  <c r="D20" i="13"/>
  <c r="I20" i="13" s="1"/>
  <c r="D21" i="13"/>
  <c r="I21" i="13" s="1"/>
  <c r="D22" i="13"/>
  <c r="I22" i="13" s="1"/>
  <c r="D23" i="13"/>
  <c r="I23" i="13" s="1"/>
  <c r="D24" i="13"/>
  <c r="I24" i="13" s="1"/>
  <c r="D25" i="13"/>
  <c r="I25" i="13" s="1"/>
  <c r="D26" i="13"/>
  <c r="I26" i="13" s="1"/>
  <c r="D27" i="13"/>
  <c r="I27" i="13" s="1"/>
  <c r="D28" i="13"/>
  <c r="I28" i="13" s="1"/>
  <c r="D29" i="13"/>
  <c r="I29" i="13" s="1"/>
  <c r="D30" i="13"/>
  <c r="I30" i="13" s="1"/>
  <c r="D31" i="13"/>
  <c r="I31" i="13" s="1"/>
  <c r="D32" i="13"/>
  <c r="I32" i="13" s="1"/>
  <c r="D33" i="13"/>
  <c r="I33" i="13" s="1"/>
  <c r="D34" i="13"/>
  <c r="I34" i="13" s="1"/>
  <c r="D35" i="13"/>
  <c r="I35" i="13" s="1"/>
  <c r="D36" i="13"/>
  <c r="I36" i="13" s="1"/>
  <c r="D37" i="13"/>
  <c r="I37" i="13" s="1"/>
  <c r="D38" i="13"/>
  <c r="I38" i="13" s="1"/>
  <c r="D39" i="13"/>
  <c r="I39" i="13" s="1"/>
  <c r="D40" i="13"/>
  <c r="I40" i="13" s="1"/>
  <c r="D41" i="13"/>
  <c r="I41" i="13" s="1"/>
  <c r="D42" i="13"/>
  <c r="I42" i="13" s="1"/>
  <c r="D43" i="13"/>
  <c r="I43" i="13" s="1"/>
  <c r="D44" i="13"/>
  <c r="I44" i="13" s="1"/>
  <c r="D45" i="13"/>
  <c r="I45" i="13" s="1"/>
  <c r="D46" i="13"/>
  <c r="I46" i="13" s="1"/>
  <c r="D47" i="13"/>
  <c r="I47" i="13" s="1"/>
  <c r="D48" i="13"/>
  <c r="I48" i="13" s="1"/>
  <c r="D49" i="13"/>
  <c r="I49" i="13" s="1"/>
  <c r="D50" i="13"/>
  <c r="I50" i="13" s="1"/>
  <c r="D51" i="13"/>
  <c r="I51" i="13" s="1"/>
  <c r="D52" i="13"/>
  <c r="I52" i="13" s="1"/>
  <c r="D53" i="13"/>
  <c r="I53" i="13" s="1"/>
  <c r="D54" i="13"/>
  <c r="I54" i="13" s="1"/>
  <c r="D55" i="13"/>
  <c r="I55" i="13" s="1"/>
  <c r="D56" i="13"/>
  <c r="I56" i="13" s="1"/>
  <c r="D57" i="13"/>
  <c r="I57" i="13" s="1"/>
  <c r="D58" i="13"/>
  <c r="I58" i="13" s="1"/>
  <c r="D59" i="13"/>
  <c r="I59" i="13" s="1"/>
  <c r="D60" i="13"/>
  <c r="I60" i="13" s="1"/>
  <c r="D61" i="13"/>
  <c r="I61" i="13" s="1"/>
  <c r="D62" i="13"/>
  <c r="I62" i="13" s="1"/>
  <c r="D63" i="13"/>
  <c r="I63" i="13" s="1"/>
  <c r="D64" i="13"/>
  <c r="I64" i="13" s="1"/>
  <c r="D65" i="13"/>
  <c r="I65" i="13" s="1"/>
  <c r="D66" i="13"/>
  <c r="I66" i="13" s="1"/>
  <c r="D67" i="13"/>
  <c r="I67" i="13" s="1"/>
  <c r="D68" i="13"/>
  <c r="I68" i="13" s="1"/>
  <c r="D69" i="13"/>
  <c r="I69" i="13" s="1"/>
  <c r="D70" i="13"/>
  <c r="I70" i="13" s="1"/>
  <c r="D71" i="13"/>
  <c r="I71" i="13" s="1"/>
  <c r="D72" i="13"/>
  <c r="I72" i="13" s="1"/>
  <c r="D73" i="13"/>
  <c r="I73" i="13" s="1"/>
  <c r="D74" i="13"/>
  <c r="I74" i="13" s="1"/>
  <c r="D75" i="13"/>
  <c r="I75" i="13" s="1"/>
  <c r="D76" i="13"/>
  <c r="I76" i="13" s="1"/>
  <c r="D77" i="13"/>
  <c r="I77" i="13" s="1"/>
  <c r="D78" i="13"/>
  <c r="I78" i="13" s="1"/>
  <c r="D79" i="13"/>
  <c r="I79" i="13" s="1"/>
  <c r="D80" i="13"/>
  <c r="I80" i="13" s="1"/>
  <c r="D81" i="13"/>
  <c r="I81" i="13" s="1"/>
  <c r="D82" i="13"/>
  <c r="I82" i="13" s="1"/>
  <c r="D83" i="13"/>
  <c r="I83" i="13" s="1"/>
  <c r="D84" i="13"/>
  <c r="I84" i="13" s="1"/>
  <c r="D85" i="13"/>
  <c r="I85" i="13" s="1"/>
  <c r="I86" i="13"/>
  <c r="D87" i="13"/>
  <c r="I87" i="13" s="1"/>
  <c r="L9" i="13"/>
  <c r="F6" i="13"/>
  <c r="F7" i="13" s="1"/>
  <c r="K7" i="13" s="1"/>
  <c r="M5" i="13"/>
  <c r="N3" i="13"/>
  <c r="C131" i="16" l="1"/>
  <c r="C130" i="16"/>
  <c r="N4" i="16"/>
  <c r="E88" i="16" s="1"/>
  <c r="J88" i="16" s="1"/>
  <c r="D91" i="16"/>
  <c r="C91" i="16" s="1"/>
  <c r="D92" i="16" s="1"/>
  <c r="C92" i="16" s="1"/>
  <c r="N4" i="13"/>
  <c r="C131" i="13"/>
  <c r="C132" i="13"/>
  <c r="G7" i="13"/>
  <c r="H7" i="13" s="1"/>
  <c r="G8" i="13"/>
  <c r="H8" i="13" s="1"/>
  <c r="E48" i="17"/>
  <c r="F8" i="17"/>
  <c r="K7" i="17"/>
  <c r="B8" i="17"/>
  <c r="G7" i="17"/>
  <c r="H7" i="17" s="1"/>
  <c r="N5" i="17"/>
  <c r="E9" i="17"/>
  <c r="E10" i="17"/>
  <c r="E12" i="17"/>
  <c r="E14" i="17"/>
  <c r="E16" i="17"/>
  <c r="E18" i="17"/>
  <c r="E20" i="17"/>
  <c r="E22" i="17"/>
  <c r="E24" i="17"/>
  <c r="E26" i="17"/>
  <c r="E28" i="17"/>
  <c r="E30" i="17"/>
  <c r="E32" i="17"/>
  <c r="E34" i="17"/>
  <c r="E36" i="17"/>
  <c r="E38" i="17"/>
  <c r="E40" i="17"/>
  <c r="E42" i="17"/>
  <c r="E44" i="17"/>
  <c r="E46" i="17"/>
  <c r="E90" i="17"/>
  <c r="E88" i="17"/>
  <c r="E86" i="17"/>
  <c r="E84" i="17"/>
  <c r="E82" i="17"/>
  <c r="E80" i="17"/>
  <c r="E78" i="17"/>
  <c r="E76" i="17"/>
  <c r="E74" i="17"/>
  <c r="E72" i="17"/>
  <c r="E89" i="17"/>
  <c r="E87" i="17"/>
  <c r="E85" i="17"/>
  <c r="E83" i="17"/>
  <c r="E81" i="17"/>
  <c r="E79" i="17"/>
  <c r="E77" i="17"/>
  <c r="E75" i="17"/>
  <c r="E73" i="17"/>
  <c r="E71" i="17"/>
  <c r="E70" i="17"/>
  <c r="E68" i="17"/>
  <c r="E66" i="17"/>
  <c r="E64" i="17"/>
  <c r="E62" i="17"/>
  <c r="E60" i="17"/>
  <c r="E58" i="17"/>
  <c r="E56" i="17"/>
  <c r="E54" i="17"/>
  <c r="E52" i="17"/>
  <c r="E50" i="17"/>
  <c r="E69" i="17"/>
  <c r="E67" i="17"/>
  <c r="E65" i="17"/>
  <c r="E63" i="17"/>
  <c r="E61" i="17"/>
  <c r="E59" i="17"/>
  <c r="E57" i="17"/>
  <c r="E55" i="17"/>
  <c r="E53" i="17"/>
  <c r="E51" i="17"/>
  <c r="E49" i="17"/>
  <c r="E11" i="17"/>
  <c r="E13" i="17"/>
  <c r="E15" i="17"/>
  <c r="E17" i="17"/>
  <c r="E19" i="17"/>
  <c r="E21" i="17"/>
  <c r="E23" i="17"/>
  <c r="E25" i="17"/>
  <c r="E27" i="17"/>
  <c r="E29" i="17"/>
  <c r="E31" i="17"/>
  <c r="E33" i="17"/>
  <c r="E35" i="17"/>
  <c r="E37" i="17"/>
  <c r="E39" i="17"/>
  <c r="E41" i="17"/>
  <c r="E43" i="17"/>
  <c r="E45" i="17"/>
  <c r="E47" i="17"/>
  <c r="G7" i="16"/>
  <c r="H7" i="16" s="1"/>
  <c r="B8" i="16"/>
  <c r="F8" i="16"/>
  <c r="K7" i="16"/>
  <c r="E90" i="16"/>
  <c r="E86" i="16"/>
  <c r="J86" i="16" s="1"/>
  <c r="E82" i="16"/>
  <c r="J82" i="16" s="1"/>
  <c r="E78" i="16"/>
  <c r="J78" i="16" s="1"/>
  <c r="E74" i="16"/>
  <c r="J74" i="16" s="1"/>
  <c r="E89" i="16"/>
  <c r="J89" i="16" s="1"/>
  <c r="E85" i="16"/>
  <c r="J85" i="16" s="1"/>
  <c r="E81" i="16"/>
  <c r="J81" i="16" s="1"/>
  <c r="E77" i="16"/>
  <c r="J77" i="16" s="1"/>
  <c r="E73" i="16"/>
  <c r="J73" i="16" s="1"/>
  <c r="E69" i="16"/>
  <c r="J69" i="16" s="1"/>
  <c r="E65" i="16"/>
  <c r="J65" i="16" s="1"/>
  <c r="E61" i="16"/>
  <c r="J61" i="16" s="1"/>
  <c r="E68" i="16"/>
  <c r="J68" i="16" s="1"/>
  <c r="E64" i="16"/>
  <c r="J64" i="16" s="1"/>
  <c r="E60" i="16"/>
  <c r="J60" i="16" s="1"/>
  <c r="E56" i="16"/>
  <c r="J56" i="16" s="1"/>
  <c r="E52" i="16"/>
  <c r="J52" i="16" s="1"/>
  <c r="E48" i="16"/>
  <c r="J48" i="16" s="1"/>
  <c r="E44" i="16"/>
  <c r="J44" i="16" s="1"/>
  <c r="E40" i="16"/>
  <c r="J40" i="16" s="1"/>
  <c r="E36" i="16"/>
  <c r="J36" i="16" s="1"/>
  <c r="E32" i="16"/>
  <c r="J32" i="16" s="1"/>
  <c r="E28" i="16"/>
  <c r="J28" i="16" s="1"/>
  <c r="E24" i="16"/>
  <c r="J24" i="16" s="1"/>
  <c r="E20" i="16"/>
  <c r="J20" i="16" s="1"/>
  <c r="E57" i="16"/>
  <c r="J57" i="16" s="1"/>
  <c r="E53" i="16"/>
  <c r="J53" i="16" s="1"/>
  <c r="E49" i="16"/>
  <c r="J49" i="16" s="1"/>
  <c r="E45" i="16"/>
  <c r="J45" i="16" s="1"/>
  <c r="E41" i="16"/>
  <c r="J41" i="16" s="1"/>
  <c r="E37" i="16"/>
  <c r="J37" i="16" s="1"/>
  <c r="E33" i="16"/>
  <c r="J33" i="16" s="1"/>
  <c r="E29" i="16"/>
  <c r="J29" i="16" s="1"/>
  <c r="E25" i="16"/>
  <c r="J25" i="16" s="1"/>
  <c r="E21" i="16"/>
  <c r="J21" i="16" s="1"/>
  <c r="E11" i="16"/>
  <c r="J11" i="16" s="1"/>
  <c r="E15" i="16"/>
  <c r="J15" i="16" s="1"/>
  <c r="N5" i="16"/>
  <c r="E10" i="16"/>
  <c r="J10" i="16" s="1"/>
  <c r="E14" i="16"/>
  <c r="J14" i="16" s="1"/>
  <c r="E18" i="16"/>
  <c r="J18" i="16" s="1"/>
  <c r="B10" i="13"/>
  <c r="G10" i="13" s="1"/>
  <c r="H10" i="13" s="1"/>
  <c r="N2" i="13"/>
  <c r="E90" i="13" s="1"/>
  <c r="E10" i="13"/>
  <c r="J10" i="13" s="1"/>
  <c r="N5" i="13"/>
  <c r="F8" i="13"/>
  <c r="B108" i="12"/>
  <c r="B109" i="12" s="1"/>
  <c r="B110" i="12" s="1"/>
  <c r="B107" i="12"/>
  <c r="L98" i="12"/>
  <c r="L99" i="12"/>
  <c r="L100" i="12" s="1"/>
  <c r="L101" i="12" s="1"/>
  <c r="L102" i="12" s="1"/>
  <c r="L103" i="12" s="1"/>
  <c r="J98" i="12"/>
  <c r="J99" i="12"/>
  <c r="J100" i="12"/>
  <c r="J101" i="12"/>
  <c r="J102" i="12"/>
  <c r="J103" i="12"/>
  <c r="J97" i="12"/>
  <c r="G98" i="12"/>
  <c r="G99" i="12"/>
  <c r="G100" i="12"/>
  <c r="G101" i="12"/>
  <c r="G102" i="12"/>
  <c r="G103" i="12"/>
  <c r="G97" i="12"/>
  <c r="D98" i="12"/>
  <c r="D99" i="12"/>
  <c r="D100" i="12"/>
  <c r="D101" i="12"/>
  <c r="D102" i="12"/>
  <c r="D103" i="12"/>
  <c r="D97" i="12"/>
  <c r="F98" i="12"/>
  <c r="F99" i="12"/>
  <c r="F100" i="12"/>
  <c r="F101" i="12"/>
  <c r="F102" i="12"/>
  <c r="F103" i="12"/>
  <c r="F97" i="12"/>
  <c r="I98" i="12"/>
  <c r="I99" i="12"/>
  <c r="I100" i="12"/>
  <c r="I101" i="12"/>
  <c r="I102" i="12"/>
  <c r="I103" i="12"/>
  <c r="I97" i="12"/>
  <c r="C98" i="12"/>
  <c r="C99" i="12"/>
  <c r="C100" i="12"/>
  <c r="C101" i="12"/>
  <c r="C102" i="12"/>
  <c r="C103" i="12"/>
  <c r="C97" i="12"/>
  <c r="I87" i="7"/>
  <c r="H87" i="7"/>
  <c r="G87" i="7"/>
  <c r="AA14" i="11"/>
  <c r="Z5" i="11"/>
  <c r="AA5" i="11" s="1"/>
  <c r="X5" i="11"/>
  <c r="V5" i="11"/>
  <c r="W5" i="11" s="1"/>
  <c r="U5" i="11"/>
  <c r="H89" i="12"/>
  <c r="I5" i="12" s="1"/>
  <c r="J5" i="12" s="1"/>
  <c r="E89" i="12"/>
  <c r="B89" i="12"/>
  <c r="P12" i="11" s="1"/>
  <c r="P13" i="11" s="1"/>
  <c r="P14" i="11" s="1"/>
  <c r="P15" i="11" s="1"/>
  <c r="E89" i="7"/>
  <c r="D89" i="7"/>
  <c r="C89" i="7"/>
  <c r="R93" i="7" s="1"/>
  <c r="F82" i="7"/>
  <c r="Q82" i="7" s="1"/>
  <c r="F83" i="7"/>
  <c r="Q83" i="7" s="1"/>
  <c r="F84" i="7"/>
  <c r="Q84" i="7" s="1"/>
  <c r="F85" i="7"/>
  <c r="P85" i="7" s="1"/>
  <c r="F86" i="7"/>
  <c r="Q86" i="7" s="1"/>
  <c r="F87" i="7"/>
  <c r="F5" i="7"/>
  <c r="F6" i="7"/>
  <c r="F7" i="7"/>
  <c r="F8" i="7"/>
  <c r="F9" i="7"/>
  <c r="F10" i="7"/>
  <c r="F11" i="7"/>
  <c r="F12" i="7"/>
  <c r="F13" i="7"/>
  <c r="F14" i="7"/>
  <c r="F15" i="7"/>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4" i="7"/>
  <c r="Y6" i="11"/>
  <c r="Y25" i="11"/>
  <c r="X25" i="11"/>
  <c r="AA25" i="11" s="1"/>
  <c r="U25" i="11"/>
  <c r="Z25" i="11" s="1"/>
  <c r="Y24" i="11"/>
  <c r="X24" i="11"/>
  <c r="U24" i="11"/>
  <c r="Z24" i="11" s="1"/>
  <c r="AA24" i="11" s="1"/>
  <c r="Y23" i="11"/>
  <c r="X23" i="11"/>
  <c r="AA23" i="11" s="1"/>
  <c r="U23" i="11"/>
  <c r="Z23" i="11" s="1"/>
  <c r="Y22" i="11"/>
  <c r="X22" i="11"/>
  <c r="U22" i="11"/>
  <c r="V22" i="11" s="1"/>
  <c r="W22" i="11" s="1"/>
  <c r="Y21" i="11"/>
  <c r="X21" i="11"/>
  <c r="AA21" i="11" s="1"/>
  <c r="U21" i="11"/>
  <c r="Z21" i="11" s="1"/>
  <c r="Y20" i="11"/>
  <c r="X20" i="11"/>
  <c r="U20" i="11"/>
  <c r="Z20" i="11" s="1"/>
  <c r="AA20" i="11" s="1"/>
  <c r="Y19" i="11"/>
  <c r="X19" i="11"/>
  <c r="AA19" i="11" s="1"/>
  <c r="U19" i="11"/>
  <c r="Z19" i="11" s="1"/>
  <c r="Y18" i="11"/>
  <c r="X18" i="11"/>
  <c r="U18" i="11"/>
  <c r="Z18" i="11" s="1"/>
  <c r="AA18" i="11" s="1"/>
  <c r="Y17" i="11"/>
  <c r="X17" i="11"/>
  <c r="AA17" i="11" s="1"/>
  <c r="U17" i="11"/>
  <c r="Z17" i="11" s="1"/>
  <c r="Y16" i="11"/>
  <c r="X16" i="11"/>
  <c r="U16" i="11"/>
  <c r="Z16" i="11" s="1"/>
  <c r="AA16" i="11" s="1"/>
  <c r="Y15" i="11"/>
  <c r="X15" i="11"/>
  <c r="U15" i="11"/>
  <c r="Z15" i="11" s="1"/>
  <c r="AA15" i="11" s="1"/>
  <c r="AB14" i="11"/>
  <c r="Y14" i="11"/>
  <c r="X14" i="11"/>
  <c r="U14" i="11"/>
  <c r="Z14" i="11" s="1"/>
  <c r="AB13" i="11"/>
  <c r="Y13" i="11"/>
  <c r="X13" i="11"/>
  <c r="U13" i="11"/>
  <c r="Z13" i="11" s="1"/>
  <c r="AA13" i="11" s="1"/>
  <c r="AB12" i="11"/>
  <c r="Y12" i="11"/>
  <c r="X12" i="11"/>
  <c r="U12" i="11"/>
  <c r="Z12" i="11" s="1"/>
  <c r="AA12" i="11" s="1"/>
  <c r="Y11" i="11"/>
  <c r="X11" i="11"/>
  <c r="U11" i="11"/>
  <c r="Z11" i="11" s="1"/>
  <c r="AA11" i="11" s="1"/>
  <c r="Y10" i="11"/>
  <c r="X10" i="11"/>
  <c r="U10" i="11"/>
  <c r="Z10" i="11" s="1"/>
  <c r="AA10" i="11" s="1"/>
  <c r="Y9" i="11"/>
  <c r="X9" i="11"/>
  <c r="U9" i="11"/>
  <c r="Z9" i="11" s="1"/>
  <c r="AA9" i="11" s="1"/>
  <c r="Y8" i="11"/>
  <c r="X8" i="11"/>
  <c r="U8" i="11"/>
  <c r="Z8" i="11" s="1"/>
  <c r="AA8" i="11" s="1"/>
  <c r="Y7" i="11"/>
  <c r="X7" i="11"/>
  <c r="U7" i="11"/>
  <c r="Z7" i="11" s="1"/>
  <c r="AA7" i="11" s="1"/>
  <c r="Z6" i="11"/>
  <c r="AA6" i="11" s="1"/>
  <c r="X6" i="11"/>
  <c r="V6" i="11"/>
  <c r="W6" i="11" s="1"/>
  <c r="U6" i="11"/>
  <c r="Y5" i="11"/>
  <c r="V12" i="11" l="1"/>
  <c r="W12" i="11" s="1"/>
  <c r="E16" i="16"/>
  <c r="J16" i="16" s="1"/>
  <c r="E12" i="16"/>
  <c r="J12" i="16" s="1"/>
  <c r="E9" i="16"/>
  <c r="J9" i="16" s="1"/>
  <c r="E17" i="16"/>
  <c r="J17" i="16" s="1"/>
  <c r="E13" i="16"/>
  <c r="J13" i="16" s="1"/>
  <c r="E19" i="16"/>
  <c r="J19" i="16" s="1"/>
  <c r="E23" i="16"/>
  <c r="J23" i="16" s="1"/>
  <c r="E27" i="16"/>
  <c r="J27" i="16" s="1"/>
  <c r="E31" i="16"/>
  <c r="J31" i="16" s="1"/>
  <c r="E35" i="16"/>
  <c r="J35" i="16" s="1"/>
  <c r="E39" i="16"/>
  <c r="J39" i="16" s="1"/>
  <c r="E43" i="16"/>
  <c r="J43" i="16" s="1"/>
  <c r="E47" i="16"/>
  <c r="J47" i="16" s="1"/>
  <c r="E51" i="16"/>
  <c r="J51" i="16" s="1"/>
  <c r="E55" i="16"/>
  <c r="J55" i="16" s="1"/>
  <c r="E59" i="16"/>
  <c r="J59" i="16" s="1"/>
  <c r="E22" i="16"/>
  <c r="J22" i="16" s="1"/>
  <c r="E26" i="16"/>
  <c r="J26" i="16" s="1"/>
  <c r="E30" i="16"/>
  <c r="J30" i="16" s="1"/>
  <c r="E34" i="16"/>
  <c r="J34" i="16" s="1"/>
  <c r="E38" i="16"/>
  <c r="J38" i="16" s="1"/>
  <c r="E42" i="16"/>
  <c r="J42" i="16" s="1"/>
  <c r="E46" i="16"/>
  <c r="J46" i="16" s="1"/>
  <c r="E50" i="16"/>
  <c r="J50" i="16" s="1"/>
  <c r="E54" i="16"/>
  <c r="J54" i="16" s="1"/>
  <c r="E58" i="16"/>
  <c r="J58" i="16" s="1"/>
  <c r="E62" i="16"/>
  <c r="J62" i="16" s="1"/>
  <c r="E66" i="16"/>
  <c r="J66" i="16" s="1"/>
  <c r="E70" i="16"/>
  <c r="J70" i="16" s="1"/>
  <c r="E63" i="16"/>
  <c r="J63" i="16" s="1"/>
  <c r="E67" i="16"/>
  <c r="J67" i="16" s="1"/>
  <c r="E71" i="16"/>
  <c r="J71" i="16" s="1"/>
  <c r="E75" i="16"/>
  <c r="J75" i="16" s="1"/>
  <c r="E79" i="16"/>
  <c r="J79" i="16" s="1"/>
  <c r="E83" i="16"/>
  <c r="J83" i="16" s="1"/>
  <c r="E87" i="16"/>
  <c r="J87" i="16" s="1"/>
  <c r="E72" i="16"/>
  <c r="J72" i="16" s="1"/>
  <c r="E76" i="16"/>
  <c r="J76" i="16" s="1"/>
  <c r="E80" i="16"/>
  <c r="J80" i="16" s="1"/>
  <c r="E84" i="16"/>
  <c r="J84" i="16" s="1"/>
  <c r="C132" i="16"/>
  <c r="C133" i="13"/>
  <c r="E9" i="13"/>
  <c r="J9" i="13" s="1"/>
  <c r="C90" i="13"/>
  <c r="E91" i="13" s="1"/>
  <c r="C91" i="13" s="1"/>
  <c r="E88" i="13"/>
  <c r="J88" i="13" s="1"/>
  <c r="J12" i="13"/>
  <c r="E14" i="13"/>
  <c r="J14" i="13" s="1"/>
  <c r="E16" i="13"/>
  <c r="J16" i="13" s="1"/>
  <c r="E18" i="13"/>
  <c r="J18" i="13" s="1"/>
  <c r="E20" i="13"/>
  <c r="J20" i="13" s="1"/>
  <c r="E22" i="13"/>
  <c r="J22" i="13" s="1"/>
  <c r="E24" i="13"/>
  <c r="J24" i="13" s="1"/>
  <c r="E26" i="13"/>
  <c r="J26" i="13" s="1"/>
  <c r="E28" i="13"/>
  <c r="J28" i="13" s="1"/>
  <c r="E30" i="13"/>
  <c r="J30" i="13" s="1"/>
  <c r="E32" i="13"/>
  <c r="J32" i="13" s="1"/>
  <c r="E34" i="13"/>
  <c r="J34" i="13" s="1"/>
  <c r="E36" i="13"/>
  <c r="J36" i="13" s="1"/>
  <c r="E38" i="13"/>
  <c r="J38" i="13" s="1"/>
  <c r="E40" i="13"/>
  <c r="J40" i="13" s="1"/>
  <c r="E42" i="13"/>
  <c r="J42" i="13" s="1"/>
  <c r="E44" i="13"/>
  <c r="J44" i="13" s="1"/>
  <c r="E46" i="13"/>
  <c r="J46" i="13" s="1"/>
  <c r="E48" i="13"/>
  <c r="J48" i="13" s="1"/>
  <c r="E50" i="13"/>
  <c r="J50" i="13" s="1"/>
  <c r="E52" i="13"/>
  <c r="J52" i="13" s="1"/>
  <c r="E54" i="13"/>
  <c r="J54" i="13" s="1"/>
  <c r="E56" i="13"/>
  <c r="J56" i="13" s="1"/>
  <c r="E58" i="13"/>
  <c r="J58" i="13" s="1"/>
  <c r="E60" i="13"/>
  <c r="J60" i="13" s="1"/>
  <c r="E62" i="13"/>
  <c r="J62" i="13" s="1"/>
  <c r="E64" i="13"/>
  <c r="J64" i="13" s="1"/>
  <c r="E66" i="13"/>
  <c r="J66" i="13" s="1"/>
  <c r="E68" i="13"/>
  <c r="J68" i="13" s="1"/>
  <c r="E70" i="13"/>
  <c r="J70" i="13" s="1"/>
  <c r="E72" i="13"/>
  <c r="J72" i="13" s="1"/>
  <c r="E74" i="13"/>
  <c r="J74" i="13" s="1"/>
  <c r="E76" i="13"/>
  <c r="J76" i="13" s="1"/>
  <c r="E78" i="13"/>
  <c r="J78" i="13" s="1"/>
  <c r="E80" i="13"/>
  <c r="J80" i="13" s="1"/>
  <c r="E11" i="13"/>
  <c r="J11" i="13" s="1"/>
  <c r="E15" i="13"/>
  <c r="J15" i="13" s="1"/>
  <c r="E19" i="13"/>
  <c r="J19" i="13" s="1"/>
  <c r="E23" i="13"/>
  <c r="J23" i="13" s="1"/>
  <c r="E27" i="13"/>
  <c r="J27" i="13" s="1"/>
  <c r="E31" i="13"/>
  <c r="J31" i="13" s="1"/>
  <c r="E35" i="13"/>
  <c r="J35" i="13" s="1"/>
  <c r="E39" i="13"/>
  <c r="J39" i="13" s="1"/>
  <c r="E43" i="13"/>
  <c r="J43" i="13" s="1"/>
  <c r="E47" i="13"/>
  <c r="J47" i="13" s="1"/>
  <c r="E51" i="13"/>
  <c r="J51" i="13" s="1"/>
  <c r="E55" i="13"/>
  <c r="J55" i="13" s="1"/>
  <c r="E59" i="13"/>
  <c r="J59" i="13" s="1"/>
  <c r="E63" i="13"/>
  <c r="J63" i="13" s="1"/>
  <c r="E67" i="13"/>
  <c r="J67" i="13" s="1"/>
  <c r="E71" i="13"/>
  <c r="J71" i="13" s="1"/>
  <c r="E75" i="13"/>
  <c r="J75" i="13" s="1"/>
  <c r="E79" i="13"/>
  <c r="J79" i="13" s="1"/>
  <c r="E82" i="13"/>
  <c r="J82" i="13" s="1"/>
  <c r="E84" i="13"/>
  <c r="J84" i="13" s="1"/>
  <c r="E86" i="13"/>
  <c r="J86" i="13" s="1"/>
  <c r="E89" i="13"/>
  <c r="J89" i="13" s="1"/>
  <c r="E13" i="13"/>
  <c r="J13" i="13" s="1"/>
  <c r="E17" i="13"/>
  <c r="J17" i="13" s="1"/>
  <c r="E21" i="13"/>
  <c r="J21" i="13" s="1"/>
  <c r="E25" i="13"/>
  <c r="J25" i="13" s="1"/>
  <c r="E29" i="13"/>
  <c r="J29" i="13" s="1"/>
  <c r="E33" i="13"/>
  <c r="J33" i="13" s="1"/>
  <c r="E37" i="13"/>
  <c r="J37" i="13" s="1"/>
  <c r="E41" i="13"/>
  <c r="J41" i="13" s="1"/>
  <c r="E45" i="13"/>
  <c r="J45" i="13" s="1"/>
  <c r="E49" i="13"/>
  <c r="J49" i="13" s="1"/>
  <c r="E53" i="13"/>
  <c r="J53" i="13" s="1"/>
  <c r="E57" i="13"/>
  <c r="J57" i="13" s="1"/>
  <c r="E61" i="13"/>
  <c r="J61" i="13" s="1"/>
  <c r="E65" i="13"/>
  <c r="J65" i="13" s="1"/>
  <c r="E69" i="13"/>
  <c r="J69" i="13" s="1"/>
  <c r="E73" i="13"/>
  <c r="J73" i="13" s="1"/>
  <c r="E77" i="13"/>
  <c r="J77" i="13" s="1"/>
  <c r="E81" i="13"/>
  <c r="J81" i="13" s="1"/>
  <c r="E85" i="13"/>
  <c r="J85" i="13" s="1"/>
  <c r="E83" i="13"/>
  <c r="J83" i="13" s="1"/>
  <c r="E87" i="13"/>
  <c r="J87" i="13" s="1"/>
  <c r="J87" i="7"/>
  <c r="G8" i="17"/>
  <c r="H8" i="17" s="1"/>
  <c r="B9" i="17"/>
  <c r="F9" i="17"/>
  <c r="K8" i="17"/>
  <c r="I95" i="17"/>
  <c r="F9" i="16"/>
  <c r="K8" i="16"/>
  <c r="I95" i="16"/>
  <c r="B9" i="16"/>
  <c r="G8" i="16"/>
  <c r="H8" i="16" s="1"/>
  <c r="B11" i="13"/>
  <c r="G11" i="13" s="1"/>
  <c r="H11" i="13" s="1"/>
  <c r="I95" i="13"/>
  <c r="K8" i="13"/>
  <c r="F9" i="13"/>
  <c r="B111" i="12"/>
  <c r="B112" i="12" s="1"/>
  <c r="C4" i="12"/>
  <c r="C86" i="12"/>
  <c r="C84" i="12"/>
  <c r="C82" i="12"/>
  <c r="C80" i="12"/>
  <c r="C78" i="12"/>
  <c r="C76" i="12"/>
  <c r="C74" i="12"/>
  <c r="C72" i="12"/>
  <c r="C70" i="12"/>
  <c r="C68" i="12"/>
  <c r="C66" i="12"/>
  <c r="C64" i="12"/>
  <c r="C62" i="12"/>
  <c r="C60" i="12"/>
  <c r="C58" i="12"/>
  <c r="C56" i="12"/>
  <c r="C54" i="12"/>
  <c r="C52" i="12"/>
  <c r="C50" i="12"/>
  <c r="C48" i="12"/>
  <c r="C46" i="12"/>
  <c r="C44" i="12"/>
  <c r="C42" i="12"/>
  <c r="C40" i="12"/>
  <c r="C38" i="12"/>
  <c r="C36" i="12"/>
  <c r="C34" i="12"/>
  <c r="C32" i="12"/>
  <c r="C30" i="12"/>
  <c r="C28" i="12"/>
  <c r="C26" i="12"/>
  <c r="C24" i="12"/>
  <c r="C22" i="12"/>
  <c r="C20" i="12"/>
  <c r="C18" i="12"/>
  <c r="C16" i="12"/>
  <c r="C14" i="12"/>
  <c r="C12" i="12"/>
  <c r="C10" i="12"/>
  <c r="C8" i="12"/>
  <c r="C6" i="12"/>
  <c r="C87" i="12"/>
  <c r="C85" i="12"/>
  <c r="C83" i="12"/>
  <c r="C81" i="12"/>
  <c r="C79" i="12"/>
  <c r="C77" i="12"/>
  <c r="C75" i="12"/>
  <c r="C73" i="12"/>
  <c r="C71" i="12"/>
  <c r="C69" i="12"/>
  <c r="C67" i="12"/>
  <c r="C65" i="12"/>
  <c r="C63" i="12"/>
  <c r="C61" i="12"/>
  <c r="C59" i="12"/>
  <c r="C57" i="12"/>
  <c r="C55" i="12"/>
  <c r="C53" i="12"/>
  <c r="C51" i="12"/>
  <c r="C49" i="12"/>
  <c r="C47" i="12"/>
  <c r="C45" i="12"/>
  <c r="C43" i="12"/>
  <c r="C41" i="12"/>
  <c r="C39" i="12"/>
  <c r="C37" i="12"/>
  <c r="C35" i="12"/>
  <c r="C33" i="12"/>
  <c r="C31" i="12"/>
  <c r="C29" i="12"/>
  <c r="C27" i="12"/>
  <c r="C25" i="12"/>
  <c r="C23" i="12"/>
  <c r="C21" i="12"/>
  <c r="C19" i="12"/>
  <c r="C17" i="12"/>
  <c r="C15" i="12"/>
  <c r="C13" i="12"/>
  <c r="C11" i="12"/>
  <c r="C9" i="12"/>
  <c r="C7" i="12"/>
  <c r="C5" i="12"/>
  <c r="F5" i="12"/>
  <c r="G5" i="12" s="1"/>
  <c r="P19" i="11"/>
  <c r="I4" i="12"/>
  <c r="I86" i="12"/>
  <c r="J86" i="12" s="1"/>
  <c r="I84" i="12"/>
  <c r="J84" i="12" s="1"/>
  <c r="I82" i="12"/>
  <c r="J82" i="12" s="1"/>
  <c r="I80" i="12"/>
  <c r="J80" i="12" s="1"/>
  <c r="I78" i="12"/>
  <c r="J78" i="12" s="1"/>
  <c r="I76" i="12"/>
  <c r="J76" i="12" s="1"/>
  <c r="I74" i="12"/>
  <c r="J74" i="12" s="1"/>
  <c r="I72" i="12"/>
  <c r="J72" i="12" s="1"/>
  <c r="I70" i="12"/>
  <c r="J70" i="12" s="1"/>
  <c r="I68" i="12"/>
  <c r="J68" i="12" s="1"/>
  <c r="I66" i="12"/>
  <c r="J66" i="12" s="1"/>
  <c r="I64" i="12"/>
  <c r="J64" i="12" s="1"/>
  <c r="I62" i="12"/>
  <c r="J62" i="12" s="1"/>
  <c r="I60" i="12"/>
  <c r="J60" i="12" s="1"/>
  <c r="I58" i="12"/>
  <c r="J58" i="12" s="1"/>
  <c r="I56" i="12"/>
  <c r="J56" i="12" s="1"/>
  <c r="I54" i="12"/>
  <c r="J54" i="12" s="1"/>
  <c r="I52" i="12"/>
  <c r="J52" i="12" s="1"/>
  <c r="I50" i="12"/>
  <c r="J50" i="12" s="1"/>
  <c r="I48" i="12"/>
  <c r="J48" i="12" s="1"/>
  <c r="I46" i="12"/>
  <c r="J46" i="12" s="1"/>
  <c r="I44" i="12"/>
  <c r="J44" i="12" s="1"/>
  <c r="I42" i="12"/>
  <c r="J42" i="12" s="1"/>
  <c r="I40" i="12"/>
  <c r="J40" i="12" s="1"/>
  <c r="I38" i="12"/>
  <c r="J38" i="12" s="1"/>
  <c r="I36" i="12"/>
  <c r="J36" i="12" s="1"/>
  <c r="I34" i="12"/>
  <c r="J34" i="12" s="1"/>
  <c r="I32" i="12"/>
  <c r="J32" i="12" s="1"/>
  <c r="I30" i="12"/>
  <c r="J30" i="12" s="1"/>
  <c r="I28" i="12"/>
  <c r="J28" i="12" s="1"/>
  <c r="I26" i="12"/>
  <c r="J26" i="12" s="1"/>
  <c r="I24" i="12"/>
  <c r="J24" i="12" s="1"/>
  <c r="I22" i="12"/>
  <c r="J22" i="12" s="1"/>
  <c r="I20" i="12"/>
  <c r="J20" i="12" s="1"/>
  <c r="I18" i="12"/>
  <c r="J18" i="12" s="1"/>
  <c r="I16" i="12"/>
  <c r="J16" i="12" s="1"/>
  <c r="I14" i="12"/>
  <c r="J14" i="12" s="1"/>
  <c r="I12" i="12"/>
  <c r="J12" i="12" s="1"/>
  <c r="I10" i="12"/>
  <c r="J10" i="12" s="1"/>
  <c r="I8" i="12"/>
  <c r="J8" i="12" s="1"/>
  <c r="I6" i="12"/>
  <c r="J6" i="12" s="1"/>
  <c r="P5" i="11"/>
  <c r="R6" i="11" s="1"/>
  <c r="T6" i="11" s="1"/>
  <c r="I87" i="12"/>
  <c r="J87" i="12" s="1"/>
  <c r="I85" i="12"/>
  <c r="J85" i="12" s="1"/>
  <c r="I83" i="12"/>
  <c r="J83" i="12" s="1"/>
  <c r="I81" i="12"/>
  <c r="J81" i="12" s="1"/>
  <c r="I79" i="12"/>
  <c r="J79" i="12" s="1"/>
  <c r="I77" i="12"/>
  <c r="J77" i="12" s="1"/>
  <c r="I75" i="12"/>
  <c r="J75" i="12" s="1"/>
  <c r="I73" i="12"/>
  <c r="J73" i="12" s="1"/>
  <c r="I71" i="12"/>
  <c r="J71" i="12" s="1"/>
  <c r="I69" i="12"/>
  <c r="J69" i="12" s="1"/>
  <c r="I67" i="12"/>
  <c r="J67" i="12" s="1"/>
  <c r="I65" i="12"/>
  <c r="J65" i="12" s="1"/>
  <c r="I63" i="12"/>
  <c r="J63" i="12" s="1"/>
  <c r="I61" i="12"/>
  <c r="J61" i="12" s="1"/>
  <c r="I59" i="12"/>
  <c r="J59" i="12" s="1"/>
  <c r="I57" i="12"/>
  <c r="J57" i="12" s="1"/>
  <c r="I55" i="12"/>
  <c r="J55" i="12" s="1"/>
  <c r="I53" i="12"/>
  <c r="J53" i="12" s="1"/>
  <c r="I51" i="12"/>
  <c r="J51" i="12" s="1"/>
  <c r="I49" i="12"/>
  <c r="J49" i="12" s="1"/>
  <c r="I47" i="12"/>
  <c r="J47" i="12" s="1"/>
  <c r="I45" i="12"/>
  <c r="J45" i="12" s="1"/>
  <c r="I43" i="12"/>
  <c r="J43" i="12" s="1"/>
  <c r="I41" i="12"/>
  <c r="J41" i="12" s="1"/>
  <c r="I39" i="12"/>
  <c r="J39" i="12" s="1"/>
  <c r="I37" i="12"/>
  <c r="J37" i="12" s="1"/>
  <c r="I35" i="12"/>
  <c r="J35" i="12" s="1"/>
  <c r="I33" i="12"/>
  <c r="J33" i="12" s="1"/>
  <c r="I31" i="12"/>
  <c r="J31" i="12" s="1"/>
  <c r="I29" i="12"/>
  <c r="J29" i="12" s="1"/>
  <c r="I27" i="12"/>
  <c r="J27" i="12" s="1"/>
  <c r="I25" i="12"/>
  <c r="J25" i="12" s="1"/>
  <c r="I23" i="12"/>
  <c r="J23" i="12" s="1"/>
  <c r="I21" i="12"/>
  <c r="J21" i="12" s="1"/>
  <c r="I19" i="12"/>
  <c r="J19" i="12" s="1"/>
  <c r="I17" i="12"/>
  <c r="J17" i="12" s="1"/>
  <c r="I15" i="12"/>
  <c r="J15" i="12" s="1"/>
  <c r="I13" i="12"/>
  <c r="J13" i="12" s="1"/>
  <c r="I11" i="12"/>
  <c r="J11" i="12" s="1"/>
  <c r="I9" i="12"/>
  <c r="J9" i="12" s="1"/>
  <c r="I7" i="12"/>
  <c r="J7" i="12" s="1"/>
  <c r="P16" i="11"/>
  <c r="AB15" i="11"/>
  <c r="F4" i="12"/>
  <c r="F86" i="12"/>
  <c r="G86" i="12" s="1"/>
  <c r="F84" i="12"/>
  <c r="G84" i="12" s="1"/>
  <c r="F82" i="12"/>
  <c r="G82" i="12" s="1"/>
  <c r="F80" i="12"/>
  <c r="G80" i="12" s="1"/>
  <c r="F78" i="12"/>
  <c r="G78" i="12" s="1"/>
  <c r="F76" i="12"/>
  <c r="G76" i="12" s="1"/>
  <c r="F74" i="12"/>
  <c r="G74" i="12" s="1"/>
  <c r="F72" i="12"/>
  <c r="G72" i="12" s="1"/>
  <c r="F70" i="12"/>
  <c r="G70" i="12" s="1"/>
  <c r="F68" i="12"/>
  <c r="G68" i="12" s="1"/>
  <c r="F66" i="12"/>
  <c r="G66" i="12" s="1"/>
  <c r="F64" i="12"/>
  <c r="G64" i="12" s="1"/>
  <c r="F62" i="12"/>
  <c r="G62" i="12" s="1"/>
  <c r="F60" i="12"/>
  <c r="G60" i="12" s="1"/>
  <c r="F58" i="12"/>
  <c r="G58" i="12" s="1"/>
  <c r="F56" i="12"/>
  <c r="G56" i="12" s="1"/>
  <c r="F54" i="12"/>
  <c r="G54" i="12" s="1"/>
  <c r="F52" i="12"/>
  <c r="G52" i="12" s="1"/>
  <c r="F50" i="12"/>
  <c r="G50" i="12" s="1"/>
  <c r="F48" i="12"/>
  <c r="G48" i="12" s="1"/>
  <c r="F46" i="12"/>
  <c r="G46" i="12" s="1"/>
  <c r="F44" i="12"/>
  <c r="G44" i="12" s="1"/>
  <c r="F42" i="12"/>
  <c r="G42" i="12" s="1"/>
  <c r="F40" i="12"/>
  <c r="G40" i="12" s="1"/>
  <c r="F38" i="12"/>
  <c r="G38" i="12" s="1"/>
  <c r="F36" i="12"/>
  <c r="G36" i="12" s="1"/>
  <c r="F34" i="12"/>
  <c r="G34" i="12" s="1"/>
  <c r="F32" i="12"/>
  <c r="G32" i="12" s="1"/>
  <c r="F30" i="12"/>
  <c r="G30" i="12" s="1"/>
  <c r="F28" i="12"/>
  <c r="G28" i="12" s="1"/>
  <c r="F26" i="12"/>
  <c r="G26" i="12" s="1"/>
  <c r="F24" i="12"/>
  <c r="G24" i="12" s="1"/>
  <c r="F22" i="12"/>
  <c r="G22" i="12" s="1"/>
  <c r="F20" i="12"/>
  <c r="G20" i="12" s="1"/>
  <c r="F18" i="12"/>
  <c r="G18" i="12" s="1"/>
  <c r="F16" i="12"/>
  <c r="G16" i="12" s="1"/>
  <c r="F14" i="12"/>
  <c r="G14" i="12" s="1"/>
  <c r="F12" i="12"/>
  <c r="G12" i="12" s="1"/>
  <c r="F10" i="12"/>
  <c r="G10" i="12" s="1"/>
  <c r="F8" i="12"/>
  <c r="G8" i="12" s="1"/>
  <c r="F6" i="12"/>
  <c r="G6" i="12" s="1"/>
  <c r="F87" i="12"/>
  <c r="G87" i="12" s="1"/>
  <c r="F85" i="12"/>
  <c r="G85" i="12" s="1"/>
  <c r="F83" i="12"/>
  <c r="G83" i="12" s="1"/>
  <c r="F81" i="12"/>
  <c r="G81" i="12" s="1"/>
  <c r="F79" i="12"/>
  <c r="G79" i="12" s="1"/>
  <c r="F77" i="12"/>
  <c r="G77" i="12" s="1"/>
  <c r="F75" i="12"/>
  <c r="G75" i="12" s="1"/>
  <c r="F73" i="12"/>
  <c r="G73" i="12" s="1"/>
  <c r="F71" i="12"/>
  <c r="G71" i="12" s="1"/>
  <c r="F69" i="12"/>
  <c r="G69" i="12" s="1"/>
  <c r="F67" i="12"/>
  <c r="G67" i="12" s="1"/>
  <c r="F65" i="12"/>
  <c r="G65" i="12" s="1"/>
  <c r="F63" i="12"/>
  <c r="G63" i="12" s="1"/>
  <c r="F61" i="12"/>
  <c r="G61" i="12" s="1"/>
  <c r="F59" i="12"/>
  <c r="G59" i="12" s="1"/>
  <c r="F57" i="12"/>
  <c r="G57" i="12" s="1"/>
  <c r="F55" i="12"/>
  <c r="G55" i="12" s="1"/>
  <c r="F53" i="12"/>
  <c r="G53" i="12" s="1"/>
  <c r="F51" i="12"/>
  <c r="G51" i="12" s="1"/>
  <c r="F49" i="12"/>
  <c r="G49" i="12" s="1"/>
  <c r="F47" i="12"/>
  <c r="G47" i="12" s="1"/>
  <c r="F45" i="12"/>
  <c r="G45" i="12" s="1"/>
  <c r="F43" i="12"/>
  <c r="G43" i="12" s="1"/>
  <c r="F41" i="12"/>
  <c r="G41" i="12" s="1"/>
  <c r="F39" i="12"/>
  <c r="G39" i="12" s="1"/>
  <c r="F37" i="12"/>
  <c r="G37" i="12" s="1"/>
  <c r="F35" i="12"/>
  <c r="G35" i="12" s="1"/>
  <c r="F33" i="12"/>
  <c r="G33" i="12" s="1"/>
  <c r="F31" i="12"/>
  <c r="G31" i="12" s="1"/>
  <c r="F29" i="12"/>
  <c r="G29" i="12" s="1"/>
  <c r="F27" i="12"/>
  <c r="G27" i="12" s="1"/>
  <c r="F25" i="12"/>
  <c r="G25" i="12" s="1"/>
  <c r="F23" i="12"/>
  <c r="G23" i="12" s="1"/>
  <c r="F21" i="12"/>
  <c r="G21" i="12" s="1"/>
  <c r="F19" i="12"/>
  <c r="G19" i="12" s="1"/>
  <c r="F17" i="12"/>
  <c r="G17" i="12" s="1"/>
  <c r="F15" i="12"/>
  <c r="G15" i="12" s="1"/>
  <c r="F13" i="12"/>
  <c r="G13" i="12" s="1"/>
  <c r="F11" i="12"/>
  <c r="G11" i="12" s="1"/>
  <c r="F9" i="12"/>
  <c r="G9" i="12" s="1"/>
  <c r="F7" i="12"/>
  <c r="G7" i="12" s="1"/>
  <c r="G4" i="12"/>
  <c r="O85" i="7"/>
  <c r="O83" i="7"/>
  <c r="P86" i="7"/>
  <c r="Q85" i="7"/>
  <c r="P84" i="7"/>
  <c r="P83" i="7"/>
  <c r="P82" i="7"/>
  <c r="O86" i="7"/>
  <c r="O84" i="7"/>
  <c r="O82" i="7"/>
  <c r="Z22" i="11"/>
  <c r="AA22" i="11" s="1"/>
  <c r="V20" i="11"/>
  <c r="W20" i="11" s="1"/>
  <c r="V24" i="11"/>
  <c r="W24" i="11" s="1"/>
  <c r="V18" i="11"/>
  <c r="W18" i="11" s="1"/>
  <c r="V16" i="11"/>
  <c r="W16" i="11" s="1"/>
  <c r="V14" i="11"/>
  <c r="W14" i="11" s="1"/>
  <c r="V8" i="11"/>
  <c r="W8" i="11" s="1"/>
  <c r="V10" i="11"/>
  <c r="W10" i="11" s="1"/>
  <c r="V7" i="11"/>
  <c r="W7" i="11" s="1"/>
  <c r="V9" i="11"/>
  <c r="W9" i="11" s="1"/>
  <c r="V11" i="11"/>
  <c r="W11" i="11" s="1"/>
  <c r="V13" i="11"/>
  <c r="W13" i="11" s="1"/>
  <c r="V15" i="11"/>
  <c r="W15" i="11" s="1"/>
  <c r="V17" i="11"/>
  <c r="W17" i="11" s="1"/>
  <c r="V19" i="11"/>
  <c r="W19" i="11" s="1"/>
  <c r="V21" i="11"/>
  <c r="W21" i="11" s="1"/>
  <c r="V23" i="11"/>
  <c r="W23" i="11" s="1"/>
  <c r="V25" i="11"/>
  <c r="W25" i="11" s="1"/>
  <c r="H28" i="9"/>
  <c r="I4" i="9"/>
  <c r="K4" i="9"/>
  <c r="J5" i="9"/>
  <c r="J6" i="9"/>
  <c r="J7" i="9"/>
  <c r="J8" i="9"/>
  <c r="J9" i="9"/>
  <c r="J10" i="9"/>
  <c r="J11" i="9"/>
  <c r="J12" i="9"/>
  <c r="J13" i="9"/>
  <c r="J14" i="9"/>
  <c r="J15" i="9"/>
  <c r="J16" i="9"/>
  <c r="J17" i="9"/>
  <c r="J18" i="9"/>
  <c r="J19" i="9"/>
  <c r="J20" i="9"/>
  <c r="J21" i="9"/>
  <c r="J22" i="9"/>
  <c r="J23" i="9"/>
  <c r="J24" i="9"/>
  <c r="J25" i="9"/>
  <c r="J26" i="9"/>
  <c r="J27" i="9"/>
  <c r="J4" i="9"/>
  <c r="J95" i="16" l="1"/>
  <c r="J95" i="13"/>
  <c r="E92" i="13"/>
  <c r="C92" i="13" s="1"/>
  <c r="K5" i="9"/>
  <c r="I5" i="9"/>
  <c r="B10" i="17"/>
  <c r="G9" i="17"/>
  <c r="H9" i="17" s="1"/>
  <c r="F10" i="17"/>
  <c r="K9" i="17"/>
  <c r="B10" i="16"/>
  <c r="G9" i="16"/>
  <c r="H9" i="16" s="1"/>
  <c r="K9" i="16"/>
  <c r="F10" i="16"/>
  <c r="B12" i="13"/>
  <c r="G12" i="13" s="1"/>
  <c r="H12" i="13" s="1"/>
  <c r="F10" i="13"/>
  <c r="K9" i="13"/>
  <c r="P20" i="11"/>
  <c r="AB19" i="11"/>
  <c r="G89" i="12"/>
  <c r="G91" i="12" s="1"/>
  <c r="Q19" i="11" s="1"/>
  <c r="P6" i="11"/>
  <c r="R7" i="11" s="1"/>
  <c r="T7" i="11" s="1"/>
  <c r="AB5" i="11"/>
  <c r="I89" i="12"/>
  <c r="J4" i="12"/>
  <c r="J89" i="12" s="1"/>
  <c r="J91" i="12" s="1"/>
  <c r="Q5" i="11" s="1"/>
  <c r="AB16" i="11"/>
  <c r="P17" i="11"/>
  <c r="F89" i="12"/>
  <c r="I27" i="9"/>
  <c r="K27" i="9"/>
  <c r="K25" i="9"/>
  <c r="K23" i="9"/>
  <c r="K21" i="9"/>
  <c r="K19" i="9"/>
  <c r="K17" i="9"/>
  <c r="K15" i="9"/>
  <c r="K13" i="9"/>
  <c r="K11" i="9"/>
  <c r="K9" i="9"/>
  <c r="K7" i="9"/>
  <c r="I25" i="9"/>
  <c r="I23" i="9"/>
  <c r="I21" i="9"/>
  <c r="I19" i="9"/>
  <c r="I17" i="9"/>
  <c r="I15" i="9"/>
  <c r="I13" i="9"/>
  <c r="I11" i="9"/>
  <c r="I9" i="9"/>
  <c r="I7" i="9"/>
  <c r="K26" i="9"/>
  <c r="K24" i="9"/>
  <c r="K22" i="9"/>
  <c r="K20" i="9"/>
  <c r="K18" i="9"/>
  <c r="K16" i="9"/>
  <c r="K14" i="9"/>
  <c r="K12" i="9"/>
  <c r="K10" i="9"/>
  <c r="K8" i="9"/>
  <c r="K6" i="9"/>
  <c r="I26" i="9"/>
  <c r="I24" i="9"/>
  <c r="I22" i="9"/>
  <c r="I20" i="9"/>
  <c r="I18" i="9"/>
  <c r="I16" i="9"/>
  <c r="I14" i="9"/>
  <c r="I12" i="9"/>
  <c r="I10" i="9"/>
  <c r="I8" i="9"/>
  <c r="I28" i="9" s="1"/>
  <c r="I6" i="9"/>
  <c r="F11" i="17" l="1"/>
  <c r="K10" i="17"/>
  <c r="B11" i="17"/>
  <c r="G10" i="17"/>
  <c r="H10" i="17" s="1"/>
  <c r="G10" i="16"/>
  <c r="H10" i="16" s="1"/>
  <c r="B11" i="16"/>
  <c r="F11" i="16"/>
  <c r="K10" i="16"/>
  <c r="B13" i="13"/>
  <c r="G13" i="13" s="1"/>
  <c r="H13" i="13" s="1"/>
  <c r="F11" i="13"/>
  <c r="K10" i="13"/>
  <c r="Q6" i="11"/>
  <c r="AC5" i="11"/>
  <c r="AF5" i="11" s="1"/>
  <c r="Q20" i="11"/>
  <c r="AC19" i="11"/>
  <c r="AD19" i="11" s="1"/>
  <c r="P21" i="11"/>
  <c r="AB20" i="11"/>
  <c r="P7" i="11"/>
  <c r="R8" i="11" s="1"/>
  <c r="T8" i="11" s="1"/>
  <c r="AB6" i="11"/>
  <c r="P18" i="11"/>
  <c r="AB18" i="11" s="1"/>
  <c r="AB17" i="11"/>
  <c r="H75" i="7"/>
  <c r="I75" i="7"/>
  <c r="H63" i="7"/>
  <c r="I63" i="7"/>
  <c r="H51" i="7"/>
  <c r="I51" i="7"/>
  <c r="H39" i="7"/>
  <c r="I39" i="7"/>
  <c r="H27" i="7"/>
  <c r="I27" i="7"/>
  <c r="H15" i="7"/>
  <c r="I15" i="7"/>
  <c r="G75" i="7"/>
  <c r="G63" i="7"/>
  <c r="G51" i="7"/>
  <c r="G39" i="7"/>
  <c r="G27" i="7"/>
  <c r="G15" i="7"/>
  <c r="AE5" i="11" l="1"/>
  <c r="AH5" i="11"/>
  <c r="F12" i="17"/>
  <c r="K11" i="17"/>
  <c r="G11" i="17"/>
  <c r="H11" i="17" s="1"/>
  <c r="B12" i="17"/>
  <c r="B12" i="16"/>
  <c r="G11" i="16"/>
  <c r="H11" i="16" s="1"/>
  <c r="F12" i="16"/>
  <c r="K11" i="16"/>
  <c r="B14" i="13"/>
  <c r="G14" i="13" s="1"/>
  <c r="H14" i="13" s="1"/>
  <c r="F12" i="13"/>
  <c r="K12" i="13" s="1"/>
  <c r="K11" i="13"/>
  <c r="P8" i="11"/>
  <c r="R9" i="11" s="1"/>
  <c r="T9" i="11" s="1"/>
  <c r="AB7" i="11"/>
  <c r="P22" i="11"/>
  <c r="AB21" i="11"/>
  <c r="Q21" i="11"/>
  <c r="AC20" i="11"/>
  <c r="AD20" i="11" s="1"/>
  <c r="Q7" i="11"/>
  <c r="AC6" i="11"/>
  <c r="AD6" i="11" s="1"/>
  <c r="AE19" i="11"/>
  <c r="AF19" i="11"/>
  <c r="AH19" i="11" s="1"/>
  <c r="D88" i="7"/>
  <c r="E88" i="7"/>
  <c r="C88" i="7"/>
  <c r="P5" i="7"/>
  <c r="Q7" i="7"/>
  <c r="P8" i="7"/>
  <c r="O9" i="7"/>
  <c r="P11" i="7"/>
  <c r="Q13" i="7"/>
  <c r="Q15" i="7"/>
  <c r="Q16" i="7"/>
  <c r="O17" i="7"/>
  <c r="P19" i="7"/>
  <c r="P21" i="7"/>
  <c r="Q23" i="7"/>
  <c r="P24" i="7"/>
  <c r="O25" i="7"/>
  <c r="P27" i="7"/>
  <c r="Q29" i="7"/>
  <c r="Q31" i="7"/>
  <c r="P32" i="7"/>
  <c r="O33" i="7"/>
  <c r="P35" i="7"/>
  <c r="P37" i="7"/>
  <c r="Q39" i="7"/>
  <c r="O41" i="7"/>
  <c r="P43" i="7"/>
  <c r="Q45" i="7"/>
  <c r="Q47" i="7"/>
  <c r="P48" i="7"/>
  <c r="O49" i="7"/>
  <c r="P51" i="7"/>
  <c r="P53" i="7"/>
  <c r="Q55" i="7"/>
  <c r="P56" i="7"/>
  <c r="O57" i="7"/>
  <c r="P59" i="7"/>
  <c r="Q61" i="7"/>
  <c r="Q63" i="7"/>
  <c r="Q64" i="7"/>
  <c r="O65" i="7"/>
  <c r="O67" i="7"/>
  <c r="P69" i="7"/>
  <c r="Q70" i="7"/>
  <c r="Q71" i="7"/>
  <c r="P72" i="7"/>
  <c r="O73" i="7"/>
  <c r="P75" i="7"/>
  <c r="Q77" i="7"/>
  <c r="Q78" i="7"/>
  <c r="Q79" i="7"/>
  <c r="P80" i="7"/>
  <c r="O81" i="7"/>
  <c r="R87" i="7" l="1"/>
  <c r="R92" i="7"/>
  <c r="S87" i="7"/>
  <c r="S92" i="7"/>
  <c r="T87" i="7"/>
  <c r="T92" i="7"/>
  <c r="B13" i="17"/>
  <c r="G12" i="17"/>
  <c r="H12" i="17" s="1"/>
  <c r="F13" i="17"/>
  <c r="K12" i="17"/>
  <c r="F13" i="16"/>
  <c r="K12" i="16"/>
  <c r="G12" i="16"/>
  <c r="H12" i="16" s="1"/>
  <c r="B13" i="16"/>
  <c r="B15" i="13"/>
  <c r="F13" i="13"/>
  <c r="AF6" i="11"/>
  <c r="AH6" i="11" s="1"/>
  <c r="AE6" i="11"/>
  <c r="AF20" i="11"/>
  <c r="AH20" i="11" s="1"/>
  <c r="AE20" i="11"/>
  <c r="P9" i="11"/>
  <c r="R10" i="11" s="1"/>
  <c r="T10" i="11" s="1"/>
  <c r="AB8" i="11"/>
  <c r="Q8" i="11"/>
  <c r="AC7" i="11"/>
  <c r="AD7" i="11" s="1"/>
  <c r="Q22" i="11"/>
  <c r="AC21" i="11"/>
  <c r="AD21" i="11" s="1"/>
  <c r="P23" i="11"/>
  <c r="AB22" i="11"/>
  <c r="F88" i="7"/>
  <c r="O87" i="7" s="1"/>
  <c r="P61" i="7"/>
  <c r="P29" i="7"/>
  <c r="Q75" i="7"/>
  <c r="Q59" i="7"/>
  <c r="Q43" i="7"/>
  <c r="Q27" i="7"/>
  <c r="Q11" i="7"/>
  <c r="P45" i="7"/>
  <c r="P13" i="7"/>
  <c r="Q69" i="7"/>
  <c r="Q53" i="7"/>
  <c r="Q37" i="7"/>
  <c r="Q21" i="7"/>
  <c r="Q5" i="7"/>
  <c r="P77" i="7"/>
  <c r="Q76" i="7"/>
  <c r="P76" i="7"/>
  <c r="Q68" i="7"/>
  <c r="P68" i="7"/>
  <c r="O68" i="7"/>
  <c r="Q60" i="7"/>
  <c r="P60" i="7"/>
  <c r="O60" i="7"/>
  <c r="Q52" i="7"/>
  <c r="O52" i="7"/>
  <c r="P52" i="7"/>
  <c r="P50" i="7"/>
  <c r="O50" i="7"/>
  <c r="Q50" i="7"/>
  <c r="Q44" i="7"/>
  <c r="P44" i="7"/>
  <c r="O44" i="7"/>
  <c r="Q38" i="7"/>
  <c r="O38" i="7"/>
  <c r="P34" i="7"/>
  <c r="O34" i="7"/>
  <c r="Q34" i="7"/>
  <c r="Q30" i="7"/>
  <c r="O30" i="7"/>
  <c r="Q28" i="7"/>
  <c r="P28" i="7"/>
  <c r="O28" i="7"/>
  <c r="Q26" i="7"/>
  <c r="O26" i="7"/>
  <c r="P26" i="7"/>
  <c r="Q22" i="7"/>
  <c r="O22" i="7"/>
  <c r="Q20" i="7"/>
  <c r="P20" i="7"/>
  <c r="O20" i="7"/>
  <c r="P18" i="7"/>
  <c r="O18" i="7"/>
  <c r="Q18" i="7"/>
  <c r="Q14" i="7"/>
  <c r="O14" i="7"/>
  <c r="Q12" i="7"/>
  <c r="P12" i="7"/>
  <c r="O12" i="7"/>
  <c r="Q10" i="7"/>
  <c r="O10" i="7"/>
  <c r="P10" i="7"/>
  <c r="Q6" i="7"/>
  <c r="O6" i="7"/>
  <c r="O78" i="7"/>
  <c r="O70" i="7"/>
  <c r="P4" i="7"/>
  <c r="O4" i="7"/>
  <c r="Q4" i="7"/>
  <c r="Q74" i="7"/>
  <c r="O74" i="7"/>
  <c r="P74" i="7"/>
  <c r="P66" i="7"/>
  <c r="O66" i="7"/>
  <c r="Q66" i="7"/>
  <c r="Q62" i="7"/>
  <c r="O62" i="7"/>
  <c r="Q58" i="7"/>
  <c r="O58" i="7"/>
  <c r="P58" i="7"/>
  <c r="Q54" i="7"/>
  <c r="O54" i="7"/>
  <c r="Q46" i="7"/>
  <c r="O46" i="7"/>
  <c r="Q42" i="7"/>
  <c r="O42" i="7"/>
  <c r="P42" i="7"/>
  <c r="Q36" i="7"/>
  <c r="P36" i="7"/>
  <c r="O36" i="7"/>
  <c r="O76" i="7"/>
  <c r="O77" i="7"/>
  <c r="O69" i="7"/>
  <c r="O61" i="7"/>
  <c r="O53" i="7"/>
  <c r="O45" i="7"/>
  <c r="O37" i="7"/>
  <c r="O29" i="7"/>
  <c r="O21" i="7"/>
  <c r="O13" i="7"/>
  <c r="O5" i="7"/>
  <c r="Q67" i="7"/>
  <c r="Q51" i="7"/>
  <c r="Q35" i="7"/>
  <c r="Q19" i="7"/>
  <c r="J51" i="7"/>
  <c r="O80" i="7"/>
  <c r="O72" i="7"/>
  <c r="O64" i="7"/>
  <c r="O56" i="7"/>
  <c r="O48" i="7"/>
  <c r="O40" i="7"/>
  <c r="O32" i="7"/>
  <c r="O24" i="7"/>
  <c r="O16" i="7"/>
  <c r="O8" i="7"/>
  <c r="P79" i="7"/>
  <c r="P71" i="7"/>
  <c r="P63" i="7"/>
  <c r="P55" i="7"/>
  <c r="P47" i="7"/>
  <c r="P39" i="7"/>
  <c r="P31" i="7"/>
  <c r="P23" i="7"/>
  <c r="P15" i="7"/>
  <c r="P7" i="7"/>
  <c r="J15" i="7"/>
  <c r="O79" i="7"/>
  <c r="O71" i="7"/>
  <c r="O63" i="7"/>
  <c r="O55" i="7"/>
  <c r="O47" i="7"/>
  <c r="O39" i="7"/>
  <c r="O31" i="7"/>
  <c r="O23" i="7"/>
  <c r="O15" i="7"/>
  <c r="O7" i="7"/>
  <c r="P78" i="7"/>
  <c r="P70" i="7"/>
  <c r="P62" i="7"/>
  <c r="P54" i="7"/>
  <c r="P46" i="7"/>
  <c r="P38" i="7"/>
  <c r="P30" i="7"/>
  <c r="P22" i="7"/>
  <c r="P14" i="7"/>
  <c r="P6" i="7"/>
  <c r="P67" i="7"/>
  <c r="Q81" i="7"/>
  <c r="O75" i="7"/>
  <c r="O59" i="7"/>
  <c r="O51" i="7"/>
  <c r="O43" i="7"/>
  <c r="O35" i="7"/>
  <c r="O27" i="7"/>
  <c r="O19" i="7"/>
  <c r="O11" i="7"/>
  <c r="Q80" i="7"/>
  <c r="Q72" i="7"/>
  <c r="Q56" i="7"/>
  <c r="Q48" i="7"/>
  <c r="Q40" i="7"/>
  <c r="Q32" i="7"/>
  <c r="Q24" i="7"/>
  <c r="Q8" i="7"/>
  <c r="J75" i="7"/>
  <c r="Q65" i="7"/>
  <c r="Q49" i="7"/>
  <c r="Q33" i="7"/>
  <c r="Q17" i="7"/>
  <c r="P73" i="7"/>
  <c r="P65" i="7"/>
  <c r="P57" i="7"/>
  <c r="P49" i="7"/>
  <c r="P41" i="7"/>
  <c r="P33" i="7"/>
  <c r="P25" i="7"/>
  <c r="P17" i="7"/>
  <c r="P9" i="7"/>
  <c r="J27" i="7"/>
  <c r="Q73" i="7"/>
  <c r="Q57" i="7"/>
  <c r="Q41" i="7"/>
  <c r="Q25" i="7"/>
  <c r="Q9" i="7"/>
  <c r="P81" i="7"/>
  <c r="J63" i="7"/>
  <c r="J39" i="7"/>
  <c r="P64" i="7"/>
  <c r="P40" i="7"/>
  <c r="P16" i="7"/>
  <c r="Y15" i="7"/>
  <c r="N36" i="1"/>
  <c r="N35" i="1"/>
  <c r="N34" i="1"/>
  <c r="N33" i="1"/>
  <c r="N37" i="1" s="1"/>
  <c r="O35" i="1" s="1"/>
  <c r="B16" i="13" l="1"/>
  <c r="G15" i="13"/>
  <c r="H15" i="13" s="1"/>
  <c r="U92" i="7"/>
  <c r="U87" i="7"/>
  <c r="W87" i="7"/>
  <c r="V87" i="7"/>
  <c r="X87" i="7"/>
  <c r="C92" i="7"/>
  <c r="F14" i="17"/>
  <c r="K13" i="17"/>
  <c r="G13" i="17"/>
  <c r="H13" i="17" s="1"/>
  <c r="B14" i="17"/>
  <c r="B14" i="16"/>
  <c r="G13" i="16"/>
  <c r="H13" i="16" s="1"/>
  <c r="F14" i="16"/>
  <c r="K13" i="16"/>
  <c r="F14" i="13"/>
  <c r="K13" i="13"/>
  <c r="AE21" i="11"/>
  <c r="AF21" i="11"/>
  <c r="AH21" i="11" s="1"/>
  <c r="AE7" i="11"/>
  <c r="AF7" i="11"/>
  <c r="AH7" i="11" s="1"/>
  <c r="AB23" i="11"/>
  <c r="P24" i="11"/>
  <c r="Q23" i="11"/>
  <c r="AC22" i="11"/>
  <c r="AD22" i="11" s="1"/>
  <c r="Q9" i="11"/>
  <c r="AC8" i="11"/>
  <c r="AD8" i="11" s="1"/>
  <c r="P10" i="11"/>
  <c r="R11" i="11" s="1"/>
  <c r="T11" i="11" s="1"/>
  <c r="T26" i="11" s="1"/>
  <c r="AB9" i="11"/>
  <c r="P87" i="7"/>
  <c r="Q87" i="7"/>
  <c r="D92" i="7"/>
  <c r="E92" i="7"/>
  <c r="O34" i="1"/>
  <c r="O36" i="1"/>
  <c r="O33" i="1"/>
  <c r="O37" i="1" s="1"/>
  <c r="F15" i="5"/>
  <c r="C15" i="5"/>
  <c r="F21" i="5"/>
  <c r="E21" i="5"/>
  <c r="D21" i="5"/>
  <c r="C21" i="5"/>
  <c r="F20" i="5"/>
  <c r="E20" i="5"/>
  <c r="D20" i="5"/>
  <c r="C20" i="5"/>
  <c r="F19" i="5"/>
  <c r="E19" i="5"/>
  <c r="D19" i="5"/>
  <c r="C19" i="5"/>
  <c r="F18" i="5"/>
  <c r="E18" i="5"/>
  <c r="D18" i="5"/>
  <c r="C18" i="5"/>
  <c r="F17" i="5"/>
  <c r="E17" i="5"/>
  <c r="D17" i="5"/>
  <c r="C17" i="5"/>
  <c r="F16" i="5"/>
  <c r="E16" i="5"/>
  <c r="D16" i="5"/>
  <c r="C16" i="5"/>
  <c r="E15" i="5"/>
  <c r="D15" i="5"/>
  <c r="H16" i="4"/>
  <c r="H17" i="4"/>
  <c r="H18" i="4"/>
  <c r="H19" i="4"/>
  <c r="H20" i="4"/>
  <c r="H21" i="4"/>
  <c r="G16" i="4"/>
  <c r="G17" i="4"/>
  <c r="G18" i="4"/>
  <c r="G19" i="4"/>
  <c r="G20" i="4"/>
  <c r="G21" i="4"/>
  <c r="F16" i="4"/>
  <c r="F17" i="4"/>
  <c r="F18" i="4"/>
  <c r="F19" i="4"/>
  <c r="F20" i="4"/>
  <c r="F21" i="4"/>
  <c r="E16" i="4"/>
  <c r="E17" i="4"/>
  <c r="E18" i="4"/>
  <c r="E19" i="4"/>
  <c r="E20" i="4"/>
  <c r="E21" i="4"/>
  <c r="H15" i="4"/>
  <c r="G15" i="4"/>
  <c r="F15" i="4"/>
  <c r="E15" i="4"/>
  <c r="K14" i="13" l="1"/>
  <c r="F15" i="13"/>
  <c r="B17" i="13"/>
  <c r="G16" i="13"/>
  <c r="H16" i="13" s="1"/>
  <c r="F15" i="17"/>
  <c r="K14" i="17"/>
  <c r="B15" i="17"/>
  <c r="G14" i="17"/>
  <c r="H14" i="17" s="1"/>
  <c r="F15" i="16"/>
  <c r="K14" i="16"/>
  <c r="G14" i="16"/>
  <c r="H14" i="16" s="1"/>
  <c r="B15" i="16"/>
  <c r="AE22" i="11"/>
  <c r="AF22" i="11"/>
  <c r="AH22" i="11" s="1"/>
  <c r="AB24" i="11"/>
  <c r="P25" i="11"/>
  <c r="AB25" i="11" s="1"/>
  <c r="P11" i="11"/>
  <c r="AB11" i="11" s="1"/>
  <c r="AB10" i="11"/>
  <c r="Q10" i="11"/>
  <c r="AC9" i="11"/>
  <c r="AD9" i="11" s="1"/>
  <c r="Q24" i="11"/>
  <c r="AC23" i="11"/>
  <c r="AD23" i="11" s="1"/>
  <c r="AE8" i="11"/>
  <c r="AF8" i="11"/>
  <c r="AH8" i="11" s="1"/>
  <c r="C561" i="3"/>
  <c r="B561" i="3"/>
  <c r="C560" i="3"/>
  <c r="B560" i="3"/>
  <c r="C559" i="3"/>
  <c r="B559" i="3"/>
  <c r="C558" i="3"/>
  <c r="B558" i="3"/>
  <c r="C557" i="3"/>
  <c r="B557" i="3"/>
  <c r="C556" i="3"/>
  <c r="B556" i="3"/>
  <c r="C555" i="3"/>
  <c r="B555" i="3"/>
  <c r="C554" i="3"/>
  <c r="B554"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C155" i="3"/>
  <c r="C156" i="3"/>
  <c r="C157" i="3"/>
  <c r="C158" i="3"/>
  <c r="C159" i="3"/>
  <c r="C160" i="3"/>
  <c r="C161" i="3"/>
  <c r="C162" i="3"/>
  <c r="C163" i="3"/>
  <c r="C164" i="3"/>
  <c r="C165" i="3"/>
  <c r="C166" i="3"/>
  <c r="C167" i="3"/>
  <c r="C168" i="3"/>
  <c r="C169" i="3"/>
  <c r="C170" i="3"/>
  <c r="C171" i="3"/>
  <c r="C172" i="3"/>
  <c r="C173" i="3"/>
  <c r="C174" i="3"/>
  <c r="C154" i="3"/>
  <c r="C153" i="3"/>
  <c r="C152" i="3"/>
  <c r="C150" i="3"/>
  <c r="C149" i="3"/>
  <c r="D149" i="3"/>
  <c r="E149" i="3"/>
  <c r="F149" i="3"/>
  <c r="F175" i="3" s="1"/>
  <c r="G149" i="3"/>
  <c r="G175" i="3" s="1"/>
  <c r="H149" i="3"/>
  <c r="C151" i="3"/>
  <c r="F16" i="13" l="1"/>
  <c r="K15" i="13"/>
  <c r="G17" i="13"/>
  <c r="H17" i="13" s="1"/>
  <c r="B18" i="13"/>
  <c r="G15" i="17"/>
  <c r="H15" i="17" s="1"/>
  <c r="B16" i="17"/>
  <c r="F16" i="17"/>
  <c r="K15" i="17"/>
  <c r="B16" i="16"/>
  <c r="G15" i="16"/>
  <c r="H15" i="16" s="1"/>
  <c r="F16" i="16"/>
  <c r="K15" i="16"/>
  <c r="AF23" i="11"/>
  <c r="AH23" i="11" s="1"/>
  <c r="AE23" i="11"/>
  <c r="AF9" i="11"/>
  <c r="AH9" i="11" s="1"/>
  <c r="AE9" i="11"/>
  <c r="Q25" i="11"/>
  <c r="AC25" i="11" s="1"/>
  <c r="AD25" i="11" s="1"/>
  <c r="AC24" i="11"/>
  <c r="AD24" i="11" s="1"/>
  <c r="Q11" i="11"/>
  <c r="AC11" i="11" s="1"/>
  <c r="AD11" i="11" s="1"/>
  <c r="AC10" i="11"/>
  <c r="AD10" i="11" s="1"/>
  <c r="E175" i="3"/>
  <c r="D175" i="3"/>
  <c r="C175" i="3"/>
  <c r="I175" i="3"/>
  <c r="H175" i="3"/>
  <c r="D30" i="3"/>
  <c r="F25" i="3"/>
  <c r="F26" i="3"/>
  <c r="F27" i="3"/>
  <c r="F28" i="3"/>
  <c r="F29" i="3"/>
  <c r="F30" i="3"/>
  <c r="E25" i="3"/>
  <c r="E26" i="3"/>
  <c r="E27" i="3"/>
  <c r="E28" i="3"/>
  <c r="E29" i="3"/>
  <c r="E30" i="3"/>
  <c r="D25" i="3"/>
  <c r="D26" i="3"/>
  <c r="D27" i="3"/>
  <c r="D28" i="3"/>
  <c r="D29" i="3"/>
  <c r="C25" i="3"/>
  <c r="C26" i="3"/>
  <c r="C27" i="3"/>
  <c r="C28" i="3"/>
  <c r="C29" i="3"/>
  <c r="C30" i="3"/>
  <c r="F24" i="3"/>
  <c r="E24" i="3"/>
  <c r="D24" i="3"/>
  <c r="C24" i="3"/>
  <c r="F17" i="13" l="1"/>
  <c r="K16" i="13"/>
  <c r="B19" i="13"/>
  <c r="G18" i="13"/>
  <c r="H18" i="13" s="1"/>
  <c r="F17" i="17"/>
  <c r="K16" i="17"/>
  <c r="B17" i="17"/>
  <c r="G16" i="17"/>
  <c r="H16" i="17" s="1"/>
  <c r="F17" i="16"/>
  <c r="K16" i="16"/>
  <c r="G16" i="16"/>
  <c r="H16" i="16" s="1"/>
  <c r="B17" i="16"/>
  <c r="AE10" i="11"/>
  <c r="AF10" i="11"/>
  <c r="AH10" i="11" s="1"/>
  <c r="AE11" i="11"/>
  <c r="AF11" i="11"/>
  <c r="AH11" i="11" s="1"/>
  <c r="AE25" i="11"/>
  <c r="AF25" i="11"/>
  <c r="AH25" i="11" s="1"/>
  <c r="AF24" i="11"/>
  <c r="AH24" i="11" s="1"/>
  <c r="AE24" i="11"/>
  <c r="B20" i="13" l="1"/>
  <c r="G19" i="13"/>
  <c r="H19" i="13" s="1"/>
  <c r="F18" i="13"/>
  <c r="K17" i="13"/>
  <c r="G17" i="17"/>
  <c r="H17" i="17" s="1"/>
  <c r="B18" i="17"/>
  <c r="F18" i="17"/>
  <c r="K17" i="17"/>
  <c r="F18" i="16"/>
  <c r="K17" i="16"/>
  <c r="B18" i="16"/>
  <c r="G17" i="16"/>
  <c r="H17" i="16" s="1"/>
  <c r="D43" i="12"/>
  <c r="D24" i="12"/>
  <c r="D56" i="12"/>
  <c r="D75" i="12"/>
  <c r="D11" i="12"/>
  <c r="D72" i="12"/>
  <c r="D40" i="12"/>
  <c r="D8" i="12"/>
  <c r="D59" i="12"/>
  <c r="D27" i="12"/>
  <c r="D80" i="12"/>
  <c r="D64" i="12"/>
  <c r="D48" i="12"/>
  <c r="D32" i="12"/>
  <c r="D16" i="12"/>
  <c r="D83" i="12"/>
  <c r="D67" i="12"/>
  <c r="D51" i="12"/>
  <c r="D35" i="12"/>
  <c r="D19" i="12"/>
  <c r="D84" i="12"/>
  <c r="D76" i="12"/>
  <c r="D68" i="12"/>
  <c r="D60" i="12"/>
  <c r="D52" i="12"/>
  <c r="D44" i="12"/>
  <c r="D36" i="12"/>
  <c r="D28" i="12"/>
  <c r="D20" i="12"/>
  <c r="D12" i="12"/>
  <c r="D87" i="12"/>
  <c r="D79" i="12"/>
  <c r="D71" i="12"/>
  <c r="D63" i="12"/>
  <c r="D55" i="12"/>
  <c r="D47" i="12"/>
  <c r="D39" i="12"/>
  <c r="D31" i="12"/>
  <c r="D23" i="12"/>
  <c r="D15" i="12"/>
  <c r="D7" i="12"/>
  <c r="D86" i="12"/>
  <c r="D82" i="12"/>
  <c r="D78" i="12"/>
  <c r="D74" i="12"/>
  <c r="D70" i="12"/>
  <c r="D66" i="12"/>
  <c r="D62" i="12"/>
  <c r="D58" i="12"/>
  <c r="D54" i="12"/>
  <c r="D50" i="12"/>
  <c r="D46" i="12"/>
  <c r="D42" i="12"/>
  <c r="D38" i="12"/>
  <c r="D34" i="12"/>
  <c r="D30" i="12"/>
  <c r="D26" i="12"/>
  <c r="D22" i="12"/>
  <c r="D18" i="12"/>
  <c r="D14" i="12"/>
  <c r="D10" i="12"/>
  <c r="D6" i="12"/>
  <c r="D85" i="12"/>
  <c r="D81" i="12"/>
  <c r="D77" i="12"/>
  <c r="D73" i="12"/>
  <c r="D69" i="12"/>
  <c r="D65" i="12"/>
  <c r="D61" i="12"/>
  <c r="D57" i="12"/>
  <c r="D53" i="12"/>
  <c r="D49" i="12"/>
  <c r="D45" i="12"/>
  <c r="D41" i="12"/>
  <c r="D37" i="12"/>
  <c r="D33" i="12"/>
  <c r="D29" i="12"/>
  <c r="D25" i="12"/>
  <c r="D21" i="12"/>
  <c r="D17" i="12"/>
  <c r="D13" i="12"/>
  <c r="D9" i="12"/>
  <c r="C89" i="12"/>
  <c r="D5" i="12"/>
  <c r="F19" i="13" l="1"/>
  <c r="K18" i="13"/>
  <c r="B21" i="13"/>
  <c r="G20" i="13"/>
  <c r="H20" i="13" s="1"/>
  <c r="B19" i="17"/>
  <c r="G18" i="17"/>
  <c r="H18" i="17" s="1"/>
  <c r="F19" i="17"/>
  <c r="K18" i="17"/>
  <c r="G18" i="16"/>
  <c r="H18" i="16" s="1"/>
  <c r="B19" i="16"/>
  <c r="F19" i="16"/>
  <c r="K18" i="16"/>
  <c r="D4" i="12"/>
  <c r="D89" i="12" s="1"/>
  <c r="D91" i="12" s="1"/>
  <c r="Q12" i="11" s="1"/>
  <c r="B22" i="13" l="1"/>
  <c r="G21" i="13"/>
  <c r="H21" i="13" s="1"/>
  <c r="F20" i="13"/>
  <c r="K19" i="13"/>
  <c r="F20" i="17"/>
  <c r="K19" i="17"/>
  <c r="G19" i="17"/>
  <c r="H19" i="17" s="1"/>
  <c r="B20" i="17"/>
  <c r="F20" i="16"/>
  <c r="K19" i="16"/>
  <c r="B20" i="16"/>
  <c r="G19" i="16"/>
  <c r="H19" i="16" s="1"/>
  <c r="Q13" i="11"/>
  <c r="AC12" i="11"/>
  <c r="AD12" i="11" s="1"/>
  <c r="AF12" i="11" s="1"/>
  <c r="F21" i="13" l="1"/>
  <c r="K20" i="13"/>
  <c r="B23" i="13"/>
  <c r="G22" i="13"/>
  <c r="H22" i="13" s="1"/>
  <c r="F21" i="17"/>
  <c r="K20" i="17"/>
  <c r="B21" i="17"/>
  <c r="G20" i="17"/>
  <c r="H20" i="17" s="1"/>
  <c r="G20" i="16"/>
  <c r="H20" i="16" s="1"/>
  <c r="B21" i="16"/>
  <c r="F21" i="16"/>
  <c r="K20" i="16"/>
  <c r="AE12" i="11"/>
  <c r="AH12" i="11"/>
  <c r="Q14" i="11"/>
  <c r="AC13" i="11"/>
  <c r="AD13" i="11" s="1"/>
  <c r="B24" i="13" l="1"/>
  <c r="G23" i="13"/>
  <c r="H23" i="13" s="1"/>
  <c r="F22" i="13"/>
  <c r="K21" i="13"/>
  <c r="G21" i="17"/>
  <c r="H21" i="17" s="1"/>
  <c r="B22" i="17"/>
  <c r="F22" i="17"/>
  <c r="K21" i="17"/>
  <c r="F22" i="16"/>
  <c r="K21" i="16"/>
  <c r="B22" i="16"/>
  <c r="G21" i="16"/>
  <c r="H21" i="16" s="1"/>
  <c r="AE13" i="11"/>
  <c r="AF13" i="11"/>
  <c r="AH13" i="11" s="1"/>
  <c r="Q15" i="11"/>
  <c r="AC14" i="11"/>
  <c r="AD14" i="11" s="1"/>
  <c r="F23" i="13" l="1"/>
  <c r="K22" i="13"/>
  <c r="B25" i="13"/>
  <c r="G24" i="13"/>
  <c r="H24" i="13" s="1"/>
  <c r="F23" i="17"/>
  <c r="K22" i="17"/>
  <c r="B23" i="17"/>
  <c r="G22" i="17"/>
  <c r="H22" i="17" s="1"/>
  <c r="G22" i="16"/>
  <c r="H22" i="16" s="1"/>
  <c r="B23" i="16"/>
  <c r="F23" i="16"/>
  <c r="K22" i="16"/>
  <c r="Q16" i="11"/>
  <c r="AC15" i="11"/>
  <c r="AD15" i="11" s="1"/>
  <c r="AF15" i="11" s="1"/>
  <c r="AF14" i="11"/>
  <c r="AH14" i="11" s="1"/>
  <c r="AE14" i="11"/>
  <c r="B26" i="13" l="1"/>
  <c r="G25" i="13"/>
  <c r="H25" i="13" s="1"/>
  <c r="F24" i="13"/>
  <c r="K23" i="13"/>
  <c r="G23" i="17"/>
  <c r="H23" i="17" s="1"/>
  <c r="B24" i="17"/>
  <c r="F24" i="17"/>
  <c r="K23" i="17"/>
  <c r="F24" i="16"/>
  <c r="K23" i="16"/>
  <c r="B24" i="16"/>
  <c r="G23" i="16"/>
  <c r="H23" i="16" s="1"/>
  <c r="Q17" i="11"/>
  <c r="AC16" i="11"/>
  <c r="AD16" i="11" s="1"/>
  <c r="AE15" i="11"/>
  <c r="AH15" i="11"/>
  <c r="F25" i="13" l="1"/>
  <c r="K24" i="13"/>
  <c r="B27" i="13"/>
  <c r="G26" i="13"/>
  <c r="H26" i="13" s="1"/>
  <c r="F25" i="17"/>
  <c r="K24" i="17"/>
  <c r="B25" i="17"/>
  <c r="G24" i="17"/>
  <c r="H24" i="17" s="1"/>
  <c r="G24" i="16"/>
  <c r="H24" i="16" s="1"/>
  <c r="B25" i="16"/>
  <c r="F25" i="16"/>
  <c r="K24" i="16"/>
  <c r="Q18" i="11"/>
  <c r="AC18" i="11" s="1"/>
  <c r="AD18" i="11" s="1"/>
  <c r="AC17" i="11"/>
  <c r="AD17" i="11" s="1"/>
  <c r="AE16" i="11"/>
  <c r="AF16" i="11"/>
  <c r="AH16" i="11" s="1"/>
  <c r="B28" i="13" l="1"/>
  <c r="G27" i="13"/>
  <c r="H27" i="13" s="1"/>
  <c r="F26" i="13"/>
  <c r="K25" i="13"/>
  <c r="G25" i="17"/>
  <c r="H25" i="17" s="1"/>
  <c r="B26" i="17"/>
  <c r="F26" i="17"/>
  <c r="K25" i="17"/>
  <c r="F26" i="16"/>
  <c r="K25" i="16"/>
  <c r="B26" i="16"/>
  <c r="G25" i="16"/>
  <c r="H25" i="16" s="1"/>
  <c r="AF18" i="11"/>
  <c r="AH18" i="11" s="1"/>
  <c r="AE18" i="11"/>
  <c r="AE17" i="11"/>
  <c r="AF17" i="11"/>
  <c r="AH17" i="11" s="1"/>
  <c r="F27" i="13" l="1"/>
  <c r="K26" i="13"/>
  <c r="B29" i="13"/>
  <c r="G28" i="13"/>
  <c r="H28" i="13" s="1"/>
  <c r="F27" i="17"/>
  <c r="K26" i="17"/>
  <c r="B27" i="17"/>
  <c r="G26" i="17"/>
  <c r="H26" i="17" s="1"/>
  <c r="G26" i="16"/>
  <c r="H26" i="16" s="1"/>
  <c r="B27" i="16"/>
  <c r="F27" i="16"/>
  <c r="K26" i="16"/>
  <c r="AH26" i="11"/>
  <c r="B30" i="13" l="1"/>
  <c r="G29" i="13"/>
  <c r="H29" i="13" s="1"/>
  <c r="F28" i="13"/>
  <c r="K27" i="13"/>
  <c r="G27" i="17"/>
  <c r="H27" i="17" s="1"/>
  <c r="B28" i="17"/>
  <c r="F28" i="17"/>
  <c r="K27" i="17"/>
  <c r="F28" i="16"/>
  <c r="K27" i="16"/>
  <c r="B28" i="16"/>
  <c r="G27" i="16"/>
  <c r="H27" i="16" s="1"/>
  <c r="F29" i="13" l="1"/>
  <c r="K28" i="13"/>
  <c r="B31" i="13"/>
  <c r="G30" i="13"/>
  <c r="H30" i="13" s="1"/>
  <c r="F29" i="17"/>
  <c r="K28" i="17"/>
  <c r="B29" i="17"/>
  <c r="G28" i="17"/>
  <c r="H28" i="17" s="1"/>
  <c r="G28" i="16"/>
  <c r="H28" i="16" s="1"/>
  <c r="B29" i="16"/>
  <c r="F29" i="16"/>
  <c r="K28" i="16"/>
  <c r="B32" i="13" l="1"/>
  <c r="G31" i="13"/>
  <c r="H31" i="13" s="1"/>
  <c r="F30" i="13"/>
  <c r="K29" i="13"/>
  <c r="G29" i="17"/>
  <c r="H29" i="17" s="1"/>
  <c r="B30" i="17"/>
  <c r="F30" i="17"/>
  <c r="K29" i="17"/>
  <c r="F30" i="16"/>
  <c r="K29" i="16"/>
  <c r="B30" i="16"/>
  <c r="G29" i="16"/>
  <c r="H29" i="16" s="1"/>
  <c r="F31" i="13" l="1"/>
  <c r="K30" i="13"/>
  <c r="B33" i="13"/>
  <c r="G32" i="13"/>
  <c r="H32" i="13" s="1"/>
  <c r="F31" i="17"/>
  <c r="K30" i="17"/>
  <c r="B31" i="17"/>
  <c r="G30" i="17"/>
  <c r="H30" i="17" s="1"/>
  <c r="G30" i="16"/>
  <c r="H30" i="16" s="1"/>
  <c r="B31" i="16"/>
  <c r="F31" i="16"/>
  <c r="K30" i="16"/>
  <c r="B34" i="13" l="1"/>
  <c r="G33" i="13"/>
  <c r="H33" i="13" s="1"/>
  <c r="F32" i="13"/>
  <c r="K31" i="13"/>
  <c r="F32" i="17"/>
  <c r="K31" i="17"/>
  <c r="G31" i="17"/>
  <c r="H31" i="17" s="1"/>
  <c r="B32" i="17"/>
  <c r="F32" i="16"/>
  <c r="K31" i="16"/>
  <c r="B32" i="16"/>
  <c r="G31" i="16"/>
  <c r="H31" i="16" s="1"/>
  <c r="F33" i="13" l="1"/>
  <c r="K32" i="13"/>
  <c r="B35" i="13"/>
  <c r="G34" i="13"/>
  <c r="H34" i="13" s="1"/>
  <c r="F33" i="17"/>
  <c r="K32" i="17"/>
  <c r="B33" i="17"/>
  <c r="G32" i="17"/>
  <c r="H32" i="17" s="1"/>
  <c r="G32" i="16"/>
  <c r="H32" i="16" s="1"/>
  <c r="B33" i="16"/>
  <c r="F33" i="16"/>
  <c r="K32" i="16"/>
  <c r="B36" i="13" l="1"/>
  <c r="G35" i="13"/>
  <c r="H35" i="13" s="1"/>
  <c r="F34" i="13"/>
  <c r="K33" i="13"/>
  <c r="G33" i="17"/>
  <c r="H33" i="17" s="1"/>
  <c r="B34" i="17"/>
  <c r="F34" i="17"/>
  <c r="K33" i="17"/>
  <c r="F34" i="16"/>
  <c r="K33" i="16"/>
  <c r="B34" i="16"/>
  <c r="G33" i="16"/>
  <c r="H33" i="16" s="1"/>
  <c r="F35" i="13" l="1"/>
  <c r="K34" i="13"/>
  <c r="B37" i="13"/>
  <c r="G36" i="13"/>
  <c r="H36" i="13" s="1"/>
  <c r="F35" i="17"/>
  <c r="K34" i="17"/>
  <c r="B35" i="17"/>
  <c r="G34" i="17"/>
  <c r="H34" i="17" s="1"/>
  <c r="G34" i="16"/>
  <c r="H34" i="16" s="1"/>
  <c r="B35" i="16"/>
  <c r="F35" i="16"/>
  <c r="K34" i="16"/>
  <c r="B38" i="13" l="1"/>
  <c r="G37" i="13"/>
  <c r="H37" i="13" s="1"/>
  <c r="F36" i="13"/>
  <c r="K35" i="13"/>
  <c r="G35" i="17"/>
  <c r="H35" i="17" s="1"/>
  <c r="B36" i="17"/>
  <c r="F36" i="17"/>
  <c r="K35" i="17"/>
  <c r="F36" i="16"/>
  <c r="K35" i="16"/>
  <c r="B36" i="16"/>
  <c r="G35" i="16"/>
  <c r="H35" i="16" s="1"/>
  <c r="F37" i="13" l="1"/>
  <c r="K36" i="13"/>
  <c r="B39" i="13"/>
  <c r="G38" i="13"/>
  <c r="H38" i="13" s="1"/>
  <c r="F37" i="17"/>
  <c r="K36" i="17"/>
  <c r="B37" i="17"/>
  <c r="G36" i="17"/>
  <c r="H36" i="17" s="1"/>
  <c r="G36" i="16"/>
  <c r="H36" i="16" s="1"/>
  <c r="B37" i="16"/>
  <c r="F37" i="16"/>
  <c r="K36" i="16"/>
  <c r="B40" i="13" l="1"/>
  <c r="G39" i="13"/>
  <c r="H39" i="13" s="1"/>
  <c r="F38" i="13"/>
  <c r="K37" i="13"/>
  <c r="G37" i="17"/>
  <c r="H37" i="17" s="1"/>
  <c r="B38" i="17"/>
  <c r="F38" i="17"/>
  <c r="K37" i="17"/>
  <c r="F38" i="16"/>
  <c r="K37" i="16"/>
  <c r="B38" i="16"/>
  <c r="G37" i="16"/>
  <c r="H37" i="16" s="1"/>
  <c r="F39" i="13" l="1"/>
  <c r="K38" i="13"/>
  <c r="B41" i="13"/>
  <c r="G40" i="13"/>
  <c r="H40" i="13" s="1"/>
  <c r="B39" i="17"/>
  <c r="G38" i="17"/>
  <c r="H38" i="17" s="1"/>
  <c r="F39" i="17"/>
  <c r="K38" i="17"/>
  <c r="G38" i="16"/>
  <c r="H38" i="16" s="1"/>
  <c r="B39" i="16"/>
  <c r="F39" i="16"/>
  <c r="K38" i="16"/>
  <c r="B42" i="13" l="1"/>
  <c r="G41" i="13"/>
  <c r="H41" i="13" s="1"/>
  <c r="F40" i="13"/>
  <c r="K39" i="13"/>
  <c r="F40" i="17"/>
  <c r="K39" i="17"/>
  <c r="G39" i="17"/>
  <c r="H39" i="17" s="1"/>
  <c r="B40" i="17"/>
  <c r="F40" i="16"/>
  <c r="K39" i="16"/>
  <c r="B40" i="16"/>
  <c r="G39" i="16"/>
  <c r="H39" i="16" s="1"/>
  <c r="F41" i="13" l="1"/>
  <c r="K40" i="13"/>
  <c r="B43" i="13"/>
  <c r="G42" i="13"/>
  <c r="H42" i="13" s="1"/>
  <c r="B41" i="17"/>
  <c r="G40" i="17"/>
  <c r="H40" i="17" s="1"/>
  <c r="F41" i="17"/>
  <c r="K40" i="17"/>
  <c r="G40" i="16"/>
  <c r="H40" i="16" s="1"/>
  <c r="B41" i="16"/>
  <c r="F41" i="16"/>
  <c r="K40" i="16"/>
  <c r="B44" i="13" l="1"/>
  <c r="G43" i="13"/>
  <c r="H43" i="13" s="1"/>
  <c r="F42" i="13"/>
  <c r="K41" i="13"/>
  <c r="F42" i="17"/>
  <c r="K41" i="17"/>
  <c r="G41" i="17"/>
  <c r="H41" i="17" s="1"/>
  <c r="B42" i="17"/>
  <c r="F42" i="16"/>
  <c r="K41" i="16"/>
  <c r="B42" i="16"/>
  <c r="G41" i="16"/>
  <c r="H41" i="16" s="1"/>
  <c r="F43" i="13" l="1"/>
  <c r="K42" i="13"/>
  <c r="B45" i="13"/>
  <c r="G44" i="13"/>
  <c r="H44" i="13" s="1"/>
  <c r="B43" i="17"/>
  <c r="G42" i="17"/>
  <c r="H42" i="17" s="1"/>
  <c r="F43" i="17"/>
  <c r="K42" i="17"/>
  <c r="G42" i="16"/>
  <c r="H42" i="16" s="1"/>
  <c r="B43" i="16"/>
  <c r="F43" i="16"/>
  <c r="K42" i="16"/>
  <c r="B46" i="13" l="1"/>
  <c r="G45" i="13"/>
  <c r="H45" i="13" s="1"/>
  <c r="F44" i="13"/>
  <c r="K43" i="13"/>
  <c r="F44" i="17"/>
  <c r="K43" i="17"/>
  <c r="G43" i="17"/>
  <c r="H43" i="17" s="1"/>
  <c r="B44" i="17"/>
  <c r="F44" i="16"/>
  <c r="K43" i="16"/>
  <c r="B44" i="16"/>
  <c r="G43" i="16"/>
  <c r="H43" i="16" s="1"/>
  <c r="F45" i="13" l="1"/>
  <c r="K44" i="13"/>
  <c r="B47" i="13"/>
  <c r="G46" i="13"/>
  <c r="H46" i="13" s="1"/>
  <c r="B45" i="17"/>
  <c r="G44" i="17"/>
  <c r="H44" i="17" s="1"/>
  <c r="F45" i="17"/>
  <c r="K44" i="17"/>
  <c r="G44" i="16"/>
  <c r="H44" i="16" s="1"/>
  <c r="B45" i="16"/>
  <c r="F45" i="16"/>
  <c r="K44" i="16"/>
  <c r="B48" i="13" l="1"/>
  <c r="G47" i="13"/>
  <c r="H47" i="13" s="1"/>
  <c r="F46" i="13"/>
  <c r="K45" i="13"/>
  <c r="F46" i="17"/>
  <c r="K45" i="17"/>
  <c r="G45" i="17"/>
  <c r="H45" i="17" s="1"/>
  <c r="B46" i="17"/>
  <c r="B46" i="16"/>
  <c r="G45" i="16"/>
  <c r="H45" i="16" s="1"/>
  <c r="F46" i="16"/>
  <c r="K45" i="16"/>
  <c r="F47" i="13" l="1"/>
  <c r="K46" i="13"/>
  <c r="B49" i="13"/>
  <c r="G48" i="13"/>
  <c r="H48" i="13" s="1"/>
  <c r="B47" i="17"/>
  <c r="G46" i="17"/>
  <c r="H46" i="17" s="1"/>
  <c r="F47" i="17"/>
  <c r="K46" i="17"/>
  <c r="F47" i="16"/>
  <c r="K46" i="16"/>
  <c r="G46" i="16"/>
  <c r="H46" i="16" s="1"/>
  <c r="B47" i="16"/>
  <c r="B50" i="13" l="1"/>
  <c r="G49" i="13"/>
  <c r="H49" i="13" s="1"/>
  <c r="F48" i="13"/>
  <c r="K47" i="13"/>
  <c r="F48" i="17"/>
  <c r="K47" i="17"/>
  <c r="G47" i="17"/>
  <c r="H47" i="17" s="1"/>
  <c r="B48" i="17"/>
  <c r="F48" i="16"/>
  <c r="K47" i="16"/>
  <c r="B48" i="16"/>
  <c r="G47" i="16"/>
  <c r="H47" i="16" s="1"/>
  <c r="F49" i="13" l="1"/>
  <c r="K48" i="13"/>
  <c r="B51" i="13"/>
  <c r="G50" i="13"/>
  <c r="H50" i="13" s="1"/>
  <c r="B49" i="17"/>
  <c r="G48" i="17"/>
  <c r="H48" i="17" s="1"/>
  <c r="F49" i="17"/>
  <c r="K48" i="17"/>
  <c r="G48" i="16"/>
  <c r="H48" i="16" s="1"/>
  <c r="B49" i="16"/>
  <c r="F49" i="16"/>
  <c r="K48" i="16"/>
  <c r="B52" i="13" l="1"/>
  <c r="G51" i="13"/>
  <c r="H51" i="13" s="1"/>
  <c r="F50" i="13"/>
  <c r="K49" i="13"/>
  <c r="F50" i="17"/>
  <c r="K49" i="17"/>
  <c r="B50" i="17"/>
  <c r="G49" i="17"/>
  <c r="H49" i="17" s="1"/>
  <c r="F50" i="16"/>
  <c r="K49" i="16"/>
  <c r="B50" i="16"/>
  <c r="G49" i="16"/>
  <c r="H49" i="16" s="1"/>
  <c r="F51" i="13" l="1"/>
  <c r="K50" i="13"/>
  <c r="B53" i="13"/>
  <c r="G52" i="13"/>
  <c r="H52" i="13" s="1"/>
  <c r="G50" i="17"/>
  <c r="H50" i="17" s="1"/>
  <c r="B51" i="17"/>
  <c r="F51" i="17"/>
  <c r="K50" i="17"/>
  <c r="G50" i="16"/>
  <c r="H50" i="16" s="1"/>
  <c r="B51" i="16"/>
  <c r="F51" i="16"/>
  <c r="K50" i="16"/>
  <c r="B54" i="13" l="1"/>
  <c r="G53" i="13"/>
  <c r="H53" i="13" s="1"/>
  <c r="F52" i="13"/>
  <c r="K51" i="13"/>
  <c r="B52" i="17"/>
  <c r="G51" i="17"/>
  <c r="H51" i="17" s="1"/>
  <c r="F52" i="17"/>
  <c r="K51" i="17"/>
  <c r="F52" i="16"/>
  <c r="K51" i="16"/>
  <c r="B52" i="16"/>
  <c r="G51" i="16"/>
  <c r="H51" i="16" s="1"/>
  <c r="F53" i="13" l="1"/>
  <c r="K52" i="13"/>
  <c r="B55" i="13"/>
  <c r="G54" i="13"/>
  <c r="H54" i="13" s="1"/>
  <c r="F53" i="17"/>
  <c r="K52" i="17"/>
  <c r="G52" i="17"/>
  <c r="H52" i="17" s="1"/>
  <c r="B53" i="17"/>
  <c r="G52" i="16"/>
  <c r="H52" i="16" s="1"/>
  <c r="B53" i="16"/>
  <c r="F53" i="16"/>
  <c r="K52" i="16"/>
  <c r="B56" i="13" l="1"/>
  <c r="G55" i="13"/>
  <c r="H55" i="13" s="1"/>
  <c r="F54" i="13"/>
  <c r="K53" i="13"/>
  <c r="F54" i="17"/>
  <c r="K53" i="17"/>
  <c r="B54" i="17"/>
  <c r="G53" i="17"/>
  <c r="H53" i="17" s="1"/>
  <c r="F54" i="16"/>
  <c r="K53" i="16"/>
  <c r="B54" i="16"/>
  <c r="G53" i="16"/>
  <c r="H53" i="16" s="1"/>
  <c r="F55" i="13" l="1"/>
  <c r="K54" i="13"/>
  <c r="B57" i="13"/>
  <c r="G56" i="13"/>
  <c r="H56" i="13" s="1"/>
  <c r="G54" i="17"/>
  <c r="H54" i="17" s="1"/>
  <c r="B55" i="17"/>
  <c r="F55" i="17"/>
  <c r="K54" i="17"/>
  <c r="G54" i="16"/>
  <c r="H54" i="16" s="1"/>
  <c r="B55" i="16"/>
  <c r="F55" i="16"/>
  <c r="K54" i="16"/>
  <c r="B58" i="13" l="1"/>
  <c r="G57" i="13"/>
  <c r="H57" i="13" s="1"/>
  <c r="F56" i="13"/>
  <c r="K55" i="13"/>
  <c r="F56" i="17"/>
  <c r="K55" i="17"/>
  <c r="B56" i="17"/>
  <c r="G55" i="17"/>
  <c r="H55" i="17" s="1"/>
  <c r="F56" i="16"/>
  <c r="K55" i="16"/>
  <c r="B56" i="16"/>
  <c r="G55" i="16"/>
  <c r="H55" i="16" s="1"/>
  <c r="F57" i="13" l="1"/>
  <c r="K56" i="13"/>
  <c r="B59" i="13"/>
  <c r="G58" i="13"/>
  <c r="H58" i="13" s="1"/>
  <c r="G56" i="17"/>
  <c r="H56" i="17" s="1"/>
  <c r="B57" i="17"/>
  <c r="F57" i="17"/>
  <c r="K56" i="17"/>
  <c r="G56" i="16"/>
  <c r="H56" i="16" s="1"/>
  <c r="B57" i="16"/>
  <c r="F57" i="16"/>
  <c r="K56" i="16"/>
  <c r="B60" i="13" l="1"/>
  <c r="G59" i="13"/>
  <c r="H59" i="13" s="1"/>
  <c r="F58" i="13"/>
  <c r="K57" i="13"/>
  <c r="F58" i="17"/>
  <c r="K57" i="17"/>
  <c r="B58" i="17"/>
  <c r="G57" i="17"/>
  <c r="H57" i="17" s="1"/>
  <c r="F58" i="16"/>
  <c r="K57" i="16"/>
  <c r="B58" i="16"/>
  <c r="G57" i="16"/>
  <c r="H57" i="16" s="1"/>
  <c r="F59" i="13" l="1"/>
  <c r="K58" i="13"/>
  <c r="B61" i="13"/>
  <c r="G60" i="13"/>
  <c r="H60" i="13" s="1"/>
  <c r="G58" i="17"/>
  <c r="H58" i="17" s="1"/>
  <c r="B59" i="17"/>
  <c r="F59" i="17"/>
  <c r="K58" i="17"/>
  <c r="G58" i="16"/>
  <c r="H58" i="16" s="1"/>
  <c r="B59" i="16"/>
  <c r="F59" i="16"/>
  <c r="K58" i="16"/>
  <c r="B62" i="13" l="1"/>
  <c r="G61" i="13"/>
  <c r="H61" i="13" s="1"/>
  <c r="F60" i="13"/>
  <c r="K59" i="13"/>
  <c r="F60" i="17"/>
  <c r="K59" i="17"/>
  <c r="B60" i="17"/>
  <c r="G59" i="17"/>
  <c r="H59" i="17" s="1"/>
  <c r="F60" i="16"/>
  <c r="K59" i="16"/>
  <c r="B60" i="16"/>
  <c r="G59" i="16"/>
  <c r="H59" i="16" s="1"/>
  <c r="F61" i="13" l="1"/>
  <c r="K60" i="13"/>
  <c r="B63" i="13"/>
  <c r="G62" i="13"/>
  <c r="H62" i="13" s="1"/>
  <c r="G60" i="17"/>
  <c r="H60" i="17" s="1"/>
  <c r="B61" i="17"/>
  <c r="F61" i="17"/>
  <c r="K60" i="17"/>
  <c r="B61" i="16"/>
  <c r="G60" i="16"/>
  <c r="H60" i="16" s="1"/>
  <c r="F61" i="16"/>
  <c r="K60" i="16"/>
  <c r="B64" i="13" l="1"/>
  <c r="G63" i="13"/>
  <c r="H63" i="13" s="1"/>
  <c r="F62" i="13"/>
  <c r="K61" i="13"/>
  <c r="F62" i="17"/>
  <c r="K61" i="17"/>
  <c r="B62" i="17"/>
  <c r="G61" i="17"/>
  <c r="H61" i="17" s="1"/>
  <c r="F62" i="16"/>
  <c r="K61" i="16"/>
  <c r="G61" i="16"/>
  <c r="H61" i="16" s="1"/>
  <c r="B62" i="16"/>
  <c r="F63" i="13" l="1"/>
  <c r="K62" i="13"/>
  <c r="B65" i="13"/>
  <c r="G64" i="13"/>
  <c r="H64" i="13" s="1"/>
  <c r="G62" i="17"/>
  <c r="H62" i="17" s="1"/>
  <c r="B63" i="17"/>
  <c r="F63" i="17"/>
  <c r="K62" i="17"/>
  <c r="F63" i="16"/>
  <c r="K62" i="16"/>
  <c r="B63" i="16"/>
  <c r="G62" i="16"/>
  <c r="H62" i="16" s="1"/>
  <c r="B66" i="13" l="1"/>
  <c r="G65" i="13"/>
  <c r="H65" i="13" s="1"/>
  <c r="F64" i="13"/>
  <c r="K63" i="13"/>
  <c r="F64" i="17"/>
  <c r="K63" i="17"/>
  <c r="B64" i="17"/>
  <c r="G63" i="17"/>
  <c r="H63" i="17" s="1"/>
  <c r="G63" i="16"/>
  <c r="H63" i="16" s="1"/>
  <c r="B64" i="16"/>
  <c r="F64" i="16"/>
  <c r="K63" i="16"/>
  <c r="F65" i="13" l="1"/>
  <c r="K64" i="13"/>
  <c r="B67" i="13"/>
  <c r="G66" i="13"/>
  <c r="H66" i="13" s="1"/>
  <c r="G64" i="17"/>
  <c r="H64" i="17" s="1"/>
  <c r="B65" i="17"/>
  <c r="F65" i="17"/>
  <c r="K64" i="17"/>
  <c r="F65" i="16"/>
  <c r="K64" i="16"/>
  <c r="B65" i="16"/>
  <c r="G64" i="16"/>
  <c r="H64" i="16" s="1"/>
  <c r="B68" i="13" l="1"/>
  <c r="G67" i="13"/>
  <c r="H67" i="13" s="1"/>
  <c r="F66" i="13"/>
  <c r="K65" i="13"/>
  <c r="F66" i="17"/>
  <c r="K65" i="17"/>
  <c r="B66" i="17"/>
  <c r="G65" i="17"/>
  <c r="H65" i="17" s="1"/>
  <c r="G65" i="16"/>
  <c r="H65" i="16" s="1"/>
  <c r="B66" i="16"/>
  <c r="F66" i="16"/>
  <c r="K65" i="16"/>
  <c r="F67" i="13" l="1"/>
  <c r="K66" i="13"/>
  <c r="B69" i="13"/>
  <c r="G68" i="13"/>
  <c r="H68" i="13" s="1"/>
  <c r="G66" i="17"/>
  <c r="H66" i="17" s="1"/>
  <c r="B67" i="17"/>
  <c r="F67" i="17"/>
  <c r="K66" i="17"/>
  <c r="F67" i="16"/>
  <c r="K66" i="16"/>
  <c r="B67" i="16"/>
  <c r="G66" i="16"/>
  <c r="H66" i="16" s="1"/>
  <c r="B70" i="13" l="1"/>
  <c r="G69" i="13"/>
  <c r="H69" i="13" s="1"/>
  <c r="F68" i="13"/>
  <c r="K67" i="13"/>
  <c r="F68" i="17"/>
  <c r="K67" i="17"/>
  <c r="B68" i="17"/>
  <c r="G67" i="17"/>
  <c r="H67" i="17" s="1"/>
  <c r="G67" i="16"/>
  <c r="H67" i="16" s="1"/>
  <c r="B68" i="16"/>
  <c r="F68" i="16"/>
  <c r="K67" i="16"/>
  <c r="F69" i="13" l="1"/>
  <c r="K68" i="13"/>
  <c r="B71" i="13"/>
  <c r="G70" i="13"/>
  <c r="H70" i="13" s="1"/>
  <c r="G68" i="17"/>
  <c r="H68" i="17" s="1"/>
  <c r="B69" i="17"/>
  <c r="F69" i="17"/>
  <c r="K68" i="17"/>
  <c r="F69" i="16"/>
  <c r="K68" i="16"/>
  <c r="B69" i="16"/>
  <c r="G68" i="16"/>
  <c r="H68" i="16" s="1"/>
  <c r="B72" i="13" l="1"/>
  <c r="G71" i="13"/>
  <c r="H71" i="13" s="1"/>
  <c r="F70" i="13"/>
  <c r="K69" i="13"/>
  <c r="F70" i="17"/>
  <c r="K69" i="17"/>
  <c r="B70" i="17"/>
  <c r="G69" i="17"/>
  <c r="H69" i="17" s="1"/>
  <c r="G69" i="16"/>
  <c r="H69" i="16" s="1"/>
  <c r="B70" i="16"/>
  <c r="F70" i="16"/>
  <c r="K69" i="16"/>
  <c r="F71" i="13" l="1"/>
  <c r="K70" i="13"/>
  <c r="B73" i="13"/>
  <c r="G72" i="13"/>
  <c r="H72" i="13" s="1"/>
  <c r="B71" i="17"/>
  <c r="G70" i="17"/>
  <c r="H70" i="17" s="1"/>
  <c r="F71" i="17"/>
  <c r="K70" i="17"/>
  <c r="F71" i="16"/>
  <c r="K70" i="16"/>
  <c r="B71" i="16"/>
  <c r="G70" i="16"/>
  <c r="H70" i="16" s="1"/>
  <c r="B74" i="13" l="1"/>
  <c r="G73" i="13"/>
  <c r="H73" i="13" s="1"/>
  <c r="F72" i="13"/>
  <c r="K71" i="13"/>
  <c r="F72" i="17"/>
  <c r="K71" i="17"/>
  <c r="B72" i="17"/>
  <c r="G71" i="17"/>
  <c r="H71" i="17" s="1"/>
  <c r="B72" i="16"/>
  <c r="G71" i="16"/>
  <c r="H71" i="16" s="1"/>
  <c r="F72" i="16"/>
  <c r="K71" i="16"/>
  <c r="F73" i="13" l="1"/>
  <c r="K72" i="13"/>
  <c r="B75" i="13"/>
  <c r="G74" i="13"/>
  <c r="H74" i="13" s="1"/>
  <c r="G72" i="17"/>
  <c r="H72" i="17" s="1"/>
  <c r="B73" i="17"/>
  <c r="F73" i="17"/>
  <c r="K72" i="17"/>
  <c r="F73" i="16"/>
  <c r="K72" i="16"/>
  <c r="G72" i="16"/>
  <c r="H72" i="16" s="1"/>
  <c r="B73" i="16"/>
  <c r="B76" i="13" l="1"/>
  <c r="G75" i="13"/>
  <c r="H75" i="13" s="1"/>
  <c r="F74" i="13"/>
  <c r="K73" i="13"/>
  <c r="F74" i="17"/>
  <c r="K73" i="17"/>
  <c r="B74" i="17"/>
  <c r="G73" i="17"/>
  <c r="H73" i="17" s="1"/>
  <c r="F74" i="16"/>
  <c r="K73" i="16"/>
  <c r="B74" i="16"/>
  <c r="G73" i="16"/>
  <c r="H73" i="16" s="1"/>
  <c r="F75" i="13" l="1"/>
  <c r="K74" i="13"/>
  <c r="B77" i="13"/>
  <c r="G76" i="13"/>
  <c r="H76" i="13" s="1"/>
  <c r="G74" i="17"/>
  <c r="H74" i="17" s="1"/>
  <c r="B75" i="17"/>
  <c r="F75" i="17"/>
  <c r="K74" i="17"/>
  <c r="G74" i="16"/>
  <c r="H74" i="16" s="1"/>
  <c r="B75" i="16"/>
  <c r="F75" i="16"/>
  <c r="K74" i="16"/>
  <c r="B78" i="13" l="1"/>
  <c r="G77" i="13"/>
  <c r="H77" i="13" s="1"/>
  <c r="F76" i="13"/>
  <c r="K75" i="13"/>
  <c r="F76" i="17"/>
  <c r="K75" i="17"/>
  <c r="B76" i="17"/>
  <c r="G75" i="17"/>
  <c r="H75" i="17" s="1"/>
  <c r="F76" i="16"/>
  <c r="K75" i="16"/>
  <c r="B76" i="16"/>
  <c r="G75" i="16"/>
  <c r="H75" i="16" s="1"/>
  <c r="F77" i="13" l="1"/>
  <c r="K76" i="13"/>
  <c r="B79" i="13"/>
  <c r="G78" i="13"/>
  <c r="H78" i="13" s="1"/>
  <c r="G76" i="17"/>
  <c r="H76" i="17" s="1"/>
  <c r="B77" i="17"/>
  <c r="F77" i="17"/>
  <c r="K76" i="17"/>
  <c r="G76" i="16"/>
  <c r="H76" i="16" s="1"/>
  <c r="B77" i="16"/>
  <c r="F77" i="16"/>
  <c r="K76" i="16"/>
  <c r="B80" i="13" l="1"/>
  <c r="G79" i="13"/>
  <c r="H79" i="13" s="1"/>
  <c r="F78" i="13"/>
  <c r="K77" i="13"/>
  <c r="F78" i="17"/>
  <c r="K77" i="17"/>
  <c r="B78" i="17"/>
  <c r="G77" i="17"/>
  <c r="H77" i="17" s="1"/>
  <c r="F78" i="16"/>
  <c r="K77" i="16"/>
  <c r="B78" i="16"/>
  <c r="G77" i="16"/>
  <c r="H77" i="16" s="1"/>
  <c r="F79" i="13" l="1"/>
  <c r="K78" i="13"/>
  <c r="B81" i="13"/>
  <c r="G80" i="13"/>
  <c r="H80" i="13" s="1"/>
  <c r="G78" i="17"/>
  <c r="H78" i="17" s="1"/>
  <c r="B79" i="17"/>
  <c r="F79" i="17"/>
  <c r="K78" i="17"/>
  <c r="G78" i="16"/>
  <c r="H78" i="16" s="1"/>
  <c r="B79" i="16"/>
  <c r="F79" i="16"/>
  <c r="K78" i="16"/>
  <c r="B82" i="13" l="1"/>
  <c r="G81" i="13"/>
  <c r="H81" i="13" s="1"/>
  <c r="F80" i="13"/>
  <c r="K79" i="13"/>
  <c r="F80" i="17"/>
  <c r="K79" i="17"/>
  <c r="B80" i="17"/>
  <c r="G79" i="17"/>
  <c r="H79" i="17" s="1"/>
  <c r="F80" i="16"/>
  <c r="K79" i="16"/>
  <c r="B80" i="16"/>
  <c r="G79" i="16"/>
  <c r="H79" i="16" s="1"/>
  <c r="F81" i="13" l="1"/>
  <c r="K80" i="13"/>
  <c r="B83" i="13"/>
  <c r="G82" i="13"/>
  <c r="H82" i="13" s="1"/>
  <c r="G80" i="17"/>
  <c r="H80" i="17" s="1"/>
  <c r="B81" i="17"/>
  <c r="F81" i="17"/>
  <c r="K80" i="17"/>
  <c r="G80" i="16"/>
  <c r="H80" i="16" s="1"/>
  <c r="B81" i="16"/>
  <c r="F81" i="16"/>
  <c r="K80" i="16"/>
  <c r="B84" i="13" l="1"/>
  <c r="G83" i="13"/>
  <c r="H83" i="13" s="1"/>
  <c r="F82" i="13"/>
  <c r="K81" i="13"/>
  <c r="F82" i="17"/>
  <c r="K81" i="17"/>
  <c r="B82" i="17"/>
  <c r="G81" i="17"/>
  <c r="H81" i="17" s="1"/>
  <c r="F82" i="16"/>
  <c r="K81" i="16"/>
  <c r="B82" i="16"/>
  <c r="G81" i="16"/>
  <c r="H81" i="16" s="1"/>
  <c r="F83" i="13" l="1"/>
  <c r="K82" i="13"/>
  <c r="B85" i="13"/>
  <c r="G84" i="13"/>
  <c r="H84" i="13" s="1"/>
  <c r="G82" i="17"/>
  <c r="H82" i="17" s="1"/>
  <c r="B83" i="17"/>
  <c r="F83" i="17"/>
  <c r="K82" i="17"/>
  <c r="G82" i="16"/>
  <c r="H82" i="16" s="1"/>
  <c r="B83" i="16"/>
  <c r="F83" i="16"/>
  <c r="K82" i="16"/>
  <c r="B86" i="13" l="1"/>
  <c r="G85" i="13"/>
  <c r="H85" i="13" s="1"/>
  <c r="F84" i="13"/>
  <c r="K83" i="13"/>
  <c r="F84" i="17"/>
  <c r="K83" i="17"/>
  <c r="B84" i="17"/>
  <c r="G83" i="17"/>
  <c r="H83" i="17" s="1"/>
  <c r="F84" i="16"/>
  <c r="K83" i="16"/>
  <c r="B84" i="16"/>
  <c r="G83" i="16"/>
  <c r="H83" i="16" s="1"/>
  <c r="F85" i="13" l="1"/>
  <c r="K84" i="13"/>
  <c r="B87" i="13"/>
  <c r="G86" i="13"/>
  <c r="H86" i="13" s="1"/>
  <c r="G84" i="17"/>
  <c r="H84" i="17" s="1"/>
  <c r="B85" i="17"/>
  <c r="F85" i="17"/>
  <c r="K84" i="17"/>
  <c r="G84" i="16"/>
  <c r="H84" i="16" s="1"/>
  <c r="B85" i="16"/>
  <c r="F85" i="16"/>
  <c r="K84" i="16"/>
  <c r="B88" i="13" l="1"/>
  <c r="G87" i="13"/>
  <c r="H87" i="13" s="1"/>
  <c r="F86" i="13"/>
  <c r="K85" i="13"/>
  <c r="F86" i="17"/>
  <c r="K85" i="17"/>
  <c r="B86" i="17"/>
  <c r="G85" i="17"/>
  <c r="H85" i="17" s="1"/>
  <c r="F86" i="16"/>
  <c r="K85" i="16"/>
  <c r="B86" i="16"/>
  <c r="G85" i="16"/>
  <c r="H85" i="16" s="1"/>
  <c r="F87" i="13" l="1"/>
  <c r="K86" i="13"/>
  <c r="B89" i="13"/>
  <c r="G88" i="13"/>
  <c r="H88" i="13" s="1"/>
  <c r="G86" i="17"/>
  <c r="H86" i="17" s="1"/>
  <c r="B87" i="17"/>
  <c r="F87" i="17"/>
  <c r="K86" i="17"/>
  <c r="G86" i="16"/>
  <c r="H86" i="16" s="1"/>
  <c r="B87" i="16"/>
  <c r="F87" i="16"/>
  <c r="K86" i="16"/>
  <c r="G89" i="13" l="1"/>
  <c r="H89" i="13" s="1"/>
  <c r="H95" i="13" s="1"/>
  <c r="B90" i="13"/>
  <c r="F88" i="13"/>
  <c r="K87" i="13"/>
  <c r="F88" i="17"/>
  <c r="K87" i="17"/>
  <c r="B88" i="17"/>
  <c r="G87" i="17"/>
  <c r="H87" i="17" s="1"/>
  <c r="F88" i="16"/>
  <c r="K87" i="16"/>
  <c r="B88" i="16"/>
  <c r="G87" i="16"/>
  <c r="H87" i="16" s="1"/>
  <c r="B91" i="13" l="1"/>
  <c r="G90" i="13"/>
  <c r="K88" i="13"/>
  <c r="F89" i="13"/>
  <c r="G88" i="17"/>
  <c r="H88" i="17" s="1"/>
  <c r="B89" i="17"/>
  <c r="F89" i="17"/>
  <c r="K88" i="17"/>
  <c r="G88" i="16"/>
  <c r="H88" i="16" s="1"/>
  <c r="B89" i="16"/>
  <c r="F89" i="16"/>
  <c r="K88" i="16"/>
  <c r="B92" i="13" l="1"/>
  <c r="G91" i="13"/>
  <c r="K89" i="13"/>
  <c r="K95" i="13" s="1"/>
  <c r="F90" i="13"/>
  <c r="F90" i="17"/>
  <c r="K89" i="17"/>
  <c r="K95" i="17" s="1"/>
  <c r="B90" i="17"/>
  <c r="G89" i="17"/>
  <c r="H89" i="17" s="1"/>
  <c r="H95" i="17" s="1"/>
  <c r="F90" i="16"/>
  <c r="K89" i="16"/>
  <c r="K95" i="16" s="1"/>
  <c r="B90" i="16"/>
  <c r="G89" i="16"/>
  <c r="H89" i="16" s="1"/>
  <c r="H95" i="16" s="1"/>
  <c r="G92" i="13" l="1"/>
  <c r="B93" i="13"/>
  <c r="G93" i="13" s="1"/>
  <c r="G90" i="17"/>
  <c r="B91" i="17"/>
  <c r="G90" i="16"/>
  <c r="B91" i="16"/>
  <c r="G91" i="17" l="1"/>
  <c r="B92" i="17"/>
  <c r="G91" i="16"/>
  <c r="B92" i="16"/>
  <c r="G92" i="17" l="1"/>
  <c r="B93" i="17"/>
  <c r="G93" i="17" s="1"/>
  <c r="G92" i="16"/>
  <c r="B93" i="16"/>
  <c r="G93" i="16" s="1"/>
</calcChain>
</file>

<file path=xl/comments1.xml><?xml version="1.0" encoding="utf-8"?>
<comments xmlns="http://schemas.openxmlformats.org/spreadsheetml/2006/main">
  <authors>
    <author>clickcomputer</author>
  </authors>
  <commentList>
    <comment ref="C89" authorId="0">
      <text>
        <r>
          <rPr>
            <b/>
            <sz val="9"/>
            <color indexed="81"/>
            <rFont val="Tahoma"/>
            <family val="2"/>
          </rPr>
          <t>clickcomputer:</t>
        </r>
        <r>
          <rPr>
            <sz val="9"/>
            <color indexed="81"/>
            <rFont val="Tahoma"/>
            <family val="2"/>
          </rPr>
          <t xml:space="preserve">
MEDIA ARITMETICA</t>
        </r>
      </text>
    </comment>
    <comment ref="D89" authorId="0">
      <text>
        <r>
          <rPr>
            <b/>
            <sz val="9"/>
            <color indexed="81"/>
            <rFont val="Tahoma"/>
            <family val="2"/>
          </rPr>
          <t>clickcomputer:</t>
        </r>
        <r>
          <rPr>
            <sz val="9"/>
            <color indexed="81"/>
            <rFont val="Tahoma"/>
            <family val="2"/>
          </rPr>
          <t xml:space="preserve">
MEDIA ARITMETICA</t>
        </r>
      </text>
    </comment>
    <comment ref="E89" authorId="0">
      <text>
        <r>
          <rPr>
            <b/>
            <sz val="9"/>
            <color indexed="81"/>
            <rFont val="Tahoma"/>
            <family val="2"/>
          </rPr>
          <t>clickcomputer:</t>
        </r>
        <r>
          <rPr>
            <sz val="9"/>
            <color indexed="81"/>
            <rFont val="Tahoma"/>
            <family val="2"/>
          </rPr>
          <t xml:space="preserve">
MEDIA ARITMETICA</t>
        </r>
      </text>
    </comment>
  </commentList>
</comments>
</file>

<file path=xl/comments2.xml><?xml version="1.0" encoding="utf-8"?>
<comments xmlns="http://schemas.openxmlformats.org/spreadsheetml/2006/main">
  <authors>
    <author>clickcomputer</author>
  </authors>
  <commentList>
    <comment ref="D89" authorId="0">
      <text>
        <r>
          <rPr>
            <b/>
            <sz val="9"/>
            <color indexed="81"/>
            <rFont val="Tahoma"/>
            <family val="2"/>
          </rPr>
          <t>clickcomputer:</t>
        </r>
        <r>
          <rPr>
            <sz val="9"/>
            <color indexed="81"/>
            <rFont val="Tahoma"/>
            <family val="2"/>
          </rPr>
          <t xml:space="preserve">
VARIANZA CRUDO</t>
        </r>
      </text>
    </comment>
    <comment ref="G89" authorId="0">
      <text>
        <r>
          <rPr>
            <b/>
            <sz val="9"/>
            <color indexed="81"/>
            <rFont val="Tahoma"/>
            <family val="2"/>
          </rPr>
          <t>clickcomputer:</t>
        </r>
        <r>
          <rPr>
            <sz val="9"/>
            <color indexed="81"/>
            <rFont val="Tahoma"/>
            <family val="2"/>
          </rPr>
          <t xml:space="preserve">
VARIANZA CRUDO</t>
        </r>
      </text>
    </comment>
    <comment ref="J89" authorId="0">
      <text>
        <r>
          <rPr>
            <b/>
            <sz val="9"/>
            <color indexed="81"/>
            <rFont val="Tahoma"/>
            <family val="2"/>
          </rPr>
          <t>clickcomputer:</t>
        </r>
        <r>
          <rPr>
            <sz val="9"/>
            <color indexed="81"/>
            <rFont val="Tahoma"/>
            <family val="2"/>
          </rPr>
          <t xml:space="preserve">
VARIANZA CRUDO</t>
        </r>
      </text>
    </comment>
    <comment ref="D91" authorId="0">
      <text>
        <r>
          <rPr>
            <b/>
            <sz val="9"/>
            <color indexed="81"/>
            <rFont val="Tahoma"/>
            <family val="2"/>
          </rPr>
          <t>clickcomputer:</t>
        </r>
        <r>
          <rPr>
            <sz val="9"/>
            <color indexed="81"/>
            <rFont val="Tahoma"/>
            <family val="2"/>
          </rPr>
          <t xml:space="preserve">
DESVIACION ESTANDAR</t>
        </r>
      </text>
    </comment>
    <comment ref="G91" authorId="0">
      <text>
        <r>
          <rPr>
            <b/>
            <sz val="9"/>
            <color indexed="81"/>
            <rFont val="Tahoma"/>
            <family val="2"/>
          </rPr>
          <t>clickcomputer:</t>
        </r>
        <r>
          <rPr>
            <sz val="9"/>
            <color indexed="81"/>
            <rFont val="Tahoma"/>
            <family val="2"/>
          </rPr>
          <t xml:space="preserve">
DESVIACION ESTANDAR</t>
        </r>
      </text>
    </comment>
    <comment ref="J91" authorId="0">
      <text>
        <r>
          <rPr>
            <b/>
            <sz val="9"/>
            <color indexed="81"/>
            <rFont val="Tahoma"/>
            <family val="2"/>
          </rPr>
          <t>clickcomputer:</t>
        </r>
        <r>
          <rPr>
            <sz val="9"/>
            <color indexed="81"/>
            <rFont val="Tahoma"/>
            <family val="2"/>
          </rPr>
          <t xml:space="preserve">
DESVIACION ESTANDAR</t>
        </r>
      </text>
    </comment>
  </commentList>
</comments>
</file>

<file path=xl/comments3.xml><?xml version="1.0" encoding="utf-8"?>
<comments xmlns="http://schemas.openxmlformats.org/spreadsheetml/2006/main">
  <authors>
    <author>Casa</author>
  </authors>
  <commentList>
    <comment ref="W4" authorId="0">
      <text>
        <r>
          <rPr>
            <b/>
            <sz val="9"/>
            <color indexed="81"/>
            <rFont val="Tahoma"/>
            <family val="2"/>
          </rPr>
          <t>Casa:</t>
        </r>
        <r>
          <rPr>
            <sz val="9"/>
            <color indexed="81"/>
            <rFont val="Tahoma"/>
            <family val="2"/>
          </rPr>
          <t xml:space="preserve">
A productos que representa &gt;50% de las ventas
B productos entre el 25 y 50% de las ventas
C productos menos del 25% de las ventas</t>
        </r>
      </text>
    </comment>
  </commentList>
</comments>
</file>

<file path=xl/sharedStrings.xml><?xml version="1.0" encoding="utf-8"?>
<sst xmlns="http://schemas.openxmlformats.org/spreadsheetml/2006/main" count="1287" uniqueCount="505">
  <si>
    <t>PARETO</t>
  </si>
  <si>
    <t>kilos</t>
  </si>
  <si>
    <t>MP00108/132</t>
  </si>
  <si>
    <t>Hilo Caucho Si</t>
  </si>
  <si>
    <t>MP00102/000</t>
  </si>
  <si>
    <t>Hilo Poliester</t>
  </si>
  <si>
    <t>MP00103/000</t>
  </si>
  <si>
    <t>MP00165/131</t>
  </si>
  <si>
    <t>MP00108/131</t>
  </si>
  <si>
    <t>MP00100/000</t>
  </si>
  <si>
    <t>MP00101/000</t>
  </si>
  <si>
    <t>MP00109/132</t>
  </si>
  <si>
    <t>MP00227/131</t>
  </si>
  <si>
    <t>MP00107/132</t>
  </si>
  <si>
    <t>Hilo Nylon 156</t>
  </si>
  <si>
    <t>MP00197/132</t>
  </si>
  <si>
    <t>MP00149/000</t>
  </si>
  <si>
    <t>MP00102/118</t>
  </si>
  <si>
    <t>MP00102/077</t>
  </si>
  <si>
    <t>MP00102/113</t>
  </si>
  <si>
    <t>MP00107/131</t>
  </si>
  <si>
    <t>MP00102/019</t>
  </si>
  <si>
    <t>MP00102/072</t>
  </si>
  <si>
    <t>MP00182/131</t>
  </si>
  <si>
    <t>Hilo Polipropi</t>
  </si>
  <si>
    <t>MP00102/106</t>
  </si>
  <si>
    <t>MP00102/017</t>
  </si>
  <si>
    <t>MP00107/017</t>
  </si>
  <si>
    <t>MP00102/132</t>
  </si>
  <si>
    <t>MP00102/120</t>
  </si>
  <si>
    <t>MP00193/106</t>
  </si>
  <si>
    <t>MP00102/074</t>
  </si>
  <si>
    <t>MP00106/077</t>
  </si>
  <si>
    <t xml:space="preserve">Hilo Nylon 78 </t>
  </si>
  <si>
    <t>MP00106/106</t>
  </si>
  <si>
    <t>MP00217/000</t>
  </si>
  <si>
    <t>MP00107/237</t>
  </si>
  <si>
    <t>MP00102/037</t>
  </si>
  <si>
    <t>MP00102/013</t>
  </si>
  <si>
    <t>MP00106/121</t>
  </si>
  <si>
    <t>MP00107/121</t>
  </si>
  <si>
    <t>MP00107/726</t>
  </si>
  <si>
    <t>MP00180/000</t>
  </si>
  <si>
    <t>MP00177/131</t>
  </si>
  <si>
    <t>MP00102/116</t>
  </si>
  <si>
    <t>MP00106/000</t>
  </si>
  <si>
    <t>MP00149/131</t>
  </si>
  <si>
    <t>Hilo Spandex 8</t>
  </si>
  <si>
    <t>MP00178/131</t>
  </si>
  <si>
    <t>MP00106/026</t>
  </si>
  <si>
    <t>MP00102/070</t>
  </si>
  <si>
    <t>MP00149/132</t>
  </si>
  <si>
    <t>MP00107/757</t>
  </si>
  <si>
    <t>MP00181/000</t>
  </si>
  <si>
    <t>Hilo Nylon 110</t>
  </si>
  <si>
    <t>MP00102/089</t>
  </si>
  <si>
    <t>MP00189/000</t>
  </si>
  <si>
    <t>Hilo Nylon 100</t>
  </si>
  <si>
    <t>MP00107/466</t>
  </si>
  <si>
    <t>MP00107/065</t>
  </si>
  <si>
    <t>MP00102/039</t>
  </si>
  <si>
    <t>MP00107/009</t>
  </si>
  <si>
    <t>MP00192/106</t>
  </si>
  <si>
    <t>MP00107/813</t>
  </si>
  <si>
    <t>MP00106/072</t>
  </si>
  <si>
    <t>MP00107/091</t>
  </si>
  <si>
    <t>MP00102/002</t>
  </si>
  <si>
    <t>MP00107/026</t>
  </si>
  <si>
    <t>MP00102/088</t>
  </si>
  <si>
    <t>MP00188/000</t>
  </si>
  <si>
    <t>Hilo Nylon 40/</t>
  </si>
  <si>
    <t>MP00190/000</t>
  </si>
  <si>
    <t>Hilo Spandex 7</t>
  </si>
  <si>
    <t>MP00102/121</t>
  </si>
  <si>
    <t>MP00107/003</t>
  </si>
  <si>
    <t>MP00105/000</t>
  </si>
  <si>
    <t>MP00106/070</t>
  </si>
  <si>
    <t>MP00102/009</t>
  </si>
  <si>
    <t>MP00106/009</t>
  </si>
  <si>
    <t>MP00155/000</t>
  </si>
  <si>
    <t xml:space="preserve">Hilo Trilobal </t>
  </si>
  <si>
    <t>MP00166/000</t>
  </si>
  <si>
    <t>MP00171/000</t>
  </si>
  <si>
    <t>Hilo Poli Algo</t>
  </si>
  <si>
    <t>MP00192/000</t>
  </si>
  <si>
    <t>MP00106/132</t>
  </si>
  <si>
    <t>MP00106/103</t>
  </si>
  <si>
    <t>MP00107/103</t>
  </si>
  <si>
    <t>MP00114/132</t>
  </si>
  <si>
    <t>Hilo Spandex 4</t>
  </si>
  <si>
    <t>MP00106/237</t>
  </si>
  <si>
    <t>MP00104/000</t>
  </si>
  <si>
    <t>MP00107/719</t>
  </si>
  <si>
    <t>MP00102/052</t>
  </si>
  <si>
    <t>MP00194/000</t>
  </si>
  <si>
    <t>MP00102/087</t>
  </si>
  <si>
    <t>MP00107/116</t>
  </si>
  <si>
    <t>MP00107/106</t>
  </si>
  <si>
    <t>MP00107/019</t>
  </si>
  <si>
    <t>MP00102/090</t>
  </si>
  <si>
    <t>MP00110/132</t>
  </si>
  <si>
    <t>MP00107/118</t>
  </si>
  <si>
    <t>MP00106/466</t>
  </si>
  <si>
    <t>MP00107/120</t>
  </si>
  <si>
    <t>MP00106/120</t>
  </si>
  <si>
    <t>MP00107/702</t>
  </si>
  <si>
    <t>MP00106/019</t>
  </si>
  <si>
    <t>MP00153/235</t>
  </si>
  <si>
    <t xml:space="preserve">Hilo Metálico </t>
  </si>
  <si>
    <t>MP00106/074</t>
  </si>
  <si>
    <t>MP00107/072</t>
  </si>
  <si>
    <t>MP00107/066</t>
  </si>
  <si>
    <t>MP00160/000</t>
  </si>
  <si>
    <t>MP00153/236</t>
  </si>
  <si>
    <t>MP00153/132</t>
  </si>
  <si>
    <t>MP00102/103</t>
  </si>
  <si>
    <t>MP00107/070</t>
  </si>
  <si>
    <t>MP00179/000</t>
  </si>
  <si>
    <t xml:space="preserve">Hilo Acrílico </t>
  </si>
  <si>
    <t>MP00107/077</t>
  </si>
  <si>
    <t>MP00111/132</t>
  </si>
  <si>
    <t>Hilo Spandex 1</t>
  </si>
  <si>
    <t>MP00122/000</t>
  </si>
  <si>
    <t>MP00105/131</t>
  </si>
  <si>
    <t>MP00107/002</t>
  </si>
  <si>
    <t>MP00107/789</t>
  </si>
  <si>
    <t>MP00124/000</t>
  </si>
  <si>
    <t>MP00107/074</t>
  </si>
  <si>
    <t>MP00131/000</t>
  </si>
  <si>
    <t>Hilo Algodon 1</t>
  </si>
  <si>
    <t>MP00191/000</t>
  </si>
  <si>
    <t>MP00105/132</t>
  </si>
  <si>
    <t>MP00107/774</t>
  </si>
  <si>
    <t>MP00105/052</t>
  </si>
  <si>
    <t>MP00102/073</t>
  </si>
  <si>
    <t>MP00105/026</t>
  </si>
  <si>
    <t>MP00113/132</t>
  </si>
  <si>
    <t>MP00117/000</t>
  </si>
  <si>
    <t>MP00105/072</t>
  </si>
  <si>
    <t>MP00107/037</t>
  </si>
  <si>
    <t>MP00156/037</t>
  </si>
  <si>
    <t>MP00129/000</t>
  </si>
  <si>
    <t>MP00105/120</t>
  </si>
  <si>
    <t>MP00105/002</t>
  </si>
  <si>
    <t>MP00116/000</t>
  </si>
  <si>
    <t>MP00153/999</t>
  </si>
  <si>
    <t>MP00105/118</t>
  </si>
  <si>
    <t>MP00156/019</t>
  </si>
  <si>
    <t>MP00105/121</t>
  </si>
  <si>
    <t>MP00105/009</t>
  </si>
  <si>
    <t>MP00105/019</t>
  </si>
  <si>
    <t>MP00105/088</t>
  </si>
  <si>
    <t>MP00105/116</t>
  </si>
  <si>
    <t>MP00156/074</t>
  </si>
  <si>
    <t>MP00105/017</t>
  </si>
  <si>
    <t>MP00105/113</t>
  </si>
  <si>
    <t>MP00112/132</t>
  </si>
  <si>
    <t>MP00156/026</t>
  </si>
  <si>
    <t>MP00105/077</t>
  </si>
  <si>
    <t>MP00105/103</t>
  </si>
  <si>
    <t>MP00105/039</t>
  </si>
  <si>
    <t>MP00105/070</t>
  </si>
  <si>
    <t>MP00102/091</t>
  </si>
  <si>
    <t>MP00102/026</t>
  </si>
  <si>
    <t>MP00102/131</t>
  </si>
  <si>
    <t>MP00106/702</t>
  </si>
  <si>
    <t>MP00107/000</t>
  </si>
  <si>
    <t>MP00107/089</t>
  </si>
  <si>
    <t>MP00102/053</t>
  </si>
  <si>
    <t>MP00102/066</t>
  </si>
  <si>
    <t>MP00102/757</t>
  </si>
  <si>
    <t>MP00105/013</t>
  </si>
  <si>
    <t>MP00105/037</t>
  </si>
  <si>
    <t>MP00105/066</t>
  </si>
  <si>
    <t>MP00105/073</t>
  </si>
  <si>
    <t>MP00105/074</t>
  </si>
  <si>
    <t>MP00105/087</t>
  </si>
  <si>
    <t>MP00105/089</t>
  </si>
  <si>
    <t>MP00106/003</t>
  </si>
  <si>
    <t>MP00106/017</t>
  </si>
  <si>
    <t>MP00106/065</t>
  </si>
  <si>
    <t>MP00106/757</t>
  </si>
  <si>
    <t>MP00107/039</t>
  </si>
  <si>
    <t>MP00109/131</t>
  </si>
  <si>
    <t>MP00119/000</t>
  </si>
  <si>
    <t>MP00124/017</t>
  </si>
  <si>
    <t>MP00124/190</t>
  </si>
  <si>
    <t>MP00125/002</t>
  </si>
  <si>
    <t>MP00125/077</t>
  </si>
  <si>
    <t>MP00130/000</t>
  </si>
  <si>
    <t>Hilo Algodón 1</t>
  </si>
  <si>
    <t>MP00157/000</t>
  </si>
  <si>
    <t>MP00162/000</t>
  </si>
  <si>
    <t>MP00167/000</t>
  </si>
  <si>
    <t>MP00172/000</t>
  </si>
  <si>
    <t>MP00176/000</t>
  </si>
  <si>
    <t>MP00193/131</t>
  </si>
  <si>
    <t>MP00196/132</t>
  </si>
  <si>
    <t>MP00106/719</t>
  </si>
  <si>
    <t>MP00106/774</t>
  </si>
  <si>
    <t>MP00106/131</t>
  </si>
  <si>
    <t>MP00157/000B</t>
  </si>
  <si>
    <t/>
  </si>
  <si>
    <t>Código</t>
  </si>
  <si>
    <t>Enero</t>
  </si>
  <si>
    <t>Febrero</t>
  </si>
  <si>
    <t>Marzo</t>
  </si>
  <si>
    <t>Abril</t>
  </si>
  <si>
    <t>Mayo</t>
  </si>
  <si>
    <t>Junio</t>
  </si>
  <si>
    <t>Julio</t>
  </si>
  <si>
    <t>Agosto</t>
  </si>
  <si>
    <t>Septiembre</t>
  </si>
  <si>
    <t>Octubre</t>
  </si>
  <si>
    <t>Diciembre</t>
  </si>
  <si>
    <t>Total</t>
  </si>
  <si>
    <t>Hilo Poliester 150/48 Tex Azul Mari Reb</t>
  </si>
  <si>
    <t>Hilo Poliester 150/48 Tex Salmón</t>
  </si>
  <si>
    <t>Hilo Poliester 300/96 Tex Crudo</t>
  </si>
  <si>
    <t>Noviembre</t>
  </si>
  <si>
    <t>I Trimestres</t>
  </si>
  <si>
    <t>II Trimestre</t>
  </si>
  <si>
    <t>III Trimestres</t>
  </si>
  <si>
    <t>IV Trimestre</t>
  </si>
  <si>
    <t>Años</t>
  </si>
  <si>
    <t>Demanda en Kilos</t>
  </si>
  <si>
    <t>paso 0</t>
  </si>
  <si>
    <t xml:space="preserve"> GRAFICAR</t>
  </si>
  <si>
    <t>variable dependiente</t>
  </si>
  <si>
    <t>Y</t>
  </si>
  <si>
    <t>variable independeinte</t>
  </si>
  <si>
    <t>X</t>
  </si>
  <si>
    <t>CONCLUSION</t>
  </si>
  <si>
    <t xml:space="preserve">Posiblemete la regresión no se ajusta a la regresión lineal simple . Puede existir ajustes </t>
  </si>
  <si>
    <t>Se desea predecir la Demanda</t>
  </si>
  <si>
    <t>ANÁLISIS DE VARIANZA</t>
  </si>
  <si>
    <t>Suma de cuadrados</t>
  </si>
  <si>
    <t>Grados de libertad</t>
  </si>
  <si>
    <t>Promedio de los cuadrados</t>
  </si>
  <si>
    <t>F</t>
  </si>
  <si>
    <t>Probabilidad</t>
  </si>
  <si>
    <t>Resumen</t>
  </si>
  <si>
    <t>Estadísticas de la regresión</t>
  </si>
  <si>
    <t>Coeficiente de correlación múltiple</t>
  </si>
  <si>
    <t>Coeficiente de determinación R^2</t>
  </si>
  <si>
    <t>R^2  ajustado</t>
  </si>
  <si>
    <t>Error típico</t>
  </si>
  <si>
    <t>Observaciones</t>
  </si>
  <si>
    <t>Regresión</t>
  </si>
  <si>
    <t>Residuos</t>
  </si>
  <si>
    <t>Intercepción</t>
  </si>
  <si>
    <t>Valor crítico de F</t>
  </si>
  <si>
    <t>Coeficientes</t>
  </si>
  <si>
    <t>Estadístico t</t>
  </si>
  <si>
    <t>Inferior 95%</t>
  </si>
  <si>
    <t>Superior 95%</t>
  </si>
  <si>
    <t>Inferior 95,0%</t>
  </si>
  <si>
    <t>Superior 95,0%</t>
  </si>
  <si>
    <t>Variable X 1</t>
  </si>
  <si>
    <t>Análisis de los residuales</t>
  </si>
  <si>
    <t>Observación</t>
  </si>
  <si>
    <t>Pronóstico para Y</t>
  </si>
  <si>
    <t xml:space="preserve">Realizar las suposiciones debido a que no se cumplen las suposiciones, no se cumplea linealidad ni igualdad de varianzas </t>
  </si>
  <si>
    <t xml:space="preserve"> Es demasiado alto </t>
  </si>
  <si>
    <t>paso 0,2</t>
  </si>
  <si>
    <t>Ln X</t>
  </si>
  <si>
    <t>Raiz(X)</t>
  </si>
  <si>
    <t>X2</t>
  </si>
  <si>
    <t>1/x</t>
  </si>
  <si>
    <t>Ln Y</t>
  </si>
  <si>
    <t>Raiz Y</t>
  </si>
  <si>
    <t>Transformaciones</t>
  </si>
  <si>
    <t>L10 Y</t>
  </si>
  <si>
    <t>Formato de valores fijos</t>
  </si>
  <si>
    <t>Resumen L10 Y</t>
  </si>
  <si>
    <t>Resumen Raiz de Y</t>
  </si>
  <si>
    <t>Resumen Ln Y</t>
  </si>
  <si>
    <t>Resumen X^2</t>
  </si>
  <si>
    <t>Resumen Raiz de X</t>
  </si>
  <si>
    <t>Resumen Ln x</t>
  </si>
  <si>
    <t>TABLA RESUMEN Y ELEGIR LA MEJOR REGRESIÓN</t>
  </si>
  <si>
    <t>Transformación</t>
  </si>
  <si>
    <t>R2</t>
  </si>
  <si>
    <t>x</t>
  </si>
  <si>
    <t>lnX</t>
  </si>
  <si>
    <t>x^2</t>
  </si>
  <si>
    <t>RaizX</t>
  </si>
  <si>
    <t>ln Y</t>
  </si>
  <si>
    <t>Conclusión</t>
  </si>
  <si>
    <t xml:space="preserve"> promedio de cuadrados de residuos</t>
  </si>
  <si>
    <t>Resumen 1/X</t>
  </si>
  <si>
    <t xml:space="preserve">Se selecciona el modelo L10 Y debido a que R2 es 0,40 no es el mas alto de todos pero, el promedio de cuadrados de residuos que es 0,21 que es el más bajo de todos </t>
  </si>
  <si>
    <t xml:space="preserve">Los índices de demanda de materia prima  Hilo Poliester 156/48 color 019 de la empresa Nilotex Scc. ubicada en Quito, durante el periodo entre 2010 al 2016 son las siguientes. De mantenerse la misma tendencia, ¿Cuál debería ser el índice de demanda esperado para el  periodo  el III y IV trimestre del 2016 y para el I y II trimestres del  2017?  </t>
  </si>
  <si>
    <t>Claramente las gráficas de dispersión  describen una tendencia decreciente en la demanda Hilo Poliester 156/48 de color 019</t>
  </si>
  <si>
    <t xml:space="preserve"> Gráfica de dispersión de  L10 Y</t>
  </si>
  <si>
    <t>Los datos siguen siendo muy dispersos aun con las transfomaciones</t>
  </si>
  <si>
    <t>Porcetaje</t>
  </si>
  <si>
    <t>Porcentaje Acumulado</t>
  </si>
  <si>
    <t>Descripción</t>
  </si>
  <si>
    <t>Número</t>
  </si>
  <si>
    <t xml:space="preserve">Hilo Nylon </t>
  </si>
  <si>
    <t xml:space="preserve">Hilo Spandex </t>
  </si>
  <si>
    <t xml:space="preserve">Hilo Caucho </t>
  </si>
  <si>
    <t>Hilo Poliester crudo</t>
  </si>
  <si>
    <t>Hilo Poliester obscuro</t>
  </si>
  <si>
    <t>Hilo Poliester claro</t>
  </si>
  <si>
    <t>150/48 salmon</t>
  </si>
  <si>
    <t>mes</t>
  </si>
  <si>
    <t>cantidad Kg</t>
  </si>
  <si>
    <t>Año</t>
  </si>
  <si>
    <t>Años trimestres</t>
  </si>
  <si>
    <t>Núm.</t>
  </si>
  <si>
    <t>Análisis de Pareto</t>
  </si>
  <si>
    <t>Hilo Nylon</t>
  </si>
  <si>
    <t>Hilo Caucho</t>
  </si>
  <si>
    <t>Hilo Spandex</t>
  </si>
  <si>
    <t># Items</t>
  </si>
  <si>
    <t>Total Kilos</t>
  </si>
  <si>
    <t>% referencia</t>
  </si>
  <si>
    <t>Cuadro Resumen</t>
  </si>
  <si>
    <t>Resultado del Análisis de Pareto</t>
  </si>
  <si>
    <t>Materias Primas de Nilotex Scc</t>
  </si>
  <si>
    <t>Mes</t>
  </si>
  <si>
    <t>%Obscuro</t>
  </si>
  <si>
    <t>% Claro</t>
  </si>
  <si>
    <t>%Crudo</t>
  </si>
  <si>
    <t>Utilización para telares de Nilotex Scc. Crudo</t>
  </si>
  <si>
    <t>Utilización para telares de Nilotex Scc. Obscuro</t>
  </si>
  <si>
    <t>Utilización para telares de Nilotex Scc. Claro</t>
  </si>
  <si>
    <t>Número de muestras</t>
  </si>
  <si>
    <t>Total anual Hilo Poliester 300/96 Tex Crudo</t>
  </si>
  <si>
    <t xml:space="preserve">Total anual Hilo Poliéster </t>
  </si>
  <si>
    <t>Total anual Hilo Poliéster 150/48 Tex Salmón</t>
  </si>
  <si>
    <t>Total anual Hilo Poliéster 150/48 Tex Azul Mari Reb</t>
  </si>
  <si>
    <t>Total Hilo Poliéster</t>
  </si>
  <si>
    <t>Hilo Poliéster 150/48 Tex Salmón</t>
  </si>
  <si>
    <t>Hilo Poliéster 150/48 Tex Azul Mari Reb</t>
  </si>
  <si>
    <t>Hilo Poliéster 300/96 Tex Crudo</t>
  </si>
  <si>
    <t>Total uso de poliéster en telares Nilotex Scc.</t>
  </si>
  <si>
    <t>IVERKOVITCH@PUCE.EDU.EC</t>
  </si>
  <si>
    <t xml:space="preserve">Total anual Hilo Poliéster crudo </t>
  </si>
  <si>
    <t xml:space="preserve">Total semestral Hilo Poliéster crudo </t>
  </si>
  <si>
    <t xml:space="preserve">Total trimestral Hilo Poliéster crudo </t>
  </si>
  <si>
    <t>Trimestre</t>
  </si>
  <si>
    <t>I</t>
  </si>
  <si>
    <t>II</t>
  </si>
  <si>
    <t>III</t>
  </si>
  <si>
    <t>IV</t>
  </si>
  <si>
    <t xml:space="preserve"> Hilo Poliéster(Y) </t>
  </si>
  <si>
    <t xml:space="preserve">Año </t>
  </si>
  <si>
    <t>X^2</t>
  </si>
  <si>
    <t>Y^2</t>
  </si>
  <si>
    <t>XY</t>
  </si>
  <si>
    <t>DATO</t>
  </si>
  <si>
    <t>Totales</t>
  </si>
  <si>
    <t>ENE</t>
  </si>
  <si>
    <t>FEB</t>
  </si>
  <si>
    <t xml:space="preserve">MAR </t>
  </si>
  <si>
    <t>ABR</t>
  </si>
  <si>
    <t>MAY</t>
  </si>
  <si>
    <t>JUN</t>
  </si>
  <si>
    <t>JUL</t>
  </si>
  <si>
    <t>AGO</t>
  </si>
  <si>
    <t>SEP</t>
  </si>
  <si>
    <t>OCT</t>
  </si>
  <si>
    <t>NOV</t>
  </si>
  <si>
    <t>Lead Time (promedio)</t>
  </si>
  <si>
    <t>Lead Time (Desv. Std.)</t>
  </si>
  <si>
    <t>Clasificación</t>
  </si>
  <si>
    <t>Demanda Promedio</t>
  </si>
  <si>
    <t>Variabilidad de la demanda</t>
  </si>
  <si>
    <t>Variabilidad del Proveedor</t>
  </si>
  <si>
    <t>Stock de seguridad</t>
  </si>
  <si>
    <t>Exceso de Inventario</t>
  </si>
  <si>
    <t>Ahorro</t>
  </si>
  <si>
    <t>CONSUMO NETO</t>
  </si>
  <si>
    <t>DIC</t>
  </si>
  <si>
    <t>AÑO</t>
  </si>
  <si>
    <t>PRODUCTO</t>
  </si>
  <si>
    <t>Hilo Poliester 150/48 Tex CLARO</t>
  </si>
  <si>
    <t>Hilo Poliester 150/48 Tex Claro</t>
  </si>
  <si>
    <t>Hilo Poliester 150/48 Tex Obscuro</t>
  </si>
  <si>
    <t>Diferencia Obscuro</t>
  </si>
  <si>
    <t>Diferencia cuadrado Obscuro</t>
  </si>
  <si>
    <t>Diferencia Claro</t>
  </si>
  <si>
    <t>Diferencia cuadrado Claro</t>
  </si>
  <si>
    <t>Lead Time Crudo</t>
  </si>
  <si>
    <t>Lead Time Claro</t>
  </si>
  <si>
    <t>nº Muestras</t>
  </si>
  <si>
    <t>Lead Time Obscurso</t>
  </si>
  <si>
    <t>Diferencia cuadrado Crudo</t>
  </si>
  <si>
    <t>Diferencia Crudo</t>
  </si>
  <si>
    <t>Demanda Estimada (necesito para el consumo</t>
  </si>
  <si>
    <t>Desv. Est.</t>
  </si>
  <si>
    <t>Inventario (kg)</t>
  </si>
  <si>
    <t>Tránsito (kg)</t>
  </si>
  <si>
    <t>COSTO (kg)</t>
  </si>
  <si>
    <t>% Consumo de meses al año</t>
  </si>
  <si>
    <t>Tiempo desde que ingresan las materias primas , hasta que se envian como productos terminados</t>
  </si>
  <si>
    <t>consumos al año</t>
  </si>
  <si>
    <t>Correlación</t>
  </si>
  <si>
    <t xml:space="preserve">α  = </t>
  </si>
  <si>
    <t>Per.+antiguo</t>
  </si>
  <si>
    <t xml:space="preserve">para valores de a y b </t>
  </si>
  <si>
    <t>Per. Anterior</t>
  </si>
  <si>
    <t>Per.+reciente</t>
  </si>
  <si>
    <t>Promedio Móvil simple</t>
  </si>
  <si>
    <t>Promedio Móvil ponderado</t>
  </si>
  <si>
    <t>ERROR =</t>
  </si>
  <si>
    <t xml:space="preserve">SME= </t>
  </si>
  <si>
    <t>Coeficientes para Min. Cuadrados (Regresión lineal)</t>
  </si>
  <si>
    <t>a=</t>
  </si>
  <si>
    <t>MEJOR PRONOSTICO</t>
  </si>
  <si>
    <t>b=</t>
  </si>
  <si>
    <t>ERROR DE LA MEDIA CUADRÁTICA -SME</t>
  </si>
  <si>
    <t>Nilotex scc</t>
  </si>
  <si>
    <t>de 3 MESES</t>
  </si>
  <si>
    <t xml:space="preserve">Reg. Lineal arroja el mejor pronóstico, ya que presenta un menor nivel de error; sin embargo, </t>
  </si>
  <si>
    <t xml:space="preserve">Error ajuste de tendencia </t>
  </si>
  <si>
    <t>Error Promedio Móvil Ponderado</t>
  </si>
  <si>
    <t>Error Promedio Ponderado Exponencial</t>
  </si>
  <si>
    <t>Ponderación Trimestral</t>
  </si>
  <si>
    <t>Valor mensualizado de tiempo</t>
  </si>
  <si>
    <t>Error Promedio Simple</t>
  </si>
  <si>
    <t>Ajuste de Tendencia (Mín. Cuadrados)</t>
  </si>
  <si>
    <t>Hilo Poliéster 150/48 Tex Claro</t>
  </si>
  <si>
    <t>Hilo Poliéster 150/48 Tex Obscuro</t>
  </si>
  <si>
    <t>Pronóstico por Regresión Lineal</t>
  </si>
  <si>
    <t xml:space="preserve">Reg. Lineal arroja el mejor pronóstico, ya que presenta un menor nivel de error. </t>
  </si>
  <si>
    <t>PRONÓSTICO (Kg)</t>
  </si>
  <si>
    <t>TIPO/TONO</t>
  </si>
  <si>
    <t>Total Trimestral Hilo Poliester 300/96 Tex Crudo</t>
  </si>
  <si>
    <t>Total Trimestral Hilo Poliéster 150/48 Tex Azul Mari Reb</t>
  </si>
  <si>
    <t>Total Trimestral Hilo Poliéster 150/48 Tex Salmón</t>
  </si>
  <si>
    <t xml:space="preserve">Total Trimestral Hilo Poliéster </t>
  </si>
  <si>
    <t>Promedio Ponderado Exponenecial</t>
  </si>
  <si>
    <t xml:space="preserve">Total Anual Hilo Poliéster </t>
  </si>
  <si>
    <t xml:space="preserve">Representación Lineal </t>
  </si>
  <si>
    <t>Análisis FODA</t>
  </si>
  <si>
    <t>Fortalezas</t>
  </si>
  <si>
    <t>Oportunidades</t>
  </si>
  <si>
    <r>
      <t>·</t>
    </r>
    <r>
      <rPr>
        <sz val="7"/>
        <rFont val="Times New Roman"/>
        <family val="1"/>
      </rPr>
      <t xml:space="preserve">         </t>
    </r>
    <r>
      <rPr>
        <sz val="12"/>
        <rFont val="Times New Roman"/>
        <family val="1"/>
      </rPr>
      <t xml:space="preserve">Una imagen positiva a nivel             </t>
    </r>
    <r>
      <rPr>
        <sz val="12"/>
        <color theme="0"/>
        <rFont val="Times New Roman"/>
        <family val="1"/>
      </rPr>
      <t>.</t>
    </r>
    <r>
      <rPr>
        <sz val="12"/>
        <rFont val="Times New Roman"/>
        <family val="1"/>
      </rPr>
      <t xml:space="preserve">      </t>
    </r>
    <r>
      <rPr>
        <sz val="12"/>
        <color theme="0"/>
        <rFont val="Times New Roman"/>
        <family val="1"/>
      </rPr>
      <t xml:space="preserve">. </t>
    </r>
    <r>
      <rPr>
        <sz val="12"/>
        <rFont val="Times New Roman"/>
        <family val="1"/>
      </rPr>
      <t xml:space="preserve">     nacional </t>
    </r>
  </si>
  <si>
    <r>
      <t>·</t>
    </r>
    <r>
      <rPr>
        <sz val="7"/>
        <rFont val="Times New Roman"/>
        <family val="1"/>
      </rPr>
      <t xml:space="preserve">         </t>
    </r>
    <r>
      <rPr>
        <sz val="12"/>
        <rFont val="Times New Roman"/>
        <family val="1"/>
      </rPr>
      <t xml:space="preserve">El crecimiento económico por el       </t>
    </r>
    <r>
      <rPr>
        <sz val="12"/>
        <color theme="0"/>
        <rFont val="Times New Roman"/>
        <family val="1"/>
      </rPr>
      <t>.</t>
    </r>
    <r>
      <rPr>
        <sz val="12"/>
        <rFont val="Times New Roman"/>
        <family val="1"/>
      </rPr>
      <t xml:space="preserve">     </t>
    </r>
    <r>
      <rPr>
        <sz val="12"/>
        <color theme="0"/>
        <rFont val="Times New Roman"/>
        <family val="1"/>
      </rPr>
      <t>.</t>
    </r>
    <r>
      <rPr>
        <sz val="12"/>
        <rFont val="Times New Roman"/>
        <family val="1"/>
      </rPr>
      <t xml:space="preserve">     cambio de la matriz productiva.</t>
    </r>
  </si>
  <si>
    <r>
      <t>·</t>
    </r>
    <r>
      <rPr>
        <sz val="7"/>
        <rFont val="Times New Roman"/>
        <family val="1"/>
      </rPr>
      <t xml:space="preserve">        </t>
    </r>
    <r>
      <rPr>
        <sz val="12"/>
        <rFont val="Times New Roman"/>
        <family val="1"/>
      </rPr>
      <t xml:space="preserve">Capacidad en liderazgo y                  </t>
    </r>
    <r>
      <rPr>
        <sz val="12"/>
        <color theme="0"/>
        <rFont val="Times New Roman"/>
        <family val="1"/>
      </rPr>
      <t xml:space="preserve">. </t>
    </r>
    <r>
      <rPr>
        <sz val="12"/>
        <rFont val="Times New Roman"/>
        <family val="1"/>
      </rPr>
      <t xml:space="preserve">    </t>
    </r>
    <r>
      <rPr>
        <sz val="12"/>
        <color theme="0"/>
        <rFont val="Times New Roman"/>
        <family val="1"/>
      </rPr>
      <t xml:space="preserve">. </t>
    </r>
    <r>
      <rPr>
        <sz val="12"/>
        <rFont val="Times New Roman"/>
        <family val="1"/>
      </rPr>
      <t xml:space="preserve">    experiencia</t>
    </r>
  </si>
  <si>
    <r>
      <t>·</t>
    </r>
    <r>
      <rPr>
        <sz val="7"/>
        <rFont val="Times New Roman"/>
        <family val="1"/>
      </rPr>
      <t xml:space="preserve">         </t>
    </r>
    <r>
      <rPr>
        <sz val="12"/>
        <rFont val="Times New Roman"/>
        <family val="1"/>
      </rPr>
      <t xml:space="preserve">La posibilidad de formar convenios    </t>
    </r>
    <r>
      <rPr>
        <sz val="12"/>
        <color theme="0"/>
        <rFont val="Times New Roman"/>
        <family val="1"/>
      </rPr>
      <t>.</t>
    </r>
    <r>
      <rPr>
        <sz val="12"/>
        <rFont val="Times New Roman"/>
        <family val="1"/>
      </rPr>
      <t xml:space="preserve">     </t>
    </r>
    <r>
      <rPr>
        <sz val="12"/>
        <color theme="0"/>
        <rFont val="Times New Roman"/>
        <family val="1"/>
      </rPr>
      <t xml:space="preserve">. </t>
    </r>
    <r>
      <rPr>
        <sz val="12"/>
        <rFont val="Times New Roman"/>
        <family val="1"/>
      </rPr>
      <t xml:space="preserve">    de cooperación entre empresas de la </t>
    </r>
    <r>
      <rPr>
        <sz val="12"/>
        <color theme="0"/>
        <rFont val="Times New Roman"/>
        <family val="1"/>
      </rPr>
      <t>.</t>
    </r>
    <r>
      <rPr>
        <sz val="12"/>
        <rFont val="Times New Roman"/>
        <family val="1"/>
      </rPr>
      <t xml:space="preserve">     </t>
    </r>
    <r>
      <rPr>
        <sz val="12"/>
        <color theme="0"/>
        <rFont val="Times New Roman"/>
        <family val="1"/>
      </rPr>
      <t>.</t>
    </r>
    <r>
      <rPr>
        <sz val="12"/>
        <rFont val="Times New Roman"/>
        <family val="1"/>
      </rPr>
      <t xml:space="preserve">      industria.</t>
    </r>
  </si>
  <si>
    <r>
      <t>·</t>
    </r>
    <r>
      <rPr>
        <sz val="7"/>
        <rFont val="Times New Roman"/>
        <family val="1"/>
      </rPr>
      <t xml:space="preserve">         </t>
    </r>
    <r>
      <rPr>
        <sz val="12"/>
        <rFont val="Times New Roman"/>
        <family val="1"/>
      </rPr>
      <t xml:space="preserve">Bajo Stock de inventarios,             </t>
    </r>
    <r>
      <rPr>
        <sz val="12"/>
        <color theme="0"/>
        <rFont val="Times New Roman"/>
        <family val="1"/>
      </rPr>
      <t>.</t>
    </r>
    <r>
      <rPr>
        <sz val="12"/>
        <rFont val="Times New Roman"/>
        <family val="1"/>
      </rPr>
      <t xml:space="preserve">   </t>
    </r>
    <r>
      <rPr>
        <sz val="12"/>
        <color theme="0"/>
        <rFont val="Times New Roman"/>
        <family val="1"/>
      </rPr>
      <t xml:space="preserve">  .</t>
    </r>
    <r>
      <rPr>
        <sz val="12"/>
        <rFont val="Times New Roman"/>
        <family val="1"/>
      </rPr>
      <t xml:space="preserve">   </t>
    </r>
    <r>
      <rPr>
        <sz val="12"/>
        <color theme="0"/>
        <rFont val="Times New Roman"/>
        <family val="1"/>
      </rPr>
      <t>.</t>
    </r>
    <r>
      <rPr>
        <sz val="12"/>
        <rFont val="Times New Roman"/>
        <family val="1"/>
      </rPr>
      <t xml:space="preserve">     fabricación bajo pedido</t>
    </r>
  </si>
  <si>
    <r>
      <t>·</t>
    </r>
    <r>
      <rPr>
        <sz val="7"/>
        <rFont val="Times New Roman"/>
        <family val="1"/>
      </rPr>
      <t xml:space="preserve">         </t>
    </r>
    <r>
      <rPr>
        <sz val="12"/>
        <rFont val="Times New Roman"/>
        <family val="1"/>
      </rPr>
      <t>Gran capacidad de emprendimiento</t>
    </r>
  </si>
  <si>
    <r>
      <t>·</t>
    </r>
    <r>
      <rPr>
        <sz val="7"/>
        <rFont val="Times New Roman"/>
        <family val="1"/>
      </rPr>
      <t xml:space="preserve">         </t>
    </r>
    <r>
      <rPr>
        <sz val="12"/>
        <rFont val="Times New Roman"/>
        <family val="1"/>
      </rPr>
      <t xml:space="preserve">Liquidez y solvencia </t>
    </r>
  </si>
  <si>
    <r>
      <rPr>
        <sz val="18"/>
        <rFont val="Times New Roman"/>
        <family val="1"/>
      </rPr>
      <t>•</t>
    </r>
    <r>
      <rPr>
        <sz val="12"/>
        <rFont val="Times New Roman"/>
        <family val="1"/>
      </rPr>
      <t xml:space="preserve">    Innovación de productos           </t>
    </r>
    <r>
      <rPr>
        <sz val="12"/>
        <color theme="0"/>
        <rFont val="Times New Roman"/>
        <family val="1"/>
      </rPr>
      <t xml:space="preserve"> ,</t>
    </r>
    <r>
      <rPr>
        <sz val="12"/>
        <rFont val="Times New Roman"/>
        <family val="1"/>
      </rPr>
      <t xml:space="preserve">     </t>
    </r>
    <r>
      <rPr>
        <sz val="12"/>
        <color theme="0"/>
        <rFont val="Times New Roman"/>
        <family val="1"/>
      </rPr>
      <t>.</t>
    </r>
    <r>
      <rPr>
        <sz val="12"/>
        <rFont val="Times New Roman"/>
        <family val="1"/>
      </rPr>
      <t xml:space="preserve">     </t>
    </r>
    <r>
      <rPr>
        <sz val="12"/>
        <color theme="0"/>
        <rFont val="Times New Roman"/>
        <family val="1"/>
      </rPr>
      <t xml:space="preserve">. </t>
    </r>
    <r>
      <rPr>
        <sz val="12"/>
        <rFont val="Times New Roman"/>
        <family val="1"/>
      </rPr>
      <t xml:space="preserve">    proveedores </t>
    </r>
  </si>
  <si>
    <r>
      <t>·</t>
    </r>
    <r>
      <rPr>
        <sz val="7"/>
        <rFont val="Times New Roman"/>
        <family val="1"/>
      </rPr>
      <t xml:space="preserve">         </t>
    </r>
    <r>
      <rPr>
        <sz val="12"/>
        <rFont val="Times New Roman"/>
        <family val="1"/>
      </rPr>
      <t>Productos con calidad ISO</t>
    </r>
  </si>
  <si>
    <r>
      <rPr>
        <sz val="18"/>
        <rFont val="Times New Roman"/>
        <family val="1"/>
      </rPr>
      <t>•</t>
    </r>
    <r>
      <rPr>
        <sz val="12"/>
        <rFont val="Times New Roman"/>
        <family val="1"/>
      </rPr>
      <t xml:space="preserve">     Adquisición de tecnología avanzada </t>
    </r>
  </si>
  <si>
    <r>
      <t>·</t>
    </r>
    <r>
      <rPr>
        <sz val="7"/>
        <rFont val="Times New Roman"/>
        <family val="1"/>
      </rPr>
      <t xml:space="preserve">         </t>
    </r>
    <r>
      <rPr>
        <sz val="12"/>
        <rFont val="Times New Roman"/>
        <family val="1"/>
      </rPr>
      <t>Maquinaria y Tecnología</t>
    </r>
  </si>
  <si>
    <r>
      <t>·</t>
    </r>
    <r>
      <rPr>
        <sz val="7"/>
        <rFont val="Times New Roman"/>
        <family val="1"/>
      </rPr>
      <t xml:space="preserve">         </t>
    </r>
    <r>
      <rPr>
        <sz val="12"/>
        <rFont val="Times New Roman"/>
        <family val="1"/>
      </rPr>
      <t>Amplia Gama de productos</t>
    </r>
  </si>
  <si>
    <r>
      <t>·</t>
    </r>
    <r>
      <rPr>
        <sz val="7"/>
        <rFont val="Times New Roman"/>
        <family val="1"/>
      </rPr>
      <t>       </t>
    </r>
    <r>
      <rPr>
        <sz val="12"/>
        <rFont val="Times New Roman"/>
        <family val="1"/>
      </rPr>
      <t xml:space="preserve"> Manejar proveedores                     </t>
    </r>
    <r>
      <rPr>
        <sz val="12"/>
        <color theme="0"/>
        <rFont val="Times New Roman"/>
        <family val="1"/>
      </rPr>
      <t>.</t>
    </r>
    <r>
      <rPr>
        <sz val="12"/>
        <rFont val="Times New Roman"/>
        <family val="1"/>
      </rPr>
      <t xml:space="preserve">      </t>
    </r>
    <r>
      <rPr>
        <sz val="12"/>
        <color theme="0"/>
        <rFont val="Times New Roman"/>
        <family val="1"/>
      </rPr>
      <t xml:space="preserve">. </t>
    </r>
    <r>
      <rPr>
        <sz val="12"/>
        <rFont val="Times New Roman"/>
        <family val="1"/>
      </rPr>
      <t xml:space="preserve">    internacionales</t>
    </r>
  </si>
  <si>
    <r>
      <t>·</t>
    </r>
    <r>
      <rPr>
        <sz val="7"/>
        <rFont val="Times New Roman"/>
        <family val="1"/>
      </rPr>
      <t xml:space="preserve">         </t>
    </r>
    <r>
      <rPr>
        <sz val="12"/>
        <rFont val="Times New Roman"/>
        <family val="1"/>
      </rPr>
      <t xml:space="preserve">Excelente Ubicación </t>
    </r>
  </si>
  <si>
    <t>Debilidades</t>
  </si>
  <si>
    <t>Amenazas</t>
  </si>
  <si>
    <r>
      <t>·</t>
    </r>
    <r>
      <rPr>
        <sz val="7"/>
        <color theme="1"/>
        <rFont val="Times New Roman"/>
        <family val="1"/>
      </rPr>
      <t xml:space="preserve">         </t>
    </r>
    <r>
      <rPr>
        <sz val="12"/>
        <color theme="1"/>
        <rFont val="Times New Roman"/>
        <family val="1"/>
      </rPr>
      <t xml:space="preserve">Sus día de cobro son mayores que </t>
    </r>
    <r>
      <rPr>
        <sz val="12"/>
        <color theme="0"/>
        <rFont val="Times New Roman"/>
        <family val="1"/>
      </rPr>
      <t xml:space="preserve">. </t>
    </r>
    <r>
      <rPr>
        <sz val="12"/>
        <color theme="1"/>
        <rFont val="Times New Roman"/>
        <family val="1"/>
      </rPr>
      <t xml:space="preserve">    .  </t>
    </r>
    <r>
      <rPr>
        <sz val="12"/>
        <color theme="0"/>
        <rFont val="Times New Roman"/>
        <family val="1"/>
      </rPr>
      <t xml:space="preserve">. </t>
    </r>
    <r>
      <rPr>
        <sz val="12"/>
        <color theme="1"/>
        <rFont val="Times New Roman"/>
        <family val="1"/>
      </rPr>
      <t xml:space="preserve">     sus días de pago.  </t>
    </r>
  </si>
  <si>
    <r>
      <t>·</t>
    </r>
    <r>
      <rPr>
        <sz val="7"/>
        <color theme="1"/>
        <rFont val="Times New Roman"/>
        <family val="1"/>
      </rPr>
      <t xml:space="preserve">            </t>
    </r>
    <r>
      <rPr>
        <sz val="12"/>
        <color theme="1"/>
        <rFont val="Times New Roman"/>
        <family val="1"/>
      </rPr>
      <t xml:space="preserve">La entrada de productos               </t>
    </r>
    <r>
      <rPr>
        <sz val="12"/>
        <color theme="0"/>
        <rFont val="Times New Roman"/>
        <family val="1"/>
      </rPr>
      <t xml:space="preserve">. </t>
    </r>
    <r>
      <rPr>
        <sz val="12"/>
        <color theme="1"/>
        <rFont val="Times New Roman"/>
        <family val="1"/>
      </rPr>
      <t xml:space="preserve">        </t>
    </r>
    <r>
      <rPr>
        <sz val="12"/>
        <color theme="0"/>
        <rFont val="Times New Roman"/>
        <family val="1"/>
      </rPr>
      <t>.</t>
    </r>
    <r>
      <rPr>
        <sz val="12"/>
        <color theme="1"/>
        <rFont val="Times New Roman"/>
        <family val="1"/>
      </rPr>
      <t xml:space="preserve">       colombianos o peruanos. </t>
    </r>
  </si>
  <si>
    <r>
      <t>·</t>
    </r>
    <r>
      <rPr>
        <sz val="7"/>
        <color theme="1"/>
        <rFont val="Times New Roman"/>
        <family val="1"/>
      </rPr>
      <t xml:space="preserve">         </t>
    </r>
    <r>
      <rPr>
        <sz val="12"/>
        <color theme="1"/>
        <rFont val="Times New Roman"/>
        <family val="1"/>
      </rPr>
      <t xml:space="preserve">Confusión entre Misión                      </t>
    </r>
    <r>
      <rPr>
        <sz val="12"/>
        <color theme="0"/>
        <rFont val="Times New Roman"/>
        <family val="1"/>
      </rPr>
      <t>.</t>
    </r>
    <r>
      <rPr>
        <sz val="12"/>
        <color theme="1"/>
        <rFont val="Times New Roman"/>
        <family val="1"/>
      </rPr>
      <t xml:space="preserve">     </t>
    </r>
    <r>
      <rPr>
        <sz val="12"/>
        <color theme="0"/>
        <rFont val="Times New Roman"/>
        <family val="1"/>
      </rPr>
      <t>.</t>
    </r>
    <r>
      <rPr>
        <sz val="12"/>
        <color theme="1"/>
        <rFont val="Times New Roman"/>
        <family val="1"/>
      </rPr>
      <t xml:space="preserve">      y Principios empresariales</t>
    </r>
  </si>
  <si>
    <r>
      <t>·</t>
    </r>
    <r>
      <rPr>
        <sz val="7"/>
        <color theme="1"/>
        <rFont val="Times New Roman"/>
        <family val="1"/>
      </rPr>
      <t>            </t>
    </r>
    <r>
      <rPr>
        <sz val="12"/>
        <color theme="1"/>
        <rFont val="Times New Roman"/>
        <family val="1"/>
      </rPr>
      <t>La apreciación del valor del dólar  (cultura de compra basada en precios)</t>
    </r>
  </si>
  <si>
    <r>
      <t>·</t>
    </r>
    <r>
      <rPr>
        <sz val="7"/>
        <color theme="1"/>
        <rFont val="Times New Roman"/>
        <family val="1"/>
      </rPr>
      <t>         </t>
    </r>
    <r>
      <rPr>
        <sz val="12"/>
        <color theme="1"/>
        <rFont val="Times New Roman"/>
        <family val="1"/>
      </rPr>
      <t>Falta</t>
    </r>
    <r>
      <rPr>
        <sz val="7"/>
        <color theme="1"/>
        <rFont val="Times New Roman"/>
        <family val="1"/>
      </rPr>
      <t xml:space="preserve">  </t>
    </r>
    <r>
      <rPr>
        <sz val="12"/>
        <color theme="1"/>
        <rFont val="Times New Roman"/>
        <family val="1"/>
      </rPr>
      <t xml:space="preserve">Indicadores cuantificables de  </t>
    </r>
    <r>
      <rPr>
        <sz val="12"/>
        <color theme="0"/>
        <rFont val="Times New Roman"/>
        <family val="1"/>
      </rPr>
      <t xml:space="preserve">.   .     .     </t>
    </r>
    <r>
      <rPr>
        <sz val="12"/>
        <color theme="1"/>
        <rFont val="Times New Roman"/>
        <family val="1"/>
      </rPr>
      <t xml:space="preserve">tiempo y calidad, en Misión y           </t>
    </r>
    <r>
      <rPr>
        <sz val="12"/>
        <color theme="0"/>
        <rFont val="Times New Roman"/>
        <family val="1"/>
      </rPr>
      <t xml:space="preserve">. </t>
    </r>
    <r>
      <rPr>
        <sz val="12"/>
        <color theme="1"/>
        <rFont val="Times New Roman"/>
        <family val="1"/>
      </rPr>
      <t xml:space="preserve">    </t>
    </r>
    <r>
      <rPr>
        <sz val="12"/>
        <color theme="0"/>
        <rFont val="Times New Roman"/>
        <family val="1"/>
      </rPr>
      <t>.</t>
    </r>
    <r>
      <rPr>
        <sz val="12"/>
        <color theme="1"/>
        <rFont val="Times New Roman"/>
        <family val="1"/>
      </rPr>
      <t xml:space="preserve">      Visión. </t>
    </r>
  </si>
  <si>
    <r>
      <t>·</t>
    </r>
    <r>
      <rPr>
        <sz val="7"/>
        <color theme="1"/>
        <rFont val="Times New Roman"/>
        <family val="1"/>
      </rPr>
      <t>            </t>
    </r>
    <r>
      <rPr>
        <sz val="12"/>
        <color theme="1"/>
        <rFont val="Times New Roman"/>
        <family val="1"/>
      </rPr>
      <t xml:space="preserve">Los factores climáticos son una     </t>
    </r>
    <r>
      <rPr>
        <sz val="12"/>
        <color theme="0"/>
        <rFont val="Times New Roman"/>
        <family val="1"/>
      </rPr>
      <t>.</t>
    </r>
    <r>
      <rPr>
        <sz val="12"/>
        <color theme="1"/>
        <rFont val="Times New Roman"/>
        <family val="1"/>
      </rPr>
      <t xml:space="preserve">         </t>
    </r>
    <r>
      <rPr>
        <sz val="12"/>
        <color theme="0"/>
        <rFont val="Times New Roman"/>
        <family val="1"/>
      </rPr>
      <t>.</t>
    </r>
    <r>
      <rPr>
        <sz val="12"/>
        <color theme="1"/>
        <rFont val="Times New Roman"/>
        <family val="1"/>
      </rPr>
      <t xml:space="preserve">       fuerte amenaza para la industria.</t>
    </r>
  </si>
  <si>
    <r>
      <t>·</t>
    </r>
    <r>
      <rPr>
        <sz val="7"/>
        <color theme="1"/>
        <rFont val="Times New Roman"/>
        <family val="1"/>
      </rPr>
      <t>         </t>
    </r>
    <r>
      <rPr>
        <sz val="12"/>
        <color theme="1"/>
        <rFont val="Times New Roman"/>
        <family val="1"/>
      </rPr>
      <t xml:space="preserve">Falta de un pronóstico, agil que le </t>
    </r>
    <r>
      <rPr>
        <sz val="12"/>
        <color theme="0"/>
        <rFont val="Times New Roman"/>
        <family val="1"/>
      </rPr>
      <t>.</t>
    </r>
    <r>
      <rPr>
        <sz val="12"/>
        <color theme="1"/>
        <rFont val="Times New Roman"/>
        <family val="1"/>
      </rPr>
      <t xml:space="preserve">             </t>
    </r>
    <r>
      <rPr>
        <sz val="12"/>
        <color theme="0"/>
        <rFont val="Times New Roman"/>
        <family val="1"/>
      </rPr>
      <t xml:space="preserve">. </t>
    </r>
    <r>
      <rPr>
        <sz val="12"/>
        <color theme="1"/>
        <rFont val="Times New Roman"/>
        <family val="1"/>
      </rPr>
      <t xml:space="preserve">     permita tamar decisiones rapidas.</t>
    </r>
  </si>
  <si>
    <r>
      <rPr>
        <sz val="18"/>
        <color theme="1"/>
        <rFont val="Times New Roman"/>
        <family val="1"/>
      </rPr>
      <t>•</t>
    </r>
    <r>
      <rPr>
        <sz val="12"/>
        <color theme="1"/>
        <rFont val="Times New Roman"/>
        <family val="1"/>
      </rPr>
      <t xml:space="preserve">     Cambio en los hábitos en los          </t>
    </r>
    <r>
      <rPr>
        <sz val="12"/>
        <color theme="0"/>
        <rFont val="Times New Roman"/>
        <family val="1"/>
      </rPr>
      <t xml:space="preserve">.  </t>
    </r>
    <r>
      <rPr>
        <sz val="12"/>
        <color theme="1"/>
        <rFont val="Times New Roman"/>
        <family val="1"/>
      </rPr>
      <t xml:space="preserve">      </t>
    </r>
    <r>
      <rPr>
        <sz val="12"/>
        <color theme="0"/>
        <rFont val="Times New Roman"/>
        <family val="1"/>
      </rPr>
      <t>.</t>
    </r>
    <r>
      <rPr>
        <sz val="12"/>
        <color theme="1"/>
        <rFont val="Times New Roman"/>
        <family val="1"/>
      </rPr>
      <t xml:space="preserve">      consumidores.</t>
    </r>
  </si>
  <si>
    <r>
      <t>·</t>
    </r>
    <r>
      <rPr>
        <sz val="7"/>
        <color theme="1"/>
        <rFont val="Times New Roman"/>
        <family val="1"/>
      </rPr>
      <t xml:space="preserve">           </t>
    </r>
    <r>
      <rPr>
        <sz val="12"/>
        <color theme="1"/>
        <rFont val="Times New Roman"/>
        <family val="1"/>
      </rPr>
      <t xml:space="preserve">Las medidas políticas como tasas  </t>
    </r>
    <r>
      <rPr>
        <sz val="12"/>
        <color theme="0"/>
        <rFont val="Times New Roman"/>
        <family val="1"/>
      </rPr>
      <t>.</t>
    </r>
    <r>
      <rPr>
        <sz val="12"/>
        <color theme="1"/>
        <rFont val="Times New Roman"/>
        <family val="1"/>
      </rPr>
      <t xml:space="preserve">        </t>
    </r>
    <r>
      <rPr>
        <sz val="12"/>
        <color theme="0"/>
        <rFont val="Times New Roman"/>
        <family val="1"/>
      </rPr>
      <t>.</t>
    </r>
    <r>
      <rPr>
        <sz val="12"/>
        <color theme="1"/>
        <rFont val="Times New Roman"/>
        <family val="1"/>
      </rPr>
      <t xml:space="preserve">      arancelarias y la eliminación de       </t>
    </r>
    <r>
      <rPr>
        <sz val="12"/>
        <color theme="0"/>
        <rFont val="Times New Roman"/>
        <family val="1"/>
      </rPr>
      <t xml:space="preserve">. </t>
    </r>
    <r>
      <rPr>
        <sz val="12"/>
        <color theme="1"/>
        <rFont val="Times New Roman"/>
        <family val="1"/>
      </rPr>
      <t xml:space="preserve">       </t>
    </r>
    <r>
      <rPr>
        <sz val="12"/>
        <color theme="0"/>
        <rFont val="Times New Roman"/>
        <family val="1"/>
      </rPr>
      <t>.</t>
    </r>
    <r>
      <rPr>
        <sz val="12"/>
        <color theme="1"/>
        <rFont val="Times New Roman"/>
        <family val="1"/>
      </rPr>
      <t xml:space="preserve">      subsidios.</t>
    </r>
  </si>
  <si>
    <r>
      <t>·</t>
    </r>
    <r>
      <rPr>
        <sz val="7"/>
        <color theme="1"/>
        <rFont val="Times New Roman"/>
        <family val="1"/>
      </rPr>
      <t>           </t>
    </r>
    <r>
      <rPr>
        <sz val="12"/>
        <color theme="1"/>
        <rFont val="Times New Roman"/>
        <family val="1"/>
      </rPr>
      <t xml:space="preserve">Aumento del salario mínimo y las  </t>
    </r>
    <r>
      <rPr>
        <sz val="12"/>
        <color theme="0"/>
        <rFont val="Times New Roman"/>
        <family val="1"/>
      </rPr>
      <t>.</t>
    </r>
    <r>
      <rPr>
        <sz val="12"/>
        <color theme="1"/>
        <rFont val="Times New Roman"/>
        <family val="1"/>
      </rPr>
      <t xml:space="preserve">         </t>
    </r>
    <r>
      <rPr>
        <sz val="12"/>
        <color theme="0"/>
        <rFont val="Times New Roman"/>
        <family val="1"/>
      </rPr>
      <t>.</t>
    </r>
    <r>
      <rPr>
        <sz val="12"/>
        <color theme="1"/>
        <rFont val="Times New Roman"/>
        <family val="1"/>
      </rPr>
      <t xml:space="preserve">      medidas de estabilidad jubilaríal .</t>
    </r>
  </si>
  <si>
    <t>FABRICACIÓN DE PRODUCTOS TEXTILES, PRENDAS DE VESTIR; FABRICACIÓN DE CUERO Y ARTÍCULOS DE CUERO</t>
  </si>
  <si>
    <t>14                                                              </t>
  </si>
  <si>
    <t>Fabricación de productos textiles, prendas de vestir; fabricación de cuero, productos de cuero y calzado</t>
  </si>
  <si>
    <t xml:space="preserve">   Valor Agregado Bruto de la Industria Textil</t>
  </si>
  <si>
    <t>% FABRICACIÓN DE PRODUCTOS TEXTILES, PRENDAS DE VESTIR; FABRICACIÓN DE CUERO Y ARTÍCULOS DE CUERO (C13)</t>
  </si>
  <si>
    <r>
      <rPr>
        <b/>
        <sz val="12"/>
        <color theme="1"/>
        <rFont val="Calibri"/>
        <family val="2"/>
        <scheme val="minor"/>
      </rPr>
      <t>FUENTE:</t>
    </r>
    <r>
      <rPr>
        <sz val="12"/>
        <color theme="1"/>
        <rFont val="Calibri"/>
        <family val="2"/>
        <scheme val="minor"/>
      </rPr>
      <t xml:space="preserve"> Cuentas Nacionales (Banco Central del Ecuador)(CIIU: C13)</t>
    </r>
  </si>
  <si>
    <r>
      <rPr>
        <b/>
        <sz val="12"/>
        <color theme="1"/>
        <rFont val="Calibri"/>
        <family val="2"/>
        <scheme val="minor"/>
      </rPr>
      <t>ELABORACIÓN:</t>
    </r>
    <r>
      <rPr>
        <sz val="12"/>
        <color theme="1"/>
        <rFont val="Calibri"/>
        <family val="2"/>
        <scheme val="minor"/>
      </rPr>
      <t xml:space="preserve"> Juan Francisco Nicolalde</t>
    </r>
  </si>
  <si>
    <t>% Valor Agregado bruto de la Industria textil</t>
  </si>
  <si>
    <t>http://sintesis.bce.ec:8080/BOE/BI/logon/start.do?ivsLogonToken=bceqsappbo01:6400@273452J2fZ3t4MLv4D02jvzf36Ork273450JzLD1RfITveffqdo5DL10DI</t>
  </si>
  <si>
    <t xml:space="preserve">Reg. Lineal promedio móvil ponderado arroja el mejor pronóstico, ya que presenta un menor nivel de error. </t>
  </si>
  <si>
    <t>Per.Antiguo</t>
  </si>
  <si>
    <t>Per.Último</t>
  </si>
  <si>
    <t>TOTAL</t>
  </si>
  <si>
    <t>Per.Primer</t>
  </si>
  <si>
    <t>MEJOR PRONÓSTICO</t>
  </si>
  <si>
    <t xml:space="preserve">Reg. Lineal promedio simple arroja el mejor pronóstico, ya que presenta un menor nivel de error. </t>
  </si>
  <si>
    <t xml:space="preserve">Coeficientes para Min. Cuadrados </t>
  </si>
  <si>
    <t>a= -88027</t>
  </si>
  <si>
    <t>b= 45,282</t>
  </si>
  <si>
    <t>Per.Anterior</t>
  </si>
  <si>
    <t>Número de muestra</t>
  </si>
  <si>
    <r>
      <t xml:space="preserve">Ajuste de Tendencia </t>
    </r>
    <r>
      <rPr>
        <b/>
        <sz val="8"/>
        <color theme="1"/>
        <rFont val="Times New Roman"/>
        <family val="1"/>
      </rPr>
      <t>(Mín. Cuadrados)</t>
    </r>
  </si>
  <si>
    <t>a=88111</t>
  </si>
  <si>
    <t>b=-43,708</t>
  </si>
  <si>
    <t>Promedio Ponderado Exponencial</t>
  </si>
  <si>
    <t>a=20767</t>
  </si>
  <si>
    <t>b=-10,283</t>
  </si>
  <si>
    <t>Valor del Inventario</t>
  </si>
  <si>
    <t>Valor del inventario Optimo</t>
  </si>
  <si>
    <t>Poliester 150/48 Tex Claro</t>
  </si>
  <si>
    <t>Poliester 300/96 Tex Crudo</t>
  </si>
  <si>
    <t>Poliester 150/48 Tex Obscuro</t>
  </si>
  <si>
    <t>Inventario Optimo</t>
  </si>
  <si>
    <t>AHORRO</t>
  </si>
  <si>
    <t>Alta</t>
  </si>
  <si>
    <t>Media</t>
  </si>
  <si>
    <t>Baja</t>
  </si>
  <si>
    <t xml:space="preserve">Demanda Estimada </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</si>
</sst>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3" formatCode="_-* #,##0.00\ _€_-;\-* #,##0.00\ _€_-;_-* &quot;-&quot;??\ _€_-;_-@_-"/>
    <numFmt numFmtId="164" formatCode="###,###,###.00"/>
    <numFmt numFmtId="165" formatCode="0.0000"/>
    <numFmt numFmtId="166" formatCode="0.0%"/>
    <numFmt numFmtId="167" formatCode="_(* #,##0.00_);_(* \(#,##0.00\);_(* &quot;-&quot;??_);_(@_)"/>
    <numFmt numFmtId="168" formatCode="_(* #,##0_);_(* \(#,##0\);_(* &quot;-&quot;??_);_(@_)"/>
    <numFmt numFmtId="169" formatCode="_(&quot;$&quot;\ * #,##0.00_);_(&quot;$&quot;\ * \(#,##0.00\);_(&quot;$&quot;\ * &quot;-&quot;??_);_(@_)"/>
    <numFmt numFmtId="170" formatCode="0.0"/>
    <numFmt numFmtId="171" formatCode="###,###,###"/>
    <numFmt numFmtId="172" formatCode="0.000"/>
    <numFmt numFmtId="173" formatCode="[$$-476]#,##0.00"/>
    <numFmt numFmtId="174" formatCode="[$$-300A]\ #,##0.00"/>
  </numFmts>
  <fonts count="57" x14ac:knownFonts="1">
    <font>
      <sz val="11"/>
      <color theme="1"/>
      <name val="Calibri"/>
      <family val="2"/>
      <scheme val="minor"/>
    </font>
    <font>
      <sz val="11"/>
      <color theme="1"/>
      <name val="Calibri"/>
      <family val="2"/>
      <scheme val="minor"/>
    </font>
    <font>
      <sz val="7"/>
      <color indexed="63"/>
      <name val="Arial"/>
      <family val="2"/>
    </font>
    <font>
      <b/>
      <sz val="11"/>
      <color theme="1"/>
      <name val="Calibri"/>
      <family val="2"/>
      <scheme val="minor"/>
    </font>
    <font>
      <i/>
      <sz val="11"/>
      <color theme="1"/>
      <name val="Calibri"/>
      <family val="2"/>
      <scheme val="minor"/>
    </font>
    <font>
      <b/>
      <sz val="11"/>
      <color rgb="FF000000"/>
      <name val="Tw Cen MT"/>
      <family val="2"/>
    </font>
    <font>
      <sz val="11"/>
      <color indexed="63"/>
      <name val="Calibri"/>
      <family val="2"/>
      <scheme val="minor"/>
    </font>
    <font>
      <b/>
      <sz val="11"/>
      <color theme="1"/>
      <name val="Calibri"/>
      <family val="2"/>
    </font>
    <font>
      <sz val="11"/>
      <color rgb="FF000000"/>
      <name val="Tw Cen MT"/>
      <family val="2"/>
    </font>
    <font>
      <sz val="11"/>
      <color rgb="FF000000"/>
      <name val="Calibri"/>
      <family val="2"/>
      <scheme val="minor"/>
    </font>
    <font>
      <b/>
      <sz val="14"/>
      <color theme="1"/>
      <name val="Calibri"/>
      <family val="2"/>
      <scheme val="minor"/>
    </font>
    <font>
      <sz val="48"/>
      <color theme="1"/>
      <name val="Calibri"/>
      <family val="2"/>
      <scheme val="minor"/>
    </font>
    <font>
      <b/>
      <sz val="36"/>
      <color theme="1"/>
      <name val="Calibri"/>
      <family val="2"/>
      <scheme val="minor"/>
    </font>
    <font>
      <u/>
      <sz val="11"/>
      <color theme="10"/>
      <name val="Calibri"/>
      <family val="2"/>
      <scheme val="minor"/>
    </font>
    <font>
      <sz val="11"/>
      <name val="Calibri"/>
      <family val="2"/>
      <scheme val="minor"/>
    </font>
    <font>
      <sz val="7"/>
      <name val="Arial"/>
      <family val="2"/>
    </font>
    <font>
      <sz val="10"/>
      <name val="Calibri"/>
      <family val="2"/>
      <scheme val="minor"/>
    </font>
    <font>
      <b/>
      <sz val="11"/>
      <name val="Calibri"/>
      <family val="2"/>
      <scheme val="minor"/>
    </font>
    <font>
      <sz val="14"/>
      <color theme="1"/>
      <name val="Calibri"/>
      <family val="2"/>
      <scheme val="minor"/>
    </font>
    <font>
      <sz val="11"/>
      <color theme="1"/>
      <name val="Calibri"/>
      <family val="2"/>
    </font>
    <font>
      <sz val="10"/>
      <name val="Verdana"/>
      <family val="2"/>
    </font>
    <font>
      <b/>
      <sz val="9"/>
      <color indexed="81"/>
      <name val="Tahoma"/>
      <family val="2"/>
    </font>
    <font>
      <sz val="9"/>
      <color indexed="81"/>
      <name val="Tahoma"/>
      <family val="2"/>
    </font>
    <font>
      <sz val="11"/>
      <color theme="1"/>
      <name val="Times New Roman"/>
      <family val="1"/>
    </font>
    <font>
      <sz val="11"/>
      <color indexed="63"/>
      <name val="Times New Roman"/>
      <family val="1"/>
    </font>
    <font>
      <sz val="11"/>
      <name val="Times New Roman"/>
      <family val="1"/>
    </font>
    <font>
      <b/>
      <sz val="11"/>
      <name val="Times New Roman"/>
      <family val="1"/>
    </font>
    <font>
      <b/>
      <sz val="11"/>
      <color theme="1"/>
      <name val="Times New Roman"/>
      <family val="1"/>
    </font>
    <font>
      <sz val="10"/>
      <name val="Arial"/>
      <family val="2"/>
    </font>
    <font>
      <b/>
      <sz val="12"/>
      <color rgb="FFC00000"/>
      <name val="Arial"/>
      <family val="2"/>
    </font>
    <font>
      <sz val="8"/>
      <name val="Arial"/>
      <family val="2"/>
    </font>
    <font>
      <sz val="11"/>
      <color theme="0"/>
      <name val="Times New Roman"/>
      <family val="1"/>
    </font>
    <font>
      <b/>
      <sz val="14"/>
      <color theme="1"/>
      <name val="Times New Roman"/>
      <family val="1"/>
    </font>
    <font>
      <sz val="12"/>
      <name val="Symbol"/>
      <family val="1"/>
      <charset val="2"/>
    </font>
    <font>
      <sz val="7"/>
      <name val="Times New Roman"/>
      <family val="1"/>
    </font>
    <font>
      <sz val="12"/>
      <name val="Times New Roman"/>
      <family val="1"/>
    </font>
    <font>
      <sz val="12"/>
      <color theme="0"/>
      <name val="Times New Roman"/>
      <family val="1"/>
    </font>
    <font>
      <sz val="18"/>
      <name val="Times New Roman"/>
      <family val="1"/>
    </font>
    <font>
      <sz val="12"/>
      <color theme="1"/>
      <name val="Symbol"/>
      <family val="1"/>
      <charset val="2"/>
    </font>
    <font>
      <sz val="7"/>
      <color theme="1"/>
      <name val="Times New Roman"/>
      <family val="1"/>
    </font>
    <font>
      <sz val="12"/>
      <color theme="1"/>
      <name val="Times New Roman"/>
      <family val="1"/>
    </font>
    <font>
      <sz val="18"/>
      <color theme="1"/>
      <name val="Times New Roman"/>
      <family val="1"/>
    </font>
    <font>
      <sz val="8"/>
      <color rgb="FF000000"/>
      <name val="Arial"/>
      <family val="2"/>
    </font>
    <font>
      <sz val="7"/>
      <color rgb="FF000000"/>
      <name val="Arial"/>
      <family val="2"/>
    </font>
    <font>
      <sz val="12"/>
      <color rgb="FF000000"/>
      <name val="Arial"/>
      <family val="2"/>
    </font>
    <font>
      <sz val="16"/>
      <color theme="1"/>
      <name val="Calibri"/>
      <family val="2"/>
      <scheme val="minor"/>
    </font>
    <font>
      <sz val="12"/>
      <color theme="1"/>
      <name val="Calibri"/>
      <family val="2"/>
      <scheme val="minor"/>
    </font>
    <font>
      <sz val="20"/>
      <color theme="1"/>
      <name val="Calibri"/>
      <family val="2"/>
      <scheme val="minor"/>
    </font>
    <font>
      <b/>
      <sz val="12"/>
      <color theme="1"/>
      <name val="Calibri"/>
      <family val="2"/>
      <scheme val="minor"/>
    </font>
    <font>
      <b/>
      <sz val="12"/>
      <color rgb="FF000000"/>
      <name val="Arial"/>
      <family val="2"/>
    </font>
    <font>
      <b/>
      <sz val="8"/>
      <color rgb="FF333333"/>
      <name val="Arial"/>
      <family val="2"/>
    </font>
    <font>
      <sz val="8"/>
      <color rgb="FF333333"/>
      <name val="Arial"/>
      <family val="2"/>
    </font>
    <font>
      <sz val="6"/>
      <name val="Arial"/>
      <family val="2"/>
    </font>
    <font>
      <b/>
      <sz val="10"/>
      <name val="Arial"/>
      <family val="2"/>
    </font>
    <font>
      <sz val="8"/>
      <color theme="1"/>
      <name val="Times New Roman"/>
      <family val="1"/>
    </font>
    <font>
      <b/>
      <sz val="8"/>
      <color theme="1"/>
      <name val="Times New Roman"/>
      <family val="1"/>
    </font>
    <font>
      <sz val="11"/>
      <color rgb="FFFF0000"/>
      <name val="Times New Roman"/>
      <family val="1"/>
    </font>
  </fonts>
  <fills count="15">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FFFF00"/>
        <bgColor indexed="64"/>
      </patternFill>
    </fill>
    <fill>
      <patternFill patternType="solid">
        <fgColor theme="3" tint="0.39997558519241921"/>
        <bgColor indexed="64"/>
      </patternFill>
    </fill>
    <fill>
      <patternFill patternType="solid">
        <fgColor rgb="FF00B0F0"/>
        <bgColor indexed="64"/>
      </patternFill>
    </fill>
    <fill>
      <patternFill patternType="solid">
        <fgColor theme="5" tint="0.79998168889431442"/>
        <bgColor indexed="64"/>
      </patternFill>
    </fill>
    <fill>
      <patternFill patternType="solid">
        <fgColor rgb="FF21C5FF"/>
        <bgColor indexed="64"/>
      </patternFill>
    </fill>
    <fill>
      <patternFill patternType="solid">
        <fgColor rgb="FF33CAFF"/>
        <bgColor indexed="64"/>
      </patternFill>
    </fill>
    <fill>
      <patternFill patternType="solid">
        <fgColor rgb="FFFF0000"/>
        <bgColor indexed="64"/>
      </patternFill>
    </fill>
    <fill>
      <patternFill patternType="solid">
        <fgColor theme="8" tint="0.79998168889431442"/>
        <bgColor indexed="64"/>
      </patternFill>
    </fill>
    <fill>
      <patternFill patternType="solid">
        <fgColor rgb="FF00CCFF"/>
        <bgColor indexed="64"/>
      </patternFill>
    </fill>
    <fill>
      <patternFill patternType="solid">
        <fgColor rgb="FFEFEFEF"/>
        <bgColor indexed="64"/>
      </patternFill>
    </fill>
    <fill>
      <patternFill patternType="solid">
        <fgColor theme="4" tint="0.59999389629810485"/>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right style="medium">
        <color rgb="FF000000"/>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right style="thin">
        <color theme="0"/>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theme="0"/>
      </right>
      <top style="thin">
        <color theme="0"/>
      </top>
      <bottom/>
      <diagonal/>
    </border>
    <border>
      <left/>
      <right style="thin">
        <color theme="0"/>
      </right>
      <top style="thin">
        <color theme="0"/>
      </top>
      <bottom style="thin">
        <color theme="0"/>
      </bottom>
      <diagonal/>
    </border>
    <border>
      <left/>
      <right/>
      <top style="thin">
        <color theme="0"/>
      </top>
      <bottom/>
      <diagonal/>
    </border>
    <border>
      <left style="thin">
        <color theme="0"/>
      </left>
      <right style="thin">
        <color theme="0"/>
      </right>
      <top/>
      <bottom/>
      <diagonal/>
    </border>
    <border>
      <left style="thin">
        <color theme="0"/>
      </left>
      <right/>
      <top/>
      <bottom/>
      <diagonal/>
    </border>
    <border>
      <left/>
      <right style="thin">
        <color theme="0"/>
      </right>
      <top style="medium">
        <color indexed="64"/>
      </top>
      <bottom/>
      <diagonal/>
    </border>
    <border>
      <left style="thin">
        <color theme="0"/>
      </left>
      <right/>
      <top style="thin">
        <color theme="0"/>
      </top>
      <bottom style="thin">
        <color theme="0"/>
      </bottom>
      <diagonal/>
    </border>
    <border>
      <left/>
      <right/>
      <top/>
      <bottom style="thin">
        <color theme="0"/>
      </bottom>
      <diagonal/>
    </border>
    <border>
      <left/>
      <right/>
      <top style="thin">
        <color theme="0"/>
      </top>
      <bottom style="thin">
        <color theme="0"/>
      </bottom>
      <diagonal/>
    </border>
    <border>
      <left style="thin">
        <color theme="0"/>
      </left>
      <right/>
      <top style="thin">
        <color theme="0"/>
      </top>
      <bottom/>
      <diagonal/>
    </border>
    <border>
      <left/>
      <right style="thin">
        <color theme="0"/>
      </right>
      <top/>
      <bottom style="thin">
        <color theme="0"/>
      </bottom>
      <diagonal/>
    </border>
    <border>
      <left style="thin">
        <color theme="0"/>
      </left>
      <right/>
      <top style="medium">
        <color indexed="64"/>
      </top>
      <bottom/>
      <diagonal/>
    </border>
    <border>
      <left style="thin">
        <color theme="0"/>
      </left>
      <right style="thin">
        <color theme="0"/>
      </right>
      <top style="medium">
        <color indexed="64"/>
      </top>
      <bottom/>
      <diagonal/>
    </border>
    <border>
      <left style="medium">
        <color indexed="64"/>
      </left>
      <right style="medium">
        <color indexed="64"/>
      </right>
      <top style="medium">
        <color indexed="64"/>
      </top>
      <bottom style="medium">
        <color indexed="64"/>
      </bottom>
      <diagonal/>
    </border>
    <border>
      <left style="thin">
        <color theme="2"/>
      </left>
      <right style="thin">
        <color theme="2"/>
      </right>
      <top style="thin">
        <color theme="2"/>
      </top>
      <bottom style="thin">
        <color theme="2"/>
      </bottom>
      <diagonal/>
    </border>
    <border>
      <left/>
      <right style="thin">
        <color theme="2"/>
      </right>
      <top/>
      <bottom/>
      <diagonal/>
    </border>
    <border>
      <left style="thin">
        <color theme="2"/>
      </left>
      <right style="thin">
        <color theme="2"/>
      </right>
      <top style="thin">
        <color theme="2"/>
      </top>
      <bottom/>
      <diagonal/>
    </border>
    <border>
      <left/>
      <right style="thin">
        <color theme="2"/>
      </right>
      <top style="thin">
        <color theme="2"/>
      </top>
      <bottom style="thin">
        <color theme="2"/>
      </bottom>
      <diagonal/>
    </border>
    <border>
      <left style="thin">
        <color theme="2"/>
      </left>
      <right style="thin">
        <color theme="2"/>
      </right>
      <top/>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0"/>
      </top>
      <bottom style="thin">
        <color theme="0"/>
      </bottom>
      <diagonal/>
    </border>
    <border>
      <left style="thin">
        <color theme="0"/>
      </left>
      <right style="thin">
        <color theme="2"/>
      </right>
      <top/>
      <bottom style="thin">
        <color theme="0"/>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rgb="FF000000"/>
      </top>
      <bottom style="medium">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theme="0"/>
      </top>
      <bottom/>
      <diagonal/>
    </border>
    <border>
      <left/>
      <right style="thin">
        <color indexed="64"/>
      </right>
      <top style="thin">
        <color theme="0"/>
      </top>
      <bottom/>
      <diagonal/>
    </border>
    <border>
      <left/>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theme="0"/>
      </right>
      <top style="thin">
        <color indexed="64"/>
      </top>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indexed="64"/>
      </top>
      <bottom style="thin">
        <color theme="0"/>
      </bottom>
      <diagonal/>
    </border>
    <border diagonalDown="1">
      <left/>
      <right style="thin">
        <color theme="0"/>
      </right>
      <top style="thin">
        <color indexed="64"/>
      </top>
      <bottom style="thin">
        <color theme="0"/>
      </bottom>
      <diagonal style="thin">
        <color theme="0"/>
      </diagonal>
    </border>
    <border>
      <left/>
      <right style="thin">
        <color theme="0"/>
      </right>
      <top style="thin">
        <color indexed="64"/>
      </top>
      <bottom style="thin">
        <color theme="0"/>
      </bottom>
      <diagonal/>
    </border>
    <border>
      <left style="thin">
        <color theme="0"/>
      </left>
      <right/>
      <top/>
      <bottom style="thin">
        <color theme="0"/>
      </bottom>
      <diagonal/>
    </border>
    <border>
      <left style="thin">
        <color theme="0"/>
      </left>
      <right style="thin">
        <color indexed="64"/>
      </right>
      <top style="thin">
        <color theme="0"/>
      </top>
      <bottom style="thin">
        <color indexed="64"/>
      </bottom>
      <diagonal/>
    </border>
    <border>
      <left style="thin">
        <color theme="0"/>
      </left>
      <right/>
      <top/>
      <bottom style="thin">
        <color indexed="64"/>
      </bottom>
      <diagonal/>
    </border>
    <border>
      <left style="thin">
        <color indexed="64"/>
      </left>
      <right/>
      <top style="thin">
        <color theme="0"/>
      </top>
      <bottom style="thin">
        <color theme="0"/>
      </bottom>
      <diagonal/>
    </border>
    <border>
      <left style="thin">
        <color indexed="64"/>
      </left>
      <right style="thin">
        <color theme="0"/>
      </right>
      <top/>
      <bottom style="thin">
        <color theme="0"/>
      </bottom>
      <diagonal/>
    </border>
    <border>
      <left style="thin">
        <color theme="0"/>
      </left>
      <right style="thin">
        <color indexed="64"/>
      </right>
      <top style="thin">
        <color theme="0"/>
      </top>
      <bottom/>
      <diagonal/>
    </border>
    <border>
      <left style="thin">
        <color theme="0"/>
      </left>
      <right style="thin">
        <color theme="0"/>
      </right>
      <top style="thin">
        <color theme="0"/>
      </top>
      <bottom style="thin">
        <color indexed="64"/>
      </bottom>
      <diagonal/>
    </border>
    <border>
      <left/>
      <right/>
      <top style="thin">
        <color indexed="64"/>
      </top>
      <bottom style="thin">
        <color indexed="64"/>
      </bottom>
      <diagonal/>
    </border>
  </borders>
  <cellStyleXfs count="21">
    <xf numFmtId="0" fontId="0" fillId="0" borderId="0"/>
    <xf numFmtId="9" fontId="1" fillId="0" borderId="0" applyFont="0" applyFill="0" applyBorder="0" applyAlignment="0" applyProtection="0"/>
    <xf numFmtId="43" fontId="1" fillId="0" borderId="0" applyFont="0" applyFill="0" applyBorder="0" applyAlignment="0" applyProtection="0"/>
    <xf numFmtId="0" fontId="13" fillId="0" borderId="0" applyNumberFormat="0" applyFill="0" applyBorder="0" applyAlignment="0" applyProtection="0"/>
    <xf numFmtId="0" fontId="20" fillId="0" borderId="0"/>
    <xf numFmtId="167" fontId="20" fillId="0" borderId="0" applyFont="0" applyFill="0" applyBorder="0" applyAlignment="0" applyProtection="0"/>
    <xf numFmtId="169" fontId="20" fillId="0" borderId="0" applyFont="0" applyFill="0" applyBorder="0" applyAlignment="0" applyProtection="0"/>
    <xf numFmtId="9" fontId="20" fillId="0" borderId="0" applyFont="0" applyFill="0" applyBorder="0" applyAlignment="0" applyProtection="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81">
    <xf numFmtId="0" fontId="0" fillId="0" borderId="0" xfId="0"/>
    <xf numFmtId="9" fontId="0" fillId="0" borderId="0" xfId="1" applyFont="1"/>
    <xf numFmtId="0" fontId="0" fillId="2" borderId="0" xfId="0" applyFill="1"/>
    <xf numFmtId="0" fontId="0" fillId="0" borderId="0" xfId="0" applyFill="1" applyBorder="1" applyAlignment="1"/>
    <xf numFmtId="0" fontId="0" fillId="0" borderId="2" xfId="0" applyFill="1" applyBorder="1" applyAlignment="1"/>
    <xf numFmtId="0" fontId="4" fillId="0" borderId="3" xfId="0" applyFont="1" applyFill="1" applyBorder="1" applyAlignment="1">
      <alignment horizontal="center"/>
    </xf>
    <xf numFmtId="0" fontId="0" fillId="0" borderId="0" xfId="0" applyBorder="1"/>
    <xf numFmtId="0" fontId="4" fillId="0" borderId="0" xfId="0" applyFont="1" applyFill="1" applyBorder="1" applyAlignment="1">
      <alignment horizontal="center"/>
    </xf>
    <xf numFmtId="0" fontId="4" fillId="0" borderId="3" xfId="0" applyFont="1" applyFill="1" applyBorder="1" applyAlignment="1">
      <alignment horizontal="centerContinuous"/>
    </xf>
    <xf numFmtId="0" fontId="0" fillId="4" borderId="0" xfId="0" applyFill="1" applyBorder="1" applyAlignment="1"/>
    <xf numFmtId="0" fontId="0" fillId="2" borderId="0" xfId="0" applyFill="1" applyBorder="1" applyAlignment="1"/>
    <xf numFmtId="0" fontId="3" fillId="5" borderId="4" xfId="0" applyFont="1" applyFill="1" applyBorder="1" applyAlignment="1">
      <alignment vertical="center" wrapText="1"/>
    </xf>
    <xf numFmtId="0" fontId="5" fillId="5" borderId="5"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7" xfId="0" applyFont="1" applyFill="1" applyBorder="1" applyAlignment="1">
      <alignment horizontal="center" vertical="center" wrapText="1"/>
    </xf>
    <xf numFmtId="2" fontId="0" fillId="0" borderId="1" xfId="0" applyNumberFormat="1" applyBorder="1" applyAlignment="1">
      <alignment horizontal="center"/>
    </xf>
    <xf numFmtId="0" fontId="0" fillId="0" borderId="1" xfId="0" applyBorder="1"/>
    <xf numFmtId="2" fontId="0" fillId="4" borderId="0" xfId="0" applyNumberFormat="1" applyFill="1"/>
    <xf numFmtId="0" fontId="0" fillId="0" borderId="0" xfId="0" applyFill="1"/>
    <xf numFmtId="164" fontId="2" fillId="0" borderId="0" xfId="0" applyNumberFormat="1" applyFont="1" applyFill="1" applyAlignment="1">
      <alignment vertical="top"/>
    </xf>
    <xf numFmtId="164" fontId="6" fillId="0" borderId="1" xfId="0" applyNumberFormat="1" applyFont="1" applyFill="1" applyBorder="1" applyAlignment="1">
      <alignment horizontal="right" vertical="top"/>
    </xf>
    <xf numFmtId="164" fontId="6" fillId="0" borderId="1" xfId="0" applyNumberFormat="1" applyFont="1" applyFill="1" applyBorder="1" applyAlignment="1">
      <alignment vertical="top"/>
    </xf>
    <xf numFmtId="164" fontId="0" fillId="0" borderId="1" xfId="0" applyNumberFormat="1" applyBorder="1"/>
    <xf numFmtId="0" fontId="0" fillId="4" borderId="0" xfId="0" applyFill="1"/>
    <xf numFmtId="0" fontId="3"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5" borderId="1" xfId="0" applyFont="1" applyFill="1" applyBorder="1" applyAlignment="1">
      <alignment horizontal="left" wrapText="1" readingOrder="1"/>
    </xf>
    <xf numFmtId="0" fontId="0" fillId="4" borderId="1" xfId="0" applyFill="1" applyBorder="1"/>
    <xf numFmtId="0" fontId="8" fillId="4" borderId="0" xfId="0" applyFont="1" applyFill="1" applyBorder="1" applyAlignment="1">
      <alignment horizontal="left" wrapText="1" readingOrder="1"/>
    </xf>
    <xf numFmtId="165" fontId="0" fillId="0" borderId="1" xfId="0" applyNumberFormat="1" applyBorder="1" applyAlignment="1">
      <alignment horizontal="center"/>
    </xf>
    <xf numFmtId="165" fontId="0" fillId="4" borderId="0" xfId="0" applyNumberFormat="1" applyFill="1"/>
    <xf numFmtId="0" fontId="0" fillId="0" borderId="1" xfId="0" applyFill="1" applyBorder="1"/>
    <xf numFmtId="164" fontId="6" fillId="0" borderId="0" xfId="0" applyNumberFormat="1" applyFont="1" applyFill="1" applyBorder="1" applyAlignment="1">
      <alignment horizontal="right" vertical="top"/>
    </xf>
    <xf numFmtId="0" fontId="0" fillId="0" borderId="0" xfId="0" applyFont="1" applyFill="1" applyBorder="1"/>
    <xf numFmtId="0" fontId="10" fillId="0" borderId="0" xfId="0" applyFont="1"/>
    <xf numFmtId="166" fontId="0" fillId="0" borderId="0" xfId="1" applyNumberFormat="1" applyFont="1"/>
    <xf numFmtId="164" fontId="2" fillId="0" borderId="0" xfId="0" applyNumberFormat="1" applyFont="1" applyFill="1" applyAlignment="1">
      <alignment horizontal="right" vertical="top"/>
    </xf>
    <xf numFmtId="9" fontId="0" fillId="0" borderId="0" xfId="1" applyFont="1" applyAlignment="1">
      <alignment horizontal="center"/>
    </xf>
    <xf numFmtId="0" fontId="0" fillId="7" borderId="1" xfId="0" applyFill="1" applyBorder="1"/>
    <xf numFmtId="166" fontId="0" fillId="7" borderId="1" xfId="1" applyNumberFormat="1" applyFont="1" applyFill="1" applyBorder="1"/>
    <xf numFmtId="0" fontId="0" fillId="8" borderId="1" xfId="0" applyFill="1" applyBorder="1"/>
    <xf numFmtId="166" fontId="0" fillId="8" borderId="1" xfId="1" applyNumberFormat="1" applyFont="1" applyFill="1" applyBorder="1"/>
    <xf numFmtId="0" fontId="3" fillId="0" borderId="9" xfId="0" applyFont="1" applyBorder="1" applyAlignment="1">
      <alignment horizontal="center" vertical="center"/>
    </xf>
    <xf numFmtId="166" fontId="3" fillId="0" borderId="9" xfId="1" applyNumberFormat="1" applyFont="1" applyBorder="1" applyAlignment="1">
      <alignment horizontal="center" vertical="center"/>
    </xf>
    <xf numFmtId="0" fontId="0" fillId="0" borderId="12" xfId="0" applyBorder="1" applyAlignment="1"/>
    <xf numFmtId="0" fontId="3" fillId="0" borderId="13" xfId="0" applyFont="1" applyBorder="1" applyAlignment="1">
      <alignment horizontal="center" vertical="center" wrapText="1"/>
    </xf>
    <xf numFmtId="0" fontId="0" fillId="0" borderId="9" xfId="0" applyBorder="1"/>
    <xf numFmtId="9" fontId="0" fillId="0" borderId="9" xfId="1" applyFont="1" applyBorder="1"/>
    <xf numFmtId="0" fontId="3" fillId="0" borderId="14" xfId="0" applyFont="1" applyBorder="1" applyAlignment="1">
      <alignment horizontal="center" vertical="center"/>
    </xf>
    <xf numFmtId="9" fontId="3" fillId="0" borderId="15" xfId="1" applyFont="1" applyBorder="1" applyAlignment="1">
      <alignment horizontal="center" vertical="center" wrapText="1"/>
    </xf>
    <xf numFmtId="0" fontId="0" fillId="8" borderId="16" xfId="0" applyFill="1" applyBorder="1"/>
    <xf numFmtId="9" fontId="0" fillId="8" borderId="17" xfId="1" applyFont="1" applyFill="1" applyBorder="1"/>
    <xf numFmtId="0" fontId="0" fillId="7" borderId="16" xfId="0" applyFill="1" applyBorder="1"/>
    <xf numFmtId="9" fontId="0" fillId="7" borderId="17" xfId="1" applyFont="1" applyFill="1" applyBorder="1"/>
    <xf numFmtId="0" fontId="0" fillId="7" borderId="18" xfId="0" applyFill="1" applyBorder="1"/>
    <xf numFmtId="0" fontId="0" fillId="7" borderId="19" xfId="0" applyFill="1" applyBorder="1"/>
    <xf numFmtId="166" fontId="0" fillId="7" borderId="19" xfId="1" applyNumberFormat="1" applyFont="1" applyFill="1" applyBorder="1"/>
    <xf numFmtId="9" fontId="0" fillId="7" borderId="20" xfId="1" applyFont="1" applyFill="1" applyBorder="1"/>
    <xf numFmtId="0" fontId="3" fillId="0" borderId="0" xfId="0" applyFont="1"/>
    <xf numFmtId="2" fontId="0" fillId="0" borderId="0" xfId="0" applyNumberFormat="1" applyAlignment="1">
      <alignment horizontal="center" vertical="center"/>
    </xf>
    <xf numFmtId="0" fontId="0" fillId="0" borderId="1" xfId="0" applyBorder="1" applyAlignment="1">
      <alignment horizontal="center"/>
    </xf>
    <xf numFmtId="2" fontId="0" fillId="0" borderId="1" xfId="0" applyNumberFormat="1" applyBorder="1" applyAlignment="1">
      <alignment horizontal="center" vertical="center"/>
    </xf>
    <xf numFmtId="0" fontId="3" fillId="9" borderId="1" xfId="0" applyFont="1" applyFill="1" applyBorder="1"/>
    <xf numFmtId="0" fontId="0" fillId="0" borderId="16" xfId="0" applyFill="1" applyBorder="1" applyAlignment="1">
      <alignment horizontal="center" vertical="center"/>
    </xf>
    <xf numFmtId="166" fontId="0" fillId="0" borderId="1" xfId="1" applyNumberFormat="1" applyFont="1" applyFill="1" applyBorder="1" applyAlignment="1">
      <alignment horizontal="center" vertical="center"/>
    </xf>
    <xf numFmtId="9" fontId="0" fillId="0" borderId="17" xfId="1" applyFont="1" applyFill="1" applyBorder="1" applyAlignment="1">
      <alignment horizontal="center" vertical="center"/>
    </xf>
    <xf numFmtId="0" fontId="0" fillId="0" borderId="1" xfId="0" applyFill="1" applyBorder="1" applyAlignment="1">
      <alignment horizontal="left" vertical="top"/>
    </xf>
    <xf numFmtId="2" fontId="0" fillId="0" borderId="1" xfId="0" applyNumberFormat="1" applyFill="1" applyBorder="1" applyAlignment="1">
      <alignment horizontal="center" vertical="center"/>
    </xf>
    <xf numFmtId="0" fontId="3" fillId="9" borderId="16" xfId="0" applyFont="1" applyFill="1" applyBorder="1"/>
    <xf numFmtId="0" fontId="3" fillId="9" borderId="17" xfId="0" applyFont="1" applyFill="1" applyBorder="1"/>
    <xf numFmtId="0" fontId="0" fillId="0" borderId="16" xfId="0" applyBorder="1"/>
    <xf numFmtId="9" fontId="0" fillId="0" borderId="17" xfId="1" applyFont="1" applyBorder="1" applyAlignment="1">
      <alignment horizontal="center"/>
    </xf>
    <xf numFmtId="0" fontId="0" fillId="0" borderId="18" xfId="0" applyBorder="1"/>
    <xf numFmtId="0" fontId="0" fillId="0" borderId="19" xfId="0" applyBorder="1" applyAlignment="1">
      <alignment horizontal="center"/>
    </xf>
    <xf numFmtId="2" fontId="0" fillId="0" borderId="19" xfId="0" applyNumberFormat="1" applyBorder="1" applyAlignment="1">
      <alignment horizontal="center" vertical="center"/>
    </xf>
    <xf numFmtId="9" fontId="0" fillId="0" borderId="20" xfId="1" applyFont="1" applyBorder="1" applyAlignment="1">
      <alignment horizontal="center"/>
    </xf>
    <xf numFmtId="0" fontId="3" fillId="9" borderId="24" xfId="0" applyFont="1" applyFill="1" applyBorder="1" applyAlignment="1">
      <alignment horizontal="center" vertical="center"/>
    </xf>
    <xf numFmtId="0" fontId="3" fillId="9" borderId="8" xfId="0" applyFont="1" applyFill="1" applyBorder="1" applyAlignment="1">
      <alignment horizontal="center" vertical="center"/>
    </xf>
    <xf numFmtId="166" fontId="3" fillId="9" borderId="8" xfId="1" applyNumberFormat="1" applyFont="1" applyFill="1" applyBorder="1" applyAlignment="1">
      <alignment horizontal="center" vertical="center"/>
    </xf>
    <xf numFmtId="9" fontId="3" fillId="9" borderId="25" xfId="1" applyFont="1" applyFill="1" applyBorder="1" applyAlignment="1">
      <alignment horizontal="center" vertical="center" wrapText="1"/>
    </xf>
    <xf numFmtId="0" fontId="0" fillId="0" borderId="21" xfId="0" applyFill="1" applyBorder="1" applyAlignment="1">
      <alignment horizontal="center" vertical="center"/>
    </xf>
    <xf numFmtId="0" fontId="0" fillId="0" borderId="22" xfId="0" applyFill="1" applyBorder="1" applyAlignment="1">
      <alignment horizontal="left" vertical="top"/>
    </xf>
    <xf numFmtId="2" fontId="0" fillId="0" borderId="22" xfId="0" applyNumberFormat="1" applyFill="1" applyBorder="1" applyAlignment="1">
      <alignment horizontal="center" vertical="center"/>
    </xf>
    <xf numFmtId="166" fontId="0" fillId="0" borderId="22" xfId="1" applyNumberFormat="1" applyFont="1" applyFill="1" applyBorder="1" applyAlignment="1">
      <alignment horizontal="center" vertical="center"/>
    </xf>
    <xf numFmtId="9" fontId="0" fillId="0" borderId="23" xfId="1" applyFont="1" applyFill="1" applyBorder="1" applyAlignment="1">
      <alignment horizontal="center" vertical="center"/>
    </xf>
    <xf numFmtId="0" fontId="0" fillId="0" borderId="18" xfId="0" applyFill="1" applyBorder="1" applyAlignment="1">
      <alignment horizontal="center" vertical="center"/>
    </xf>
    <xf numFmtId="0" fontId="0" fillId="0" borderId="19" xfId="0" applyFill="1" applyBorder="1" applyAlignment="1">
      <alignment horizontal="left" vertical="top"/>
    </xf>
    <xf numFmtId="2" fontId="0" fillId="0" borderId="19" xfId="0" applyNumberFormat="1" applyFill="1" applyBorder="1" applyAlignment="1">
      <alignment horizontal="center" vertical="center"/>
    </xf>
    <xf numFmtId="166" fontId="0" fillId="0" borderId="19" xfId="1" applyNumberFormat="1" applyFont="1" applyFill="1" applyBorder="1" applyAlignment="1">
      <alignment horizontal="center" vertical="center"/>
    </xf>
    <xf numFmtId="9" fontId="0" fillId="0" borderId="20" xfId="1" applyFont="1" applyFill="1" applyBorder="1" applyAlignment="1">
      <alignment horizontal="center" vertical="center"/>
    </xf>
    <xf numFmtId="9" fontId="3" fillId="10" borderId="17" xfId="1" applyFont="1" applyFill="1" applyBorder="1"/>
    <xf numFmtId="164" fontId="0" fillId="0" borderId="0" xfId="0" applyNumberFormat="1"/>
    <xf numFmtId="9" fontId="0" fillId="0" borderId="0" xfId="0" applyNumberFormat="1"/>
    <xf numFmtId="9" fontId="0" fillId="0" borderId="1" xfId="1" applyFont="1" applyBorder="1"/>
    <xf numFmtId="164" fontId="0" fillId="0" borderId="9" xfId="0" applyNumberFormat="1" applyBorder="1"/>
    <xf numFmtId="0" fontId="0" fillId="0" borderId="1" xfId="0" applyBorder="1" applyAlignment="1">
      <alignment horizontal="center" vertical="center" wrapText="1"/>
    </xf>
    <xf numFmtId="17" fontId="0" fillId="0" borderId="1" xfId="0" applyNumberFormat="1" applyBorder="1"/>
    <xf numFmtId="0" fontId="0" fillId="0" borderId="1" xfId="0" applyFill="1" applyBorder="1" applyAlignment="1">
      <alignment horizontal="center" vertical="center" wrapText="1"/>
    </xf>
    <xf numFmtId="43" fontId="0" fillId="0" borderId="0" xfId="0" applyNumberFormat="1"/>
    <xf numFmtId="43" fontId="0" fillId="0" borderId="1" xfId="0" applyNumberFormat="1" applyBorder="1"/>
    <xf numFmtId="9" fontId="0" fillId="11" borderId="0" xfId="0" applyNumberFormat="1" applyFill="1"/>
    <xf numFmtId="0" fontId="0" fillId="11" borderId="1" xfId="0" applyFill="1" applyBorder="1" applyAlignment="1">
      <alignment horizontal="center" vertical="center" wrapText="1"/>
    </xf>
    <xf numFmtId="43" fontId="0" fillId="11" borderId="1" xfId="2" applyFont="1" applyFill="1" applyBorder="1"/>
    <xf numFmtId="43" fontId="0" fillId="11" borderId="0" xfId="2" applyFont="1" applyFill="1"/>
    <xf numFmtId="0" fontId="0" fillId="11" borderId="0" xfId="0" applyFill="1"/>
    <xf numFmtId="43" fontId="0" fillId="4" borderId="1" xfId="2" applyFont="1" applyFill="1" applyBorder="1"/>
    <xf numFmtId="0" fontId="0" fillId="0" borderId="1" xfId="0" applyBorder="1" applyAlignment="1">
      <alignment horizontal="center" vertical="center"/>
    </xf>
    <xf numFmtId="0" fontId="13" fillId="0" borderId="0" xfId="3"/>
    <xf numFmtId="17" fontId="14" fillId="0" borderId="0" xfId="0" applyNumberFormat="1" applyFont="1"/>
    <xf numFmtId="164" fontId="15" fillId="2" borderId="0" xfId="0" applyNumberFormat="1" applyFont="1" applyFill="1" applyAlignment="1">
      <alignment horizontal="right" vertical="top"/>
    </xf>
    <xf numFmtId="164" fontId="16" fillId="2" borderId="0" xfId="0" applyNumberFormat="1" applyFont="1" applyFill="1" applyAlignment="1">
      <alignment horizontal="right" vertical="top"/>
    </xf>
    <xf numFmtId="164" fontId="16" fillId="2" borderId="0" xfId="0" applyNumberFormat="1" applyFont="1" applyFill="1" applyAlignment="1">
      <alignment vertical="top"/>
    </xf>
    <xf numFmtId="0" fontId="16" fillId="2" borderId="0" xfId="0" applyFont="1" applyFill="1"/>
    <xf numFmtId="0" fontId="17" fillId="6" borderId="1" xfId="0" applyFont="1" applyFill="1" applyBorder="1" applyAlignment="1">
      <alignment horizontal="center" vertical="center" wrapText="1"/>
    </xf>
    <xf numFmtId="0" fontId="17" fillId="6" borderId="8" xfId="0" applyFont="1" applyFill="1" applyBorder="1" applyAlignment="1">
      <alignment horizontal="center" vertical="center" wrapText="1"/>
    </xf>
    <xf numFmtId="0" fontId="0" fillId="0" borderId="0" xfId="0" applyAlignment="1"/>
    <xf numFmtId="0" fontId="3" fillId="6" borderId="0" xfId="0" applyFont="1" applyFill="1" applyAlignment="1">
      <alignment horizontal="center" vertical="center"/>
    </xf>
    <xf numFmtId="0" fontId="19" fillId="0" borderId="0" xfId="0" applyFont="1"/>
    <xf numFmtId="164" fontId="0" fillId="0" borderId="0" xfId="0" applyNumberFormat="1" applyBorder="1"/>
    <xf numFmtId="43" fontId="0" fillId="11" borderId="0" xfId="2" applyFont="1" applyFill="1" applyBorder="1"/>
    <xf numFmtId="43" fontId="0" fillId="0" borderId="0" xfId="0" applyNumberFormat="1" applyBorder="1"/>
    <xf numFmtId="164" fontId="23" fillId="0" borderId="9" xfId="0" applyNumberFormat="1" applyFont="1" applyBorder="1"/>
    <xf numFmtId="164" fontId="24" fillId="0" borderId="1" xfId="0" applyNumberFormat="1" applyFont="1" applyFill="1" applyBorder="1" applyAlignment="1">
      <alignment horizontal="right" vertical="top"/>
    </xf>
    <xf numFmtId="164" fontId="24" fillId="0" borderId="1" xfId="0" applyNumberFormat="1" applyFont="1" applyFill="1" applyBorder="1" applyAlignment="1">
      <alignment vertical="top"/>
    </xf>
    <xf numFmtId="164" fontId="23" fillId="0" borderId="0" xfId="0" applyNumberFormat="1" applyFont="1"/>
    <xf numFmtId="0" fontId="23" fillId="0" borderId="0" xfId="0" applyNumberFormat="1" applyFont="1"/>
    <xf numFmtId="164" fontId="25" fillId="0" borderId="9" xfId="0" applyNumberFormat="1" applyFont="1" applyFill="1" applyBorder="1" applyAlignment="1">
      <alignment horizontal="right" vertical="top"/>
    </xf>
    <xf numFmtId="164" fontId="25" fillId="0" borderId="1" xfId="0" applyNumberFormat="1" applyFont="1" applyFill="1" applyBorder="1" applyAlignment="1">
      <alignment horizontal="right" vertical="top"/>
    </xf>
    <xf numFmtId="164" fontId="25" fillId="0" borderId="1" xfId="0" applyNumberFormat="1" applyFont="1" applyFill="1" applyBorder="1" applyAlignment="1">
      <alignment vertical="top"/>
    </xf>
    <xf numFmtId="0" fontId="25" fillId="0" borderId="1" xfId="0" applyFont="1" applyFill="1" applyBorder="1"/>
    <xf numFmtId="9" fontId="23" fillId="4" borderId="0" xfId="1" applyFont="1" applyFill="1"/>
    <xf numFmtId="9" fontId="23" fillId="0" borderId="0" xfId="1" applyFont="1" applyFill="1"/>
    <xf numFmtId="171" fontId="25" fillId="0" borderId="9" xfId="0" applyNumberFormat="1" applyFont="1" applyFill="1" applyBorder="1" applyAlignment="1">
      <alignment horizontal="center" vertical="center"/>
    </xf>
    <xf numFmtId="0" fontId="26" fillId="0" borderId="0" xfId="4" applyFont="1" applyFill="1" applyAlignment="1">
      <alignment horizontal="center" vertical="center"/>
    </xf>
    <xf numFmtId="167" fontId="26" fillId="0" borderId="0" xfId="5" applyFont="1" applyFill="1" applyAlignment="1">
      <alignment horizontal="center" vertical="center"/>
    </xf>
    <xf numFmtId="168" fontId="26" fillId="0" borderId="0" xfId="5" applyNumberFormat="1" applyFont="1" applyFill="1" applyAlignment="1">
      <alignment horizontal="center" vertical="center"/>
    </xf>
    <xf numFmtId="168" fontId="26" fillId="0" borderId="1" xfId="5" applyNumberFormat="1" applyFont="1" applyFill="1" applyBorder="1" applyAlignment="1">
      <alignment horizontal="center" vertical="center"/>
    </xf>
    <xf numFmtId="169" fontId="26" fillId="4" borderId="0" xfId="4" applyNumberFormat="1" applyFont="1" applyFill="1" applyAlignment="1">
      <alignment horizontal="center" vertical="center"/>
    </xf>
    <xf numFmtId="0" fontId="25" fillId="0" borderId="0" xfId="4" applyFont="1" applyFill="1" applyAlignment="1">
      <alignment horizontal="center" vertical="center"/>
    </xf>
    <xf numFmtId="169" fontId="23" fillId="0" borderId="0" xfId="6" applyFont="1" applyFill="1" applyAlignment="1">
      <alignment horizontal="center" vertical="center"/>
    </xf>
    <xf numFmtId="169" fontId="23" fillId="0" borderId="0" xfId="4" applyNumberFormat="1" applyFont="1" applyFill="1" applyAlignment="1">
      <alignment horizontal="center" vertical="center"/>
    </xf>
    <xf numFmtId="0" fontId="23" fillId="0" borderId="0" xfId="4" applyFont="1" applyFill="1" applyAlignment="1">
      <alignment horizontal="center" vertical="center"/>
    </xf>
    <xf numFmtId="167" fontId="23" fillId="0" borderId="0" xfId="5" applyFont="1" applyFill="1" applyAlignment="1">
      <alignment horizontal="center" vertical="center"/>
    </xf>
    <xf numFmtId="9" fontId="23" fillId="0" borderId="0" xfId="7" applyFont="1" applyFill="1" applyAlignment="1">
      <alignment horizontal="center" vertical="center"/>
    </xf>
    <xf numFmtId="167" fontId="23" fillId="0" borderId="0" xfId="4" applyNumberFormat="1" applyFont="1" applyFill="1" applyAlignment="1">
      <alignment horizontal="center" vertical="center"/>
    </xf>
    <xf numFmtId="170" fontId="23" fillId="0" borderId="0" xfId="4" applyNumberFormat="1" applyFont="1" applyFill="1" applyAlignment="1">
      <alignment horizontal="center" vertical="center"/>
    </xf>
    <xf numFmtId="2" fontId="23" fillId="0" borderId="0" xfId="4" applyNumberFormat="1" applyFont="1" applyFill="1" applyAlignment="1">
      <alignment horizontal="center" vertical="center"/>
    </xf>
    <xf numFmtId="167" fontId="25" fillId="0" borderId="0" xfId="5" applyFont="1" applyFill="1" applyAlignment="1">
      <alignment horizontal="center" vertical="center"/>
    </xf>
    <xf numFmtId="0" fontId="25" fillId="0" borderId="0" xfId="4" applyFont="1" applyFill="1"/>
    <xf numFmtId="0" fontId="25" fillId="0" borderId="0" xfId="4" applyFont="1"/>
    <xf numFmtId="0" fontId="23" fillId="0" borderId="1" xfId="0" applyFont="1" applyBorder="1" applyAlignment="1">
      <alignment horizontal="center" vertical="center"/>
    </xf>
    <xf numFmtId="0" fontId="23" fillId="0" borderId="0" xfId="0" applyFont="1" applyAlignment="1">
      <alignment horizontal="center" vertical="center"/>
    </xf>
    <xf numFmtId="164" fontId="24" fillId="0" borderId="1" xfId="0" applyNumberFormat="1" applyFont="1" applyFill="1" applyBorder="1" applyAlignment="1">
      <alignment horizontal="center" vertical="center"/>
    </xf>
    <xf numFmtId="164" fontId="24" fillId="0" borderId="0" xfId="0" applyNumberFormat="1" applyFont="1" applyFill="1" applyAlignment="1">
      <alignment horizontal="center" vertical="center"/>
    </xf>
    <xf numFmtId="0" fontId="25" fillId="0" borderId="0" xfId="0" applyFont="1" applyFill="1" applyAlignment="1">
      <alignment horizontal="center" vertical="center"/>
    </xf>
    <xf numFmtId="0" fontId="28" fillId="3" borderId="0" xfId="8" applyFill="1"/>
    <xf numFmtId="0" fontId="28" fillId="0" borderId="0" xfId="8"/>
    <xf numFmtId="0" fontId="28" fillId="0" borderId="0" xfId="8" applyFill="1" applyBorder="1" applyAlignment="1">
      <alignment horizontal="center" vertical="center"/>
    </xf>
    <xf numFmtId="2" fontId="28" fillId="4" borderId="1" xfId="8" applyNumberFormat="1" applyFill="1" applyBorder="1" applyAlignment="1">
      <alignment horizontal="center" vertical="center"/>
    </xf>
    <xf numFmtId="0" fontId="28" fillId="3" borderId="0" xfId="8" applyFill="1" applyAlignment="1">
      <alignment horizontal="center" vertical="center"/>
    </xf>
    <xf numFmtId="0" fontId="28" fillId="3" borderId="1" xfId="8" applyFill="1" applyBorder="1" applyAlignment="1">
      <alignment horizontal="center" vertical="center"/>
    </xf>
    <xf numFmtId="0" fontId="28" fillId="3" borderId="0" xfId="8" applyFill="1" applyBorder="1"/>
    <xf numFmtId="0" fontId="30" fillId="3" borderId="0" xfId="8" applyFont="1" applyFill="1" applyBorder="1" applyAlignment="1">
      <alignment vertical="top" wrapText="1"/>
    </xf>
    <xf numFmtId="0" fontId="25" fillId="0" borderId="1" xfId="0" applyNumberFormat="1" applyFont="1" applyFill="1" applyBorder="1" applyAlignment="1">
      <alignment vertical="top"/>
    </xf>
    <xf numFmtId="0" fontId="28" fillId="0" borderId="0" xfId="8" applyNumberFormat="1"/>
    <xf numFmtId="0" fontId="29" fillId="3" borderId="0" xfId="8" applyNumberFormat="1" applyFont="1" applyFill="1"/>
    <xf numFmtId="0" fontId="28" fillId="3" borderId="0" xfId="8" applyNumberFormat="1" applyFill="1"/>
    <xf numFmtId="0" fontId="23" fillId="3" borderId="0" xfId="9" applyFont="1" applyFill="1" applyAlignment="1">
      <alignment horizontal="center" vertical="center"/>
    </xf>
    <xf numFmtId="0" fontId="23" fillId="0" borderId="1" xfId="9" applyFont="1" applyFill="1" applyBorder="1" applyAlignment="1">
      <alignment horizontal="center"/>
    </xf>
    <xf numFmtId="0" fontId="23" fillId="3" borderId="1" xfId="9" applyNumberFormat="1" applyFont="1" applyFill="1" applyBorder="1"/>
    <xf numFmtId="0" fontId="23" fillId="3" borderId="1" xfId="9" applyFont="1" applyFill="1" applyBorder="1"/>
    <xf numFmtId="0" fontId="23" fillId="3" borderId="0" xfId="9" applyNumberFormat="1" applyFont="1" applyFill="1"/>
    <xf numFmtId="0" fontId="23" fillId="3" borderId="0" xfId="9" applyFont="1" applyFill="1"/>
    <xf numFmtId="0" fontId="23" fillId="0" borderId="0" xfId="0" applyFont="1"/>
    <xf numFmtId="0" fontId="23" fillId="0" borderId="1" xfId="0" applyNumberFormat="1" applyFont="1" applyBorder="1"/>
    <xf numFmtId="0" fontId="25" fillId="0" borderId="0" xfId="8" applyFont="1"/>
    <xf numFmtId="0" fontId="26" fillId="3" borderId="0" xfId="8" applyNumberFormat="1" applyFont="1" applyFill="1"/>
    <xf numFmtId="0" fontId="25" fillId="3" borderId="0" xfId="8" applyFont="1" applyFill="1"/>
    <xf numFmtId="0" fontId="25" fillId="0" borderId="0" xfId="8" applyNumberFormat="1" applyFont="1"/>
    <xf numFmtId="0" fontId="25" fillId="0" borderId="1" xfId="8" applyFont="1" applyBorder="1"/>
    <xf numFmtId="0" fontId="27" fillId="3" borderId="0" xfId="9" applyFont="1" applyFill="1" applyAlignment="1">
      <alignment horizontal="center" vertical="center"/>
    </xf>
    <xf numFmtId="0" fontId="25" fillId="3" borderId="1" xfId="8" applyFont="1" applyFill="1" applyBorder="1" applyAlignment="1">
      <alignment vertical="center"/>
    </xf>
    <xf numFmtId="0" fontId="31" fillId="3" borderId="0" xfId="8" applyFont="1" applyFill="1" applyAlignment="1">
      <alignment horizontal="center"/>
    </xf>
    <xf numFmtId="0" fontId="25" fillId="0" borderId="0" xfId="8" applyFont="1" applyFill="1" applyBorder="1" applyAlignment="1">
      <alignment horizontal="center" vertical="center"/>
    </xf>
    <xf numFmtId="0" fontId="25" fillId="3" borderId="1" xfId="8" applyFont="1" applyFill="1" applyBorder="1" applyAlignment="1">
      <alignment horizontal="center" vertical="center"/>
    </xf>
    <xf numFmtId="0" fontId="26" fillId="3" borderId="1" xfId="8" applyFont="1" applyFill="1" applyBorder="1" applyAlignment="1">
      <alignment horizontal="center" vertical="center" wrapText="1"/>
    </xf>
    <xf numFmtId="0" fontId="25" fillId="3" borderId="30" xfId="8" applyFont="1" applyFill="1" applyBorder="1"/>
    <xf numFmtId="0" fontId="27" fillId="3" borderId="1" xfId="0" applyFont="1" applyFill="1" applyBorder="1" applyAlignment="1">
      <alignment horizontal="center"/>
    </xf>
    <xf numFmtId="0" fontId="23" fillId="3" borderId="1" xfId="0" applyFont="1" applyFill="1" applyBorder="1" applyAlignment="1">
      <alignment horizontal="center"/>
    </xf>
    <xf numFmtId="0" fontId="27" fillId="0" borderId="0" xfId="9" applyFont="1" applyFill="1" applyBorder="1" applyAlignment="1">
      <alignment horizontal="center" vertical="center" wrapText="1"/>
    </xf>
    <xf numFmtId="0" fontId="27" fillId="0" borderId="0" xfId="9" applyFont="1" applyFill="1" applyBorder="1" applyAlignment="1">
      <alignment horizontal="left" vertical="center" wrapText="1"/>
    </xf>
    <xf numFmtId="0" fontId="25" fillId="0" borderId="1" xfId="8" applyFont="1" applyFill="1" applyBorder="1" applyAlignment="1">
      <alignment horizontal="center" vertical="center"/>
    </xf>
    <xf numFmtId="0" fontId="25" fillId="0" borderId="1" xfId="8" applyNumberFormat="1" applyFont="1" applyFill="1" applyBorder="1" applyAlignment="1">
      <alignment horizontal="center" vertical="center"/>
    </xf>
    <xf numFmtId="0" fontId="25" fillId="0" borderId="29" xfId="8" applyFont="1" applyFill="1" applyBorder="1" applyAlignment="1">
      <alignment horizontal="center" vertical="center"/>
    </xf>
    <xf numFmtId="0" fontId="25" fillId="0" borderId="8" xfId="8" applyFont="1" applyFill="1" applyBorder="1" applyAlignment="1">
      <alignment horizontal="center" vertical="center"/>
    </xf>
    <xf numFmtId="0" fontId="23" fillId="0" borderId="0" xfId="9" applyFont="1" applyFill="1"/>
    <xf numFmtId="164" fontId="25" fillId="0" borderId="1" xfId="8" applyNumberFormat="1" applyFont="1" applyFill="1" applyBorder="1" applyAlignment="1">
      <alignment horizontal="center" vertical="center"/>
    </xf>
    <xf numFmtId="0" fontId="25" fillId="0" borderId="30" xfId="8" applyFont="1" applyFill="1" applyBorder="1" applyAlignment="1">
      <alignment horizontal="center" vertical="center"/>
    </xf>
    <xf numFmtId="0" fontId="27" fillId="9" borderId="1" xfId="9" applyFont="1" applyFill="1" applyBorder="1" applyAlignment="1">
      <alignment horizontal="center" vertical="center" wrapText="1"/>
    </xf>
    <xf numFmtId="0" fontId="27" fillId="9" borderId="1" xfId="0" applyNumberFormat="1" applyFont="1" applyFill="1" applyBorder="1" applyAlignment="1">
      <alignment horizontal="center" vertical="center" wrapText="1"/>
    </xf>
    <xf numFmtId="0" fontId="27" fillId="9" borderId="1" xfId="0" applyFont="1" applyFill="1" applyBorder="1" applyAlignment="1">
      <alignment horizontal="center" vertical="center" wrapText="1"/>
    </xf>
    <xf numFmtId="0" fontId="26" fillId="8" borderId="1" xfId="4" applyFont="1" applyFill="1" applyBorder="1" applyAlignment="1">
      <alignment horizontal="center" vertical="center" wrapText="1"/>
    </xf>
    <xf numFmtId="0" fontId="27" fillId="8" borderId="1" xfId="4" applyFont="1" applyFill="1" applyBorder="1" applyAlignment="1">
      <alignment horizontal="center" vertical="center"/>
    </xf>
    <xf numFmtId="167" fontId="27" fillId="8" borderId="1" xfId="5" applyFont="1" applyFill="1" applyBorder="1" applyAlignment="1">
      <alignment horizontal="center" vertical="center"/>
    </xf>
    <xf numFmtId="0" fontId="23" fillId="0" borderId="1" xfId="0" applyNumberFormat="1" applyFont="1" applyFill="1" applyBorder="1" applyAlignment="1">
      <alignment horizontal="center" vertical="center" wrapText="1"/>
    </xf>
    <xf numFmtId="0" fontId="23" fillId="0" borderId="1" xfId="9" applyFont="1" applyFill="1" applyBorder="1" applyAlignment="1">
      <alignment horizontal="center" vertical="center" wrapText="1"/>
    </xf>
    <xf numFmtId="164" fontId="25" fillId="3" borderId="0" xfId="8" applyNumberFormat="1" applyFont="1" applyFill="1"/>
    <xf numFmtId="0" fontId="27" fillId="9" borderId="1" xfId="0" applyFont="1" applyFill="1" applyBorder="1" applyAlignment="1">
      <alignment horizontal="center" vertical="center" wrapText="1"/>
    </xf>
    <xf numFmtId="0" fontId="27" fillId="9" borderId="1" xfId="0" applyFont="1" applyFill="1" applyBorder="1" applyAlignment="1">
      <alignment horizontal="center" vertical="center"/>
    </xf>
    <xf numFmtId="17" fontId="23" fillId="8" borderId="1" xfId="0" applyNumberFormat="1" applyFont="1" applyFill="1" applyBorder="1" applyAlignment="1">
      <alignment horizontal="center" vertical="center"/>
    </xf>
    <xf numFmtId="2" fontId="23" fillId="0" borderId="1" xfId="0" applyNumberFormat="1" applyFont="1" applyBorder="1" applyAlignment="1">
      <alignment horizontal="center" vertical="center"/>
    </xf>
    <xf numFmtId="0" fontId="26" fillId="9" borderId="1" xfId="0" applyFont="1" applyFill="1" applyBorder="1" applyAlignment="1">
      <alignment horizontal="center" vertical="center" wrapText="1"/>
    </xf>
    <xf numFmtId="164" fontId="0" fillId="0" borderId="1" xfId="0" applyNumberFormat="1" applyBorder="1" applyAlignment="1">
      <alignment horizontal="center" vertical="center"/>
    </xf>
    <xf numFmtId="164" fontId="23" fillId="0" borderId="1" xfId="0" applyNumberFormat="1" applyFont="1" applyBorder="1" applyAlignment="1">
      <alignment horizontal="center" vertical="center"/>
    </xf>
    <xf numFmtId="0" fontId="0" fillId="0" borderId="1" xfId="0" applyBorder="1" applyAlignment="1">
      <alignment horizontal="center"/>
    </xf>
    <xf numFmtId="0" fontId="3" fillId="9" borderId="1" xfId="0" applyFont="1" applyFill="1" applyBorder="1" applyAlignment="1">
      <alignment horizontal="center"/>
    </xf>
    <xf numFmtId="0" fontId="27" fillId="9" borderId="1" xfId="0" applyFont="1" applyFill="1" applyBorder="1" applyAlignment="1">
      <alignment horizontal="center" vertical="center" wrapText="1"/>
    </xf>
    <xf numFmtId="0" fontId="0" fillId="0" borderId="0" xfId="0" applyFill="1" applyBorder="1"/>
    <xf numFmtId="0" fontId="0" fillId="0" borderId="33" xfId="0" applyBorder="1"/>
    <xf numFmtId="0" fontId="0" fillId="0" borderId="35" xfId="0" applyBorder="1"/>
    <xf numFmtId="0" fontId="0" fillId="0" borderId="36" xfId="0" applyBorder="1"/>
    <xf numFmtId="0" fontId="0" fillId="0" borderId="37" xfId="0" applyBorder="1"/>
    <xf numFmtId="0" fontId="0" fillId="0" borderId="38" xfId="0" applyBorder="1"/>
    <xf numFmtId="0" fontId="0" fillId="0" borderId="39" xfId="0" applyBorder="1"/>
    <xf numFmtId="0" fontId="0" fillId="0" borderId="40" xfId="0" applyBorder="1"/>
    <xf numFmtId="0" fontId="0" fillId="0" borderId="41" xfId="0" applyBorder="1"/>
    <xf numFmtId="0" fontId="0" fillId="0" borderId="42" xfId="0" applyBorder="1"/>
    <xf numFmtId="0" fontId="0" fillId="0" borderId="43" xfId="0" applyBorder="1"/>
    <xf numFmtId="0" fontId="0" fillId="0" borderId="44" xfId="0" applyBorder="1"/>
    <xf numFmtId="0" fontId="0" fillId="0" borderId="45" xfId="0" applyBorder="1"/>
    <xf numFmtId="0" fontId="0" fillId="0" borderId="46" xfId="0" applyBorder="1"/>
    <xf numFmtId="0" fontId="0" fillId="0" borderId="37" xfId="0" applyFill="1" applyBorder="1"/>
    <xf numFmtId="0" fontId="0" fillId="0" borderId="47" xfId="0" applyBorder="1"/>
    <xf numFmtId="0" fontId="0" fillId="0" borderId="48" xfId="0" applyBorder="1"/>
    <xf numFmtId="0" fontId="0" fillId="0" borderId="49" xfId="0" applyBorder="1"/>
    <xf numFmtId="0" fontId="0" fillId="0" borderId="31" xfId="0" applyBorder="1"/>
    <xf numFmtId="0" fontId="0" fillId="0" borderId="50" xfId="0" applyBorder="1"/>
    <xf numFmtId="0" fontId="0" fillId="0" borderId="51" xfId="0" applyBorder="1"/>
    <xf numFmtId="0" fontId="0" fillId="0" borderId="52" xfId="0" applyBorder="1"/>
    <xf numFmtId="0" fontId="0" fillId="0" borderId="54" xfId="0" applyBorder="1"/>
    <xf numFmtId="0" fontId="0" fillId="0" borderId="55" xfId="0" applyBorder="1"/>
    <xf numFmtId="0" fontId="0" fillId="0" borderId="57" xfId="0" applyBorder="1"/>
    <xf numFmtId="0" fontId="0" fillId="0" borderId="58" xfId="0" applyBorder="1"/>
    <xf numFmtId="0" fontId="0" fillId="0" borderId="56" xfId="0" applyBorder="1"/>
    <xf numFmtId="0" fontId="0" fillId="0" borderId="53" xfId="0" applyBorder="1"/>
    <xf numFmtId="0" fontId="32" fillId="12" borderId="26" xfId="0" applyFont="1" applyFill="1" applyBorder="1"/>
    <xf numFmtId="0" fontId="32" fillId="12" borderId="32" xfId="0" applyFont="1" applyFill="1" applyBorder="1"/>
    <xf numFmtId="0" fontId="33" fillId="0" borderId="26" xfId="0" applyFont="1" applyBorder="1" applyAlignment="1">
      <alignment horizontal="left" vertical="center" wrapText="1"/>
    </xf>
    <xf numFmtId="0" fontId="33" fillId="0" borderId="32" xfId="0" applyFont="1" applyBorder="1" applyAlignment="1">
      <alignment horizontal="justify" vertical="center"/>
    </xf>
    <xf numFmtId="0" fontId="33" fillId="0" borderId="24" xfId="0" applyFont="1" applyBorder="1" applyAlignment="1">
      <alignment horizontal="left" vertical="center" wrapText="1"/>
    </xf>
    <xf numFmtId="0" fontId="33" fillId="0" borderId="25" xfId="0" applyFont="1" applyBorder="1" applyAlignment="1">
      <alignment horizontal="justify" vertical="center"/>
    </xf>
    <xf numFmtId="0" fontId="35" fillId="0" borderId="25" xfId="0" applyFont="1" applyBorder="1" applyAlignment="1">
      <alignment horizontal="justify" vertical="center"/>
    </xf>
    <xf numFmtId="0" fontId="35" fillId="0" borderId="25" xfId="0" applyFont="1" applyBorder="1"/>
    <xf numFmtId="0" fontId="14" fillId="0" borderId="25" xfId="0" applyFont="1" applyBorder="1"/>
    <xf numFmtId="0" fontId="33" fillId="0" borderId="14" xfId="0" applyFont="1" applyBorder="1" applyAlignment="1">
      <alignment horizontal="left" vertical="center" wrapText="1"/>
    </xf>
    <xf numFmtId="0" fontId="14" fillId="0" borderId="15" xfId="0" applyFont="1" applyBorder="1"/>
    <xf numFmtId="0" fontId="32" fillId="12" borderId="24" xfId="0" applyFont="1" applyFill="1" applyBorder="1"/>
    <xf numFmtId="0" fontId="38" fillId="0" borderId="26" xfId="0" applyFont="1" applyBorder="1" applyAlignment="1">
      <alignment horizontal="justify" vertical="center"/>
    </xf>
    <xf numFmtId="0" fontId="38" fillId="0" borderId="32" xfId="0" applyFont="1" applyBorder="1" applyAlignment="1">
      <alignment horizontal="left" vertical="center" wrapText="1"/>
    </xf>
    <xf numFmtId="0" fontId="38" fillId="0" borderId="24" xfId="0" applyFont="1" applyBorder="1" applyAlignment="1">
      <alignment horizontal="left" vertical="center" wrapText="1"/>
    </xf>
    <xf numFmtId="0" fontId="38" fillId="0" borderId="25" xfId="0" applyFont="1" applyBorder="1" applyAlignment="1">
      <alignment horizontal="left" vertical="center" wrapText="1"/>
    </xf>
    <xf numFmtId="0" fontId="38" fillId="0" borderId="24" xfId="0" applyFont="1" applyBorder="1" applyAlignment="1">
      <alignment horizontal="justify" vertical="center"/>
    </xf>
    <xf numFmtId="0" fontId="40" fillId="0" borderId="25" xfId="0" applyFont="1" applyBorder="1" applyAlignment="1">
      <alignment horizontal="left" vertical="center" wrapText="1"/>
    </xf>
    <xf numFmtId="0" fontId="0" fillId="0" borderId="24" xfId="0" applyBorder="1"/>
    <xf numFmtId="0" fontId="0" fillId="0" borderId="59" xfId="0" applyBorder="1"/>
    <xf numFmtId="0" fontId="38" fillId="0" borderId="60" xfId="0" applyFont="1" applyBorder="1" applyAlignment="1">
      <alignment horizontal="left" vertical="center" wrapText="1"/>
    </xf>
    <xf numFmtId="0" fontId="42" fillId="0" borderId="0" xfId="0" applyFont="1"/>
    <xf numFmtId="0" fontId="43" fillId="0" borderId="0" xfId="0" applyFont="1" applyFill="1" applyBorder="1" applyAlignment="1">
      <alignment horizontal="center" vertical="center" wrapText="1"/>
    </xf>
    <xf numFmtId="0" fontId="42" fillId="13" borderId="61" xfId="0" applyFont="1" applyFill="1" applyBorder="1" applyAlignment="1">
      <alignment horizontal="left" vertical="center" wrapText="1"/>
    </xf>
    <xf numFmtId="0" fontId="43" fillId="13" borderId="0" xfId="0" applyFont="1" applyFill="1" applyAlignment="1">
      <alignment horizontal="center" vertical="center" wrapText="1"/>
    </xf>
    <xf numFmtId="0" fontId="42" fillId="0" borderId="0" xfId="0" applyFont="1" applyAlignment="1">
      <alignment horizontal="center" vertical="center" wrapText="1"/>
    </xf>
    <xf numFmtId="0" fontId="42" fillId="0" borderId="61" xfId="0" applyFont="1" applyBorder="1" applyAlignment="1">
      <alignment horizontal="left" vertical="center" wrapText="1"/>
    </xf>
    <xf numFmtId="0" fontId="42" fillId="0" borderId="0" xfId="0" applyFont="1" applyAlignment="1">
      <alignment horizontal="left" vertical="center" wrapText="1"/>
    </xf>
    <xf numFmtId="0" fontId="43" fillId="0" borderId="0" xfId="0" applyFont="1" applyAlignment="1">
      <alignment horizontal="center" vertical="center" wrapText="1"/>
    </xf>
    <xf numFmtId="0" fontId="42" fillId="0" borderId="0" xfId="0" applyFont="1" applyBorder="1" applyAlignment="1">
      <alignment horizontal="left" vertical="center" wrapText="1"/>
    </xf>
    <xf numFmtId="0" fontId="44" fillId="0" borderId="0" xfId="0" applyFont="1" applyBorder="1" applyAlignment="1">
      <alignment horizontal="left" vertical="center" wrapText="1"/>
    </xf>
    <xf numFmtId="0" fontId="44" fillId="0" borderId="0" xfId="0" applyFont="1" applyAlignment="1">
      <alignment horizontal="left" vertical="center" wrapText="1"/>
    </xf>
    <xf numFmtId="0" fontId="44" fillId="0" borderId="0" xfId="0" applyFont="1" applyAlignment="1">
      <alignment horizontal="center" vertical="center" wrapText="1"/>
    </xf>
    <xf numFmtId="0" fontId="46" fillId="14" borderId="14" xfId="0" applyFont="1" applyFill="1" applyBorder="1" applyAlignment="1">
      <alignment vertical="center" wrapText="1"/>
    </xf>
    <xf numFmtId="0" fontId="46" fillId="0" borderId="9" xfId="0" applyFont="1" applyBorder="1" applyAlignment="1">
      <alignment horizontal="center" vertical="center" wrapText="1"/>
    </xf>
    <xf numFmtId="0" fontId="46" fillId="0" borderId="15" xfId="0" applyFont="1" applyBorder="1" applyAlignment="1">
      <alignment horizontal="center" vertical="center" wrapText="1"/>
    </xf>
    <xf numFmtId="0" fontId="0" fillId="0" borderId="0" xfId="0" applyAlignment="1">
      <alignment horizontal="center" vertical="center"/>
    </xf>
    <xf numFmtId="0" fontId="46" fillId="14" borderId="16" xfId="0" applyFont="1" applyFill="1" applyBorder="1" applyAlignment="1">
      <alignment vertical="center" wrapText="1"/>
    </xf>
    <xf numFmtId="0" fontId="47" fillId="0" borderId="1" xfId="0" applyFont="1" applyBorder="1" applyAlignment="1">
      <alignment horizontal="center" vertical="center" wrapText="1"/>
    </xf>
    <xf numFmtId="0" fontId="47" fillId="0" borderId="1" xfId="0" applyFont="1" applyFill="1" applyBorder="1" applyAlignment="1">
      <alignment horizontal="center" vertical="center" wrapText="1"/>
    </xf>
    <xf numFmtId="0" fontId="47" fillId="0" borderId="17" xfId="0" applyFont="1" applyFill="1" applyBorder="1" applyAlignment="1">
      <alignment horizontal="center" vertical="center" wrapText="1"/>
    </xf>
    <xf numFmtId="0" fontId="49" fillId="0" borderId="0" xfId="0" applyFont="1" applyFill="1" applyBorder="1" applyAlignment="1">
      <alignment horizontal="center" vertical="center" wrapText="1"/>
    </xf>
    <xf numFmtId="0" fontId="50" fillId="0" borderId="0" xfId="0" applyFont="1" applyFill="1" applyBorder="1" applyAlignment="1">
      <alignment horizontal="center" vertical="center" wrapText="1"/>
    </xf>
    <xf numFmtId="0" fontId="50" fillId="0" borderId="0" xfId="0" applyFont="1" applyFill="1" applyBorder="1" applyAlignment="1">
      <alignment horizontal="left" vertical="center" wrapText="1"/>
    </xf>
    <xf numFmtId="3" fontId="51" fillId="0" borderId="0" xfId="0" applyNumberFormat="1" applyFont="1" applyFill="1" applyBorder="1" applyAlignment="1">
      <alignment horizontal="center" vertical="center" wrapText="1"/>
    </xf>
    <xf numFmtId="0" fontId="51" fillId="0" borderId="0" xfId="0" applyFont="1" applyFill="1" applyBorder="1" applyAlignment="1">
      <alignment horizontal="center" vertical="center" wrapText="1"/>
    </xf>
    <xf numFmtId="0" fontId="23" fillId="0" borderId="1" xfId="0" applyNumberFormat="1" applyFont="1" applyFill="1" applyBorder="1"/>
    <xf numFmtId="0" fontId="25" fillId="0" borderId="0" xfId="8" applyFont="1" applyFill="1"/>
    <xf numFmtId="164" fontId="25" fillId="0" borderId="0" xfId="8" applyNumberFormat="1" applyFont="1" applyFill="1"/>
    <xf numFmtId="0" fontId="29" fillId="0" borderId="0" xfId="8" applyNumberFormat="1" applyFont="1" applyFill="1"/>
    <xf numFmtId="0" fontId="28" fillId="0" borderId="0" xfId="8" applyFill="1"/>
    <xf numFmtId="0" fontId="28" fillId="0" borderId="0" xfId="8" applyNumberFormat="1" applyFill="1"/>
    <xf numFmtId="2" fontId="28" fillId="0" borderId="1" xfId="8" applyNumberFormat="1" applyFill="1" applyBorder="1" applyAlignment="1">
      <alignment horizontal="center" vertical="center"/>
    </xf>
    <xf numFmtId="0" fontId="28" fillId="0" borderId="0" xfId="8" applyFill="1" applyAlignment="1">
      <alignment horizontal="center" vertical="center"/>
    </xf>
    <xf numFmtId="0" fontId="28" fillId="0" borderId="1" xfId="8" applyFill="1" applyBorder="1" applyAlignment="1">
      <alignment horizontal="center" vertical="center"/>
    </xf>
    <xf numFmtId="0" fontId="28" fillId="0" borderId="0" xfId="8" applyFill="1" applyBorder="1"/>
    <xf numFmtId="0" fontId="28" fillId="0" borderId="1" xfId="8" applyBorder="1"/>
    <xf numFmtId="0" fontId="52" fillId="0" borderId="0" xfId="8" applyFont="1"/>
    <xf numFmtId="0" fontId="25" fillId="3" borderId="1" xfId="8" applyFont="1" applyFill="1" applyBorder="1" applyAlignment="1">
      <alignment horizontal="center" vertical="center" wrapText="1"/>
    </xf>
    <xf numFmtId="172" fontId="25" fillId="3" borderId="1" xfId="8" applyNumberFormat="1" applyFont="1" applyFill="1" applyBorder="1" applyAlignment="1">
      <alignment horizontal="center" vertical="center" wrapText="1"/>
    </xf>
    <xf numFmtId="172" fontId="25" fillId="0" borderId="1" xfId="8" applyNumberFormat="1" applyFont="1" applyBorder="1" applyAlignment="1">
      <alignment horizontal="center" vertical="center" wrapText="1"/>
    </xf>
    <xf numFmtId="0" fontId="28" fillId="4" borderId="1" xfId="8" applyFill="1" applyBorder="1"/>
    <xf numFmtId="0" fontId="28" fillId="0" borderId="1" xfId="8" applyFill="1" applyBorder="1"/>
    <xf numFmtId="0" fontId="28" fillId="0" borderId="0" xfId="8" applyBorder="1"/>
    <xf numFmtId="0" fontId="28" fillId="0" borderId="65" xfId="8" applyBorder="1"/>
    <xf numFmtId="0" fontId="28" fillId="0" borderId="39" xfId="8" applyBorder="1"/>
    <xf numFmtId="0" fontId="28" fillId="0" borderId="67" xfId="8" applyBorder="1"/>
    <xf numFmtId="0" fontId="28" fillId="0" borderId="68" xfId="8" applyBorder="1"/>
    <xf numFmtId="0" fontId="28" fillId="0" borderId="41" xfId="8" applyBorder="1"/>
    <xf numFmtId="0" fontId="28" fillId="0" borderId="46" xfId="8" applyBorder="1"/>
    <xf numFmtId="0" fontId="28" fillId="0" borderId="35" xfId="8" applyBorder="1"/>
    <xf numFmtId="0" fontId="28" fillId="0" borderId="37" xfId="8" applyBorder="1"/>
    <xf numFmtId="0" fontId="28" fillId="0" borderId="34" xfId="8" applyBorder="1"/>
    <xf numFmtId="0" fontId="28" fillId="0" borderId="69" xfId="8" applyBorder="1"/>
    <xf numFmtId="0" fontId="28" fillId="0" borderId="33" xfId="8" applyBorder="1"/>
    <xf numFmtId="0" fontId="28" fillId="0" borderId="70" xfId="8" applyBorder="1"/>
    <xf numFmtId="0" fontId="28" fillId="0" borderId="30" xfId="8" applyBorder="1"/>
    <xf numFmtId="0" fontId="28" fillId="0" borderId="71" xfId="8" applyBorder="1"/>
    <xf numFmtId="0" fontId="28" fillId="0" borderId="72" xfId="8" applyBorder="1"/>
    <xf numFmtId="0" fontId="28" fillId="0" borderId="73" xfId="8" applyNumberFormat="1" applyBorder="1"/>
    <xf numFmtId="0" fontId="28" fillId="0" borderId="33" xfId="8" applyNumberFormat="1" applyBorder="1"/>
    <xf numFmtId="0" fontId="28" fillId="0" borderId="74" xfId="8" applyBorder="1"/>
    <xf numFmtId="0" fontId="28" fillId="0" borderId="43" xfId="8" applyBorder="1"/>
    <xf numFmtId="0" fontId="28" fillId="0" borderId="38" xfId="8" applyBorder="1"/>
    <xf numFmtId="0" fontId="28" fillId="0" borderId="44" xfId="8" applyBorder="1"/>
    <xf numFmtId="0" fontId="52" fillId="0" borderId="44" xfId="8" applyFont="1" applyBorder="1"/>
    <xf numFmtId="0" fontId="28" fillId="0" borderId="36" xfId="8" applyBorder="1"/>
    <xf numFmtId="0" fontId="28" fillId="0" borderId="40" xfId="8" applyBorder="1"/>
    <xf numFmtId="0" fontId="52" fillId="0" borderId="68" xfId="8" applyFont="1" applyBorder="1"/>
    <xf numFmtId="0" fontId="25" fillId="3" borderId="28" xfId="8" applyFont="1" applyFill="1" applyBorder="1"/>
    <xf numFmtId="0" fontId="28" fillId="3" borderId="1" xfId="8" applyFill="1" applyBorder="1"/>
    <xf numFmtId="0" fontId="54" fillId="3" borderId="1" xfId="9" applyFont="1" applyFill="1" applyBorder="1" applyAlignment="1">
      <alignment horizontal="center" vertical="center" wrapText="1"/>
    </xf>
    <xf numFmtId="2" fontId="28" fillId="0" borderId="1" xfId="8" applyNumberFormat="1" applyBorder="1" applyAlignment="1">
      <alignment horizontal="center" vertical="center"/>
    </xf>
    <xf numFmtId="2" fontId="28" fillId="0" borderId="9" xfId="8" applyNumberFormat="1" applyBorder="1" applyAlignment="1">
      <alignment horizontal="center" vertical="center"/>
    </xf>
    <xf numFmtId="0" fontId="23" fillId="0" borderId="76" xfId="0" applyFont="1" applyBorder="1"/>
    <xf numFmtId="0" fontId="0" fillId="0" borderId="66" xfId="0" applyBorder="1"/>
    <xf numFmtId="0" fontId="0" fillId="0" borderId="77" xfId="0" applyBorder="1"/>
    <xf numFmtId="0" fontId="0" fillId="0" borderId="78" xfId="0" applyBorder="1"/>
    <xf numFmtId="0" fontId="28" fillId="0" borderId="31" xfId="8" applyBorder="1"/>
    <xf numFmtId="0" fontId="28" fillId="0" borderId="79" xfId="8" applyBorder="1"/>
    <xf numFmtId="0" fontId="28" fillId="0" borderId="47" xfId="8" applyBorder="1"/>
    <xf numFmtId="0" fontId="28" fillId="0" borderId="74" xfId="8" applyNumberFormat="1" applyBorder="1"/>
    <xf numFmtId="0" fontId="28" fillId="0" borderId="80" xfId="8" applyBorder="1"/>
    <xf numFmtId="0" fontId="28" fillId="0" borderId="45" xfId="8" applyBorder="1"/>
    <xf numFmtId="0" fontId="28" fillId="0" borderId="68" xfId="8" applyNumberFormat="1" applyBorder="1"/>
    <xf numFmtId="0" fontId="28" fillId="0" borderId="81" xfId="8" applyBorder="1"/>
    <xf numFmtId="0" fontId="28" fillId="0" borderId="81" xfId="8" applyNumberFormat="1" applyBorder="1"/>
    <xf numFmtId="0" fontId="28" fillId="0" borderId="47" xfId="8" applyNumberFormat="1" applyBorder="1"/>
    <xf numFmtId="0" fontId="28" fillId="0" borderId="28" xfId="8" applyBorder="1"/>
    <xf numFmtId="0" fontId="28" fillId="0" borderId="34" xfId="8" applyNumberFormat="1" applyBorder="1"/>
    <xf numFmtId="0" fontId="28" fillId="0" borderId="36" xfId="8" applyNumberFormat="1" applyBorder="1"/>
    <xf numFmtId="169" fontId="23" fillId="0" borderId="1" xfId="6" applyFont="1" applyFill="1" applyBorder="1" applyAlignment="1">
      <alignment horizontal="center" vertical="center"/>
    </xf>
    <xf numFmtId="2" fontId="25" fillId="0" borderId="1" xfId="4" applyNumberFormat="1" applyFont="1" applyFill="1" applyBorder="1" applyAlignment="1">
      <alignment horizontal="center" vertical="center"/>
    </xf>
    <xf numFmtId="0" fontId="25" fillId="0" borderId="1" xfId="4" applyFont="1" applyFill="1" applyBorder="1" applyAlignment="1">
      <alignment horizontal="center" vertical="center"/>
    </xf>
    <xf numFmtId="0" fontId="23" fillId="0" borderId="1" xfId="4" applyFont="1" applyFill="1" applyBorder="1" applyAlignment="1">
      <alignment horizontal="center" vertical="center"/>
    </xf>
    <xf numFmtId="0" fontId="25" fillId="0" borderId="1" xfId="0" applyFont="1" applyFill="1" applyBorder="1" applyAlignment="1">
      <alignment horizontal="center" vertical="center"/>
    </xf>
    <xf numFmtId="9" fontId="23" fillId="0" borderId="1" xfId="7" applyFont="1" applyFill="1" applyBorder="1" applyAlignment="1">
      <alignment horizontal="center" vertical="center"/>
    </xf>
    <xf numFmtId="167" fontId="23" fillId="0" borderId="1" xfId="4" applyNumberFormat="1" applyFont="1" applyFill="1" applyBorder="1" applyAlignment="1">
      <alignment horizontal="center" vertical="center"/>
    </xf>
    <xf numFmtId="170" fontId="23" fillId="0" borderId="1" xfId="4" applyNumberFormat="1" applyFont="1" applyFill="1" applyBorder="1" applyAlignment="1">
      <alignment horizontal="center" vertical="center"/>
    </xf>
    <xf numFmtId="165" fontId="23" fillId="0" borderId="1" xfId="4" applyNumberFormat="1" applyFont="1" applyFill="1" applyBorder="1" applyAlignment="1">
      <alignment horizontal="center" vertical="center"/>
    </xf>
    <xf numFmtId="2" fontId="23" fillId="0" borderId="1" xfId="4" applyNumberFormat="1" applyFont="1" applyFill="1" applyBorder="1" applyAlignment="1">
      <alignment horizontal="center" vertical="center"/>
    </xf>
    <xf numFmtId="169" fontId="23" fillId="0" borderId="1" xfId="4" applyNumberFormat="1" applyFont="1" applyFill="1" applyBorder="1" applyAlignment="1">
      <alignment horizontal="center" vertical="center"/>
    </xf>
    <xf numFmtId="173" fontId="23" fillId="0" borderId="1" xfId="4" applyNumberFormat="1" applyFont="1" applyFill="1" applyBorder="1" applyAlignment="1">
      <alignment horizontal="center" vertical="center"/>
    </xf>
    <xf numFmtId="167" fontId="23" fillId="0" borderId="1" xfId="5" applyFont="1" applyFill="1" applyBorder="1" applyAlignment="1">
      <alignment horizontal="center" vertical="center"/>
    </xf>
    <xf numFmtId="174" fontId="23" fillId="0" borderId="1" xfId="5" applyNumberFormat="1" applyFont="1" applyFill="1" applyBorder="1" applyAlignment="1">
      <alignment horizontal="center" vertical="center"/>
    </xf>
    <xf numFmtId="0" fontId="27" fillId="0" borderId="9" xfId="4" applyFont="1" applyFill="1" applyBorder="1" applyAlignment="1">
      <alignment horizontal="center" vertical="center"/>
    </xf>
    <xf numFmtId="174" fontId="23" fillId="0" borderId="9" xfId="5" applyNumberFormat="1" applyFont="1" applyFill="1" applyBorder="1" applyAlignment="1">
      <alignment horizontal="center" vertical="center"/>
    </xf>
    <xf numFmtId="0" fontId="27" fillId="8" borderId="21" xfId="4" applyFont="1" applyFill="1" applyBorder="1" applyAlignment="1">
      <alignment horizontal="center" vertical="center" wrapText="1"/>
    </xf>
    <xf numFmtId="0" fontId="27" fillId="8" borderId="22" xfId="4" applyFont="1" applyFill="1" applyBorder="1" applyAlignment="1">
      <alignment horizontal="center" vertical="center" wrapText="1"/>
    </xf>
    <xf numFmtId="0" fontId="27" fillId="8" borderId="23" xfId="4" applyFont="1" applyFill="1" applyBorder="1" applyAlignment="1">
      <alignment horizontal="center" vertical="center" wrapText="1"/>
    </xf>
    <xf numFmtId="0" fontId="23" fillId="0" borderId="16" xfId="0" applyFont="1" applyBorder="1" applyAlignment="1">
      <alignment horizontal="center" vertical="center"/>
    </xf>
    <xf numFmtId="174" fontId="23" fillId="0" borderId="17" xfId="5" applyNumberFormat="1" applyFont="1" applyFill="1" applyBorder="1" applyAlignment="1">
      <alignment horizontal="center" vertical="center"/>
    </xf>
    <xf numFmtId="0" fontId="23" fillId="0" borderId="16" xfId="4" applyFont="1" applyFill="1" applyBorder="1" applyAlignment="1">
      <alignment horizontal="center" vertical="center"/>
    </xf>
    <xf numFmtId="0" fontId="23" fillId="0" borderId="18" xfId="0" applyFont="1" applyBorder="1" applyAlignment="1">
      <alignment horizontal="center" vertical="center"/>
    </xf>
    <xf numFmtId="0" fontId="23" fillId="0" borderId="19" xfId="0" applyFont="1" applyBorder="1" applyAlignment="1">
      <alignment horizontal="center" vertical="center"/>
    </xf>
    <xf numFmtId="2" fontId="25" fillId="0" borderId="19" xfId="4" applyNumberFormat="1" applyFont="1" applyFill="1" applyBorder="1" applyAlignment="1">
      <alignment horizontal="center" vertical="center"/>
    </xf>
    <xf numFmtId="167" fontId="23" fillId="0" borderId="19" xfId="5" applyFont="1" applyFill="1" applyBorder="1" applyAlignment="1">
      <alignment horizontal="center" vertical="center"/>
    </xf>
    <xf numFmtId="174" fontId="23" fillId="0" borderId="19" xfId="5" applyNumberFormat="1" applyFont="1" applyFill="1" applyBorder="1" applyAlignment="1">
      <alignment horizontal="center" vertical="center"/>
    </xf>
    <xf numFmtId="174" fontId="23" fillId="0" borderId="20" xfId="5" applyNumberFormat="1" applyFont="1" applyFill="1" applyBorder="1" applyAlignment="1">
      <alignment horizontal="center" vertical="center"/>
    </xf>
    <xf numFmtId="2" fontId="23" fillId="0" borderId="19" xfId="0" applyNumberFormat="1" applyFont="1" applyBorder="1" applyAlignment="1">
      <alignment horizontal="center" vertical="center"/>
    </xf>
    <xf numFmtId="2" fontId="23" fillId="0" borderId="9" xfId="0" applyNumberFormat="1" applyFont="1" applyBorder="1" applyAlignment="1">
      <alignment horizontal="center" vertical="center"/>
    </xf>
    <xf numFmtId="165" fontId="23" fillId="0" borderId="1" xfId="0" applyNumberFormat="1" applyFont="1" applyBorder="1" applyAlignment="1">
      <alignment horizontal="center" vertical="center"/>
    </xf>
    <xf numFmtId="165" fontId="23" fillId="0" borderId="30" xfId="0" applyNumberFormat="1" applyFont="1" applyBorder="1" applyAlignment="1">
      <alignment horizontal="center" vertical="center"/>
    </xf>
    <xf numFmtId="165" fontId="23" fillId="0" borderId="19" xfId="0" applyNumberFormat="1" applyFont="1" applyBorder="1" applyAlignment="1">
      <alignment horizontal="center" vertical="center"/>
    </xf>
    <xf numFmtId="2" fontId="23" fillId="0" borderId="0" xfId="4" applyNumberFormat="1" applyFont="1" applyFill="1" applyBorder="1" applyAlignment="1">
      <alignment horizontal="center" vertical="center"/>
    </xf>
    <xf numFmtId="0" fontId="27" fillId="0" borderId="0" xfId="4" applyFont="1" applyFill="1" applyBorder="1" applyAlignment="1">
      <alignment horizontal="center" vertical="center"/>
    </xf>
    <xf numFmtId="2" fontId="23" fillId="0" borderId="17" xfId="0" applyNumberFormat="1" applyFont="1" applyBorder="1" applyAlignment="1">
      <alignment horizontal="center" vertical="center"/>
    </xf>
    <xf numFmtId="2" fontId="23" fillId="0" borderId="20" xfId="0" applyNumberFormat="1" applyFont="1" applyBorder="1" applyAlignment="1">
      <alignment horizontal="center" vertical="center"/>
    </xf>
    <xf numFmtId="0" fontId="23" fillId="0" borderId="14" xfId="0" applyFont="1" applyBorder="1" applyAlignment="1">
      <alignment horizontal="center" vertical="center"/>
    </xf>
    <xf numFmtId="0" fontId="23" fillId="0" borderId="9" xfId="0" applyFont="1" applyBorder="1" applyAlignment="1">
      <alignment horizontal="center" vertical="center"/>
    </xf>
    <xf numFmtId="165" fontId="23" fillId="0" borderId="9" xfId="0" applyNumberFormat="1" applyFont="1" applyBorder="1" applyAlignment="1">
      <alignment horizontal="center" vertical="center"/>
    </xf>
    <xf numFmtId="2" fontId="23" fillId="0" borderId="15" xfId="0" applyNumberFormat="1" applyFont="1" applyBorder="1" applyAlignment="1">
      <alignment horizontal="center" vertical="center"/>
    </xf>
    <xf numFmtId="0" fontId="27" fillId="8" borderId="62" xfId="4" applyFont="1" applyFill="1" applyBorder="1" applyAlignment="1">
      <alignment horizontal="center" vertical="center" wrapText="1"/>
    </xf>
    <xf numFmtId="0" fontId="27" fillId="8" borderId="63" xfId="4" applyFont="1" applyFill="1" applyBorder="1" applyAlignment="1">
      <alignment horizontal="center" vertical="center" wrapText="1"/>
    </xf>
    <xf numFmtId="0" fontId="27" fillId="8" borderId="64" xfId="4" applyFont="1" applyFill="1" applyBorder="1" applyAlignment="1">
      <alignment horizontal="center" vertical="center" wrapText="1"/>
    </xf>
    <xf numFmtId="169" fontId="23" fillId="0" borderId="9" xfId="6" applyFont="1" applyFill="1" applyBorder="1" applyAlignment="1">
      <alignment horizontal="center" vertical="center"/>
    </xf>
    <xf numFmtId="0" fontId="26" fillId="8" borderId="63" xfId="4" applyFont="1" applyFill="1" applyBorder="1" applyAlignment="1">
      <alignment horizontal="center" vertical="center" wrapText="1"/>
    </xf>
    <xf numFmtId="0" fontId="26" fillId="8" borderId="64" xfId="4" applyFont="1" applyFill="1" applyBorder="1" applyAlignment="1">
      <alignment horizontal="center" vertical="center" wrapText="1"/>
    </xf>
    <xf numFmtId="0" fontId="23" fillId="0" borderId="9" xfId="4" applyFont="1" applyFill="1" applyBorder="1" applyAlignment="1">
      <alignment horizontal="center" vertical="center"/>
    </xf>
    <xf numFmtId="167" fontId="23" fillId="4" borderId="9" xfId="5" applyFont="1" applyFill="1" applyBorder="1" applyAlignment="1">
      <alignment horizontal="center" vertical="center"/>
    </xf>
    <xf numFmtId="169" fontId="23" fillId="0" borderId="15" xfId="6" applyFont="1" applyFill="1" applyBorder="1" applyAlignment="1">
      <alignment horizontal="center" vertical="center"/>
    </xf>
    <xf numFmtId="169" fontId="23" fillId="0" borderId="17" xfId="6" applyFont="1" applyFill="1" applyBorder="1" applyAlignment="1">
      <alignment horizontal="center" vertical="center"/>
    </xf>
    <xf numFmtId="169" fontId="56" fillId="0" borderId="17" xfId="6" applyFont="1" applyFill="1" applyBorder="1" applyAlignment="1">
      <alignment horizontal="center" vertical="center"/>
    </xf>
    <xf numFmtId="169" fontId="23" fillId="0" borderId="19" xfId="6" applyFont="1" applyFill="1" applyBorder="1" applyAlignment="1">
      <alignment horizontal="center" vertical="center"/>
    </xf>
    <xf numFmtId="169" fontId="23" fillId="0" borderId="20" xfId="6" applyFont="1" applyFill="1" applyBorder="1" applyAlignment="1">
      <alignment horizontal="center" vertical="center"/>
    </xf>
    <xf numFmtId="167" fontId="23" fillId="0" borderId="17" xfId="5" applyFont="1" applyFill="1" applyBorder="1" applyAlignment="1">
      <alignment horizontal="center" vertical="center"/>
    </xf>
    <xf numFmtId="167" fontId="23" fillId="0" borderId="20" xfId="5" applyFont="1" applyFill="1" applyBorder="1" applyAlignment="1">
      <alignment horizontal="center" vertical="center"/>
    </xf>
    <xf numFmtId="0" fontId="45" fillId="14" borderId="62" xfId="0" applyFont="1" applyFill="1" applyBorder="1" applyAlignment="1">
      <alignment horizontal="center"/>
    </xf>
    <xf numFmtId="0" fontId="45" fillId="14" borderId="63" xfId="0" applyFont="1" applyFill="1" applyBorder="1" applyAlignment="1">
      <alignment horizontal="center"/>
    </xf>
    <xf numFmtId="0" fontId="45" fillId="14" borderId="64" xfId="0" applyFont="1" applyFill="1" applyBorder="1" applyAlignment="1">
      <alignment horizontal="center"/>
    </xf>
    <xf numFmtId="0" fontId="46" fillId="0" borderId="16" xfId="0" applyFont="1" applyBorder="1" applyAlignment="1">
      <alignment horizontal="left"/>
    </xf>
    <xf numFmtId="0" fontId="46" fillId="0" borderId="1" xfId="0" applyFont="1" applyBorder="1" applyAlignment="1">
      <alignment horizontal="left"/>
    </xf>
    <xf numFmtId="0" fontId="46" fillId="0" borderId="17" xfId="0" applyFont="1" applyBorder="1" applyAlignment="1">
      <alignment horizontal="left"/>
    </xf>
    <xf numFmtId="0" fontId="46" fillId="0" borderId="18" xfId="0" applyFont="1" applyBorder="1" applyAlignment="1">
      <alignment horizontal="left"/>
    </xf>
    <xf numFmtId="0" fontId="46" fillId="0" borderId="19" xfId="0" applyFont="1" applyBorder="1" applyAlignment="1">
      <alignment horizontal="left"/>
    </xf>
    <xf numFmtId="0" fontId="46" fillId="0" borderId="20" xfId="0" applyFont="1" applyBorder="1" applyAlignment="1">
      <alignment horizontal="left"/>
    </xf>
    <xf numFmtId="0" fontId="10" fillId="0" borderId="21" xfId="0" applyFont="1" applyBorder="1" applyAlignment="1">
      <alignment horizontal="center"/>
    </xf>
    <xf numFmtId="0" fontId="10" fillId="0" borderId="23" xfId="0" applyFont="1" applyBorder="1" applyAlignment="1">
      <alignment horizontal="center"/>
    </xf>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9" fontId="11" fillId="4" borderId="26" xfId="0" applyNumberFormat="1" applyFont="1" applyFill="1" applyBorder="1" applyAlignment="1">
      <alignment horizontal="center" vertical="center" textRotation="90"/>
    </xf>
    <xf numFmtId="0" fontId="11" fillId="4" borderId="24" xfId="0" applyFont="1" applyFill="1" applyBorder="1" applyAlignment="1">
      <alignment horizontal="center" vertical="center" textRotation="90"/>
    </xf>
    <xf numFmtId="0" fontId="11" fillId="4" borderId="14" xfId="0" applyFont="1" applyFill="1" applyBorder="1" applyAlignment="1">
      <alignment horizontal="center" vertical="center" textRotation="90"/>
    </xf>
    <xf numFmtId="9" fontId="12" fillId="6" borderId="26" xfId="0" applyNumberFormat="1" applyFont="1" applyFill="1" applyBorder="1" applyAlignment="1">
      <alignment horizontal="center" vertical="center" textRotation="90"/>
    </xf>
    <xf numFmtId="0" fontId="12" fillId="6" borderId="24" xfId="0" applyFont="1" applyFill="1" applyBorder="1" applyAlignment="1">
      <alignment horizontal="center" vertical="center" textRotation="90"/>
    </xf>
    <xf numFmtId="0" fontId="12" fillId="6" borderId="14" xfId="0" applyFont="1" applyFill="1" applyBorder="1" applyAlignment="1">
      <alignment horizontal="center" vertical="center" textRotation="90"/>
    </xf>
    <xf numFmtId="0" fontId="3" fillId="0" borderId="10" xfId="0" applyFont="1" applyBorder="1" applyAlignment="1">
      <alignment horizontal="center" wrapText="1"/>
    </xf>
    <xf numFmtId="0" fontId="3" fillId="0" borderId="11" xfId="0" applyFont="1" applyBorder="1" applyAlignment="1">
      <alignment horizontal="center" wrapText="1"/>
    </xf>
    <xf numFmtId="0" fontId="3" fillId="0" borderId="12" xfId="0" applyFont="1" applyBorder="1" applyAlignment="1">
      <alignment horizontal="center" wrapText="1"/>
    </xf>
    <xf numFmtId="0" fontId="3" fillId="9" borderId="10" xfId="0" applyFont="1" applyFill="1" applyBorder="1" applyAlignment="1">
      <alignment horizontal="center" wrapText="1"/>
    </xf>
    <xf numFmtId="0" fontId="3" fillId="9" borderId="11" xfId="0" applyFont="1" applyFill="1" applyBorder="1" applyAlignment="1">
      <alignment horizontal="center" wrapText="1"/>
    </xf>
    <xf numFmtId="0" fontId="3" fillId="9" borderId="12" xfId="0" applyFont="1" applyFill="1" applyBorder="1" applyAlignment="1">
      <alignment horizontal="center" wrapText="1"/>
    </xf>
    <xf numFmtId="0" fontId="3" fillId="0" borderId="21" xfId="0" applyFont="1" applyBorder="1" applyAlignment="1">
      <alignment horizontal="center" wrapText="1"/>
    </xf>
    <xf numFmtId="0" fontId="3" fillId="0" borderId="22" xfId="0" applyFont="1" applyBorder="1" applyAlignment="1">
      <alignment horizontal="center" wrapText="1"/>
    </xf>
    <xf numFmtId="0" fontId="3" fillId="0" borderId="23" xfId="0" applyFont="1" applyBorder="1" applyAlignment="1">
      <alignment horizontal="center" wrapText="1"/>
    </xf>
    <xf numFmtId="0" fontId="0" fillId="0" borderId="0" xfId="0" applyAlignment="1">
      <alignment horizontal="center" vertical="center" wrapText="1"/>
    </xf>
    <xf numFmtId="0" fontId="8" fillId="0" borderId="1" xfId="0" applyFont="1" applyFill="1" applyBorder="1" applyAlignment="1">
      <alignment horizontal="center" wrapText="1" readingOrder="1"/>
    </xf>
    <xf numFmtId="0" fontId="9" fillId="0" borderId="0" xfId="0" applyFont="1" applyAlignment="1">
      <alignment horizontal="center" vertical="center" wrapText="1"/>
    </xf>
    <xf numFmtId="0" fontId="0" fillId="0" borderId="0" xfId="0" applyAlignment="1">
      <alignment horizontal="center" wrapText="1"/>
    </xf>
    <xf numFmtId="0" fontId="18" fillId="0" borderId="1" xfId="0" applyFont="1" applyBorder="1" applyAlignment="1">
      <alignment horizontal="center" vertical="center"/>
    </xf>
    <xf numFmtId="0" fontId="0" fillId="0" borderId="0" xfId="0" applyAlignment="1">
      <alignment horizontal="center"/>
    </xf>
    <xf numFmtId="0" fontId="0" fillId="0" borderId="1" xfId="0" applyBorder="1" applyAlignment="1">
      <alignment horizontal="center"/>
    </xf>
    <xf numFmtId="0" fontId="3" fillId="9" borderId="1" xfId="0" applyFont="1" applyFill="1" applyBorder="1" applyAlignment="1">
      <alignment horizontal="center"/>
    </xf>
    <xf numFmtId="0" fontId="27" fillId="9" borderId="1" xfId="9" applyFont="1" applyFill="1" applyBorder="1" applyAlignment="1">
      <alignment horizontal="center" vertical="center"/>
    </xf>
    <xf numFmtId="0" fontId="28" fillId="0" borderId="39" xfId="8" applyBorder="1" applyAlignment="1">
      <alignment horizontal="center" vertical="center" wrapText="1"/>
    </xf>
    <xf numFmtId="0" fontId="28" fillId="0" borderId="37" xfId="8" applyBorder="1" applyAlignment="1">
      <alignment horizontal="center" vertical="center" wrapText="1"/>
    </xf>
    <xf numFmtId="0" fontId="28" fillId="0" borderId="0" xfId="8" applyBorder="1" applyAlignment="1">
      <alignment horizontal="center" vertical="center" wrapText="1"/>
    </xf>
    <xf numFmtId="0" fontId="28" fillId="0" borderId="33" xfId="8" applyBorder="1" applyAlignment="1">
      <alignment horizontal="center" vertical="center" wrapText="1"/>
    </xf>
    <xf numFmtId="0" fontId="28" fillId="0" borderId="75" xfId="8" applyBorder="1" applyAlignment="1">
      <alignment horizontal="center" vertical="center" wrapText="1"/>
    </xf>
    <xf numFmtId="0" fontId="28" fillId="0" borderId="47" xfId="8" applyBorder="1" applyAlignment="1">
      <alignment horizontal="center" vertical="center" wrapText="1"/>
    </xf>
    <xf numFmtId="0" fontId="53" fillId="9" borderId="1" xfId="8" applyFont="1" applyFill="1" applyBorder="1" applyAlignment="1">
      <alignment horizontal="center" wrapText="1"/>
    </xf>
    <xf numFmtId="0" fontId="27" fillId="0" borderId="27" xfId="9" applyFont="1" applyBorder="1" applyAlignment="1">
      <alignment horizontal="center" vertical="center"/>
    </xf>
    <xf numFmtId="0" fontId="27" fillId="0" borderId="28" xfId="9" applyFont="1" applyBorder="1" applyAlignment="1">
      <alignment horizontal="center" vertical="center"/>
    </xf>
    <xf numFmtId="0" fontId="28" fillId="9" borderId="1" xfId="8" applyFill="1" applyBorder="1" applyAlignment="1">
      <alignment horizontal="center" wrapText="1"/>
    </xf>
    <xf numFmtId="0" fontId="25" fillId="3" borderId="0" xfId="8" applyFont="1" applyFill="1" applyAlignment="1">
      <alignment horizontal="center" vertical="center" wrapText="1"/>
    </xf>
    <xf numFmtId="0" fontId="25" fillId="3" borderId="28" xfId="8" applyFont="1" applyFill="1" applyBorder="1" applyAlignment="1">
      <alignment horizontal="center" vertical="center" wrapText="1"/>
    </xf>
    <xf numFmtId="0" fontId="30" fillId="0" borderId="0" xfId="8" applyFont="1" applyFill="1" applyAlignment="1">
      <alignment vertical="center" wrapText="1"/>
    </xf>
    <xf numFmtId="0" fontId="30" fillId="0" borderId="0" xfId="8" applyFont="1" applyFill="1" applyBorder="1" applyAlignment="1">
      <alignment horizontal="left" vertical="top" wrapText="1"/>
    </xf>
    <xf numFmtId="0" fontId="30" fillId="0" borderId="31" xfId="8" applyFont="1" applyFill="1" applyBorder="1" applyAlignment="1">
      <alignment horizontal="center" wrapText="1"/>
    </xf>
    <xf numFmtId="0" fontId="30" fillId="0" borderId="0" xfId="8" applyFont="1" applyFill="1" applyAlignment="1">
      <alignment horizontal="center" wrapText="1"/>
    </xf>
    <xf numFmtId="0" fontId="30" fillId="0" borderId="0" xfId="8" applyFont="1" applyFill="1" applyBorder="1" applyAlignment="1">
      <alignment horizontal="center" wrapText="1"/>
    </xf>
    <xf numFmtId="0" fontId="28" fillId="9" borderId="1" xfId="8" applyFill="1" applyBorder="1" applyAlignment="1">
      <alignment horizontal="center" vertical="center" wrapText="1"/>
    </xf>
    <xf numFmtId="0" fontId="28" fillId="0" borderId="38" xfId="8" applyBorder="1" applyAlignment="1">
      <alignment horizontal="center" wrapText="1"/>
    </xf>
    <xf numFmtId="0" fontId="28" fillId="0" borderId="34" xfId="8" applyBorder="1" applyAlignment="1">
      <alignment horizontal="center" wrapText="1"/>
    </xf>
    <xf numFmtId="0" fontId="27" fillId="9" borderId="1" xfId="9" applyFont="1" applyFill="1" applyBorder="1" applyAlignment="1">
      <alignment horizontal="center" vertical="center" wrapText="1"/>
    </xf>
    <xf numFmtId="0" fontId="27" fillId="0" borderId="0" xfId="9" applyFont="1" applyBorder="1" applyAlignment="1">
      <alignment horizontal="center" vertical="center"/>
    </xf>
    <xf numFmtId="0" fontId="30" fillId="3" borderId="0" xfId="8" applyFont="1" applyFill="1" applyAlignment="1">
      <alignment vertical="center" wrapText="1"/>
    </xf>
    <xf numFmtId="0" fontId="30" fillId="3" borderId="0" xfId="8" applyFont="1" applyFill="1" applyBorder="1" applyAlignment="1">
      <alignment horizontal="left" vertical="top" wrapText="1"/>
    </xf>
    <xf numFmtId="0" fontId="30" fillId="3" borderId="31" xfId="8" applyFont="1" applyFill="1" applyBorder="1" applyAlignment="1">
      <alignment horizontal="center" wrapText="1"/>
    </xf>
    <xf numFmtId="0" fontId="30" fillId="3" borderId="0" xfId="8" applyFont="1" applyFill="1" applyAlignment="1">
      <alignment horizontal="center" wrapText="1"/>
    </xf>
    <xf numFmtId="0" fontId="30" fillId="3" borderId="0" xfId="8" applyFont="1" applyFill="1" applyBorder="1" applyAlignment="1">
      <alignment horizontal="center" wrapText="1"/>
    </xf>
    <xf numFmtId="0" fontId="27" fillId="9" borderId="1" xfId="0" applyFont="1" applyFill="1" applyBorder="1" applyAlignment="1">
      <alignment horizontal="center" vertical="center" wrapText="1"/>
    </xf>
    <xf numFmtId="168" fontId="26" fillId="0" borderId="1" xfId="5" applyNumberFormat="1" applyFont="1" applyFill="1" applyBorder="1" applyAlignment="1">
      <alignment horizontal="center" vertical="center"/>
    </xf>
    <xf numFmtId="0" fontId="3" fillId="6" borderId="30" xfId="0" applyFont="1" applyFill="1" applyBorder="1" applyAlignment="1">
      <alignment vertical="center"/>
    </xf>
    <xf numFmtId="0" fontId="3" fillId="6" borderId="82" xfId="0" applyFont="1" applyFill="1" applyBorder="1" applyAlignment="1">
      <alignment vertical="center"/>
    </xf>
  </cellXfs>
  <cellStyles count="21">
    <cellStyle name="Hipervínculo" xfId="3" builtinId="8"/>
    <cellStyle name="Millares" xfId="2" builtinId="3"/>
    <cellStyle name="Millares 2" xfId="5"/>
    <cellStyle name="Moneda 2" xfId="6"/>
    <cellStyle name="Normal" xfId="0" builtinId="0"/>
    <cellStyle name="Normal 2" xfId="4"/>
    <cellStyle name="Normal 2 2" xfId="8"/>
    <cellStyle name="Normal 3" xfId="10"/>
    <cellStyle name="Normal 3 2" xfId="9"/>
    <cellStyle name="Normal 4" xfId="11"/>
    <cellStyle name="Normal 4 2" xfId="12"/>
    <cellStyle name="Normal 5" xfId="13"/>
    <cellStyle name="Normal 6" xfId="14"/>
    <cellStyle name="Normal 6 2" xfId="15"/>
    <cellStyle name="Normal 7" xfId="16"/>
    <cellStyle name="Normal 7 2" xfId="17"/>
    <cellStyle name="Normal 8" xfId="18"/>
    <cellStyle name="Normal 8 2" xfId="19"/>
    <cellStyle name="Normal 8 3" xfId="20"/>
    <cellStyle name="Porcentaje" xfId="1" builtinId="5"/>
    <cellStyle name="Porcentaje 2" xfId="7"/>
  </cellStyles>
  <dxfs count="0"/>
  <tableStyles count="0" defaultTableStyle="TableStyleMedium9" defaultPivotStyle="PivotStyleLight16"/>
  <colors>
    <mruColors>
      <color rgb="FF33CAFF"/>
      <color rgb="FF21C5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 Valor Agregado Bruto de la Industria Textil</a:t>
            </a:r>
          </a:p>
        </c:rich>
      </c:tx>
      <c:layout/>
      <c:overlay val="0"/>
      <c:spPr>
        <a:noFill/>
        <a:ln>
          <a:noFill/>
        </a:ln>
        <a:effectLst/>
      </c:spPr>
    </c:title>
    <c:autoTitleDeleted val="0"/>
    <c:plotArea>
      <c:layout/>
      <c:lineChart>
        <c:grouping val="standard"/>
        <c:varyColors val="0"/>
        <c:ser>
          <c:idx val="0"/>
          <c:order val="0"/>
          <c:tx>
            <c:strRef>
              <c:f>PIB!$B$18</c:f>
              <c:strCache>
                <c:ptCount val="1"/>
                <c:pt idx="0">
                  <c:v>% Valor Agregado bruto de la Industria textil</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dLbls>
            <c:dLbl>
              <c:idx val="0"/>
              <c:layout>
                <c:manualLayout>
                  <c:x val="-2.8888888888888908E-2"/>
                  <c:y val="-5.0955404719776318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5-5263-4B29-A878-5AF2ED5263D5}"/>
                </c:ext>
              </c:extLst>
            </c:dLbl>
            <c:dLbl>
              <c:idx val="2"/>
              <c:layout>
                <c:manualLayout>
                  <c:x val="-4.2222222222222265E-2"/>
                  <c:y val="-4.1690785679816975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4-5263-4B29-A878-5AF2ED5263D5}"/>
                </c:ext>
              </c:extLst>
            </c:dLbl>
            <c:dLbl>
              <c:idx val="3"/>
              <c:layout>
                <c:manualLayout>
                  <c:x val="-1.1111111111111112E-2"/>
                  <c:y val="4.6323095199796618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3-5263-4B29-A878-5AF2ED5263D5}"/>
                </c:ext>
              </c:extLst>
            </c:dLbl>
            <c:dLbl>
              <c:idx val="6"/>
              <c:layout>
                <c:manualLayout>
                  <c:x val="-5.5555555555555552E-2"/>
                  <c:y val="-5.0955404719776234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2-5263-4B29-A878-5AF2ED5263D5}"/>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spPr>
              <a:ln w="19050" cap="rnd">
                <a:solidFill>
                  <a:srgbClr val="FF0000"/>
                </a:solidFill>
              </a:ln>
              <a:effectLst/>
            </c:spPr>
            <c:trendlineType val="linear"/>
            <c:dispRSqr val="0"/>
            <c:dispEq val="0"/>
          </c:trendline>
          <c:cat>
            <c:numRef>
              <c:f>PIB!$A$19:$A$26</c:f>
              <c:numCache>
                <c:formatCode>General</c:formatCode>
                <c:ptCount val="8"/>
                <c:pt idx="0">
                  <c:v>2007</c:v>
                </c:pt>
                <c:pt idx="1">
                  <c:v>2008</c:v>
                </c:pt>
                <c:pt idx="2">
                  <c:v>2009</c:v>
                </c:pt>
                <c:pt idx="3">
                  <c:v>2010</c:v>
                </c:pt>
                <c:pt idx="4">
                  <c:v>2011</c:v>
                </c:pt>
                <c:pt idx="5">
                  <c:v>2012</c:v>
                </c:pt>
                <c:pt idx="6">
                  <c:v>2013</c:v>
                </c:pt>
                <c:pt idx="7">
                  <c:v>2014</c:v>
                </c:pt>
              </c:numCache>
            </c:numRef>
          </c:cat>
          <c:val>
            <c:numRef>
              <c:f>PIB!$B$19:$B$26</c:f>
              <c:numCache>
                <c:formatCode>General</c:formatCode>
                <c:ptCount val="8"/>
                <c:pt idx="0">
                  <c:v>1.7</c:v>
                </c:pt>
                <c:pt idx="1">
                  <c:v>-0.9</c:v>
                </c:pt>
                <c:pt idx="2">
                  <c:v>6.7</c:v>
                </c:pt>
                <c:pt idx="3">
                  <c:v>2.9</c:v>
                </c:pt>
                <c:pt idx="4">
                  <c:v>6.7</c:v>
                </c:pt>
                <c:pt idx="5">
                  <c:v>-7.7</c:v>
                </c:pt>
                <c:pt idx="6">
                  <c:v>3.3</c:v>
                </c:pt>
                <c:pt idx="7">
                  <c:v>2.9</c:v>
                </c:pt>
              </c:numCache>
            </c:numRef>
          </c:val>
          <c:smooth val="0"/>
          <c:extLst xmlns:c16r2="http://schemas.microsoft.com/office/drawing/2015/06/chart">
            <c:ext xmlns:c16="http://schemas.microsoft.com/office/drawing/2014/chart" uri="{C3380CC4-5D6E-409C-BE32-E72D297353CC}">
              <c16:uniqueId val="{00000001-5263-4B29-A878-5AF2ED5263D5}"/>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142735616"/>
        <c:axId val="142643584"/>
      </c:lineChart>
      <c:catAx>
        <c:axId val="14273561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EC" b="1">
                    <a:solidFill>
                      <a:schemeClr val="tx1"/>
                    </a:solidFill>
                  </a:rPr>
                  <a:t>Años</a:t>
                </a:r>
              </a:p>
            </c:rich>
          </c:tx>
          <c:layout/>
          <c:overlay val="0"/>
          <c:spPr>
            <a:noFill/>
            <a:ln>
              <a:noFill/>
            </a:ln>
            <a:effectLst/>
          </c:sp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42643584"/>
        <c:crosses val="autoZero"/>
        <c:auto val="1"/>
        <c:lblAlgn val="ctr"/>
        <c:lblOffset val="100"/>
        <c:noMultiLvlLbl val="0"/>
      </c:catAx>
      <c:valAx>
        <c:axId val="1426435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EC" b="1">
                    <a:solidFill>
                      <a:schemeClr val="tx1"/>
                    </a:solidFill>
                  </a:rPr>
                  <a:t>% Valor</a:t>
                </a:r>
                <a:r>
                  <a:rPr lang="es-EC" b="1" baseline="0">
                    <a:solidFill>
                      <a:schemeClr val="tx1"/>
                    </a:solidFill>
                  </a:rPr>
                  <a:t> Agregado Bruto</a:t>
                </a:r>
                <a:endParaRPr lang="es-EC" b="1">
                  <a:solidFill>
                    <a:schemeClr val="tx1"/>
                  </a:solidFill>
                </a:endParaRPr>
              </a:p>
            </c:rich>
          </c:tx>
          <c:layout/>
          <c:overlay val="0"/>
          <c:spPr>
            <a:noFill/>
            <a:ln>
              <a:noFill/>
            </a:ln>
            <a:effectLst/>
          </c:sp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427356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Demanda de kilos L10 Y</a:t>
            </a:r>
          </a:p>
        </c:rich>
      </c:tx>
      <c:overlay val="0"/>
    </c:title>
    <c:autoTitleDeleted val="0"/>
    <c:plotArea>
      <c:layout>
        <c:manualLayout>
          <c:layoutTarget val="inner"/>
          <c:xMode val="edge"/>
          <c:yMode val="edge"/>
          <c:x val="7.8919072615923014E-2"/>
          <c:y val="0.18554425488480605"/>
          <c:w val="0.73884601924759408"/>
          <c:h val="0.68921660834062404"/>
        </c:manualLayout>
      </c:layout>
      <c:scatterChart>
        <c:scatterStyle val="lineMarker"/>
        <c:varyColors val="0"/>
        <c:ser>
          <c:idx val="0"/>
          <c:order val="0"/>
          <c:tx>
            <c:v>L10 Y</c:v>
          </c:tx>
          <c:spPr>
            <a:ln w="28575">
              <a:noFill/>
            </a:ln>
          </c:spPr>
          <c:trendline>
            <c:spPr>
              <a:ln w="19050">
                <a:solidFill>
                  <a:srgbClr val="FF0000"/>
                </a:solidFill>
              </a:ln>
            </c:spPr>
            <c:trendlineType val="linear"/>
            <c:dispRSqr val="1"/>
            <c:dispEq val="1"/>
            <c:trendlineLbl>
              <c:layout>
                <c:manualLayout>
                  <c:x val="0.32690791776027994"/>
                  <c:y val="-0.30420129775444738"/>
                </c:manualLayout>
              </c:layout>
              <c:numFmt formatCode="General" sourceLinked="0"/>
            </c:trendlineLbl>
          </c:trendline>
          <c:xVal>
            <c:numRef>
              <c:f>' Poliester Claro '!$A$149:$A$174</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 Poliester Claro '!$I$149:$I$174</c:f>
              <c:numCache>
                <c:formatCode>General</c:formatCode>
                <c:ptCount val="26"/>
                <c:pt idx="0">
                  <c:v>2.494863918881161</c:v>
                </c:pt>
                <c:pt idx="1">
                  <c:v>2.6616802007837301</c:v>
                </c:pt>
                <c:pt idx="2">
                  <c:v>2.6723749787460793</c:v>
                </c:pt>
                <c:pt idx="3">
                  <c:v>2.4667490254648134</c:v>
                </c:pt>
                <c:pt idx="4">
                  <c:v>1.735758537443739</c:v>
                </c:pt>
                <c:pt idx="5">
                  <c:v>2.6235387235854897</c:v>
                </c:pt>
                <c:pt idx="6">
                  <c:v>2.3502674060479181</c:v>
                </c:pt>
                <c:pt idx="7">
                  <c:v>2.3710124168838402</c:v>
                </c:pt>
                <c:pt idx="8">
                  <c:v>2.3835820046064842</c:v>
                </c:pt>
                <c:pt idx="9">
                  <c:v>2.284814097381231</c:v>
                </c:pt>
                <c:pt idx="10">
                  <c:v>1.9849321660674122</c:v>
                </c:pt>
                <c:pt idx="11">
                  <c:v>1.8363241157067518</c:v>
                </c:pt>
                <c:pt idx="12">
                  <c:v>2.282984440133955</c:v>
                </c:pt>
                <c:pt idx="13">
                  <c:v>2.0749991860641992</c:v>
                </c:pt>
                <c:pt idx="14">
                  <c:v>2.4999206592313503</c:v>
                </c:pt>
                <c:pt idx="15">
                  <c:v>1.3820170425748683</c:v>
                </c:pt>
                <c:pt idx="16">
                  <c:v>2.5381462661990386</c:v>
                </c:pt>
                <c:pt idx="17">
                  <c:v>0.71096311899527576</c:v>
                </c:pt>
                <c:pt idx="18">
                  <c:v>1.9133899436317556</c:v>
                </c:pt>
                <c:pt idx="19">
                  <c:v>2.0903286068234221</c:v>
                </c:pt>
                <c:pt idx="20">
                  <c:v>1.935658386100634</c:v>
                </c:pt>
                <c:pt idx="21">
                  <c:v>0.76192783842052902</c:v>
                </c:pt>
                <c:pt idx="22">
                  <c:v>2.1111280363451241</c:v>
                </c:pt>
                <c:pt idx="23">
                  <c:v>0.68663626926229337</c:v>
                </c:pt>
                <c:pt idx="24">
                  <c:v>1.7232093104051114</c:v>
                </c:pt>
                <c:pt idx="25">
                  <c:v>1.6151079874431939</c:v>
                </c:pt>
              </c:numCache>
            </c:numRef>
          </c:yVal>
          <c:smooth val="0"/>
        </c:ser>
        <c:dLbls>
          <c:showLegendKey val="0"/>
          <c:showVal val="0"/>
          <c:showCatName val="0"/>
          <c:showSerName val="0"/>
          <c:showPercent val="0"/>
          <c:showBubbleSize val="0"/>
        </c:dLbls>
        <c:axId val="144708736"/>
        <c:axId val="144710272"/>
      </c:scatterChart>
      <c:valAx>
        <c:axId val="144708736"/>
        <c:scaling>
          <c:orientation val="minMax"/>
        </c:scaling>
        <c:delete val="0"/>
        <c:axPos val="b"/>
        <c:numFmt formatCode="General" sourceLinked="1"/>
        <c:majorTickMark val="out"/>
        <c:minorTickMark val="none"/>
        <c:tickLblPos val="nextTo"/>
        <c:crossAx val="144710272"/>
        <c:crosses val="autoZero"/>
        <c:crossBetween val="midCat"/>
      </c:valAx>
      <c:valAx>
        <c:axId val="144710272"/>
        <c:scaling>
          <c:orientation val="minMax"/>
        </c:scaling>
        <c:delete val="0"/>
        <c:axPos val="l"/>
        <c:majorGridlines/>
        <c:numFmt formatCode="General" sourceLinked="1"/>
        <c:majorTickMark val="out"/>
        <c:minorTickMark val="none"/>
        <c:tickLblPos val="nextTo"/>
        <c:crossAx val="144708736"/>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scatterChart>
        <c:scatterStyle val="smoothMarker"/>
        <c:varyColors val="0"/>
        <c:ser>
          <c:idx val="0"/>
          <c:order val="0"/>
          <c:tx>
            <c:strRef>
              <c:f>'Poliester Crudo'!$C$55</c:f>
              <c:strCache>
                <c:ptCount val="1"/>
                <c:pt idx="0">
                  <c:v>cantidad Kg</c:v>
                </c:pt>
              </c:strCache>
            </c:strRef>
          </c:tx>
          <c:xVal>
            <c:numRef>
              <c:f>'Poliester Crudo'!$B$56:$B$133</c:f>
              <c:numCache>
                <c:formatCode>mmm\-yy</c:formatCode>
                <c:ptCount val="78"/>
                <c:pt idx="0">
                  <c:v>40179</c:v>
                </c:pt>
                <c:pt idx="1">
                  <c:v>40210</c:v>
                </c:pt>
                <c:pt idx="2">
                  <c:v>40238</c:v>
                </c:pt>
                <c:pt idx="3">
                  <c:v>40269</c:v>
                </c:pt>
                <c:pt idx="4">
                  <c:v>40299</c:v>
                </c:pt>
                <c:pt idx="5">
                  <c:v>40330</c:v>
                </c:pt>
                <c:pt idx="6">
                  <c:v>40360</c:v>
                </c:pt>
                <c:pt idx="7">
                  <c:v>40391</c:v>
                </c:pt>
                <c:pt idx="8">
                  <c:v>40422</c:v>
                </c:pt>
                <c:pt idx="9">
                  <c:v>40452</c:v>
                </c:pt>
                <c:pt idx="10">
                  <c:v>40483</c:v>
                </c:pt>
                <c:pt idx="11">
                  <c:v>40513</c:v>
                </c:pt>
                <c:pt idx="12">
                  <c:v>40544</c:v>
                </c:pt>
                <c:pt idx="13">
                  <c:v>40575</c:v>
                </c:pt>
                <c:pt idx="14">
                  <c:v>40603</c:v>
                </c:pt>
                <c:pt idx="15">
                  <c:v>40634</c:v>
                </c:pt>
                <c:pt idx="16">
                  <c:v>40664</c:v>
                </c:pt>
                <c:pt idx="17">
                  <c:v>40695</c:v>
                </c:pt>
                <c:pt idx="18">
                  <c:v>40725</c:v>
                </c:pt>
                <c:pt idx="19">
                  <c:v>40756</c:v>
                </c:pt>
                <c:pt idx="20">
                  <c:v>40787</c:v>
                </c:pt>
                <c:pt idx="21">
                  <c:v>40817</c:v>
                </c:pt>
                <c:pt idx="22">
                  <c:v>40848</c:v>
                </c:pt>
                <c:pt idx="23">
                  <c:v>40878</c:v>
                </c:pt>
                <c:pt idx="24">
                  <c:v>40909</c:v>
                </c:pt>
                <c:pt idx="25">
                  <c:v>40940</c:v>
                </c:pt>
                <c:pt idx="26">
                  <c:v>40969</c:v>
                </c:pt>
                <c:pt idx="27">
                  <c:v>41000</c:v>
                </c:pt>
                <c:pt idx="28">
                  <c:v>41030</c:v>
                </c:pt>
                <c:pt idx="29">
                  <c:v>41061</c:v>
                </c:pt>
                <c:pt idx="30">
                  <c:v>41091</c:v>
                </c:pt>
                <c:pt idx="31">
                  <c:v>41122</c:v>
                </c:pt>
                <c:pt idx="32">
                  <c:v>41153</c:v>
                </c:pt>
                <c:pt idx="33">
                  <c:v>41183</c:v>
                </c:pt>
                <c:pt idx="34">
                  <c:v>41214</c:v>
                </c:pt>
                <c:pt idx="35">
                  <c:v>41244</c:v>
                </c:pt>
                <c:pt idx="36">
                  <c:v>41275</c:v>
                </c:pt>
                <c:pt idx="37">
                  <c:v>41306</c:v>
                </c:pt>
                <c:pt idx="38">
                  <c:v>41334</c:v>
                </c:pt>
                <c:pt idx="39">
                  <c:v>41365</c:v>
                </c:pt>
                <c:pt idx="40">
                  <c:v>41395</c:v>
                </c:pt>
                <c:pt idx="41">
                  <c:v>41426</c:v>
                </c:pt>
                <c:pt idx="42">
                  <c:v>41456</c:v>
                </c:pt>
                <c:pt idx="43">
                  <c:v>41487</c:v>
                </c:pt>
                <c:pt idx="44">
                  <c:v>41518</c:v>
                </c:pt>
                <c:pt idx="45">
                  <c:v>41548</c:v>
                </c:pt>
                <c:pt idx="46">
                  <c:v>41579</c:v>
                </c:pt>
                <c:pt idx="47">
                  <c:v>41609</c:v>
                </c:pt>
                <c:pt idx="48">
                  <c:v>41640</c:v>
                </c:pt>
                <c:pt idx="49">
                  <c:v>41671</c:v>
                </c:pt>
                <c:pt idx="50">
                  <c:v>41699</c:v>
                </c:pt>
                <c:pt idx="51">
                  <c:v>41730</c:v>
                </c:pt>
                <c:pt idx="52">
                  <c:v>41760</c:v>
                </c:pt>
                <c:pt idx="53">
                  <c:v>41791</c:v>
                </c:pt>
                <c:pt idx="54">
                  <c:v>41821</c:v>
                </c:pt>
                <c:pt idx="55">
                  <c:v>41852</c:v>
                </c:pt>
                <c:pt idx="56">
                  <c:v>41883</c:v>
                </c:pt>
                <c:pt idx="57">
                  <c:v>41913</c:v>
                </c:pt>
                <c:pt idx="58">
                  <c:v>41944</c:v>
                </c:pt>
                <c:pt idx="59">
                  <c:v>41974</c:v>
                </c:pt>
                <c:pt idx="60">
                  <c:v>42005</c:v>
                </c:pt>
                <c:pt idx="61">
                  <c:v>42036</c:v>
                </c:pt>
                <c:pt idx="62">
                  <c:v>42064</c:v>
                </c:pt>
                <c:pt idx="63">
                  <c:v>42095</c:v>
                </c:pt>
                <c:pt idx="64">
                  <c:v>42125</c:v>
                </c:pt>
                <c:pt idx="65">
                  <c:v>42156</c:v>
                </c:pt>
                <c:pt idx="66">
                  <c:v>42186</c:v>
                </c:pt>
                <c:pt idx="67">
                  <c:v>42217</c:v>
                </c:pt>
                <c:pt idx="68">
                  <c:v>42248</c:v>
                </c:pt>
                <c:pt idx="69">
                  <c:v>42278</c:v>
                </c:pt>
                <c:pt idx="70">
                  <c:v>42309</c:v>
                </c:pt>
                <c:pt idx="71">
                  <c:v>42339</c:v>
                </c:pt>
                <c:pt idx="72">
                  <c:v>42370</c:v>
                </c:pt>
                <c:pt idx="73">
                  <c:v>42401</c:v>
                </c:pt>
                <c:pt idx="74">
                  <c:v>42430</c:v>
                </c:pt>
                <c:pt idx="75">
                  <c:v>42461</c:v>
                </c:pt>
                <c:pt idx="76">
                  <c:v>42491</c:v>
                </c:pt>
                <c:pt idx="77">
                  <c:v>42522</c:v>
                </c:pt>
              </c:numCache>
            </c:numRef>
          </c:xVal>
          <c:yVal>
            <c:numRef>
              <c:f>'Poliester Crudo'!$C$56:$C$133</c:f>
              <c:numCache>
                <c:formatCode>###,###,###.00</c:formatCode>
                <c:ptCount val="78"/>
                <c:pt idx="0">
                  <c:v>1571.05</c:v>
                </c:pt>
                <c:pt idx="1">
                  <c:v>3596.64</c:v>
                </c:pt>
                <c:pt idx="2">
                  <c:v>4211.0200000000004</c:v>
                </c:pt>
                <c:pt idx="3">
                  <c:v>5115.32</c:v>
                </c:pt>
                <c:pt idx="4">
                  <c:v>1799.71</c:v>
                </c:pt>
                <c:pt idx="5">
                  <c:v>2445.6</c:v>
                </c:pt>
                <c:pt idx="6">
                  <c:v>1180.5999999999999</c:v>
                </c:pt>
                <c:pt idx="7">
                  <c:v>3416.75</c:v>
                </c:pt>
                <c:pt idx="8">
                  <c:v>3301.9</c:v>
                </c:pt>
                <c:pt idx="9">
                  <c:v>3954.7</c:v>
                </c:pt>
                <c:pt idx="10">
                  <c:v>3067.69</c:v>
                </c:pt>
                <c:pt idx="11">
                  <c:v>4498.3999999999996</c:v>
                </c:pt>
                <c:pt idx="12">
                  <c:v>1488</c:v>
                </c:pt>
                <c:pt idx="13">
                  <c:v>2052.89</c:v>
                </c:pt>
                <c:pt idx="14">
                  <c:v>2351.1</c:v>
                </c:pt>
                <c:pt idx="15">
                  <c:v>280</c:v>
                </c:pt>
                <c:pt idx="16">
                  <c:v>4585</c:v>
                </c:pt>
                <c:pt idx="17">
                  <c:v>2415</c:v>
                </c:pt>
                <c:pt idx="18">
                  <c:v>3445.4</c:v>
                </c:pt>
                <c:pt idx="19">
                  <c:v>482.4</c:v>
                </c:pt>
                <c:pt idx="20">
                  <c:v>2023.05</c:v>
                </c:pt>
                <c:pt idx="21">
                  <c:v>934.15</c:v>
                </c:pt>
                <c:pt idx="22">
                  <c:v>1885.95</c:v>
                </c:pt>
                <c:pt idx="23">
                  <c:v>1537.65</c:v>
                </c:pt>
                <c:pt idx="24">
                  <c:v>2661.57</c:v>
                </c:pt>
                <c:pt idx="25">
                  <c:v>3943.05</c:v>
                </c:pt>
                <c:pt idx="26">
                  <c:v>4363.2</c:v>
                </c:pt>
                <c:pt idx="27">
                  <c:v>4232.3999999999996</c:v>
                </c:pt>
                <c:pt idx="28">
                  <c:v>4796.3100000000004</c:v>
                </c:pt>
                <c:pt idx="29">
                  <c:v>2675.09</c:v>
                </c:pt>
                <c:pt idx="30">
                  <c:v>3660.95</c:v>
                </c:pt>
                <c:pt idx="31">
                  <c:v>5117.01</c:v>
                </c:pt>
                <c:pt idx="32">
                  <c:v>2539.1999999999998</c:v>
                </c:pt>
                <c:pt idx="33">
                  <c:v>1206.1199999999999</c:v>
                </c:pt>
                <c:pt idx="34">
                  <c:v>2332.0700000000002</c:v>
                </c:pt>
                <c:pt idx="35">
                  <c:v>1609.5</c:v>
                </c:pt>
                <c:pt idx="36">
                  <c:v>4035.2</c:v>
                </c:pt>
                <c:pt idx="37">
                  <c:v>3396.18</c:v>
                </c:pt>
                <c:pt idx="38">
                  <c:v>3038.77</c:v>
                </c:pt>
                <c:pt idx="39">
                  <c:v>4477</c:v>
                </c:pt>
                <c:pt idx="40">
                  <c:v>7972.56</c:v>
                </c:pt>
                <c:pt idx="41">
                  <c:v>4515</c:v>
                </c:pt>
                <c:pt idx="42">
                  <c:v>4581.38</c:v>
                </c:pt>
                <c:pt idx="43">
                  <c:v>3815.32</c:v>
                </c:pt>
                <c:pt idx="44">
                  <c:v>3541.34</c:v>
                </c:pt>
                <c:pt idx="45">
                  <c:v>7559.5</c:v>
                </c:pt>
                <c:pt idx="46">
                  <c:v>5140.12</c:v>
                </c:pt>
                <c:pt idx="47">
                  <c:v>927.72</c:v>
                </c:pt>
                <c:pt idx="48">
                  <c:v>34.64</c:v>
                </c:pt>
                <c:pt idx="49">
                  <c:v>0</c:v>
                </c:pt>
                <c:pt idx="50">
                  <c:v>78.92</c:v>
                </c:pt>
                <c:pt idx="51">
                  <c:v>27.94</c:v>
                </c:pt>
                <c:pt idx="52">
                  <c:v>54.14</c:v>
                </c:pt>
                <c:pt idx="53">
                  <c:v>39.619999999999997</c:v>
                </c:pt>
                <c:pt idx="54">
                  <c:v>49.68</c:v>
                </c:pt>
                <c:pt idx="55">
                  <c:v>0</c:v>
                </c:pt>
                <c:pt idx="56">
                  <c:v>0</c:v>
                </c:pt>
                <c:pt idx="57">
                  <c:v>34.799999999999997</c:v>
                </c:pt>
                <c:pt idx="58">
                  <c:v>3.02</c:v>
                </c:pt>
                <c:pt idx="59">
                  <c:v>0</c:v>
                </c:pt>
                <c:pt idx="60">
                  <c:v>2081.4499999999998</c:v>
                </c:pt>
                <c:pt idx="61">
                  <c:v>2791.73</c:v>
                </c:pt>
                <c:pt idx="62">
                  <c:v>5392.23</c:v>
                </c:pt>
                <c:pt idx="63">
                  <c:v>4557.95</c:v>
                </c:pt>
                <c:pt idx="64">
                  <c:v>4299.97</c:v>
                </c:pt>
                <c:pt idx="65">
                  <c:v>4079.11</c:v>
                </c:pt>
                <c:pt idx="66">
                  <c:v>10018.6</c:v>
                </c:pt>
                <c:pt idx="67">
                  <c:v>5570.9</c:v>
                </c:pt>
                <c:pt idx="68">
                  <c:v>5157.7</c:v>
                </c:pt>
                <c:pt idx="69">
                  <c:v>8171.8</c:v>
                </c:pt>
                <c:pt idx="70">
                  <c:v>67.099999999999994</c:v>
                </c:pt>
                <c:pt idx="71">
                  <c:v>0</c:v>
                </c:pt>
                <c:pt idx="72" formatCode="General">
                  <c:v>2240</c:v>
                </c:pt>
                <c:pt idx="73" formatCode="General">
                  <c:v>0</c:v>
                </c:pt>
                <c:pt idx="74" formatCode="General">
                  <c:v>2433.1999999999998</c:v>
                </c:pt>
                <c:pt idx="75" formatCode="General">
                  <c:v>2354.8000000000002</c:v>
                </c:pt>
                <c:pt idx="76" formatCode="General">
                  <c:v>0</c:v>
                </c:pt>
                <c:pt idx="77" formatCode="General">
                  <c:v>2798.6</c:v>
                </c:pt>
              </c:numCache>
            </c:numRef>
          </c:yVal>
          <c:smooth val="1"/>
        </c:ser>
        <c:dLbls>
          <c:showLegendKey val="0"/>
          <c:showVal val="0"/>
          <c:showCatName val="0"/>
          <c:showSerName val="0"/>
          <c:showPercent val="0"/>
          <c:showBubbleSize val="0"/>
        </c:dLbls>
        <c:axId val="144763904"/>
        <c:axId val="144777984"/>
      </c:scatterChart>
      <c:valAx>
        <c:axId val="144763904"/>
        <c:scaling>
          <c:orientation val="minMax"/>
          <c:min val="40000"/>
        </c:scaling>
        <c:delete val="0"/>
        <c:axPos val="b"/>
        <c:majorGridlines/>
        <c:numFmt formatCode="mmm\-yy" sourceLinked="1"/>
        <c:majorTickMark val="out"/>
        <c:minorTickMark val="none"/>
        <c:tickLblPos val="nextTo"/>
        <c:txPr>
          <a:bodyPr rot="5400000" vert="horz"/>
          <a:lstStyle/>
          <a:p>
            <a:pPr>
              <a:defRPr/>
            </a:pPr>
            <a:endParaRPr lang="es-ES"/>
          </a:p>
        </c:txPr>
        <c:crossAx val="144777984"/>
        <c:crosses val="autoZero"/>
        <c:crossBetween val="midCat"/>
        <c:majorUnit val="70"/>
        <c:minorUnit val="50"/>
      </c:valAx>
      <c:valAx>
        <c:axId val="144777984"/>
        <c:scaling>
          <c:orientation val="minMax"/>
        </c:scaling>
        <c:delete val="0"/>
        <c:axPos val="l"/>
        <c:majorGridlines/>
        <c:numFmt formatCode="###,###,###.00" sourceLinked="1"/>
        <c:majorTickMark val="out"/>
        <c:minorTickMark val="none"/>
        <c:tickLblPos val="nextTo"/>
        <c:crossAx val="144763904"/>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9.5825574207663008E-2"/>
          <c:y val="9.8454475056576882E-2"/>
          <c:w val="0.71207849042713134"/>
          <c:h val="0.78385596981971761"/>
        </c:manualLayout>
      </c:layout>
      <c:scatterChart>
        <c:scatterStyle val="smoothMarker"/>
        <c:varyColors val="0"/>
        <c:ser>
          <c:idx val="0"/>
          <c:order val="0"/>
          <c:tx>
            <c:strRef>
              <c:f>'Poliester Crudo'!$C$25</c:f>
              <c:strCache>
                <c:ptCount val="1"/>
                <c:pt idx="0">
                  <c:v>Hilo Poliester 300/96 Tex Crudo</c:v>
                </c:pt>
              </c:strCache>
            </c:strRef>
          </c:tx>
          <c:trendline>
            <c:spPr>
              <a:ln w="22225">
                <a:solidFill>
                  <a:srgbClr val="FF0000"/>
                </a:solidFill>
              </a:ln>
            </c:spPr>
            <c:trendlineType val="linear"/>
            <c:dispRSqr val="1"/>
            <c:dispEq val="1"/>
            <c:trendlineLbl>
              <c:layout>
                <c:manualLayout>
                  <c:x val="0.16329680791324455"/>
                  <c:y val="-3.2666755958305031E-2"/>
                </c:manualLayout>
              </c:layout>
              <c:numFmt formatCode="General" sourceLinked="0"/>
            </c:trendlineLbl>
          </c:trendline>
          <c:xVal>
            <c:numRef>
              <c:f>'Poliester Crudo'!$B$26:$B$51</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'Poliester Crudo'!$C$26:$C$51</c:f>
              <c:numCache>
                <c:formatCode>###,###,###.00</c:formatCode>
                <c:ptCount val="26"/>
                <c:pt idx="0">
                  <c:v>9378.7099999999991</c:v>
                </c:pt>
                <c:pt idx="1">
                  <c:v>9360.6299999999992</c:v>
                </c:pt>
                <c:pt idx="2">
                  <c:v>7899.25</c:v>
                </c:pt>
                <c:pt idx="3">
                  <c:v>11520.789999999999</c:v>
                </c:pt>
                <c:pt idx="4">
                  <c:v>5891.99</c:v>
                </c:pt>
                <c:pt idx="5">
                  <c:v>7280</c:v>
                </c:pt>
                <c:pt idx="6">
                  <c:v>5950.85</c:v>
                </c:pt>
                <c:pt idx="7">
                  <c:v>4357.75</c:v>
                </c:pt>
                <c:pt idx="8">
                  <c:v>10967.82</c:v>
                </c:pt>
                <c:pt idx="9">
                  <c:v>11703.8</c:v>
                </c:pt>
                <c:pt idx="10">
                  <c:v>11317.16</c:v>
                </c:pt>
                <c:pt idx="11">
                  <c:v>5147.6900000000005</c:v>
                </c:pt>
                <c:pt idx="12">
                  <c:v>10470.15</c:v>
                </c:pt>
                <c:pt idx="13">
                  <c:v>16964.560000000001</c:v>
                </c:pt>
                <c:pt idx="14">
                  <c:v>11938.04</c:v>
                </c:pt>
                <c:pt idx="15">
                  <c:v>13627.339999999998</c:v>
                </c:pt>
                <c:pt idx="16">
                  <c:v>113.56</c:v>
                </c:pt>
                <c:pt idx="17">
                  <c:v>121.69999999999999</c:v>
                </c:pt>
                <c:pt idx="18">
                  <c:v>49.68</c:v>
                </c:pt>
                <c:pt idx="19">
                  <c:v>37.82</c:v>
                </c:pt>
                <c:pt idx="20">
                  <c:v>10265.41</c:v>
                </c:pt>
                <c:pt idx="21">
                  <c:v>12937.03</c:v>
                </c:pt>
                <c:pt idx="22">
                  <c:v>20747.2</c:v>
                </c:pt>
                <c:pt idx="23">
                  <c:v>8238.9</c:v>
                </c:pt>
                <c:pt idx="24">
                  <c:v>66.759999999999991</c:v>
                </c:pt>
                <c:pt idx="25">
                  <c:v>73.62</c:v>
                </c:pt>
              </c:numCache>
            </c:numRef>
          </c:yVal>
          <c:smooth val="1"/>
        </c:ser>
        <c:dLbls>
          <c:showLegendKey val="0"/>
          <c:showVal val="0"/>
          <c:showCatName val="0"/>
          <c:showSerName val="0"/>
          <c:showPercent val="0"/>
          <c:showBubbleSize val="0"/>
        </c:dLbls>
        <c:axId val="144815616"/>
        <c:axId val="144817152"/>
      </c:scatterChart>
      <c:valAx>
        <c:axId val="144815616"/>
        <c:scaling>
          <c:orientation val="minMax"/>
          <c:max val="2016"/>
          <c:min val="2009"/>
        </c:scaling>
        <c:delete val="0"/>
        <c:axPos val="b"/>
        <c:numFmt formatCode="General" sourceLinked="1"/>
        <c:majorTickMark val="out"/>
        <c:minorTickMark val="none"/>
        <c:tickLblPos val="nextTo"/>
        <c:txPr>
          <a:bodyPr rot="5400000" vert="horz"/>
          <a:lstStyle/>
          <a:p>
            <a:pPr>
              <a:defRPr/>
            </a:pPr>
            <a:endParaRPr lang="es-ES"/>
          </a:p>
        </c:txPr>
        <c:crossAx val="144817152"/>
        <c:crosses val="autoZero"/>
        <c:crossBetween val="midCat"/>
        <c:majorUnit val="0.5"/>
        <c:minorUnit val="0.2"/>
      </c:valAx>
      <c:valAx>
        <c:axId val="144817152"/>
        <c:scaling>
          <c:orientation val="minMax"/>
          <c:max val="22000"/>
          <c:min val="0"/>
        </c:scaling>
        <c:delete val="0"/>
        <c:axPos val="l"/>
        <c:majorGridlines/>
        <c:numFmt formatCode="###,###,###.00" sourceLinked="1"/>
        <c:majorTickMark val="out"/>
        <c:minorTickMark val="none"/>
        <c:tickLblPos val="nextTo"/>
        <c:crossAx val="144815616"/>
        <c:crosses val="autoZero"/>
        <c:crossBetween val="midCat"/>
        <c:majorUnit val="3000"/>
        <c:minorUnit val="500"/>
      </c:valAx>
    </c:plotArea>
    <c:legend>
      <c:legendPos val="r"/>
      <c:layout>
        <c:manualLayout>
          <c:xMode val="edge"/>
          <c:yMode val="edge"/>
          <c:x val="0.87118176434315531"/>
          <c:y val="0.4020782810908059"/>
          <c:w val="0.11483868462188218"/>
          <c:h val="0.13602862558430934"/>
        </c:manualLayout>
      </c:layout>
      <c:overlay val="0"/>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6.4877780965638399E-2"/>
          <c:y val="0.13092976709576934"/>
          <c:w val="0.7406900655636669"/>
          <c:h val="0.80045366085641345"/>
        </c:manualLayout>
      </c:layout>
      <c:scatterChart>
        <c:scatterStyle val="smoothMarker"/>
        <c:varyColors val="0"/>
        <c:ser>
          <c:idx val="0"/>
          <c:order val="0"/>
          <c:tx>
            <c:strRef>
              <c:f>' Poliester Obscuro'!$B$24</c:f>
              <c:strCache>
                <c:ptCount val="1"/>
                <c:pt idx="0">
                  <c:v>Hilo Poliester 150/48 Tex Azul Mari Reb</c:v>
                </c:pt>
              </c:strCache>
            </c:strRef>
          </c:tx>
          <c:trendline>
            <c:spPr>
              <a:ln w="22225">
                <a:solidFill>
                  <a:srgbClr val="FF0000"/>
                </a:solidFill>
              </a:ln>
            </c:spPr>
            <c:trendlineType val="linear"/>
            <c:dispRSqr val="1"/>
            <c:dispEq val="1"/>
            <c:trendlineLbl>
              <c:layout>
                <c:manualLayout>
                  <c:x val="0.1762890024204051"/>
                  <c:y val="-0.13043973709933049"/>
                </c:manualLayout>
              </c:layout>
              <c:numFmt formatCode="General" sourceLinked="0"/>
            </c:trendlineLbl>
          </c:trendline>
          <c:xVal>
            <c:numRef>
              <c:f>' Poliester Obscuro'!$A$25:$A$50</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 Poliester Obscuro'!$B$25:$B$50</c:f>
              <c:numCache>
                <c:formatCode>General</c:formatCode>
                <c:ptCount val="26"/>
                <c:pt idx="0">
                  <c:v>995.83000000000015</c:v>
                </c:pt>
                <c:pt idx="1">
                  <c:v>515.75</c:v>
                </c:pt>
                <c:pt idx="2">
                  <c:v>1096.98</c:v>
                </c:pt>
                <c:pt idx="3">
                  <c:v>737.49</c:v>
                </c:pt>
                <c:pt idx="4">
                  <c:v>558.88</c:v>
                </c:pt>
                <c:pt idx="5">
                  <c:v>584.15</c:v>
                </c:pt>
                <c:pt idx="6">
                  <c:v>598.57999999999993</c:v>
                </c:pt>
                <c:pt idx="7">
                  <c:v>341.58</c:v>
                </c:pt>
                <c:pt idx="8">
                  <c:v>606.39</c:v>
                </c:pt>
                <c:pt idx="9">
                  <c:v>537.71</c:v>
                </c:pt>
                <c:pt idx="10">
                  <c:v>544.22</c:v>
                </c:pt>
                <c:pt idx="11">
                  <c:v>519.29</c:v>
                </c:pt>
                <c:pt idx="12">
                  <c:v>64.36</c:v>
                </c:pt>
                <c:pt idx="13">
                  <c:v>85.9</c:v>
                </c:pt>
                <c:pt idx="14">
                  <c:v>103.05000000000001</c:v>
                </c:pt>
                <c:pt idx="15">
                  <c:v>70.19</c:v>
                </c:pt>
                <c:pt idx="16">
                  <c:v>140.34</c:v>
                </c:pt>
                <c:pt idx="17">
                  <c:v>52.94</c:v>
                </c:pt>
                <c:pt idx="18">
                  <c:v>180.5</c:v>
                </c:pt>
                <c:pt idx="19">
                  <c:v>38.739999999999995</c:v>
                </c:pt>
                <c:pt idx="20">
                  <c:v>176</c:v>
                </c:pt>
                <c:pt idx="21">
                  <c:v>40.4</c:v>
                </c:pt>
                <c:pt idx="22">
                  <c:v>90.7</c:v>
                </c:pt>
                <c:pt idx="23">
                  <c:v>41.68</c:v>
                </c:pt>
                <c:pt idx="24">
                  <c:v>42.1</c:v>
                </c:pt>
                <c:pt idx="25">
                  <c:v>38.08</c:v>
                </c:pt>
              </c:numCache>
            </c:numRef>
          </c:yVal>
          <c:smooth val="1"/>
        </c:ser>
        <c:dLbls>
          <c:showLegendKey val="0"/>
          <c:showVal val="0"/>
          <c:showCatName val="0"/>
          <c:showSerName val="0"/>
          <c:showPercent val="0"/>
          <c:showBubbleSize val="0"/>
        </c:dLbls>
        <c:axId val="144318848"/>
        <c:axId val="144320384"/>
      </c:scatterChart>
      <c:valAx>
        <c:axId val="144318848"/>
        <c:scaling>
          <c:orientation val="minMax"/>
          <c:max val="2016"/>
          <c:min val="2009"/>
        </c:scaling>
        <c:delete val="0"/>
        <c:axPos val="b"/>
        <c:numFmt formatCode="General" sourceLinked="1"/>
        <c:majorTickMark val="out"/>
        <c:minorTickMark val="none"/>
        <c:tickLblPos val="nextTo"/>
        <c:crossAx val="144320384"/>
        <c:crosses val="autoZero"/>
        <c:crossBetween val="midCat"/>
        <c:majorUnit val="0.5"/>
      </c:valAx>
      <c:valAx>
        <c:axId val="144320384"/>
        <c:scaling>
          <c:orientation val="minMax"/>
          <c:max val="1200"/>
        </c:scaling>
        <c:delete val="0"/>
        <c:axPos val="l"/>
        <c:majorGridlines/>
        <c:numFmt formatCode="General" sourceLinked="1"/>
        <c:majorTickMark val="out"/>
        <c:minorTickMark val="none"/>
        <c:tickLblPos val="nextTo"/>
        <c:crossAx val="144318848"/>
        <c:crosses val="autoZero"/>
        <c:crossBetween val="midCat"/>
        <c:majorUnit val="100"/>
      </c:valAx>
    </c:plotArea>
    <c:legend>
      <c:legendPos val="r"/>
      <c:layout>
        <c:manualLayout>
          <c:xMode val="edge"/>
          <c:yMode val="edge"/>
          <c:x val="0.85362707710734254"/>
          <c:y val="0.29945720100769202"/>
          <c:w val="0.12040606260249859"/>
          <c:h val="0.16854397553034292"/>
        </c:manualLayout>
      </c:layout>
      <c:overlay val="0"/>
    </c:legend>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Hilo Poliester 150/48 Tex Salmón</a:t>
            </a:r>
          </a:p>
        </c:rich>
      </c:tx>
      <c:layout>
        <c:manualLayout>
          <c:xMode val="edge"/>
          <c:yMode val="edge"/>
          <c:x val="0.30480555555555555"/>
          <c:y val="3.7037037037037035E-2"/>
        </c:manualLayout>
      </c:layout>
      <c:overlay val="0"/>
    </c:title>
    <c:autoTitleDeleted val="0"/>
    <c:plotArea>
      <c:layout>
        <c:manualLayout>
          <c:layoutTarget val="inner"/>
          <c:xMode val="edge"/>
          <c:yMode val="edge"/>
          <c:x val="8.607174103237096E-2"/>
          <c:y val="0.19480351414406533"/>
          <c:w val="0.71473755407802553"/>
          <c:h val="0.66848779386447665"/>
        </c:manualLayout>
      </c:layout>
      <c:scatterChart>
        <c:scatterStyle val="smoothMarker"/>
        <c:varyColors val="0"/>
        <c:ser>
          <c:idx val="0"/>
          <c:order val="0"/>
          <c:tx>
            <c:strRef>
              <c:f>' Poliester Claro '!$C$35</c:f>
              <c:strCache>
                <c:ptCount val="1"/>
                <c:pt idx="0">
                  <c:v>Demanda en Kilos</c:v>
                </c:pt>
              </c:strCache>
            </c:strRef>
          </c:tx>
          <c:trendline>
            <c:spPr>
              <a:ln w="22225">
                <a:solidFill>
                  <a:srgbClr val="FF0000"/>
                </a:solidFill>
              </a:ln>
            </c:spPr>
            <c:trendlineType val="linear"/>
            <c:dispRSqr val="1"/>
            <c:dispEq val="1"/>
            <c:trendlineLbl>
              <c:layout>
                <c:manualLayout>
                  <c:x val="0.18663042322302906"/>
                  <c:y val="-0.13953500973668614"/>
                </c:manualLayout>
              </c:layout>
              <c:numFmt formatCode="General" sourceLinked="0"/>
            </c:trendlineLbl>
          </c:trendline>
          <c:xVal>
            <c:numRef>
              <c:f>' Poliester Claro '!$B$36:$B$61</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 Poliester Claro '!$C$36:$C$61</c:f>
              <c:numCache>
                <c:formatCode>General</c:formatCode>
                <c:ptCount val="26"/>
                <c:pt idx="0">
                  <c:v>312.51</c:v>
                </c:pt>
                <c:pt idx="1">
                  <c:v>458.86</c:v>
                </c:pt>
                <c:pt idx="2">
                  <c:v>470.3</c:v>
                </c:pt>
                <c:pt idx="3">
                  <c:v>292.92</c:v>
                </c:pt>
                <c:pt idx="4">
                  <c:v>54.42</c:v>
                </c:pt>
                <c:pt idx="5">
                  <c:v>420.28</c:v>
                </c:pt>
                <c:pt idx="6">
                  <c:v>224.01</c:v>
                </c:pt>
                <c:pt idx="7">
                  <c:v>234.97</c:v>
                </c:pt>
                <c:pt idx="8">
                  <c:v>241.87</c:v>
                </c:pt>
                <c:pt idx="9">
                  <c:v>192.67</c:v>
                </c:pt>
                <c:pt idx="10">
                  <c:v>96.59</c:v>
                </c:pt>
                <c:pt idx="11">
                  <c:v>68.600000000000009</c:v>
                </c:pt>
                <c:pt idx="12">
                  <c:v>191.86</c:v>
                </c:pt>
                <c:pt idx="13">
                  <c:v>118.85</c:v>
                </c:pt>
                <c:pt idx="14">
                  <c:v>316.16999999999996</c:v>
                </c:pt>
                <c:pt idx="15">
                  <c:v>24.1</c:v>
                </c:pt>
                <c:pt idx="16">
                  <c:v>345.26</c:v>
                </c:pt>
                <c:pt idx="17">
                  <c:v>5.14</c:v>
                </c:pt>
                <c:pt idx="18">
                  <c:v>81.92</c:v>
                </c:pt>
                <c:pt idx="19">
                  <c:v>123.12</c:v>
                </c:pt>
                <c:pt idx="20">
                  <c:v>86.22999999999999</c:v>
                </c:pt>
                <c:pt idx="21">
                  <c:v>5.78</c:v>
                </c:pt>
                <c:pt idx="22">
                  <c:v>129.16</c:v>
                </c:pt>
                <c:pt idx="23">
                  <c:v>4.8600000000000003</c:v>
                </c:pt>
                <c:pt idx="24">
                  <c:v>52.87</c:v>
                </c:pt>
                <c:pt idx="25">
                  <c:v>41.22</c:v>
                </c:pt>
              </c:numCache>
            </c:numRef>
          </c:yVal>
          <c:smooth val="1"/>
        </c:ser>
        <c:dLbls>
          <c:showLegendKey val="0"/>
          <c:showVal val="0"/>
          <c:showCatName val="0"/>
          <c:showSerName val="0"/>
          <c:showPercent val="0"/>
          <c:showBubbleSize val="0"/>
        </c:dLbls>
        <c:axId val="144350208"/>
        <c:axId val="144356096"/>
      </c:scatterChart>
      <c:valAx>
        <c:axId val="144350208"/>
        <c:scaling>
          <c:orientation val="minMax"/>
          <c:max val="2016"/>
          <c:min val="2009"/>
        </c:scaling>
        <c:delete val="0"/>
        <c:axPos val="b"/>
        <c:numFmt formatCode="General" sourceLinked="1"/>
        <c:majorTickMark val="out"/>
        <c:minorTickMark val="none"/>
        <c:tickLblPos val="nextTo"/>
        <c:txPr>
          <a:bodyPr/>
          <a:lstStyle/>
          <a:p>
            <a:pPr>
              <a:defRPr sz="800"/>
            </a:pPr>
            <a:endParaRPr lang="es-ES"/>
          </a:p>
        </c:txPr>
        <c:crossAx val="144356096"/>
        <c:crosses val="autoZero"/>
        <c:crossBetween val="midCat"/>
        <c:majorUnit val="0.5"/>
      </c:valAx>
      <c:valAx>
        <c:axId val="144356096"/>
        <c:scaling>
          <c:orientation val="minMax"/>
        </c:scaling>
        <c:delete val="0"/>
        <c:axPos val="l"/>
        <c:majorGridlines/>
        <c:numFmt formatCode="General" sourceLinked="1"/>
        <c:majorTickMark val="out"/>
        <c:minorTickMark val="none"/>
        <c:tickLblPos val="nextTo"/>
        <c:crossAx val="144350208"/>
        <c:crosses val="autoZero"/>
        <c:crossBetween val="midCat"/>
      </c:valAx>
    </c:plotArea>
    <c:legend>
      <c:legendPos val="r"/>
      <c:layout>
        <c:manualLayout>
          <c:xMode val="edge"/>
          <c:yMode val="edge"/>
          <c:x val="0.86156552959243138"/>
          <c:y val="0.38933220444218664"/>
          <c:w val="0.1189855238921715"/>
          <c:h val="0.1868554172663901"/>
        </c:manualLayout>
      </c:layout>
      <c:overlay val="0"/>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manualLayout>
          <c:layoutTarget val="inner"/>
          <c:xMode val="edge"/>
          <c:yMode val="edge"/>
          <c:x val="6.4877780965638399E-2"/>
          <c:y val="0.13092976709576934"/>
          <c:w val="0.7406900655636669"/>
          <c:h val="0.80045366085641345"/>
        </c:manualLayout>
      </c:layout>
      <c:scatterChart>
        <c:scatterStyle val="smoothMarker"/>
        <c:varyColors val="0"/>
        <c:ser>
          <c:idx val="0"/>
          <c:order val="0"/>
          <c:tx>
            <c:strRef>
              <c:f>' Poliester Obscuro'!$B$24</c:f>
              <c:strCache>
                <c:ptCount val="1"/>
                <c:pt idx="0">
                  <c:v>Hilo Poliester 150/48 Tex Azul Mari Reb</c:v>
                </c:pt>
              </c:strCache>
            </c:strRef>
          </c:tx>
          <c:trendline>
            <c:spPr>
              <a:ln w="22225">
                <a:solidFill>
                  <a:srgbClr val="FF0000"/>
                </a:solidFill>
              </a:ln>
            </c:spPr>
            <c:trendlineType val="linear"/>
            <c:dispRSqr val="1"/>
            <c:dispEq val="1"/>
            <c:trendlineLbl>
              <c:layout>
                <c:manualLayout>
                  <c:x val="0.1762890024204051"/>
                  <c:y val="-0.13043973709933049"/>
                </c:manualLayout>
              </c:layout>
              <c:numFmt formatCode="General" sourceLinked="0"/>
            </c:trendlineLbl>
          </c:trendline>
          <c:xVal>
            <c:numRef>
              <c:f>' Poliester Obscuro'!$A$25:$A$50</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 Poliester Obscuro'!$B$25:$B$50</c:f>
              <c:numCache>
                <c:formatCode>General</c:formatCode>
                <c:ptCount val="26"/>
                <c:pt idx="0">
                  <c:v>995.83000000000015</c:v>
                </c:pt>
                <c:pt idx="1">
                  <c:v>515.75</c:v>
                </c:pt>
                <c:pt idx="2">
                  <c:v>1096.98</c:v>
                </c:pt>
                <c:pt idx="3">
                  <c:v>737.49</c:v>
                </c:pt>
                <c:pt idx="4">
                  <c:v>558.88</c:v>
                </c:pt>
                <c:pt idx="5">
                  <c:v>584.15</c:v>
                </c:pt>
                <c:pt idx="6">
                  <c:v>598.57999999999993</c:v>
                </c:pt>
                <c:pt idx="7">
                  <c:v>341.58</c:v>
                </c:pt>
                <c:pt idx="8">
                  <c:v>606.39</c:v>
                </c:pt>
                <c:pt idx="9">
                  <c:v>537.71</c:v>
                </c:pt>
                <c:pt idx="10">
                  <c:v>544.22</c:v>
                </c:pt>
                <c:pt idx="11">
                  <c:v>519.29</c:v>
                </c:pt>
                <c:pt idx="12">
                  <c:v>64.36</c:v>
                </c:pt>
                <c:pt idx="13">
                  <c:v>85.9</c:v>
                </c:pt>
                <c:pt idx="14">
                  <c:v>103.05000000000001</c:v>
                </c:pt>
                <c:pt idx="15">
                  <c:v>70.19</c:v>
                </c:pt>
                <c:pt idx="16">
                  <c:v>140.34</c:v>
                </c:pt>
                <c:pt idx="17">
                  <c:v>52.94</c:v>
                </c:pt>
                <c:pt idx="18">
                  <c:v>180.5</c:v>
                </c:pt>
                <c:pt idx="19">
                  <c:v>38.739999999999995</c:v>
                </c:pt>
                <c:pt idx="20">
                  <c:v>176</c:v>
                </c:pt>
                <c:pt idx="21">
                  <c:v>40.4</c:v>
                </c:pt>
                <c:pt idx="22">
                  <c:v>90.7</c:v>
                </c:pt>
                <c:pt idx="23">
                  <c:v>41.68</c:v>
                </c:pt>
                <c:pt idx="24">
                  <c:v>42.1</c:v>
                </c:pt>
                <c:pt idx="25">
                  <c:v>38.08</c:v>
                </c:pt>
              </c:numCache>
            </c:numRef>
          </c:yVal>
          <c:smooth val="1"/>
        </c:ser>
        <c:dLbls>
          <c:showLegendKey val="0"/>
          <c:showVal val="0"/>
          <c:showCatName val="0"/>
          <c:showSerName val="0"/>
          <c:showPercent val="0"/>
          <c:showBubbleSize val="0"/>
        </c:dLbls>
        <c:axId val="144463360"/>
        <c:axId val="144464896"/>
      </c:scatterChart>
      <c:valAx>
        <c:axId val="144463360"/>
        <c:scaling>
          <c:orientation val="minMax"/>
          <c:max val="2016"/>
          <c:min val="2009"/>
        </c:scaling>
        <c:delete val="0"/>
        <c:axPos val="b"/>
        <c:numFmt formatCode="General" sourceLinked="1"/>
        <c:majorTickMark val="out"/>
        <c:minorTickMark val="none"/>
        <c:tickLblPos val="nextTo"/>
        <c:crossAx val="144464896"/>
        <c:crosses val="autoZero"/>
        <c:crossBetween val="midCat"/>
        <c:majorUnit val="0.5"/>
      </c:valAx>
      <c:valAx>
        <c:axId val="144464896"/>
        <c:scaling>
          <c:orientation val="minMax"/>
          <c:max val="1200"/>
        </c:scaling>
        <c:delete val="0"/>
        <c:axPos val="l"/>
        <c:majorGridlines/>
        <c:numFmt formatCode="General" sourceLinked="1"/>
        <c:majorTickMark val="out"/>
        <c:minorTickMark val="none"/>
        <c:tickLblPos val="nextTo"/>
        <c:crossAx val="144463360"/>
        <c:crosses val="autoZero"/>
        <c:crossBetween val="midCat"/>
        <c:majorUnit val="100"/>
      </c:valAx>
    </c:plotArea>
    <c:legend>
      <c:legendPos val="r"/>
      <c:layout>
        <c:manualLayout>
          <c:xMode val="edge"/>
          <c:yMode val="edge"/>
          <c:x val="0.86879771607496437"/>
          <c:y val="0.50125898482970443"/>
          <c:w val="0.12040606260249859"/>
          <c:h val="0.16854397553034292"/>
        </c:manualLayout>
      </c:layout>
      <c:overlay val="0"/>
    </c:legend>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manualLayout>
          <c:layoutTarget val="inner"/>
          <c:xMode val="edge"/>
          <c:yMode val="edge"/>
          <c:x val="9.5825574207663008E-2"/>
          <c:y val="9.8454475056576882E-2"/>
          <c:w val="0.71207849042713134"/>
          <c:h val="0.78385596981971761"/>
        </c:manualLayout>
      </c:layout>
      <c:scatterChart>
        <c:scatterStyle val="smoothMarker"/>
        <c:varyColors val="0"/>
        <c:ser>
          <c:idx val="0"/>
          <c:order val="0"/>
          <c:tx>
            <c:strRef>
              <c:f>'Poliester Crudo'!$C$25</c:f>
              <c:strCache>
                <c:ptCount val="1"/>
                <c:pt idx="0">
                  <c:v>Hilo Poliester 300/96 Tex Crudo</c:v>
                </c:pt>
              </c:strCache>
            </c:strRef>
          </c:tx>
          <c:trendline>
            <c:spPr>
              <a:ln w="22225">
                <a:solidFill>
                  <a:srgbClr val="FF0000"/>
                </a:solidFill>
              </a:ln>
            </c:spPr>
            <c:trendlineType val="linear"/>
            <c:dispRSqr val="1"/>
            <c:dispEq val="1"/>
            <c:trendlineLbl>
              <c:layout>
                <c:manualLayout>
                  <c:x val="0.16329680791324455"/>
                  <c:y val="-3.2666755958305031E-2"/>
                </c:manualLayout>
              </c:layout>
              <c:numFmt formatCode="General" sourceLinked="0"/>
            </c:trendlineLbl>
          </c:trendline>
          <c:xVal>
            <c:numRef>
              <c:f>'Poliester Crudo'!$B$26:$B$51</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'Poliester Crudo'!$C$26:$C$51</c:f>
              <c:numCache>
                <c:formatCode>###,###,###.00</c:formatCode>
                <c:ptCount val="26"/>
                <c:pt idx="0">
                  <c:v>9378.7099999999991</c:v>
                </c:pt>
                <c:pt idx="1">
                  <c:v>9360.6299999999992</c:v>
                </c:pt>
                <c:pt idx="2">
                  <c:v>7899.25</c:v>
                </c:pt>
                <c:pt idx="3">
                  <c:v>11520.789999999999</c:v>
                </c:pt>
                <c:pt idx="4">
                  <c:v>5891.99</c:v>
                </c:pt>
                <c:pt idx="5">
                  <c:v>7280</c:v>
                </c:pt>
                <c:pt idx="6">
                  <c:v>5950.85</c:v>
                </c:pt>
                <c:pt idx="7">
                  <c:v>4357.75</c:v>
                </c:pt>
                <c:pt idx="8">
                  <c:v>10967.82</c:v>
                </c:pt>
                <c:pt idx="9">
                  <c:v>11703.8</c:v>
                </c:pt>
                <c:pt idx="10">
                  <c:v>11317.16</c:v>
                </c:pt>
                <c:pt idx="11">
                  <c:v>5147.6900000000005</c:v>
                </c:pt>
                <c:pt idx="12">
                  <c:v>10470.15</c:v>
                </c:pt>
                <c:pt idx="13">
                  <c:v>16964.560000000001</c:v>
                </c:pt>
                <c:pt idx="14">
                  <c:v>11938.04</c:v>
                </c:pt>
                <c:pt idx="15">
                  <c:v>13627.339999999998</c:v>
                </c:pt>
                <c:pt idx="16">
                  <c:v>113.56</c:v>
                </c:pt>
                <c:pt idx="17">
                  <c:v>121.69999999999999</c:v>
                </c:pt>
                <c:pt idx="18">
                  <c:v>49.68</c:v>
                </c:pt>
                <c:pt idx="19">
                  <c:v>37.82</c:v>
                </c:pt>
                <c:pt idx="20">
                  <c:v>10265.41</c:v>
                </c:pt>
                <c:pt idx="21">
                  <c:v>12937.03</c:v>
                </c:pt>
                <c:pt idx="22">
                  <c:v>20747.2</c:v>
                </c:pt>
                <c:pt idx="23">
                  <c:v>8238.9</c:v>
                </c:pt>
                <c:pt idx="24">
                  <c:v>66.759999999999991</c:v>
                </c:pt>
                <c:pt idx="25">
                  <c:v>73.62</c:v>
                </c:pt>
              </c:numCache>
            </c:numRef>
          </c:yVal>
          <c:smooth val="1"/>
        </c:ser>
        <c:dLbls>
          <c:showLegendKey val="0"/>
          <c:showVal val="0"/>
          <c:showCatName val="0"/>
          <c:showSerName val="0"/>
          <c:showPercent val="0"/>
          <c:showBubbleSize val="0"/>
        </c:dLbls>
        <c:axId val="144498688"/>
        <c:axId val="144500224"/>
      </c:scatterChart>
      <c:valAx>
        <c:axId val="144498688"/>
        <c:scaling>
          <c:orientation val="minMax"/>
          <c:max val="2016"/>
          <c:min val="2009"/>
        </c:scaling>
        <c:delete val="0"/>
        <c:axPos val="b"/>
        <c:numFmt formatCode="General" sourceLinked="1"/>
        <c:majorTickMark val="out"/>
        <c:minorTickMark val="none"/>
        <c:tickLblPos val="nextTo"/>
        <c:txPr>
          <a:bodyPr rot="5400000" vert="horz"/>
          <a:lstStyle/>
          <a:p>
            <a:pPr>
              <a:defRPr/>
            </a:pPr>
            <a:endParaRPr lang="es-ES"/>
          </a:p>
        </c:txPr>
        <c:crossAx val="144500224"/>
        <c:crosses val="autoZero"/>
        <c:crossBetween val="midCat"/>
        <c:majorUnit val="0.5"/>
        <c:minorUnit val="0.2"/>
      </c:valAx>
      <c:valAx>
        <c:axId val="144500224"/>
        <c:scaling>
          <c:orientation val="minMax"/>
          <c:max val="22000"/>
          <c:min val="0"/>
        </c:scaling>
        <c:delete val="0"/>
        <c:axPos val="l"/>
        <c:majorGridlines/>
        <c:numFmt formatCode="###,###,###.00" sourceLinked="1"/>
        <c:majorTickMark val="out"/>
        <c:minorTickMark val="none"/>
        <c:tickLblPos val="nextTo"/>
        <c:crossAx val="144498688"/>
        <c:crosses val="autoZero"/>
        <c:crossBetween val="midCat"/>
        <c:majorUnit val="3000"/>
        <c:minorUnit val="500"/>
      </c:valAx>
    </c:plotArea>
    <c:legend>
      <c:legendPos val="r"/>
      <c:layout>
        <c:manualLayout>
          <c:xMode val="edge"/>
          <c:yMode val="edge"/>
          <c:x val="0.87118176434315531"/>
          <c:y val="0.4020782810908059"/>
          <c:w val="0.11483868462188218"/>
          <c:h val="0.13602862558430934"/>
        </c:manualLayout>
      </c:layout>
      <c:overlay val="0"/>
    </c:legend>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8.8676819027791509E-2"/>
          <c:y val="0.15101858451145642"/>
          <c:w val="0.75072560871812777"/>
          <c:h val="0.82707914963750562"/>
        </c:manualLayout>
      </c:layout>
      <c:scatterChart>
        <c:scatterStyle val="smoothMarker"/>
        <c:varyColors val="0"/>
        <c:ser>
          <c:idx val="0"/>
          <c:order val="0"/>
          <c:tx>
            <c:strRef>
              <c:f>'DEPURACIÓN DE DATOS'!$U$3</c:f>
              <c:strCache>
                <c:ptCount val="1"/>
                <c:pt idx="0">
                  <c:v>Total uso de poliéster en telares Nilotex Scc.</c:v>
                </c:pt>
              </c:strCache>
            </c:strRef>
          </c:tx>
          <c:xVal>
            <c:numRef>
              <c:f>'DEPURACIÓN DE DATOS'!$B$4:$B$81</c:f>
              <c:numCache>
                <c:formatCode>mmm\-yy</c:formatCode>
                <c:ptCount val="78"/>
                <c:pt idx="0">
                  <c:v>40179</c:v>
                </c:pt>
                <c:pt idx="1">
                  <c:v>40210</c:v>
                </c:pt>
                <c:pt idx="2">
                  <c:v>40238</c:v>
                </c:pt>
                <c:pt idx="3">
                  <c:v>40269</c:v>
                </c:pt>
                <c:pt idx="4">
                  <c:v>40299</c:v>
                </c:pt>
                <c:pt idx="5">
                  <c:v>40330</c:v>
                </c:pt>
                <c:pt idx="6">
                  <c:v>40360</c:v>
                </c:pt>
                <c:pt idx="7">
                  <c:v>40391</c:v>
                </c:pt>
                <c:pt idx="8">
                  <c:v>40422</c:v>
                </c:pt>
                <c:pt idx="9">
                  <c:v>40452</c:v>
                </c:pt>
                <c:pt idx="10">
                  <c:v>40483</c:v>
                </c:pt>
                <c:pt idx="11">
                  <c:v>40513</c:v>
                </c:pt>
                <c:pt idx="12">
                  <c:v>40544</c:v>
                </c:pt>
                <c:pt idx="13">
                  <c:v>40575</c:v>
                </c:pt>
                <c:pt idx="14">
                  <c:v>40603</c:v>
                </c:pt>
                <c:pt idx="15">
                  <c:v>40634</c:v>
                </c:pt>
                <c:pt idx="16">
                  <c:v>40664</c:v>
                </c:pt>
                <c:pt idx="17">
                  <c:v>40695</c:v>
                </c:pt>
                <c:pt idx="18">
                  <c:v>40725</c:v>
                </c:pt>
                <c:pt idx="19">
                  <c:v>40756</c:v>
                </c:pt>
                <c:pt idx="20">
                  <c:v>40787</c:v>
                </c:pt>
                <c:pt idx="21">
                  <c:v>40817</c:v>
                </c:pt>
                <c:pt idx="22">
                  <c:v>40848</c:v>
                </c:pt>
                <c:pt idx="23">
                  <c:v>40878</c:v>
                </c:pt>
                <c:pt idx="24">
                  <c:v>40909</c:v>
                </c:pt>
                <c:pt idx="25">
                  <c:v>40940</c:v>
                </c:pt>
                <c:pt idx="26">
                  <c:v>40969</c:v>
                </c:pt>
                <c:pt idx="27">
                  <c:v>41000</c:v>
                </c:pt>
                <c:pt idx="28">
                  <c:v>41030</c:v>
                </c:pt>
                <c:pt idx="29">
                  <c:v>41061</c:v>
                </c:pt>
                <c:pt idx="30">
                  <c:v>41091</c:v>
                </c:pt>
                <c:pt idx="31">
                  <c:v>41122</c:v>
                </c:pt>
                <c:pt idx="32">
                  <c:v>41153</c:v>
                </c:pt>
                <c:pt idx="33">
                  <c:v>41183</c:v>
                </c:pt>
                <c:pt idx="34">
                  <c:v>41214</c:v>
                </c:pt>
                <c:pt idx="35">
                  <c:v>41244</c:v>
                </c:pt>
                <c:pt idx="36">
                  <c:v>41275</c:v>
                </c:pt>
                <c:pt idx="37">
                  <c:v>41306</c:v>
                </c:pt>
                <c:pt idx="38">
                  <c:v>41334</c:v>
                </c:pt>
                <c:pt idx="39">
                  <c:v>41365</c:v>
                </c:pt>
                <c:pt idx="40">
                  <c:v>41395</c:v>
                </c:pt>
                <c:pt idx="41">
                  <c:v>41426</c:v>
                </c:pt>
                <c:pt idx="42">
                  <c:v>41456</c:v>
                </c:pt>
                <c:pt idx="43">
                  <c:v>41487</c:v>
                </c:pt>
                <c:pt idx="44">
                  <c:v>41518</c:v>
                </c:pt>
                <c:pt idx="45">
                  <c:v>41548</c:v>
                </c:pt>
                <c:pt idx="46">
                  <c:v>41579</c:v>
                </c:pt>
                <c:pt idx="47">
                  <c:v>41609</c:v>
                </c:pt>
                <c:pt idx="48">
                  <c:v>41640</c:v>
                </c:pt>
                <c:pt idx="49">
                  <c:v>41671</c:v>
                </c:pt>
                <c:pt idx="50">
                  <c:v>41699</c:v>
                </c:pt>
                <c:pt idx="51">
                  <c:v>41730</c:v>
                </c:pt>
                <c:pt idx="52">
                  <c:v>41760</c:v>
                </c:pt>
                <c:pt idx="53">
                  <c:v>41791</c:v>
                </c:pt>
                <c:pt idx="54">
                  <c:v>41821</c:v>
                </c:pt>
                <c:pt idx="55">
                  <c:v>41852</c:v>
                </c:pt>
                <c:pt idx="56">
                  <c:v>41883</c:v>
                </c:pt>
                <c:pt idx="57">
                  <c:v>41913</c:v>
                </c:pt>
                <c:pt idx="58">
                  <c:v>41944</c:v>
                </c:pt>
                <c:pt idx="59">
                  <c:v>41974</c:v>
                </c:pt>
                <c:pt idx="60">
                  <c:v>42005</c:v>
                </c:pt>
                <c:pt idx="61">
                  <c:v>42036</c:v>
                </c:pt>
                <c:pt idx="62">
                  <c:v>42064</c:v>
                </c:pt>
                <c:pt idx="63">
                  <c:v>42095</c:v>
                </c:pt>
                <c:pt idx="64">
                  <c:v>42125</c:v>
                </c:pt>
                <c:pt idx="65">
                  <c:v>42156</c:v>
                </c:pt>
                <c:pt idx="66">
                  <c:v>42186</c:v>
                </c:pt>
                <c:pt idx="67">
                  <c:v>42217</c:v>
                </c:pt>
                <c:pt idx="68">
                  <c:v>42248</c:v>
                </c:pt>
                <c:pt idx="69">
                  <c:v>42278</c:v>
                </c:pt>
                <c:pt idx="70">
                  <c:v>42309</c:v>
                </c:pt>
                <c:pt idx="71">
                  <c:v>42339</c:v>
                </c:pt>
                <c:pt idx="72">
                  <c:v>42370</c:v>
                </c:pt>
                <c:pt idx="73">
                  <c:v>42401</c:v>
                </c:pt>
                <c:pt idx="74">
                  <c:v>42430</c:v>
                </c:pt>
                <c:pt idx="75">
                  <c:v>42461</c:v>
                </c:pt>
                <c:pt idx="76">
                  <c:v>42491</c:v>
                </c:pt>
                <c:pt idx="77">
                  <c:v>42522</c:v>
                </c:pt>
              </c:numCache>
            </c:numRef>
          </c:xVal>
          <c:yVal>
            <c:numRef>
              <c:f>'DEPURACIÓN DE DATOS'!$U$4:$U$81</c:f>
              <c:numCache>
                <c:formatCode>_(* #,##0.00_);_(* \(#,##0.00\);_(* "-"??_);_(@_)</c:formatCode>
                <c:ptCount val="78"/>
                <c:pt idx="0">
                  <c:v>386.392</c:v>
                </c:pt>
                <c:pt idx="1">
                  <c:v>779.93499999999995</c:v>
                </c:pt>
                <c:pt idx="2">
                  <c:v>745.91850000000011</c:v>
                </c:pt>
                <c:pt idx="3">
                  <c:v>712.76400000000001</c:v>
                </c:pt>
                <c:pt idx="4">
                  <c:v>424.411</c:v>
                </c:pt>
                <c:pt idx="5">
                  <c:v>377.77800000000002</c:v>
                </c:pt>
                <c:pt idx="6">
                  <c:v>429.07400000000001</c:v>
                </c:pt>
                <c:pt idx="7">
                  <c:v>735.57800000000009</c:v>
                </c:pt>
                <c:pt idx="8">
                  <c:v>730.13</c:v>
                </c:pt>
                <c:pt idx="9">
                  <c:v>698.10400000000004</c:v>
                </c:pt>
                <c:pt idx="10">
                  <c:v>471.59299999999996</c:v>
                </c:pt>
                <c:pt idx="11">
                  <c:v>719.35299999999995</c:v>
                </c:pt>
                <c:pt idx="12">
                  <c:v>359.18650000000008</c:v>
                </c:pt>
                <c:pt idx="13">
                  <c:v>393.32600000000002</c:v>
                </c:pt>
                <c:pt idx="14">
                  <c:v>353.28350000000006</c:v>
                </c:pt>
                <c:pt idx="15">
                  <c:v>506.93299999999999</c:v>
                </c:pt>
                <c:pt idx="16">
                  <c:v>626.49099999999999</c:v>
                </c:pt>
                <c:pt idx="17">
                  <c:v>477.38099999999997</c:v>
                </c:pt>
                <c:pt idx="18">
                  <c:v>619.3655</c:v>
                </c:pt>
                <c:pt idx="19">
                  <c:v>317.01</c:v>
                </c:pt>
                <c:pt idx="20">
                  <c:v>446.39400000000001</c:v>
                </c:pt>
                <c:pt idx="21">
                  <c:v>473.03150000000005</c:v>
                </c:pt>
                <c:pt idx="22">
                  <c:v>544.34749999999997</c:v>
                </c:pt>
                <c:pt idx="23">
                  <c:v>369.44650000000001</c:v>
                </c:pt>
                <c:pt idx="24">
                  <c:v>511.12200000000007</c:v>
                </c:pt>
                <c:pt idx="25">
                  <c:v>510.80100000000004</c:v>
                </c:pt>
                <c:pt idx="26">
                  <c:v>681.07749999999999</c:v>
                </c:pt>
                <c:pt idx="27">
                  <c:v>546.88649999999996</c:v>
                </c:pt>
                <c:pt idx="28">
                  <c:v>726.37000000000012</c:v>
                </c:pt>
                <c:pt idx="29">
                  <c:v>429.23</c:v>
                </c:pt>
                <c:pt idx="30">
                  <c:v>447.00500000000005</c:v>
                </c:pt>
                <c:pt idx="31">
                  <c:v>843.18550000000016</c:v>
                </c:pt>
                <c:pt idx="32">
                  <c:v>355.471</c:v>
                </c:pt>
                <c:pt idx="33">
                  <c:v>227.30099999999999</c:v>
                </c:pt>
                <c:pt idx="34">
                  <c:v>455.596</c:v>
                </c:pt>
                <c:pt idx="35">
                  <c:v>376.68900000000002</c:v>
                </c:pt>
                <c:pt idx="36">
                  <c:v>450.38200000000001</c:v>
                </c:pt>
                <c:pt idx="37">
                  <c:v>363.39600000000002</c:v>
                </c:pt>
                <c:pt idx="38">
                  <c:v>339.12599999999998</c:v>
                </c:pt>
                <c:pt idx="39">
                  <c:v>464.56150000000008</c:v>
                </c:pt>
                <c:pt idx="40">
                  <c:v>877.25600000000009</c:v>
                </c:pt>
                <c:pt idx="41">
                  <c:v>461.661</c:v>
                </c:pt>
                <c:pt idx="42">
                  <c:v>475.64850000000007</c:v>
                </c:pt>
                <c:pt idx="43">
                  <c:v>453.01650000000006</c:v>
                </c:pt>
                <c:pt idx="44">
                  <c:v>436.92650000000003</c:v>
                </c:pt>
                <c:pt idx="45">
                  <c:v>788.26400000000001</c:v>
                </c:pt>
                <c:pt idx="46">
                  <c:v>536.56600000000003</c:v>
                </c:pt>
                <c:pt idx="47">
                  <c:v>478.18799999999999</c:v>
                </c:pt>
                <c:pt idx="48">
                  <c:v>98.776499999999999</c:v>
                </c:pt>
                <c:pt idx="49">
                  <c:v>230.94300000000001</c:v>
                </c:pt>
                <c:pt idx="50">
                  <c:v>83.1905</c:v>
                </c:pt>
                <c:pt idx="51">
                  <c:v>7.9920000000000009</c:v>
                </c:pt>
                <c:pt idx="52">
                  <c:v>14.605</c:v>
                </c:pt>
                <c:pt idx="53">
                  <c:v>26.334000000000003</c:v>
                </c:pt>
                <c:pt idx="54">
                  <c:v>69.731999999999999</c:v>
                </c:pt>
                <c:pt idx="55">
                  <c:v>34.506000000000007</c:v>
                </c:pt>
                <c:pt idx="56">
                  <c:v>78.692000000000007</c:v>
                </c:pt>
                <c:pt idx="57">
                  <c:v>49.554000000000002</c:v>
                </c:pt>
                <c:pt idx="58">
                  <c:v>16.091999999999999</c:v>
                </c:pt>
                <c:pt idx="59">
                  <c:v>0</c:v>
                </c:pt>
                <c:pt idx="60">
                  <c:v>236.75299999999999</c:v>
                </c:pt>
                <c:pt idx="61">
                  <c:v>322.33699999999999</c:v>
                </c:pt>
                <c:pt idx="62">
                  <c:v>647.4085</c:v>
                </c:pt>
                <c:pt idx="63">
                  <c:v>462.41900000000004</c:v>
                </c:pt>
                <c:pt idx="64">
                  <c:v>447.65500000000009</c:v>
                </c:pt>
                <c:pt idx="65">
                  <c:v>421.43400000000003</c:v>
                </c:pt>
                <c:pt idx="66">
                  <c:v>523.63600000000008</c:v>
                </c:pt>
                <c:pt idx="67">
                  <c:v>564.65</c:v>
                </c:pt>
                <c:pt idx="68">
                  <c:v>599.42399999999998</c:v>
                </c:pt>
                <c:pt idx="69">
                  <c:v>851.35300000000007</c:v>
                </c:pt>
                <c:pt idx="70">
                  <c:v>11.263999999999999</c:v>
                </c:pt>
                <c:pt idx="71">
                  <c:v>0</c:v>
                </c:pt>
                <c:pt idx="72">
                  <c:v>242.46449999999999</c:v>
                </c:pt>
                <c:pt idx="73">
                  <c:v>1.08</c:v>
                </c:pt>
                <c:pt idx="74">
                  <c:v>274.88299999999998</c:v>
                </c:pt>
                <c:pt idx="75">
                  <c:v>243.67000000000002</c:v>
                </c:pt>
                <c:pt idx="76">
                  <c:v>9.2160000000000011</c:v>
                </c:pt>
                <c:pt idx="77">
                  <c:v>307.03100000000001</c:v>
                </c:pt>
              </c:numCache>
            </c:numRef>
          </c:yVal>
          <c:smooth val="1"/>
        </c:ser>
        <c:dLbls>
          <c:showLegendKey val="0"/>
          <c:showVal val="0"/>
          <c:showCatName val="0"/>
          <c:showSerName val="0"/>
          <c:showPercent val="0"/>
          <c:showBubbleSize val="0"/>
        </c:dLbls>
        <c:axId val="144844672"/>
        <c:axId val="144846208"/>
      </c:scatterChart>
      <c:valAx>
        <c:axId val="144844672"/>
        <c:scaling>
          <c:orientation val="minMax"/>
        </c:scaling>
        <c:delete val="0"/>
        <c:axPos val="b"/>
        <c:numFmt formatCode="mmm\-yy" sourceLinked="1"/>
        <c:majorTickMark val="out"/>
        <c:minorTickMark val="none"/>
        <c:tickLblPos val="nextTo"/>
        <c:crossAx val="144846208"/>
        <c:crosses val="autoZero"/>
        <c:crossBetween val="midCat"/>
        <c:majorUnit val="250"/>
        <c:minorUnit val="50"/>
      </c:valAx>
      <c:valAx>
        <c:axId val="144846208"/>
        <c:scaling>
          <c:orientation val="minMax"/>
        </c:scaling>
        <c:delete val="0"/>
        <c:axPos val="l"/>
        <c:majorGridlines/>
        <c:numFmt formatCode="_(* #,##0.00_);_(* \(#,##0.00\);_(* &quot;-&quot;??_);_(@_)" sourceLinked="1"/>
        <c:majorTickMark val="out"/>
        <c:minorTickMark val="none"/>
        <c:tickLblPos val="nextTo"/>
        <c:crossAx val="144844672"/>
        <c:crosses val="autoZero"/>
        <c:crossBetween val="midCat"/>
      </c:valAx>
    </c:plotArea>
    <c:legend>
      <c:legendPos val="r"/>
      <c:layout>
        <c:manualLayout>
          <c:xMode val="edge"/>
          <c:yMode val="edge"/>
          <c:x val="0.88159521167194366"/>
          <c:y val="0.28625777086469045"/>
          <c:w val="0.10957476727622011"/>
          <c:h val="0.30177802244881924"/>
        </c:manualLayout>
      </c:layout>
      <c:overlay val="0"/>
    </c:legend>
    <c:plotVisOnly val="1"/>
    <c:dispBlanksAs val="gap"/>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Total uso de poliester en telares Nilotex Scc. periodo</a:t>
            </a:r>
            <a:r>
              <a:rPr lang="en-US" baseline="0"/>
              <a:t> (2010-2014)</a:t>
            </a:r>
            <a:endParaRPr lang="en-US"/>
          </a:p>
        </c:rich>
      </c:tx>
      <c:overlay val="0"/>
    </c:title>
    <c:autoTitleDeleted val="0"/>
    <c:plotArea>
      <c:layout>
        <c:manualLayout>
          <c:layoutTarget val="inner"/>
          <c:xMode val="edge"/>
          <c:yMode val="edge"/>
          <c:x val="0.14933475239993627"/>
          <c:y val="0.1811202373214395"/>
          <c:w val="0.64278882665440018"/>
          <c:h val="0.67975181066844537"/>
        </c:manualLayout>
      </c:layout>
      <c:scatterChart>
        <c:scatterStyle val="smoothMarker"/>
        <c:varyColors val="0"/>
        <c:ser>
          <c:idx val="0"/>
          <c:order val="0"/>
          <c:tx>
            <c:strRef>
              <c:f>'DEPURACIÓN DE DATOS'!$U$3</c:f>
              <c:strCache>
                <c:ptCount val="1"/>
                <c:pt idx="0">
                  <c:v>Total uso de poliéster en telares Nilotex Scc.</c:v>
                </c:pt>
              </c:strCache>
            </c:strRef>
          </c:tx>
          <c:trendline>
            <c:spPr>
              <a:ln w="22225">
                <a:solidFill>
                  <a:srgbClr val="FF0000"/>
                </a:solidFill>
              </a:ln>
            </c:spPr>
            <c:trendlineType val="linear"/>
            <c:dispRSqr val="1"/>
            <c:dispEq val="1"/>
            <c:trendlineLbl>
              <c:layout>
                <c:manualLayout>
                  <c:x val="0.2486947894399798"/>
                  <c:y val="-0.36468158496277558"/>
                </c:manualLayout>
              </c:layout>
              <c:numFmt formatCode="General" sourceLinked="0"/>
            </c:trendlineLbl>
          </c:trendline>
          <c:xVal>
            <c:numRef>
              <c:f>'DEPURACIÓN DE DATOS'!$B$4:$B$51</c:f>
              <c:numCache>
                <c:formatCode>mmm\-yy</c:formatCode>
                <c:ptCount val="48"/>
                <c:pt idx="0">
                  <c:v>40179</c:v>
                </c:pt>
                <c:pt idx="1">
                  <c:v>40210</c:v>
                </c:pt>
                <c:pt idx="2">
                  <c:v>40238</c:v>
                </c:pt>
                <c:pt idx="3">
                  <c:v>40269</c:v>
                </c:pt>
                <c:pt idx="4">
                  <c:v>40299</c:v>
                </c:pt>
                <c:pt idx="5">
                  <c:v>40330</c:v>
                </c:pt>
                <c:pt idx="6">
                  <c:v>40360</c:v>
                </c:pt>
                <c:pt idx="7">
                  <c:v>40391</c:v>
                </c:pt>
                <c:pt idx="8">
                  <c:v>40422</c:v>
                </c:pt>
                <c:pt idx="9">
                  <c:v>40452</c:v>
                </c:pt>
                <c:pt idx="10">
                  <c:v>40483</c:v>
                </c:pt>
                <c:pt idx="11">
                  <c:v>40513</c:v>
                </c:pt>
                <c:pt idx="12">
                  <c:v>40544</c:v>
                </c:pt>
                <c:pt idx="13">
                  <c:v>40575</c:v>
                </c:pt>
                <c:pt idx="14">
                  <c:v>40603</c:v>
                </c:pt>
                <c:pt idx="15">
                  <c:v>40634</c:v>
                </c:pt>
                <c:pt idx="16">
                  <c:v>40664</c:v>
                </c:pt>
                <c:pt idx="17">
                  <c:v>40695</c:v>
                </c:pt>
                <c:pt idx="18">
                  <c:v>40725</c:v>
                </c:pt>
                <c:pt idx="19">
                  <c:v>40756</c:v>
                </c:pt>
                <c:pt idx="20">
                  <c:v>40787</c:v>
                </c:pt>
                <c:pt idx="21">
                  <c:v>40817</c:v>
                </c:pt>
                <c:pt idx="22">
                  <c:v>40848</c:v>
                </c:pt>
                <c:pt idx="23">
                  <c:v>40878</c:v>
                </c:pt>
                <c:pt idx="24">
                  <c:v>40909</c:v>
                </c:pt>
                <c:pt idx="25">
                  <c:v>40940</c:v>
                </c:pt>
                <c:pt idx="26">
                  <c:v>40969</c:v>
                </c:pt>
                <c:pt idx="27">
                  <c:v>41000</c:v>
                </c:pt>
                <c:pt idx="28">
                  <c:v>41030</c:v>
                </c:pt>
                <c:pt idx="29">
                  <c:v>41061</c:v>
                </c:pt>
                <c:pt idx="30">
                  <c:v>41091</c:v>
                </c:pt>
                <c:pt idx="31">
                  <c:v>41122</c:v>
                </c:pt>
                <c:pt idx="32">
                  <c:v>41153</c:v>
                </c:pt>
                <c:pt idx="33">
                  <c:v>41183</c:v>
                </c:pt>
                <c:pt idx="34">
                  <c:v>41214</c:v>
                </c:pt>
                <c:pt idx="35">
                  <c:v>41244</c:v>
                </c:pt>
                <c:pt idx="36">
                  <c:v>41275</c:v>
                </c:pt>
                <c:pt idx="37">
                  <c:v>41306</c:v>
                </c:pt>
                <c:pt idx="38">
                  <c:v>41334</c:v>
                </c:pt>
                <c:pt idx="39">
                  <c:v>41365</c:v>
                </c:pt>
                <c:pt idx="40">
                  <c:v>41395</c:v>
                </c:pt>
                <c:pt idx="41">
                  <c:v>41426</c:v>
                </c:pt>
                <c:pt idx="42">
                  <c:v>41456</c:v>
                </c:pt>
                <c:pt idx="43">
                  <c:v>41487</c:v>
                </c:pt>
                <c:pt idx="44">
                  <c:v>41518</c:v>
                </c:pt>
                <c:pt idx="45">
                  <c:v>41548</c:v>
                </c:pt>
                <c:pt idx="46">
                  <c:v>41579</c:v>
                </c:pt>
                <c:pt idx="47">
                  <c:v>41609</c:v>
                </c:pt>
              </c:numCache>
            </c:numRef>
          </c:xVal>
          <c:yVal>
            <c:numRef>
              <c:f>'DEPURACIÓN DE DATOS'!$U$4:$U$51</c:f>
              <c:numCache>
                <c:formatCode>_(* #,##0.00_);_(* \(#,##0.00\);_(* "-"??_);_(@_)</c:formatCode>
                <c:ptCount val="48"/>
                <c:pt idx="0">
                  <c:v>386.392</c:v>
                </c:pt>
                <c:pt idx="1">
                  <c:v>779.93499999999995</c:v>
                </c:pt>
                <c:pt idx="2">
                  <c:v>745.91850000000011</c:v>
                </c:pt>
                <c:pt idx="3">
                  <c:v>712.76400000000001</c:v>
                </c:pt>
                <c:pt idx="4">
                  <c:v>424.411</c:v>
                </c:pt>
                <c:pt idx="5">
                  <c:v>377.77800000000002</c:v>
                </c:pt>
                <c:pt idx="6">
                  <c:v>429.07400000000001</c:v>
                </c:pt>
                <c:pt idx="7">
                  <c:v>735.57800000000009</c:v>
                </c:pt>
                <c:pt idx="8">
                  <c:v>730.13</c:v>
                </c:pt>
                <c:pt idx="9">
                  <c:v>698.10400000000004</c:v>
                </c:pt>
                <c:pt idx="10">
                  <c:v>471.59299999999996</c:v>
                </c:pt>
                <c:pt idx="11">
                  <c:v>719.35299999999995</c:v>
                </c:pt>
                <c:pt idx="12">
                  <c:v>359.18650000000008</c:v>
                </c:pt>
                <c:pt idx="13">
                  <c:v>393.32600000000002</c:v>
                </c:pt>
                <c:pt idx="14">
                  <c:v>353.28350000000006</c:v>
                </c:pt>
                <c:pt idx="15">
                  <c:v>506.93299999999999</c:v>
                </c:pt>
                <c:pt idx="16">
                  <c:v>626.49099999999999</c:v>
                </c:pt>
                <c:pt idx="17">
                  <c:v>477.38099999999997</c:v>
                </c:pt>
                <c:pt idx="18">
                  <c:v>619.3655</c:v>
                </c:pt>
                <c:pt idx="19">
                  <c:v>317.01</c:v>
                </c:pt>
                <c:pt idx="20">
                  <c:v>446.39400000000001</c:v>
                </c:pt>
                <c:pt idx="21">
                  <c:v>473.03150000000005</c:v>
                </c:pt>
                <c:pt idx="22">
                  <c:v>544.34749999999997</c:v>
                </c:pt>
                <c:pt idx="23">
                  <c:v>369.44650000000001</c:v>
                </c:pt>
                <c:pt idx="24">
                  <c:v>511.12200000000007</c:v>
                </c:pt>
                <c:pt idx="25">
                  <c:v>510.80100000000004</c:v>
                </c:pt>
                <c:pt idx="26">
                  <c:v>681.07749999999999</c:v>
                </c:pt>
                <c:pt idx="27">
                  <c:v>546.88649999999996</c:v>
                </c:pt>
                <c:pt idx="28">
                  <c:v>726.37000000000012</c:v>
                </c:pt>
                <c:pt idx="29">
                  <c:v>429.23</c:v>
                </c:pt>
                <c:pt idx="30">
                  <c:v>447.00500000000005</c:v>
                </c:pt>
                <c:pt idx="31">
                  <c:v>843.18550000000016</c:v>
                </c:pt>
                <c:pt idx="32">
                  <c:v>355.471</c:v>
                </c:pt>
                <c:pt idx="33">
                  <c:v>227.30099999999999</c:v>
                </c:pt>
                <c:pt idx="34">
                  <c:v>455.596</c:v>
                </c:pt>
                <c:pt idx="35">
                  <c:v>376.68900000000002</c:v>
                </c:pt>
                <c:pt idx="36">
                  <c:v>450.38200000000001</c:v>
                </c:pt>
                <c:pt idx="37">
                  <c:v>363.39600000000002</c:v>
                </c:pt>
                <c:pt idx="38">
                  <c:v>339.12599999999998</c:v>
                </c:pt>
                <c:pt idx="39">
                  <c:v>464.56150000000008</c:v>
                </c:pt>
                <c:pt idx="40">
                  <c:v>877.25600000000009</c:v>
                </c:pt>
                <c:pt idx="41">
                  <c:v>461.661</c:v>
                </c:pt>
                <c:pt idx="42">
                  <c:v>475.64850000000007</c:v>
                </c:pt>
                <c:pt idx="43">
                  <c:v>453.01650000000006</c:v>
                </c:pt>
                <c:pt idx="44">
                  <c:v>436.92650000000003</c:v>
                </c:pt>
                <c:pt idx="45">
                  <c:v>788.26400000000001</c:v>
                </c:pt>
                <c:pt idx="46">
                  <c:v>536.56600000000003</c:v>
                </c:pt>
                <c:pt idx="47">
                  <c:v>478.18799999999999</c:v>
                </c:pt>
              </c:numCache>
            </c:numRef>
          </c:yVal>
          <c:smooth val="1"/>
        </c:ser>
        <c:dLbls>
          <c:showLegendKey val="0"/>
          <c:showVal val="0"/>
          <c:showCatName val="0"/>
          <c:showSerName val="0"/>
          <c:showPercent val="0"/>
          <c:showBubbleSize val="0"/>
        </c:dLbls>
        <c:axId val="144884864"/>
        <c:axId val="144886400"/>
      </c:scatterChart>
      <c:valAx>
        <c:axId val="144884864"/>
        <c:scaling>
          <c:orientation val="minMax"/>
        </c:scaling>
        <c:delete val="0"/>
        <c:axPos val="b"/>
        <c:numFmt formatCode="mmm\-yy" sourceLinked="1"/>
        <c:majorTickMark val="out"/>
        <c:minorTickMark val="none"/>
        <c:tickLblPos val="nextTo"/>
        <c:crossAx val="144886400"/>
        <c:crosses val="autoZero"/>
        <c:crossBetween val="midCat"/>
      </c:valAx>
      <c:valAx>
        <c:axId val="144886400"/>
        <c:scaling>
          <c:orientation val="minMax"/>
        </c:scaling>
        <c:delete val="0"/>
        <c:axPos val="l"/>
        <c:majorGridlines/>
        <c:numFmt formatCode="_(* #,##0.00_);_(* \(#,##0.00\);_(* &quot;-&quot;??_);_(@_)" sourceLinked="1"/>
        <c:majorTickMark val="out"/>
        <c:minorTickMark val="none"/>
        <c:tickLblPos val="nextTo"/>
        <c:crossAx val="144884864"/>
        <c:crosses val="autoZero"/>
        <c:crossBetween val="midCat"/>
      </c:valAx>
    </c:plotArea>
    <c:legend>
      <c:legendPos val="r"/>
      <c:layout>
        <c:manualLayout>
          <c:xMode val="edge"/>
          <c:yMode val="edge"/>
          <c:x val="0.83237359934819133"/>
          <c:y val="0.33033923538131249"/>
          <c:w val="0.1509597550306212"/>
          <c:h val="0.35724919801691457"/>
        </c:manualLayout>
      </c:layout>
      <c:overlay val="0"/>
    </c:legend>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Total uso de poliéster obscuro en telares Nilotex Scc.</a:t>
            </a:r>
          </a:p>
        </c:rich>
      </c:tx>
      <c:overlay val="0"/>
    </c:title>
    <c:autoTitleDeleted val="0"/>
    <c:plotArea>
      <c:layout>
        <c:manualLayout>
          <c:layoutTarget val="inner"/>
          <c:xMode val="edge"/>
          <c:yMode val="edge"/>
          <c:x val="8.8676819027791509E-2"/>
          <c:y val="0.15101858451145642"/>
          <c:w val="0.75072560871812777"/>
          <c:h val="0.82707914963750562"/>
        </c:manualLayout>
      </c:layout>
      <c:scatterChart>
        <c:scatterStyle val="smoothMarker"/>
        <c:varyColors val="0"/>
        <c:ser>
          <c:idx val="0"/>
          <c:order val="0"/>
          <c:tx>
            <c:strRef>
              <c:f>'DEPURACIÓN DE DATOS'!$U$3</c:f>
              <c:strCache>
                <c:ptCount val="1"/>
                <c:pt idx="0">
                  <c:v>Total uso de poliéster en telares Nilotex Scc.</c:v>
                </c:pt>
              </c:strCache>
            </c:strRef>
          </c:tx>
          <c:xVal>
            <c:numRef>
              <c:f>'DEPURACIÓN DE DATOS'!$B$4:$B$81</c:f>
              <c:numCache>
                <c:formatCode>mmm\-yy</c:formatCode>
                <c:ptCount val="78"/>
                <c:pt idx="0">
                  <c:v>40179</c:v>
                </c:pt>
                <c:pt idx="1">
                  <c:v>40210</c:v>
                </c:pt>
                <c:pt idx="2">
                  <c:v>40238</c:v>
                </c:pt>
                <c:pt idx="3">
                  <c:v>40269</c:v>
                </c:pt>
                <c:pt idx="4">
                  <c:v>40299</c:v>
                </c:pt>
                <c:pt idx="5">
                  <c:v>40330</c:v>
                </c:pt>
                <c:pt idx="6">
                  <c:v>40360</c:v>
                </c:pt>
                <c:pt idx="7">
                  <c:v>40391</c:v>
                </c:pt>
                <c:pt idx="8">
                  <c:v>40422</c:v>
                </c:pt>
                <c:pt idx="9">
                  <c:v>40452</c:v>
                </c:pt>
                <c:pt idx="10">
                  <c:v>40483</c:v>
                </c:pt>
                <c:pt idx="11">
                  <c:v>40513</c:v>
                </c:pt>
                <c:pt idx="12">
                  <c:v>40544</c:v>
                </c:pt>
                <c:pt idx="13">
                  <c:v>40575</c:v>
                </c:pt>
                <c:pt idx="14">
                  <c:v>40603</c:v>
                </c:pt>
                <c:pt idx="15">
                  <c:v>40634</c:v>
                </c:pt>
                <c:pt idx="16">
                  <c:v>40664</c:v>
                </c:pt>
                <c:pt idx="17">
                  <c:v>40695</c:v>
                </c:pt>
                <c:pt idx="18">
                  <c:v>40725</c:v>
                </c:pt>
                <c:pt idx="19">
                  <c:v>40756</c:v>
                </c:pt>
                <c:pt idx="20">
                  <c:v>40787</c:v>
                </c:pt>
                <c:pt idx="21">
                  <c:v>40817</c:v>
                </c:pt>
                <c:pt idx="22">
                  <c:v>40848</c:v>
                </c:pt>
                <c:pt idx="23">
                  <c:v>40878</c:v>
                </c:pt>
                <c:pt idx="24">
                  <c:v>40909</c:v>
                </c:pt>
                <c:pt idx="25">
                  <c:v>40940</c:v>
                </c:pt>
                <c:pt idx="26">
                  <c:v>40969</c:v>
                </c:pt>
                <c:pt idx="27">
                  <c:v>41000</c:v>
                </c:pt>
                <c:pt idx="28">
                  <c:v>41030</c:v>
                </c:pt>
                <c:pt idx="29">
                  <c:v>41061</c:v>
                </c:pt>
                <c:pt idx="30">
                  <c:v>41091</c:v>
                </c:pt>
                <c:pt idx="31">
                  <c:v>41122</c:v>
                </c:pt>
                <c:pt idx="32">
                  <c:v>41153</c:v>
                </c:pt>
                <c:pt idx="33">
                  <c:v>41183</c:v>
                </c:pt>
                <c:pt idx="34">
                  <c:v>41214</c:v>
                </c:pt>
                <c:pt idx="35">
                  <c:v>41244</c:v>
                </c:pt>
                <c:pt idx="36">
                  <c:v>41275</c:v>
                </c:pt>
                <c:pt idx="37">
                  <c:v>41306</c:v>
                </c:pt>
                <c:pt idx="38">
                  <c:v>41334</c:v>
                </c:pt>
                <c:pt idx="39">
                  <c:v>41365</c:v>
                </c:pt>
                <c:pt idx="40">
                  <c:v>41395</c:v>
                </c:pt>
                <c:pt idx="41">
                  <c:v>41426</c:v>
                </c:pt>
                <c:pt idx="42">
                  <c:v>41456</c:v>
                </c:pt>
                <c:pt idx="43">
                  <c:v>41487</c:v>
                </c:pt>
                <c:pt idx="44">
                  <c:v>41518</c:v>
                </c:pt>
                <c:pt idx="45">
                  <c:v>41548</c:v>
                </c:pt>
                <c:pt idx="46">
                  <c:v>41579</c:v>
                </c:pt>
                <c:pt idx="47">
                  <c:v>41609</c:v>
                </c:pt>
                <c:pt idx="48">
                  <c:v>41640</c:v>
                </c:pt>
                <c:pt idx="49">
                  <c:v>41671</c:v>
                </c:pt>
                <c:pt idx="50">
                  <c:v>41699</c:v>
                </c:pt>
                <c:pt idx="51">
                  <c:v>41730</c:v>
                </c:pt>
                <c:pt idx="52">
                  <c:v>41760</c:v>
                </c:pt>
                <c:pt idx="53">
                  <c:v>41791</c:v>
                </c:pt>
                <c:pt idx="54">
                  <c:v>41821</c:v>
                </c:pt>
                <c:pt idx="55">
                  <c:v>41852</c:v>
                </c:pt>
                <c:pt idx="56">
                  <c:v>41883</c:v>
                </c:pt>
                <c:pt idx="57">
                  <c:v>41913</c:v>
                </c:pt>
                <c:pt idx="58">
                  <c:v>41944</c:v>
                </c:pt>
                <c:pt idx="59">
                  <c:v>41974</c:v>
                </c:pt>
                <c:pt idx="60">
                  <c:v>42005</c:v>
                </c:pt>
                <c:pt idx="61">
                  <c:v>42036</c:v>
                </c:pt>
                <c:pt idx="62">
                  <c:v>42064</c:v>
                </c:pt>
                <c:pt idx="63">
                  <c:v>42095</c:v>
                </c:pt>
                <c:pt idx="64">
                  <c:v>42125</c:v>
                </c:pt>
                <c:pt idx="65">
                  <c:v>42156</c:v>
                </c:pt>
                <c:pt idx="66">
                  <c:v>42186</c:v>
                </c:pt>
                <c:pt idx="67">
                  <c:v>42217</c:v>
                </c:pt>
                <c:pt idx="68">
                  <c:v>42248</c:v>
                </c:pt>
                <c:pt idx="69">
                  <c:v>42278</c:v>
                </c:pt>
                <c:pt idx="70">
                  <c:v>42309</c:v>
                </c:pt>
                <c:pt idx="71">
                  <c:v>42339</c:v>
                </c:pt>
                <c:pt idx="72">
                  <c:v>42370</c:v>
                </c:pt>
                <c:pt idx="73">
                  <c:v>42401</c:v>
                </c:pt>
                <c:pt idx="74">
                  <c:v>42430</c:v>
                </c:pt>
                <c:pt idx="75">
                  <c:v>42461</c:v>
                </c:pt>
                <c:pt idx="76">
                  <c:v>42491</c:v>
                </c:pt>
                <c:pt idx="77">
                  <c:v>42522</c:v>
                </c:pt>
              </c:numCache>
            </c:numRef>
          </c:xVal>
          <c:yVal>
            <c:numRef>
              <c:f>'DEPURACIÓN DE DATOS'!$S$4:$S$81</c:f>
              <c:numCache>
                <c:formatCode>General</c:formatCode>
                <c:ptCount val="78"/>
                <c:pt idx="0">
                  <c:v>220.61699999999999</c:v>
                </c:pt>
                <c:pt idx="1">
                  <c:v>368.13600000000002</c:v>
                </c:pt>
                <c:pt idx="2">
                  <c:v>307.49400000000003</c:v>
                </c:pt>
                <c:pt idx="3">
                  <c:v>149.11200000000002</c:v>
                </c:pt>
                <c:pt idx="4">
                  <c:v>225.76499999999999</c:v>
                </c:pt>
                <c:pt idx="5">
                  <c:v>89.298000000000002</c:v>
                </c:pt>
                <c:pt idx="6">
                  <c:v>216.90899999999999</c:v>
                </c:pt>
                <c:pt idx="7">
                  <c:v>384.81299999999999</c:v>
                </c:pt>
                <c:pt idx="8">
                  <c:v>385.56</c:v>
                </c:pt>
                <c:pt idx="9">
                  <c:v>302.63400000000001</c:v>
                </c:pt>
                <c:pt idx="10">
                  <c:v>147.06899999999999</c:v>
                </c:pt>
                <c:pt idx="11">
                  <c:v>214.03800000000001</c:v>
                </c:pt>
                <c:pt idx="12">
                  <c:v>197.64900000000003</c:v>
                </c:pt>
                <c:pt idx="13">
                  <c:v>188.03700000000001</c:v>
                </c:pt>
                <c:pt idx="14">
                  <c:v>117.30600000000001</c:v>
                </c:pt>
                <c:pt idx="15">
                  <c:v>187.84800000000001</c:v>
                </c:pt>
                <c:pt idx="16">
                  <c:v>102.006</c:v>
                </c:pt>
                <c:pt idx="17">
                  <c:v>235.88099999999997</c:v>
                </c:pt>
                <c:pt idx="18">
                  <c:v>222.49799999999999</c:v>
                </c:pt>
                <c:pt idx="19">
                  <c:v>72.135000000000005</c:v>
                </c:pt>
                <c:pt idx="20">
                  <c:v>244.089</c:v>
                </c:pt>
                <c:pt idx="21">
                  <c:v>88.209000000000003</c:v>
                </c:pt>
                <c:pt idx="22">
                  <c:v>159.17400000000001</c:v>
                </c:pt>
                <c:pt idx="23">
                  <c:v>60.038999999999994</c:v>
                </c:pt>
                <c:pt idx="24">
                  <c:v>237.73499999999999</c:v>
                </c:pt>
                <c:pt idx="25">
                  <c:v>116.496</c:v>
                </c:pt>
                <c:pt idx="26">
                  <c:v>191.52</c:v>
                </c:pt>
                <c:pt idx="27">
                  <c:v>112.914</c:v>
                </c:pt>
                <c:pt idx="28">
                  <c:v>223.88399999999999</c:v>
                </c:pt>
                <c:pt idx="29">
                  <c:v>147.14100000000002</c:v>
                </c:pt>
                <c:pt idx="30">
                  <c:v>80.910000000000011</c:v>
                </c:pt>
                <c:pt idx="31">
                  <c:v>308.45700000000005</c:v>
                </c:pt>
                <c:pt idx="32">
                  <c:v>100.43100000000001</c:v>
                </c:pt>
                <c:pt idx="33">
                  <c:v>30.618000000000002</c:v>
                </c:pt>
                <c:pt idx="34">
                  <c:v>221.00400000000002</c:v>
                </c:pt>
                <c:pt idx="35">
                  <c:v>215.739</c:v>
                </c:pt>
                <c:pt idx="36">
                  <c:v>35.936999999999998</c:v>
                </c:pt>
                <c:pt idx="37">
                  <c:v>10.458</c:v>
                </c:pt>
                <c:pt idx="38">
                  <c:v>11.529</c:v>
                </c:pt>
                <c:pt idx="39">
                  <c:v>9.9540000000000006</c:v>
                </c:pt>
                <c:pt idx="40">
                  <c:v>57.195</c:v>
                </c:pt>
                <c:pt idx="41">
                  <c:v>10.161</c:v>
                </c:pt>
                <c:pt idx="42">
                  <c:v>15.768000000000001</c:v>
                </c:pt>
                <c:pt idx="43">
                  <c:v>45.117000000000004</c:v>
                </c:pt>
                <c:pt idx="44">
                  <c:v>31.86</c:v>
                </c:pt>
                <c:pt idx="45">
                  <c:v>26.289000000000001</c:v>
                </c:pt>
                <c:pt idx="46">
                  <c:v>22.553999999999998</c:v>
                </c:pt>
                <c:pt idx="47">
                  <c:v>14.327999999999999</c:v>
                </c:pt>
                <c:pt idx="48">
                  <c:v>74.664000000000001</c:v>
                </c:pt>
                <c:pt idx="49">
                  <c:v>30.654000000000003</c:v>
                </c:pt>
                <c:pt idx="50">
                  <c:v>20.988</c:v>
                </c:pt>
                <c:pt idx="51">
                  <c:v>7.9920000000000009</c:v>
                </c:pt>
                <c:pt idx="52">
                  <c:v>13.32</c:v>
                </c:pt>
                <c:pt idx="53">
                  <c:v>26.334000000000003</c:v>
                </c:pt>
                <c:pt idx="54">
                  <c:v>69.731999999999999</c:v>
                </c:pt>
                <c:pt idx="55">
                  <c:v>34.506000000000007</c:v>
                </c:pt>
                <c:pt idx="56">
                  <c:v>58.21200000000001</c:v>
                </c:pt>
                <c:pt idx="57">
                  <c:v>18.774000000000001</c:v>
                </c:pt>
                <c:pt idx="58">
                  <c:v>16.091999999999999</c:v>
                </c:pt>
                <c:pt idx="59">
                  <c:v>0</c:v>
                </c:pt>
                <c:pt idx="60">
                  <c:v>14.238000000000001</c:v>
                </c:pt>
                <c:pt idx="61">
                  <c:v>43.164000000000001</c:v>
                </c:pt>
                <c:pt idx="62">
                  <c:v>100.998</c:v>
                </c:pt>
                <c:pt idx="63">
                  <c:v>6.6240000000000006</c:v>
                </c:pt>
                <c:pt idx="64">
                  <c:v>17.658000000000001</c:v>
                </c:pt>
                <c:pt idx="65">
                  <c:v>12.077999999999999</c:v>
                </c:pt>
                <c:pt idx="66">
                  <c:v>7.6859999999999991</c:v>
                </c:pt>
                <c:pt idx="67">
                  <c:v>7.5600000000000005</c:v>
                </c:pt>
                <c:pt idx="68">
                  <c:v>66.384</c:v>
                </c:pt>
                <c:pt idx="69">
                  <c:v>32.957999999999998</c:v>
                </c:pt>
                <c:pt idx="70">
                  <c:v>4.5539999999999994</c:v>
                </c:pt>
                <c:pt idx="71">
                  <c:v>0</c:v>
                </c:pt>
                <c:pt idx="72">
                  <c:v>15.552000000000001</c:v>
                </c:pt>
                <c:pt idx="73">
                  <c:v>1.08</c:v>
                </c:pt>
                <c:pt idx="74">
                  <c:v>21.258000000000003</c:v>
                </c:pt>
                <c:pt idx="75">
                  <c:v>8.19</c:v>
                </c:pt>
                <c:pt idx="76">
                  <c:v>9.2160000000000011</c:v>
                </c:pt>
                <c:pt idx="77">
                  <c:v>16.866</c:v>
                </c:pt>
              </c:numCache>
            </c:numRef>
          </c:yVal>
          <c:smooth val="1"/>
        </c:ser>
        <c:dLbls>
          <c:showLegendKey val="0"/>
          <c:showVal val="0"/>
          <c:showCatName val="0"/>
          <c:showSerName val="0"/>
          <c:showPercent val="0"/>
          <c:showBubbleSize val="0"/>
        </c:dLbls>
        <c:axId val="145238656"/>
        <c:axId val="145252736"/>
      </c:scatterChart>
      <c:valAx>
        <c:axId val="145238656"/>
        <c:scaling>
          <c:orientation val="minMax"/>
        </c:scaling>
        <c:delete val="0"/>
        <c:axPos val="b"/>
        <c:numFmt formatCode="mmm\-yy" sourceLinked="1"/>
        <c:majorTickMark val="out"/>
        <c:minorTickMark val="none"/>
        <c:tickLblPos val="nextTo"/>
        <c:crossAx val="145252736"/>
        <c:crosses val="autoZero"/>
        <c:crossBetween val="midCat"/>
        <c:majorUnit val="250"/>
        <c:minorUnit val="50"/>
      </c:valAx>
      <c:valAx>
        <c:axId val="145252736"/>
        <c:scaling>
          <c:orientation val="minMax"/>
        </c:scaling>
        <c:delete val="0"/>
        <c:axPos val="l"/>
        <c:majorGridlines/>
        <c:numFmt formatCode="General" sourceLinked="1"/>
        <c:majorTickMark val="out"/>
        <c:minorTickMark val="none"/>
        <c:tickLblPos val="nextTo"/>
        <c:crossAx val="145238656"/>
        <c:crosses val="autoZero"/>
        <c:crossBetween val="midCat"/>
      </c:valAx>
    </c:plotArea>
    <c:legend>
      <c:legendPos val="r"/>
      <c:layout>
        <c:manualLayout>
          <c:xMode val="edge"/>
          <c:yMode val="edge"/>
          <c:x val="0.88159521167194366"/>
          <c:y val="0.28625777086469045"/>
          <c:w val="0.10957476727622011"/>
          <c:h val="0.30177802244881924"/>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Demanda en Kilos lineal</a:t>
            </a:r>
          </a:p>
        </c:rich>
      </c:tx>
      <c:layout>
        <c:manualLayout>
          <c:xMode val="edge"/>
          <c:yMode val="edge"/>
          <c:x val="0.30480555555555555"/>
          <c:y val="3.7037037037037035E-2"/>
        </c:manualLayout>
      </c:layout>
      <c:overlay val="0"/>
    </c:title>
    <c:autoTitleDeleted val="0"/>
    <c:plotArea>
      <c:layout/>
      <c:scatterChart>
        <c:scatterStyle val="smoothMarker"/>
        <c:varyColors val="0"/>
        <c:ser>
          <c:idx val="0"/>
          <c:order val="0"/>
          <c:tx>
            <c:strRef>
              <c:f>' Poliester Claro '!$C$35</c:f>
              <c:strCache>
                <c:ptCount val="1"/>
                <c:pt idx="0">
                  <c:v>Demanda en Kilos</c:v>
                </c:pt>
              </c:strCache>
            </c:strRef>
          </c:tx>
          <c:trendline>
            <c:spPr>
              <a:ln w="22225">
                <a:solidFill>
                  <a:srgbClr val="FF0000"/>
                </a:solidFill>
              </a:ln>
            </c:spPr>
            <c:trendlineType val="linear"/>
            <c:dispRSqr val="1"/>
            <c:dispEq val="1"/>
            <c:trendlineLbl>
              <c:layout>
                <c:manualLayout>
                  <c:x val="0.44321741032370954"/>
                  <c:y val="-0.53489975211431906"/>
                </c:manualLayout>
              </c:layout>
              <c:numFmt formatCode="General" sourceLinked="0"/>
            </c:trendlineLbl>
          </c:trendline>
          <c:xVal>
            <c:numRef>
              <c:f>' Poliester Claro '!$B$36:$B$61</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 Poliester Claro '!$C$36:$C$61</c:f>
              <c:numCache>
                <c:formatCode>General</c:formatCode>
                <c:ptCount val="26"/>
                <c:pt idx="0">
                  <c:v>312.51</c:v>
                </c:pt>
                <c:pt idx="1">
                  <c:v>458.86</c:v>
                </c:pt>
                <c:pt idx="2">
                  <c:v>470.3</c:v>
                </c:pt>
                <c:pt idx="3">
                  <c:v>292.92</c:v>
                </c:pt>
                <c:pt idx="4">
                  <c:v>54.42</c:v>
                </c:pt>
                <c:pt idx="5">
                  <c:v>420.28</c:v>
                </c:pt>
                <c:pt idx="6">
                  <c:v>224.01</c:v>
                </c:pt>
                <c:pt idx="7">
                  <c:v>234.97</c:v>
                </c:pt>
                <c:pt idx="8">
                  <c:v>241.87</c:v>
                </c:pt>
                <c:pt idx="9">
                  <c:v>192.67</c:v>
                </c:pt>
                <c:pt idx="10">
                  <c:v>96.59</c:v>
                </c:pt>
                <c:pt idx="11">
                  <c:v>68.600000000000009</c:v>
                </c:pt>
                <c:pt idx="12">
                  <c:v>191.86</c:v>
                </c:pt>
                <c:pt idx="13">
                  <c:v>118.85</c:v>
                </c:pt>
                <c:pt idx="14">
                  <c:v>316.16999999999996</c:v>
                </c:pt>
                <c:pt idx="15">
                  <c:v>24.1</c:v>
                </c:pt>
                <c:pt idx="16">
                  <c:v>345.26</c:v>
                </c:pt>
                <c:pt idx="17">
                  <c:v>5.14</c:v>
                </c:pt>
                <c:pt idx="18">
                  <c:v>81.92</c:v>
                </c:pt>
                <c:pt idx="19">
                  <c:v>123.12</c:v>
                </c:pt>
                <c:pt idx="20">
                  <c:v>86.22999999999999</c:v>
                </c:pt>
                <c:pt idx="21">
                  <c:v>5.78</c:v>
                </c:pt>
                <c:pt idx="22">
                  <c:v>129.16</c:v>
                </c:pt>
                <c:pt idx="23">
                  <c:v>4.8600000000000003</c:v>
                </c:pt>
                <c:pt idx="24">
                  <c:v>52.87</c:v>
                </c:pt>
                <c:pt idx="25">
                  <c:v>41.22</c:v>
                </c:pt>
              </c:numCache>
            </c:numRef>
          </c:yVal>
          <c:smooth val="1"/>
        </c:ser>
        <c:dLbls>
          <c:showLegendKey val="0"/>
          <c:showVal val="0"/>
          <c:showCatName val="0"/>
          <c:showSerName val="0"/>
          <c:showPercent val="0"/>
          <c:showBubbleSize val="0"/>
        </c:dLbls>
        <c:axId val="143947264"/>
        <c:axId val="143948800"/>
      </c:scatterChart>
      <c:valAx>
        <c:axId val="143947264"/>
        <c:scaling>
          <c:orientation val="minMax"/>
        </c:scaling>
        <c:delete val="0"/>
        <c:axPos val="b"/>
        <c:numFmt formatCode="General" sourceLinked="1"/>
        <c:majorTickMark val="out"/>
        <c:minorTickMark val="none"/>
        <c:tickLblPos val="nextTo"/>
        <c:crossAx val="143948800"/>
        <c:crosses val="autoZero"/>
        <c:crossBetween val="midCat"/>
      </c:valAx>
      <c:valAx>
        <c:axId val="143948800"/>
        <c:scaling>
          <c:orientation val="minMax"/>
        </c:scaling>
        <c:delete val="0"/>
        <c:axPos val="l"/>
        <c:majorGridlines/>
        <c:numFmt formatCode="General" sourceLinked="1"/>
        <c:majorTickMark val="out"/>
        <c:minorTickMark val="none"/>
        <c:tickLblPos val="nextTo"/>
        <c:crossAx val="143947264"/>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800"/>
              <a:t>Consumo Total de Poliéster </a:t>
            </a:r>
            <a:endParaRPr lang="en-US" sz="2000"/>
          </a:p>
        </c:rich>
      </c:tx>
      <c:layout>
        <c:manualLayout>
          <c:xMode val="edge"/>
          <c:yMode val="edge"/>
          <c:x val="0.2892016142947148"/>
          <c:y val="3.6264729095810841E-2"/>
        </c:manualLayout>
      </c:layout>
      <c:overlay val="0"/>
    </c:title>
    <c:autoTitleDeleted val="0"/>
    <c:plotArea>
      <c:layout>
        <c:manualLayout>
          <c:layoutTarget val="inner"/>
          <c:xMode val="edge"/>
          <c:yMode val="edge"/>
          <c:x val="8.8676819027791509E-2"/>
          <c:y val="0.15101858451145642"/>
          <c:w val="0.75072560871812777"/>
          <c:h val="0.82707914963750562"/>
        </c:manualLayout>
      </c:layout>
      <c:scatterChart>
        <c:scatterStyle val="lineMarker"/>
        <c:varyColors val="0"/>
        <c:ser>
          <c:idx val="0"/>
          <c:order val="0"/>
          <c:tx>
            <c:strRef>
              <c:f>'DEPURACIÓN DE DATOS'!$F$3</c:f>
              <c:strCache>
                <c:ptCount val="1"/>
                <c:pt idx="0">
                  <c:v>Total Hilo Poliéster</c:v>
                </c:pt>
              </c:strCache>
            </c:strRef>
          </c:tx>
          <c:spPr>
            <a:ln w="28575">
              <a:noFill/>
            </a:ln>
          </c:spPr>
          <c:trendline>
            <c:spPr>
              <a:ln w="19050">
                <a:solidFill>
                  <a:srgbClr val="FF0000"/>
                </a:solidFill>
              </a:ln>
            </c:spPr>
            <c:trendlineType val="linear"/>
            <c:dispRSqr val="1"/>
            <c:dispEq val="1"/>
            <c:trendlineLbl>
              <c:layout>
                <c:manualLayout>
                  <c:x val="0.26547805930969864"/>
                  <c:y val="-0.29181151935318189"/>
                </c:manualLayout>
              </c:layout>
              <c:numFmt formatCode="General" sourceLinked="0"/>
            </c:trendlineLbl>
          </c:trendline>
          <c:xVal>
            <c:numRef>
              <c:f>'DEPURACIÓN DE DATOS'!$B$4:$B$87</c:f>
              <c:numCache>
                <c:formatCode>mmm\-yy</c:formatCode>
                <c:ptCount val="84"/>
                <c:pt idx="0">
                  <c:v>40179</c:v>
                </c:pt>
                <c:pt idx="1">
                  <c:v>40210</c:v>
                </c:pt>
                <c:pt idx="2">
                  <c:v>40238</c:v>
                </c:pt>
                <c:pt idx="3">
                  <c:v>40269</c:v>
                </c:pt>
                <c:pt idx="4">
                  <c:v>40299</c:v>
                </c:pt>
                <c:pt idx="5">
                  <c:v>40330</c:v>
                </c:pt>
                <c:pt idx="6">
                  <c:v>40360</c:v>
                </c:pt>
                <c:pt idx="7">
                  <c:v>40391</c:v>
                </c:pt>
                <c:pt idx="8">
                  <c:v>40422</c:v>
                </c:pt>
                <c:pt idx="9">
                  <c:v>40452</c:v>
                </c:pt>
                <c:pt idx="10">
                  <c:v>40483</c:v>
                </c:pt>
                <c:pt idx="11">
                  <c:v>40513</c:v>
                </c:pt>
                <c:pt idx="12">
                  <c:v>40544</c:v>
                </c:pt>
                <c:pt idx="13">
                  <c:v>40575</c:v>
                </c:pt>
                <c:pt idx="14">
                  <c:v>40603</c:v>
                </c:pt>
                <c:pt idx="15">
                  <c:v>40634</c:v>
                </c:pt>
                <c:pt idx="16">
                  <c:v>40664</c:v>
                </c:pt>
                <c:pt idx="17">
                  <c:v>40695</c:v>
                </c:pt>
                <c:pt idx="18">
                  <c:v>40725</c:v>
                </c:pt>
                <c:pt idx="19">
                  <c:v>40756</c:v>
                </c:pt>
                <c:pt idx="20">
                  <c:v>40787</c:v>
                </c:pt>
                <c:pt idx="21">
                  <c:v>40817</c:v>
                </c:pt>
                <c:pt idx="22">
                  <c:v>40848</c:v>
                </c:pt>
                <c:pt idx="23">
                  <c:v>40878</c:v>
                </c:pt>
                <c:pt idx="24">
                  <c:v>40909</c:v>
                </c:pt>
                <c:pt idx="25">
                  <c:v>40940</c:v>
                </c:pt>
                <c:pt idx="26">
                  <c:v>40969</c:v>
                </c:pt>
                <c:pt idx="27">
                  <c:v>41000</c:v>
                </c:pt>
                <c:pt idx="28">
                  <c:v>41030</c:v>
                </c:pt>
                <c:pt idx="29">
                  <c:v>41061</c:v>
                </c:pt>
                <c:pt idx="30">
                  <c:v>41091</c:v>
                </c:pt>
                <c:pt idx="31">
                  <c:v>41122</c:v>
                </c:pt>
                <c:pt idx="32">
                  <c:v>41153</c:v>
                </c:pt>
                <c:pt idx="33">
                  <c:v>41183</c:v>
                </c:pt>
                <c:pt idx="34">
                  <c:v>41214</c:v>
                </c:pt>
                <c:pt idx="35">
                  <c:v>41244</c:v>
                </c:pt>
                <c:pt idx="36">
                  <c:v>41275</c:v>
                </c:pt>
                <c:pt idx="37">
                  <c:v>41306</c:v>
                </c:pt>
                <c:pt idx="38">
                  <c:v>41334</c:v>
                </c:pt>
                <c:pt idx="39">
                  <c:v>41365</c:v>
                </c:pt>
                <c:pt idx="40">
                  <c:v>41395</c:v>
                </c:pt>
                <c:pt idx="41">
                  <c:v>41426</c:v>
                </c:pt>
                <c:pt idx="42">
                  <c:v>41456</c:v>
                </c:pt>
                <c:pt idx="43">
                  <c:v>41487</c:v>
                </c:pt>
                <c:pt idx="44">
                  <c:v>41518</c:v>
                </c:pt>
                <c:pt idx="45">
                  <c:v>41548</c:v>
                </c:pt>
                <c:pt idx="46">
                  <c:v>41579</c:v>
                </c:pt>
                <c:pt idx="47">
                  <c:v>41609</c:v>
                </c:pt>
                <c:pt idx="48">
                  <c:v>41640</c:v>
                </c:pt>
                <c:pt idx="49">
                  <c:v>41671</c:v>
                </c:pt>
                <c:pt idx="50">
                  <c:v>41699</c:v>
                </c:pt>
                <c:pt idx="51">
                  <c:v>41730</c:v>
                </c:pt>
                <c:pt idx="52">
                  <c:v>41760</c:v>
                </c:pt>
                <c:pt idx="53">
                  <c:v>41791</c:v>
                </c:pt>
                <c:pt idx="54">
                  <c:v>41821</c:v>
                </c:pt>
                <c:pt idx="55">
                  <c:v>41852</c:v>
                </c:pt>
                <c:pt idx="56">
                  <c:v>41883</c:v>
                </c:pt>
                <c:pt idx="57">
                  <c:v>41913</c:v>
                </c:pt>
                <c:pt idx="58">
                  <c:v>41944</c:v>
                </c:pt>
                <c:pt idx="59">
                  <c:v>41974</c:v>
                </c:pt>
                <c:pt idx="60">
                  <c:v>42005</c:v>
                </c:pt>
                <c:pt idx="61">
                  <c:v>42036</c:v>
                </c:pt>
                <c:pt idx="62">
                  <c:v>42064</c:v>
                </c:pt>
                <c:pt idx="63">
                  <c:v>42095</c:v>
                </c:pt>
                <c:pt idx="64">
                  <c:v>42125</c:v>
                </c:pt>
                <c:pt idx="65">
                  <c:v>42156</c:v>
                </c:pt>
                <c:pt idx="66">
                  <c:v>42186</c:v>
                </c:pt>
                <c:pt idx="67">
                  <c:v>42217</c:v>
                </c:pt>
                <c:pt idx="68">
                  <c:v>42248</c:v>
                </c:pt>
                <c:pt idx="69">
                  <c:v>42278</c:v>
                </c:pt>
                <c:pt idx="70">
                  <c:v>42309</c:v>
                </c:pt>
                <c:pt idx="71">
                  <c:v>42339</c:v>
                </c:pt>
                <c:pt idx="72">
                  <c:v>42370</c:v>
                </c:pt>
                <c:pt idx="73">
                  <c:v>42401</c:v>
                </c:pt>
                <c:pt idx="74">
                  <c:v>42430</c:v>
                </c:pt>
                <c:pt idx="75">
                  <c:v>42461</c:v>
                </c:pt>
                <c:pt idx="76">
                  <c:v>42491</c:v>
                </c:pt>
                <c:pt idx="77">
                  <c:v>42522</c:v>
                </c:pt>
                <c:pt idx="78">
                  <c:v>42552</c:v>
                </c:pt>
                <c:pt idx="79">
                  <c:v>42583</c:v>
                </c:pt>
                <c:pt idx="80">
                  <c:v>42614</c:v>
                </c:pt>
                <c:pt idx="81">
                  <c:v>42644</c:v>
                </c:pt>
                <c:pt idx="82">
                  <c:v>42675</c:v>
                </c:pt>
                <c:pt idx="83">
                  <c:v>42705</c:v>
                </c:pt>
              </c:numCache>
            </c:numRef>
          </c:xVal>
          <c:yVal>
            <c:numRef>
              <c:f>'DEPURACIÓN DE DATOS'!$F$4:$F$87</c:f>
              <c:numCache>
                <c:formatCode>###,###,###.00</c:formatCode>
                <c:ptCount val="84"/>
                <c:pt idx="0">
                  <c:v>1850.86</c:v>
                </c:pt>
                <c:pt idx="1">
                  <c:v>4214.22</c:v>
                </c:pt>
                <c:pt idx="2">
                  <c:v>4621.97</c:v>
                </c:pt>
                <c:pt idx="3">
                  <c:v>5489.48</c:v>
                </c:pt>
                <c:pt idx="4">
                  <c:v>2125.2599999999998</c:v>
                </c:pt>
                <c:pt idx="5">
                  <c:v>2720.4999999999995</c:v>
                </c:pt>
                <c:pt idx="6">
                  <c:v>1798.03</c:v>
                </c:pt>
                <c:pt idx="7">
                  <c:v>3880.6800000000003</c:v>
                </c:pt>
                <c:pt idx="8">
                  <c:v>3787.82</c:v>
                </c:pt>
                <c:pt idx="9">
                  <c:v>4290.96</c:v>
                </c:pt>
                <c:pt idx="10">
                  <c:v>3302.12</c:v>
                </c:pt>
                <c:pt idx="11">
                  <c:v>4958.119999999999</c:v>
                </c:pt>
                <c:pt idx="12">
                  <c:v>1758.5600000000002</c:v>
                </c:pt>
                <c:pt idx="13">
                  <c:v>2261.8199999999997</c:v>
                </c:pt>
                <c:pt idx="14">
                  <c:v>2484.91</c:v>
                </c:pt>
                <c:pt idx="15">
                  <c:v>645.06000000000006</c:v>
                </c:pt>
                <c:pt idx="16">
                  <c:v>4962.28</c:v>
                </c:pt>
                <c:pt idx="17">
                  <c:v>2677.09</c:v>
                </c:pt>
                <c:pt idx="18">
                  <c:v>3901.93</c:v>
                </c:pt>
                <c:pt idx="19">
                  <c:v>577.25</c:v>
                </c:pt>
                <c:pt idx="20">
                  <c:v>2294.2599999999998</c:v>
                </c:pt>
                <c:pt idx="21">
                  <c:v>1076.8100000000002</c:v>
                </c:pt>
                <c:pt idx="22">
                  <c:v>2245.62</c:v>
                </c:pt>
                <c:pt idx="23">
                  <c:v>1611.8700000000001</c:v>
                </c:pt>
                <c:pt idx="24">
                  <c:v>2954.6400000000003</c:v>
                </c:pt>
                <c:pt idx="25">
                  <c:v>4072.4900000000002</c:v>
                </c:pt>
                <c:pt idx="26">
                  <c:v>4788.95</c:v>
                </c:pt>
                <c:pt idx="27">
                  <c:v>4400.79</c:v>
                </c:pt>
                <c:pt idx="28">
                  <c:v>5136.4900000000007</c:v>
                </c:pt>
                <c:pt idx="29">
                  <c:v>2896.9</c:v>
                </c:pt>
                <c:pt idx="30">
                  <c:v>3750.85</c:v>
                </c:pt>
                <c:pt idx="31">
                  <c:v>5551.8499999999995</c:v>
                </c:pt>
                <c:pt idx="32">
                  <c:v>2655.27</c:v>
                </c:pt>
                <c:pt idx="33">
                  <c:v>1303.1999999999998</c:v>
                </c:pt>
                <c:pt idx="34">
                  <c:v>2583.17</c:v>
                </c:pt>
                <c:pt idx="35">
                  <c:v>1849.21</c:v>
                </c:pt>
                <c:pt idx="36">
                  <c:v>4118.83</c:v>
                </c:pt>
                <c:pt idx="37">
                  <c:v>3461.08</c:v>
                </c:pt>
                <c:pt idx="38">
                  <c:v>3146.46</c:v>
                </c:pt>
                <c:pt idx="39">
                  <c:v>4515.6900000000005</c:v>
                </c:pt>
                <c:pt idx="40">
                  <c:v>8127.3300000000008</c:v>
                </c:pt>
                <c:pt idx="41">
                  <c:v>4526.29</c:v>
                </c:pt>
                <c:pt idx="42">
                  <c:v>4605.8700000000008</c:v>
                </c:pt>
                <c:pt idx="43">
                  <c:v>3970.92</c:v>
                </c:pt>
                <c:pt idx="44">
                  <c:v>3780.4700000000003</c:v>
                </c:pt>
                <c:pt idx="45">
                  <c:v>7612.81</c:v>
                </c:pt>
                <c:pt idx="46">
                  <c:v>5165.18</c:v>
                </c:pt>
                <c:pt idx="47">
                  <c:v>943.64</c:v>
                </c:pt>
                <c:pt idx="48">
                  <c:v>1636.41</c:v>
                </c:pt>
                <c:pt idx="49">
                  <c:v>2036.95</c:v>
                </c:pt>
                <c:pt idx="50">
                  <c:v>2695.63</c:v>
                </c:pt>
                <c:pt idx="51">
                  <c:v>458.88</c:v>
                </c:pt>
                <c:pt idx="52">
                  <c:v>4021.94</c:v>
                </c:pt>
                <c:pt idx="53">
                  <c:v>2429.2600000000002</c:v>
                </c:pt>
                <c:pt idx="54">
                  <c:v>1328.08</c:v>
                </c:pt>
                <c:pt idx="55">
                  <c:v>3370.57</c:v>
                </c:pt>
                <c:pt idx="56">
                  <c:v>3397.5</c:v>
                </c:pt>
                <c:pt idx="57">
                  <c:v>4104.18</c:v>
                </c:pt>
                <c:pt idx="58">
                  <c:v>3023.57</c:v>
                </c:pt>
                <c:pt idx="59">
                  <c:v>4501.3599999999997</c:v>
                </c:pt>
                <c:pt idx="60">
                  <c:v>2154.75</c:v>
                </c:pt>
                <c:pt idx="61">
                  <c:v>2839.69</c:v>
                </c:pt>
                <c:pt idx="62">
                  <c:v>5533.2</c:v>
                </c:pt>
                <c:pt idx="63">
                  <c:v>4565.3099999999995</c:v>
                </c:pt>
                <c:pt idx="64">
                  <c:v>4319.59</c:v>
                </c:pt>
                <c:pt idx="65">
                  <c:v>4098.3100000000004</c:v>
                </c:pt>
                <c:pt idx="66">
                  <c:v>10087.220000000001</c:v>
                </c:pt>
                <c:pt idx="67">
                  <c:v>5579.2999999999993</c:v>
                </c:pt>
                <c:pt idx="68">
                  <c:v>5300.54</c:v>
                </c:pt>
                <c:pt idx="69">
                  <c:v>8213.2800000000007</c:v>
                </c:pt>
                <c:pt idx="70">
                  <c:v>72.16</c:v>
                </c:pt>
                <c:pt idx="71">
                  <c:v>0</c:v>
                </c:pt>
                <c:pt idx="72">
                  <c:v>2268.9300000000003</c:v>
                </c:pt>
                <c:pt idx="73">
                  <c:v>1.2</c:v>
                </c:pt>
                <c:pt idx="74">
                  <c:v>2498.0399999999995</c:v>
                </c:pt>
                <c:pt idx="75">
                  <c:v>2363.9</c:v>
                </c:pt>
                <c:pt idx="76">
                  <c:v>10.24</c:v>
                </c:pt>
                <c:pt idx="77">
                  <c:v>2858.5599999999995</c:v>
                </c:pt>
                <c:pt idx="78">
                  <c:v>4054.65</c:v>
                </c:pt>
                <c:pt idx="79">
                  <c:v>5154.57</c:v>
                </c:pt>
                <c:pt idx="80">
                  <c:v>2620.3399999999997</c:v>
                </c:pt>
                <c:pt idx="81">
                  <c:v>1215.2199999999998</c:v>
                </c:pt>
                <c:pt idx="82">
                  <c:v>2413.33</c:v>
                </c:pt>
                <c:pt idx="83">
                  <c:v>1850.14</c:v>
                </c:pt>
              </c:numCache>
            </c:numRef>
          </c:yVal>
          <c:smooth val="0"/>
        </c:ser>
        <c:dLbls>
          <c:showLegendKey val="0"/>
          <c:showVal val="0"/>
          <c:showCatName val="0"/>
          <c:showSerName val="0"/>
          <c:showPercent val="0"/>
          <c:showBubbleSize val="0"/>
        </c:dLbls>
        <c:axId val="145291136"/>
        <c:axId val="145292672"/>
      </c:scatterChart>
      <c:valAx>
        <c:axId val="145291136"/>
        <c:scaling>
          <c:orientation val="minMax"/>
        </c:scaling>
        <c:delete val="0"/>
        <c:axPos val="b"/>
        <c:numFmt formatCode="mmm\-yy" sourceLinked="1"/>
        <c:majorTickMark val="out"/>
        <c:minorTickMark val="none"/>
        <c:tickLblPos val="nextTo"/>
        <c:crossAx val="145292672"/>
        <c:crosses val="autoZero"/>
        <c:crossBetween val="midCat"/>
        <c:majorUnit val="450"/>
        <c:minorUnit val="50"/>
      </c:valAx>
      <c:valAx>
        <c:axId val="145292672"/>
        <c:scaling>
          <c:orientation val="minMax"/>
          <c:max val="11000"/>
          <c:min val="-1000"/>
        </c:scaling>
        <c:delete val="0"/>
        <c:axPos val="l"/>
        <c:majorGridlines/>
        <c:numFmt formatCode="###,###,###.00" sourceLinked="1"/>
        <c:majorTickMark val="out"/>
        <c:minorTickMark val="none"/>
        <c:tickLblPos val="nextTo"/>
        <c:crossAx val="145291136"/>
        <c:crosses val="autoZero"/>
        <c:crossBetween val="midCat"/>
        <c:majorUnit val="1000"/>
      </c:valAx>
    </c:plotArea>
    <c:legend>
      <c:legendPos val="r"/>
      <c:layout>
        <c:manualLayout>
          <c:xMode val="edge"/>
          <c:yMode val="edge"/>
          <c:x val="0.86015896949051585"/>
          <c:y val="0.5546167760446431"/>
          <c:w val="0.12659600528657322"/>
          <c:h val="0.31101598443381645"/>
        </c:manualLayout>
      </c:layout>
      <c:overlay val="0"/>
    </c:legend>
    <c:plotVisOnly val="1"/>
    <c:dispBlanksAs val="gap"/>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Total uso de poliéster crudo en telares Nilotex Scc.</a:t>
            </a:r>
          </a:p>
        </c:rich>
      </c:tx>
      <c:layout/>
      <c:overlay val="0"/>
    </c:title>
    <c:autoTitleDeleted val="0"/>
    <c:plotArea>
      <c:layout>
        <c:manualLayout>
          <c:layoutTarget val="inner"/>
          <c:xMode val="edge"/>
          <c:yMode val="edge"/>
          <c:x val="9.1620159378403593E-2"/>
          <c:y val="0.15101858451145642"/>
          <c:w val="0.75072560871812777"/>
          <c:h val="0.82707914963750562"/>
        </c:manualLayout>
      </c:layout>
      <c:scatterChart>
        <c:scatterStyle val="smoothMarker"/>
        <c:varyColors val="0"/>
        <c:ser>
          <c:idx val="0"/>
          <c:order val="0"/>
          <c:tx>
            <c:strRef>
              <c:f>'DEPURACIÓN DE DATOS'!$U$3</c:f>
              <c:strCache>
                <c:ptCount val="1"/>
                <c:pt idx="0">
                  <c:v>Total uso de poliéster en telares Nilotex Scc.</c:v>
                </c:pt>
              </c:strCache>
            </c:strRef>
          </c:tx>
          <c:trendline>
            <c:spPr>
              <a:ln w="31750">
                <a:solidFill>
                  <a:srgbClr val="FF0000"/>
                </a:solidFill>
              </a:ln>
            </c:spPr>
            <c:trendlineType val="linear"/>
            <c:dispRSqr val="1"/>
            <c:dispEq val="1"/>
            <c:trendlineLbl>
              <c:layout>
                <c:manualLayout>
                  <c:x val="0.22740896474260663"/>
                  <c:y val="6.4858424580999274E-2"/>
                </c:manualLayout>
              </c:layout>
              <c:numFmt formatCode="General" sourceLinked="0"/>
            </c:trendlineLbl>
          </c:trendline>
          <c:xVal>
            <c:numRef>
              <c:f>'DEPURACIÓN DE DATOS'!$B$4:$B$81</c:f>
              <c:numCache>
                <c:formatCode>mmm\-yy</c:formatCode>
                <c:ptCount val="78"/>
                <c:pt idx="0">
                  <c:v>40179</c:v>
                </c:pt>
                <c:pt idx="1">
                  <c:v>40210</c:v>
                </c:pt>
                <c:pt idx="2">
                  <c:v>40238</c:v>
                </c:pt>
                <c:pt idx="3">
                  <c:v>40269</c:v>
                </c:pt>
                <c:pt idx="4">
                  <c:v>40299</c:v>
                </c:pt>
                <c:pt idx="5">
                  <c:v>40330</c:v>
                </c:pt>
                <c:pt idx="6">
                  <c:v>40360</c:v>
                </c:pt>
                <c:pt idx="7">
                  <c:v>40391</c:v>
                </c:pt>
                <c:pt idx="8">
                  <c:v>40422</c:v>
                </c:pt>
                <c:pt idx="9">
                  <c:v>40452</c:v>
                </c:pt>
                <c:pt idx="10">
                  <c:v>40483</c:v>
                </c:pt>
                <c:pt idx="11">
                  <c:v>40513</c:v>
                </c:pt>
                <c:pt idx="12">
                  <c:v>40544</c:v>
                </c:pt>
                <c:pt idx="13">
                  <c:v>40575</c:v>
                </c:pt>
                <c:pt idx="14">
                  <c:v>40603</c:v>
                </c:pt>
                <c:pt idx="15">
                  <c:v>40634</c:v>
                </c:pt>
                <c:pt idx="16">
                  <c:v>40664</c:v>
                </c:pt>
                <c:pt idx="17">
                  <c:v>40695</c:v>
                </c:pt>
                <c:pt idx="18">
                  <c:v>40725</c:v>
                </c:pt>
                <c:pt idx="19">
                  <c:v>40756</c:v>
                </c:pt>
                <c:pt idx="20">
                  <c:v>40787</c:v>
                </c:pt>
                <c:pt idx="21">
                  <c:v>40817</c:v>
                </c:pt>
                <c:pt idx="22">
                  <c:v>40848</c:v>
                </c:pt>
                <c:pt idx="23">
                  <c:v>40878</c:v>
                </c:pt>
                <c:pt idx="24">
                  <c:v>40909</c:v>
                </c:pt>
                <c:pt idx="25">
                  <c:v>40940</c:v>
                </c:pt>
                <c:pt idx="26">
                  <c:v>40969</c:v>
                </c:pt>
                <c:pt idx="27">
                  <c:v>41000</c:v>
                </c:pt>
                <c:pt idx="28">
                  <c:v>41030</c:v>
                </c:pt>
                <c:pt idx="29">
                  <c:v>41061</c:v>
                </c:pt>
                <c:pt idx="30">
                  <c:v>41091</c:v>
                </c:pt>
                <c:pt idx="31">
                  <c:v>41122</c:v>
                </c:pt>
                <c:pt idx="32">
                  <c:v>41153</c:v>
                </c:pt>
                <c:pt idx="33">
                  <c:v>41183</c:v>
                </c:pt>
                <c:pt idx="34">
                  <c:v>41214</c:v>
                </c:pt>
                <c:pt idx="35">
                  <c:v>41244</c:v>
                </c:pt>
                <c:pt idx="36">
                  <c:v>41275</c:v>
                </c:pt>
                <c:pt idx="37">
                  <c:v>41306</c:v>
                </c:pt>
                <c:pt idx="38">
                  <c:v>41334</c:v>
                </c:pt>
                <c:pt idx="39">
                  <c:v>41365</c:v>
                </c:pt>
                <c:pt idx="40">
                  <c:v>41395</c:v>
                </c:pt>
                <c:pt idx="41">
                  <c:v>41426</c:v>
                </c:pt>
                <c:pt idx="42">
                  <c:v>41456</c:v>
                </c:pt>
                <c:pt idx="43">
                  <c:v>41487</c:v>
                </c:pt>
                <c:pt idx="44">
                  <c:v>41518</c:v>
                </c:pt>
                <c:pt idx="45">
                  <c:v>41548</c:v>
                </c:pt>
                <c:pt idx="46">
                  <c:v>41579</c:v>
                </c:pt>
                <c:pt idx="47">
                  <c:v>41609</c:v>
                </c:pt>
                <c:pt idx="48">
                  <c:v>41640</c:v>
                </c:pt>
                <c:pt idx="49">
                  <c:v>41671</c:v>
                </c:pt>
                <c:pt idx="50">
                  <c:v>41699</c:v>
                </c:pt>
                <c:pt idx="51">
                  <c:v>41730</c:v>
                </c:pt>
                <c:pt idx="52">
                  <c:v>41760</c:v>
                </c:pt>
                <c:pt idx="53">
                  <c:v>41791</c:v>
                </c:pt>
                <c:pt idx="54">
                  <c:v>41821</c:v>
                </c:pt>
                <c:pt idx="55">
                  <c:v>41852</c:v>
                </c:pt>
                <c:pt idx="56">
                  <c:v>41883</c:v>
                </c:pt>
                <c:pt idx="57">
                  <c:v>41913</c:v>
                </c:pt>
                <c:pt idx="58">
                  <c:v>41944</c:v>
                </c:pt>
                <c:pt idx="59">
                  <c:v>41974</c:v>
                </c:pt>
                <c:pt idx="60">
                  <c:v>42005</c:v>
                </c:pt>
                <c:pt idx="61">
                  <c:v>42036</c:v>
                </c:pt>
                <c:pt idx="62">
                  <c:v>42064</c:v>
                </c:pt>
                <c:pt idx="63">
                  <c:v>42095</c:v>
                </c:pt>
                <c:pt idx="64">
                  <c:v>42125</c:v>
                </c:pt>
                <c:pt idx="65">
                  <c:v>42156</c:v>
                </c:pt>
                <c:pt idx="66">
                  <c:v>42186</c:v>
                </c:pt>
                <c:pt idx="67">
                  <c:v>42217</c:v>
                </c:pt>
                <c:pt idx="68">
                  <c:v>42248</c:v>
                </c:pt>
                <c:pt idx="69">
                  <c:v>42278</c:v>
                </c:pt>
                <c:pt idx="70">
                  <c:v>42309</c:v>
                </c:pt>
                <c:pt idx="71">
                  <c:v>42339</c:v>
                </c:pt>
                <c:pt idx="72">
                  <c:v>42370</c:v>
                </c:pt>
                <c:pt idx="73">
                  <c:v>42401</c:v>
                </c:pt>
                <c:pt idx="74">
                  <c:v>42430</c:v>
                </c:pt>
                <c:pt idx="75">
                  <c:v>42461</c:v>
                </c:pt>
                <c:pt idx="76">
                  <c:v>42491</c:v>
                </c:pt>
                <c:pt idx="77">
                  <c:v>42522</c:v>
                </c:pt>
              </c:numCache>
            </c:numRef>
          </c:xVal>
          <c:yVal>
            <c:numRef>
              <c:f>'DEPURACIÓN DE DATOS'!$R$4:$R$81</c:f>
              <c:numCache>
                <c:formatCode>_(* #,##0.00_);_(* \(#,##0.00\);_(* "-"??_);_(@_)</c:formatCode>
                <c:ptCount val="78"/>
                <c:pt idx="0">
                  <c:v>157.10500000000002</c:v>
                </c:pt>
                <c:pt idx="1">
                  <c:v>359.66399999999999</c:v>
                </c:pt>
                <c:pt idx="2">
                  <c:v>421.10200000000009</c:v>
                </c:pt>
                <c:pt idx="3">
                  <c:v>511.53199999999998</c:v>
                </c:pt>
                <c:pt idx="4">
                  <c:v>179.971</c:v>
                </c:pt>
                <c:pt idx="5">
                  <c:v>244.56</c:v>
                </c:pt>
                <c:pt idx="6">
                  <c:v>118.06</c:v>
                </c:pt>
                <c:pt idx="7">
                  <c:v>341.67500000000001</c:v>
                </c:pt>
                <c:pt idx="8">
                  <c:v>330.19000000000005</c:v>
                </c:pt>
                <c:pt idx="9">
                  <c:v>395.47</c:v>
                </c:pt>
                <c:pt idx="10">
                  <c:v>306.76900000000001</c:v>
                </c:pt>
                <c:pt idx="11">
                  <c:v>449.84</c:v>
                </c:pt>
                <c:pt idx="12">
                  <c:v>148.80000000000001</c:v>
                </c:pt>
                <c:pt idx="13">
                  <c:v>205.28899999999999</c:v>
                </c:pt>
                <c:pt idx="14">
                  <c:v>235.11</c:v>
                </c:pt>
                <c:pt idx="15">
                  <c:v>280</c:v>
                </c:pt>
                <c:pt idx="16">
                  <c:v>458.5</c:v>
                </c:pt>
                <c:pt idx="17">
                  <c:v>241.5</c:v>
                </c:pt>
                <c:pt idx="18">
                  <c:v>344.54</c:v>
                </c:pt>
                <c:pt idx="19">
                  <c:v>241.2</c:v>
                </c:pt>
                <c:pt idx="20">
                  <c:v>202.30500000000001</c:v>
                </c:pt>
                <c:pt idx="21">
                  <c:v>373.66</c:v>
                </c:pt>
                <c:pt idx="22">
                  <c:v>339.471</c:v>
                </c:pt>
                <c:pt idx="23">
                  <c:v>307.53000000000003</c:v>
                </c:pt>
                <c:pt idx="24">
                  <c:v>266.15700000000004</c:v>
                </c:pt>
                <c:pt idx="25">
                  <c:v>394.30500000000006</c:v>
                </c:pt>
                <c:pt idx="26">
                  <c:v>436.32</c:v>
                </c:pt>
                <c:pt idx="27">
                  <c:v>423.24</c:v>
                </c:pt>
                <c:pt idx="28">
                  <c:v>479.63100000000009</c:v>
                </c:pt>
                <c:pt idx="29">
                  <c:v>267.50900000000001</c:v>
                </c:pt>
                <c:pt idx="30">
                  <c:v>366.09500000000003</c:v>
                </c:pt>
                <c:pt idx="31">
                  <c:v>511.70100000000002</c:v>
                </c:pt>
                <c:pt idx="32">
                  <c:v>253.92</c:v>
                </c:pt>
                <c:pt idx="33">
                  <c:v>180.91799999999998</c:v>
                </c:pt>
                <c:pt idx="34">
                  <c:v>233.20700000000002</c:v>
                </c:pt>
                <c:pt idx="35">
                  <c:v>160.95000000000002</c:v>
                </c:pt>
                <c:pt idx="36">
                  <c:v>403.52</c:v>
                </c:pt>
                <c:pt idx="37">
                  <c:v>339.61799999999999</c:v>
                </c:pt>
                <c:pt idx="38">
                  <c:v>303.87700000000001</c:v>
                </c:pt>
                <c:pt idx="39">
                  <c:v>447.70000000000005</c:v>
                </c:pt>
                <c:pt idx="40">
                  <c:v>797.25600000000009</c:v>
                </c:pt>
                <c:pt idx="41">
                  <c:v>451.5</c:v>
                </c:pt>
                <c:pt idx="42">
                  <c:v>458.13800000000003</c:v>
                </c:pt>
                <c:pt idx="43">
                  <c:v>381.53200000000004</c:v>
                </c:pt>
                <c:pt idx="44">
                  <c:v>354.13400000000001</c:v>
                </c:pt>
                <c:pt idx="45">
                  <c:v>755.95</c:v>
                </c:pt>
                <c:pt idx="46">
                  <c:v>514.01200000000006</c:v>
                </c:pt>
                <c:pt idx="47">
                  <c:v>463.86</c:v>
                </c:pt>
                <c:pt idx="48">
                  <c:v>0</c:v>
                </c:pt>
                <c:pt idx="49">
                  <c:v>200.28900000000002</c:v>
                </c:pt>
                <c:pt idx="50">
                  <c:v>0</c:v>
                </c:pt>
                <c:pt idx="51">
                  <c:v>0</c:v>
                </c:pt>
                <c:pt idx="52">
                  <c:v>0</c:v>
                </c:pt>
                <c:pt idx="53">
                  <c:v>0</c:v>
                </c:pt>
                <c:pt idx="54">
                  <c:v>0</c:v>
                </c:pt>
                <c:pt idx="55">
                  <c:v>0</c:v>
                </c:pt>
                <c:pt idx="56">
                  <c:v>0</c:v>
                </c:pt>
                <c:pt idx="57">
                  <c:v>0</c:v>
                </c:pt>
                <c:pt idx="58">
                  <c:v>0</c:v>
                </c:pt>
                <c:pt idx="59">
                  <c:v>0</c:v>
                </c:pt>
                <c:pt idx="60">
                  <c:v>208.14499999999998</c:v>
                </c:pt>
                <c:pt idx="61">
                  <c:v>279.173</c:v>
                </c:pt>
                <c:pt idx="62">
                  <c:v>539.22299999999996</c:v>
                </c:pt>
                <c:pt idx="63">
                  <c:v>455.79500000000002</c:v>
                </c:pt>
                <c:pt idx="64">
                  <c:v>429.99700000000007</c:v>
                </c:pt>
                <c:pt idx="65">
                  <c:v>407.91100000000006</c:v>
                </c:pt>
                <c:pt idx="66">
                  <c:v>500.93000000000006</c:v>
                </c:pt>
                <c:pt idx="67">
                  <c:v>557.09</c:v>
                </c:pt>
                <c:pt idx="68">
                  <c:v>515.77</c:v>
                </c:pt>
                <c:pt idx="69">
                  <c:v>817.18000000000006</c:v>
                </c:pt>
                <c:pt idx="70">
                  <c:v>6.71</c:v>
                </c:pt>
                <c:pt idx="71">
                  <c:v>0</c:v>
                </c:pt>
                <c:pt idx="72">
                  <c:v>224</c:v>
                </c:pt>
                <c:pt idx="73">
                  <c:v>0</c:v>
                </c:pt>
                <c:pt idx="74">
                  <c:v>243.32</c:v>
                </c:pt>
                <c:pt idx="75">
                  <c:v>235.48000000000002</c:v>
                </c:pt>
                <c:pt idx="76">
                  <c:v>0</c:v>
                </c:pt>
                <c:pt idx="77">
                  <c:v>279.86</c:v>
                </c:pt>
              </c:numCache>
            </c:numRef>
          </c:yVal>
          <c:smooth val="1"/>
        </c:ser>
        <c:dLbls>
          <c:showLegendKey val="0"/>
          <c:showVal val="0"/>
          <c:showCatName val="0"/>
          <c:showSerName val="0"/>
          <c:showPercent val="0"/>
          <c:showBubbleSize val="0"/>
        </c:dLbls>
        <c:axId val="144990592"/>
        <c:axId val="144992128"/>
      </c:scatterChart>
      <c:valAx>
        <c:axId val="144990592"/>
        <c:scaling>
          <c:orientation val="minMax"/>
        </c:scaling>
        <c:delete val="0"/>
        <c:axPos val="b"/>
        <c:numFmt formatCode="mmm\-yy" sourceLinked="1"/>
        <c:majorTickMark val="out"/>
        <c:minorTickMark val="none"/>
        <c:tickLblPos val="nextTo"/>
        <c:crossAx val="144992128"/>
        <c:crosses val="autoZero"/>
        <c:crossBetween val="midCat"/>
        <c:majorUnit val="250"/>
        <c:minorUnit val="50"/>
      </c:valAx>
      <c:valAx>
        <c:axId val="144992128"/>
        <c:scaling>
          <c:orientation val="minMax"/>
          <c:max val="850"/>
          <c:min val="-50"/>
        </c:scaling>
        <c:delete val="0"/>
        <c:axPos val="l"/>
        <c:majorGridlines/>
        <c:numFmt formatCode="_(* #,##0.00_);_(* \(#,##0.00\);_(* &quot;-&quot;??_);_(@_)" sourceLinked="1"/>
        <c:majorTickMark val="out"/>
        <c:minorTickMark val="none"/>
        <c:tickLblPos val="nextTo"/>
        <c:crossAx val="144990592"/>
        <c:crosses val="autoZero"/>
        <c:crossBetween val="midCat"/>
        <c:majorUnit val="100"/>
      </c:valAx>
    </c:plotArea>
    <c:legend>
      <c:legendPos val="r"/>
      <c:layout>
        <c:manualLayout>
          <c:xMode val="edge"/>
          <c:yMode val="edge"/>
          <c:x val="0.86687850991888316"/>
          <c:y val="0.19294239598387808"/>
          <c:w val="0.13312149008111684"/>
          <c:h val="0.45700003786874693"/>
        </c:manualLayout>
      </c:layout>
      <c:overlay val="0"/>
    </c:legend>
    <c:plotVisOnly val="1"/>
    <c:dispBlanksAs val="gap"/>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ES"/>
              <a:t>Total Hilo Poliéster</a:t>
            </a:r>
          </a:p>
        </c:rich>
      </c:tx>
      <c:layout>
        <c:manualLayout>
          <c:xMode val="edge"/>
          <c:yMode val="edge"/>
          <c:x val="0.31782633420822398"/>
          <c:y val="1.8518518518518517E-2"/>
        </c:manualLayout>
      </c:layout>
      <c:overlay val="1"/>
    </c:title>
    <c:autoTitleDeleted val="0"/>
    <c:plotArea>
      <c:layout/>
      <c:scatterChart>
        <c:scatterStyle val="smoothMarker"/>
        <c:varyColors val="0"/>
        <c:ser>
          <c:idx val="0"/>
          <c:order val="0"/>
          <c:tx>
            <c:v>2016</c:v>
          </c:tx>
          <c:xVal>
            <c:strRef>
              <c:f>'DEPURACIÓN DE DATOS'!$B$97:$B$108</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xVal>
          <c:yVal>
            <c:numRef>
              <c:f>'DEPURACIÓN DE DATOS'!$F$76:$F$87</c:f>
              <c:numCache>
                <c:formatCode>###,###,###.00</c:formatCode>
                <c:ptCount val="12"/>
                <c:pt idx="0">
                  <c:v>2268.9300000000003</c:v>
                </c:pt>
                <c:pt idx="1">
                  <c:v>1.2</c:v>
                </c:pt>
                <c:pt idx="2">
                  <c:v>2498.0399999999995</c:v>
                </c:pt>
                <c:pt idx="3">
                  <c:v>2363.9</c:v>
                </c:pt>
                <c:pt idx="4">
                  <c:v>10.24</c:v>
                </c:pt>
                <c:pt idx="5">
                  <c:v>2858.5599999999995</c:v>
                </c:pt>
                <c:pt idx="6">
                  <c:v>4054.65</c:v>
                </c:pt>
                <c:pt idx="7">
                  <c:v>5154.57</c:v>
                </c:pt>
                <c:pt idx="8">
                  <c:v>2620.3399999999997</c:v>
                </c:pt>
                <c:pt idx="9">
                  <c:v>1215.2199999999998</c:v>
                </c:pt>
                <c:pt idx="10">
                  <c:v>2413.33</c:v>
                </c:pt>
                <c:pt idx="11">
                  <c:v>1850.14</c:v>
                </c:pt>
              </c:numCache>
            </c:numRef>
          </c:yVal>
          <c:smooth val="1"/>
        </c:ser>
        <c:ser>
          <c:idx val="1"/>
          <c:order val="1"/>
          <c:tx>
            <c:v>2015</c:v>
          </c:tx>
          <c:xVal>
            <c:strRef>
              <c:f>'DEPURACIÓN DE DATOS'!$B$97:$B$108</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xVal>
          <c:yVal>
            <c:numRef>
              <c:f>'DEPURACIÓN DE DATOS'!$F$64:$F$75</c:f>
              <c:numCache>
                <c:formatCode>###,###,###.00</c:formatCode>
                <c:ptCount val="12"/>
                <c:pt idx="0">
                  <c:v>2154.75</c:v>
                </c:pt>
                <c:pt idx="1">
                  <c:v>2839.69</c:v>
                </c:pt>
                <c:pt idx="2">
                  <c:v>5533.2</c:v>
                </c:pt>
                <c:pt idx="3">
                  <c:v>4565.3099999999995</c:v>
                </c:pt>
                <c:pt idx="4">
                  <c:v>4319.59</c:v>
                </c:pt>
                <c:pt idx="5">
                  <c:v>4098.3100000000004</c:v>
                </c:pt>
                <c:pt idx="6">
                  <c:v>10087.220000000001</c:v>
                </c:pt>
                <c:pt idx="7">
                  <c:v>5579.2999999999993</c:v>
                </c:pt>
                <c:pt idx="8">
                  <c:v>5300.54</c:v>
                </c:pt>
                <c:pt idx="9">
                  <c:v>8213.2800000000007</c:v>
                </c:pt>
                <c:pt idx="10">
                  <c:v>72.16</c:v>
                </c:pt>
                <c:pt idx="11">
                  <c:v>0</c:v>
                </c:pt>
              </c:numCache>
            </c:numRef>
          </c:yVal>
          <c:smooth val="1"/>
        </c:ser>
        <c:ser>
          <c:idx val="2"/>
          <c:order val="2"/>
          <c:tx>
            <c:v>2014</c:v>
          </c:tx>
          <c:xVal>
            <c:strRef>
              <c:f>'DEPURACIÓN DE DATOS'!$B$97:$B$108</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xVal>
          <c:yVal>
            <c:numRef>
              <c:f>'DEPURACIÓN DE DATOS'!$F$52:$F$63</c:f>
              <c:numCache>
                <c:formatCode>###,###,###.00</c:formatCode>
                <c:ptCount val="12"/>
                <c:pt idx="0">
                  <c:v>1636.41</c:v>
                </c:pt>
                <c:pt idx="1">
                  <c:v>2036.95</c:v>
                </c:pt>
                <c:pt idx="2">
                  <c:v>2695.63</c:v>
                </c:pt>
                <c:pt idx="3">
                  <c:v>458.88</c:v>
                </c:pt>
                <c:pt idx="4">
                  <c:v>4021.94</c:v>
                </c:pt>
                <c:pt idx="5">
                  <c:v>2429.2600000000002</c:v>
                </c:pt>
                <c:pt idx="6">
                  <c:v>1328.08</c:v>
                </c:pt>
                <c:pt idx="7">
                  <c:v>3370.57</c:v>
                </c:pt>
                <c:pt idx="8">
                  <c:v>3397.5</c:v>
                </c:pt>
                <c:pt idx="9">
                  <c:v>4104.18</c:v>
                </c:pt>
                <c:pt idx="10">
                  <c:v>3023.57</c:v>
                </c:pt>
                <c:pt idx="11">
                  <c:v>4501.3599999999997</c:v>
                </c:pt>
              </c:numCache>
            </c:numRef>
          </c:yVal>
          <c:smooth val="1"/>
        </c:ser>
        <c:ser>
          <c:idx val="3"/>
          <c:order val="3"/>
          <c:tx>
            <c:v>2013</c:v>
          </c:tx>
          <c:xVal>
            <c:strRef>
              <c:f>'DEPURACIÓN DE DATOS'!$B$97:$B$108</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xVal>
          <c:yVal>
            <c:numRef>
              <c:f>'DEPURACIÓN DE DATOS'!$F$40:$F$51</c:f>
              <c:numCache>
                <c:formatCode>###,###,###.00</c:formatCode>
                <c:ptCount val="12"/>
                <c:pt idx="0">
                  <c:v>4118.83</c:v>
                </c:pt>
                <c:pt idx="1">
                  <c:v>3461.08</c:v>
                </c:pt>
                <c:pt idx="2">
                  <c:v>3146.46</c:v>
                </c:pt>
                <c:pt idx="3">
                  <c:v>4515.6900000000005</c:v>
                </c:pt>
                <c:pt idx="4">
                  <c:v>8127.3300000000008</c:v>
                </c:pt>
                <c:pt idx="5">
                  <c:v>4526.29</c:v>
                </c:pt>
                <c:pt idx="6">
                  <c:v>4605.8700000000008</c:v>
                </c:pt>
                <c:pt idx="7">
                  <c:v>3970.92</c:v>
                </c:pt>
                <c:pt idx="8">
                  <c:v>3780.4700000000003</c:v>
                </c:pt>
                <c:pt idx="9">
                  <c:v>7612.81</c:v>
                </c:pt>
                <c:pt idx="10">
                  <c:v>5165.18</c:v>
                </c:pt>
                <c:pt idx="11">
                  <c:v>943.64</c:v>
                </c:pt>
              </c:numCache>
            </c:numRef>
          </c:yVal>
          <c:smooth val="1"/>
        </c:ser>
        <c:dLbls>
          <c:showLegendKey val="0"/>
          <c:showVal val="0"/>
          <c:showCatName val="0"/>
          <c:showSerName val="0"/>
          <c:showPercent val="0"/>
          <c:showBubbleSize val="0"/>
        </c:dLbls>
        <c:axId val="145555840"/>
        <c:axId val="145557760"/>
      </c:scatterChart>
      <c:valAx>
        <c:axId val="145555840"/>
        <c:scaling>
          <c:orientation val="minMax"/>
          <c:max val="12"/>
        </c:scaling>
        <c:delete val="0"/>
        <c:axPos val="b"/>
        <c:title>
          <c:tx>
            <c:rich>
              <a:bodyPr/>
              <a:lstStyle/>
              <a:p>
                <a:pPr>
                  <a:defRPr/>
                </a:pPr>
                <a:r>
                  <a:rPr lang="es-ES"/>
                  <a:t>Meses</a:t>
                </a:r>
                <a:r>
                  <a:rPr lang="es-ES" baseline="0"/>
                  <a:t> </a:t>
                </a:r>
                <a:endParaRPr lang="es-ES"/>
              </a:p>
            </c:rich>
          </c:tx>
          <c:layout/>
          <c:overlay val="0"/>
        </c:title>
        <c:majorTickMark val="out"/>
        <c:minorTickMark val="none"/>
        <c:tickLblPos val="nextTo"/>
        <c:crossAx val="145557760"/>
        <c:crosses val="autoZero"/>
        <c:crossBetween val="midCat"/>
        <c:majorUnit val="1"/>
      </c:valAx>
      <c:valAx>
        <c:axId val="145557760"/>
        <c:scaling>
          <c:orientation val="minMax"/>
        </c:scaling>
        <c:delete val="0"/>
        <c:axPos val="l"/>
        <c:majorGridlines/>
        <c:title>
          <c:tx>
            <c:rich>
              <a:bodyPr rot="0" vert="wordArtVert"/>
              <a:lstStyle/>
              <a:p>
                <a:pPr>
                  <a:defRPr/>
                </a:pPr>
                <a:r>
                  <a:rPr lang="es-ES"/>
                  <a:t>Kilos </a:t>
                </a:r>
              </a:p>
            </c:rich>
          </c:tx>
          <c:layout/>
          <c:overlay val="0"/>
        </c:title>
        <c:numFmt formatCode="###,###,###.00" sourceLinked="1"/>
        <c:majorTickMark val="out"/>
        <c:minorTickMark val="none"/>
        <c:tickLblPos val="nextTo"/>
        <c:crossAx val="145555840"/>
        <c:crosses val="autoZero"/>
        <c:crossBetween val="midCat"/>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manualLayout>
          <c:layoutTarget val="inner"/>
          <c:xMode val="edge"/>
          <c:yMode val="edge"/>
          <c:x val="0.1563497375328084"/>
          <c:y val="0.19480351414406533"/>
          <c:w val="0.57937248468941382"/>
          <c:h val="0.67995734908136485"/>
        </c:manualLayout>
      </c:layout>
      <c:scatterChart>
        <c:scatterStyle val="smoothMarker"/>
        <c:varyColors val="0"/>
        <c:ser>
          <c:idx val="0"/>
          <c:order val="0"/>
          <c:tx>
            <c:strRef>
              <c:f>'POLIESTER ANUAL'!$B$5</c:f>
              <c:strCache>
                <c:ptCount val="1"/>
                <c:pt idx="0">
                  <c:v>Total Anual Hilo Poliéster </c:v>
                </c:pt>
              </c:strCache>
            </c:strRef>
          </c:tx>
          <c:trendline>
            <c:spPr>
              <a:ln w="19050">
                <a:solidFill>
                  <a:srgbClr val="FF0000"/>
                </a:solidFill>
              </a:ln>
            </c:spPr>
            <c:trendlineType val="linear"/>
            <c:dispRSqr val="1"/>
            <c:dispEq val="1"/>
            <c:trendlineLbl>
              <c:layout>
                <c:manualLayout>
                  <c:x val="0.44587992125984249"/>
                  <c:y val="-0.26399934383202101"/>
                </c:manualLayout>
              </c:layout>
              <c:numFmt formatCode="General" sourceLinked="0"/>
            </c:trendlineLbl>
          </c:trendline>
          <c:xVal>
            <c:numRef>
              <c:f>'POLIESTER ANUAL'!$C$4:$I$4</c:f>
              <c:numCache>
                <c:formatCode>General</c:formatCode>
                <c:ptCount val="7"/>
                <c:pt idx="0">
                  <c:v>2010</c:v>
                </c:pt>
                <c:pt idx="1">
                  <c:v>2011</c:v>
                </c:pt>
                <c:pt idx="2">
                  <c:v>2012</c:v>
                </c:pt>
                <c:pt idx="3">
                  <c:v>2013</c:v>
                </c:pt>
                <c:pt idx="4">
                  <c:v>2014</c:v>
                </c:pt>
                <c:pt idx="5">
                  <c:v>2015</c:v>
                </c:pt>
                <c:pt idx="6">
                  <c:v>2016</c:v>
                </c:pt>
              </c:numCache>
            </c:numRef>
          </c:xVal>
          <c:yVal>
            <c:numRef>
              <c:f>'POLIESTER ANUAL'!$C$5:$I$5</c:f>
              <c:numCache>
                <c:formatCode>###,###,###.00</c:formatCode>
                <c:ptCount val="7"/>
                <c:pt idx="0">
                  <c:v>43040.020000000004</c:v>
                </c:pt>
                <c:pt idx="1">
                  <c:v>26497.46</c:v>
                </c:pt>
                <c:pt idx="2">
                  <c:v>41943.81</c:v>
                </c:pt>
                <c:pt idx="3">
                  <c:v>53974.57</c:v>
                </c:pt>
                <c:pt idx="4">
                  <c:v>33004.33</c:v>
                </c:pt>
                <c:pt idx="5">
                  <c:v>52763.350000000013</c:v>
                </c:pt>
                <c:pt idx="6">
                  <c:v>27309.119999999995</c:v>
                </c:pt>
              </c:numCache>
            </c:numRef>
          </c:yVal>
          <c:smooth val="1"/>
        </c:ser>
        <c:dLbls>
          <c:showLegendKey val="0"/>
          <c:showVal val="0"/>
          <c:showCatName val="0"/>
          <c:showSerName val="0"/>
          <c:showPercent val="0"/>
          <c:showBubbleSize val="0"/>
        </c:dLbls>
        <c:axId val="145645568"/>
        <c:axId val="145647104"/>
      </c:scatterChart>
      <c:valAx>
        <c:axId val="145645568"/>
        <c:scaling>
          <c:orientation val="minMax"/>
          <c:max val="2017"/>
          <c:min val="2009"/>
        </c:scaling>
        <c:delete val="0"/>
        <c:axPos val="b"/>
        <c:numFmt formatCode="General" sourceLinked="1"/>
        <c:majorTickMark val="out"/>
        <c:minorTickMark val="none"/>
        <c:tickLblPos val="nextTo"/>
        <c:crossAx val="145647104"/>
        <c:crosses val="autoZero"/>
        <c:crossBetween val="midCat"/>
        <c:majorUnit val="1"/>
      </c:valAx>
      <c:valAx>
        <c:axId val="145647104"/>
        <c:scaling>
          <c:orientation val="minMax"/>
          <c:min val="20000"/>
        </c:scaling>
        <c:delete val="0"/>
        <c:axPos val="l"/>
        <c:majorGridlines/>
        <c:numFmt formatCode="###,###,###.00" sourceLinked="1"/>
        <c:majorTickMark val="out"/>
        <c:minorTickMark val="none"/>
        <c:tickLblPos val="nextTo"/>
        <c:crossAx val="145645568"/>
        <c:crosses val="autoZero"/>
        <c:crossBetween val="midCat"/>
      </c:valAx>
    </c:plotArea>
    <c:legend>
      <c:legendPos val="r"/>
      <c:layout>
        <c:manualLayout>
          <c:xMode val="edge"/>
          <c:yMode val="edge"/>
          <c:x val="0.78333333333333333"/>
          <c:y val="0.43204469233012538"/>
          <c:w val="0.2"/>
          <c:h val="0.51079469233012542"/>
        </c:manualLayout>
      </c:layout>
      <c:overlay val="0"/>
    </c:legend>
    <c:plotVisOnly val="1"/>
    <c:dispBlanksAs val="gap"/>
    <c:showDLblsOverMax val="0"/>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ES" sz="1400"/>
              <a:t>Hilo Poliéster 300/96 Tex Crudo</a:t>
            </a:r>
          </a:p>
        </c:rich>
      </c:tx>
      <c:layout>
        <c:manualLayout>
          <c:xMode val="edge"/>
          <c:yMode val="edge"/>
          <c:x val="9.4528175236012358E-3"/>
          <c:y val="5.3450792803322725E-2"/>
        </c:manualLayout>
      </c:layout>
      <c:overlay val="0"/>
    </c:title>
    <c:autoTitleDeleted val="0"/>
    <c:plotArea>
      <c:layout/>
      <c:scatterChart>
        <c:scatterStyle val="lineMarker"/>
        <c:varyColors val="0"/>
        <c:ser>
          <c:idx val="0"/>
          <c:order val="0"/>
          <c:spPr>
            <a:ln w="28575">
              <a:noFill/>
            </a:ln>
          </c:spPr>
          <c:trendline>
            <c:spPr>
              <a:ln w="22225">
                <a:solidFill>
                  <a:srgbClr val="FF0000"/>
                </a:solidFill>
              </a:ln>
            </c:spPr>
            <c:trendlineType val="linear"/>
            <c:dispRSqr val="1"/>
            <c:dispEq val="1"/>
            <c:trendlineLbl>
              <c:layout>
                <c:manualLayout>
                  <c:x val="0.14921071010814682"/>
                  <c:y val="-0.52037623586169413"/>
                </c:manualLayout>
              </c:layout>
              <c:numFmt formatCode="General" sourceLinked="0"/>
              <c:txPr>
                <a:bodyPr/>
                <a:lstStyle/>
                <a:p>
                  <a:pPr>
                    <a:defRPr/>
                  </a:pPr>
                  <a:endParaRPr lang="es-ES"/>
                </a:p>
              </c:txPr>
            </c:trendlineLbl>
          </c:trendline>
          <c:xVal>
            <c:numRef>
              <c:f>'PRONÓSTICO CRUDO'!$B$6:$B$89</c:f>
              <c:numCache>
                <c:formatCode>General</c:formatCode>
                <c:ptCount val="84"/>
                <c:pt idx="0">
                  <c:v>2010</c:v>
                </c:pt>
                <c:pt idx="1">
                  <c:v>2010.0833333333333</c:v>
                </c:pt>
                <c:pt idx="2">
                  <c:v>2010.1666666666665</c:v>
                </c:pt>
                <c:pt idx="3">
                  <c:v>2010.2499999999998</c:v>
                </c:pt>
                <c:pt idx="4">
                  <c:v>2010.333333333333</c:v>
                </c:pt>
                <c:pt idx="5">
                  <c:v>2010.4166666666663</c:v>
                </c:pt>
                <c:pt idx="6">
                  <c:v>2010.4999999999995</c:v>
                </c:pt>
                <c:pt idx="7">
                  <c:v>2010.5833333333328</c:v>
                </c:pt>
                <c:pt idx="8">
                  <c:v>2010.6666666666661</c:v>
                </c:pt>
                <c:pt idx="9">
                  <c:v>2010.7499999999993</c:v>
                </c:pt>
                <c:pt idx="10">
                  <c:v>2010.8333333333326</c:v>
                </c:pt>
                <c:pt idx="11">
                  <c:v>2010.9166666666658</c:v>
                </c:pt>
                <c:pt idx="12">
                  <c:v>2010.9999999999991</c:v>
                </c:pt>
                <c:pt idx="13">
                  <c:v>2011.0833333333323</c:v>
                </c:pt>
                <c:pt idx="14">
                  <c:v>2011.1666666666656</c:v>
                </c:pt>
                <c:pt idx="15">
                  <c:v>2011.2499999999989</c:v>
                </c:pt>
                <c:pt idx="16">
                  <c:v>2011.3333333333321</c:v>
                </c:pt>
                <c:pt idx="17">
                  <c:v>2011.4166666666654</c:v>
                </c:pt>
                <c:pt idx="18">
                  <c:v>2011.4999999999986</c:v>
                </c:pt>
                <c:pt idx="19">
                  <c:v>2011.5833333333319</c:v>
                </c:pt>
                <c:pt idx="20">
                  <c:v>2011.6666666666652</c:v>
                </c:pt>
                <c:pt idx="21">
                  <c:v>2011.7499999999984</c:v>
                </c:pt>
                <c:pt idx="22">
                  <c:v>2011.8333333333317</c:v>
                </c:pt>
                <c:pt idx="23">
                  <c:v>2011.9166666666649</c:v>
                </c:pt>
                <c:pt idx="24">
                  <c:v>2011.9999999999982</c:v>
                </c:pt>
                <c:pt idx="25">
                  <c:v>2012.0833333333314</c:v>
                </c:pt>
                <c:pt idx="26">
                  <c:v>2012.1666666666647</c:v>
                </c:pt>
                <c:pt idx="27">
                  <c:v>2012.249999999998</c:v>
                </c:pt>
                <c:pt idx="28">
                  <c:v>2012.3333333333312</c:v>
                </c:pt>
                <c:pt idx="29">
                  <c:v>2012.4166666666645</c:v>
                </c:pt>
                <c:pt idx="30">
                  <c:v>2012.4999999999977</c:v>
                </c:pt>
                <c:pt idx="31">
                  <c:v>2012.583333333331</c:v>
                </c:pt>
                <c:pt idx="32">
                  <c:v>2012.6666666666642</c:v>
                </c:pt>
                <c:pt idx="33">
                  <c:v>2012.7499999999975</c:v>
                </c:pt>
                <c:pt idx="34">
                  <c:v>2012.8333333333308</c:v>
                </c:pt>
                <c:pt idx="35">
                  <c:v>2012.916666666664</c:v>
                </c:pt>
                <c:pt idx="36">
                  <c:v>2012.9999999999973</c:v>
                </c:pt>
                <c:pt idx="37">
                  <c:v>2013.0833333333305</c:v>
                </c:pt>
                <c:pt idx="38">
                  <c:v>2013.1666666666638</c:v>
                </c:pt>
                <c:pt idx="39">
                  <c:v>2013.249999999997</c:v>
                </c:pt>
                <c:pt idx="40">
                  <c:v>2013.3333333333303</c:v>
                </c:pt>
                <c:pt idx="41">
                  <c:v>2013.4166666666636</c:v>
                </c:pt>
                <c:pt idx="42">
                  <c:v>2013.4999999999968</c:v>
                </c:pt>
                <c:pt idx="43">
                  <c:v>2013.5833333333301</c:v>
                </c:pt>
                <c:pt idx="44">
                  <c:v>2013.6666666666633</c:v>
                </c:pt>
                <c:pt idx="45">
                  <c:v>2013.7499999999966</c:v>
                </c:pt>
                <c:pt idx="46">
                  <c:v>2013.8333333333298</c:v>
                </c:pt>
                <c:pt idx="47">
                  <c:v>2013.9166666666631</c:v>
                </c:pt>
                <c:pt idx="48">
                  <c:v>2013.9999999999964</c:v>
                </c:pt>
                <c:pt idx="49">
                  <c:v>2014.0833333333296</c:v>
                </c:pt>
                <c:pt idx="50">
                  <c:v>2014.1666666666629</c:v>
                </c:pt>
                <c:pt idx="51">
                  <c:v>2014.2499999999961</c:v>
                </c:pt>
                <c:pt idx="52">
                  <c:v>2014.3333333333294</c:v>
                </c:pt>
                <c:pt idx="53">
                  <c:v>2014.4166666666626</c:v>
                </c:pt>
                <c:pt idx="54">
                  <c:v>2014.4999999999959</c:v>
                </c:pt>
                <c:pt idx="55">
                  <c:v>2014.5833333333292</c:v>
                </c:pt>
                <c:pt idx="56">
                  <c:v>2014.6666666666624</c:v>
                </c:pt>
                <c:pt idx="57">
                  <c:v>2014.7499999999957</c:v>
                </c:pt>
                <c:pt idx="58">
                  <c:v>2014.8333333333289</c:v>
                </c:pt>
                <c:pt idx="59">
                  <c:v>2014.9166666666622</c:v>
                </c:pt>
                <c:pt idx="60">
                  <c:v>2014.9999999999955</c:v>
                </c:pt>
                <c:pt idx="61">
                  <c:v>2015.0833333333287</c:v>
                </c:pt>
                <c:pt idx="62">
                  <c:v>2015.166666666662</c:v>
                </c:pt>
                <c:pt idx="63">
                  <c:v>2015.2499999999952</c:v>
                </c:pt>
                <c:pt idx="64">
                  <c:v>2015.3333333333285</c:v>
                </c:pt>
                <c:pt idx="65">
                  <c:v>2015.4166666666617</c:v>
                </c:pt>
                <c:pt idx="66">
                  <c:v>2015.499999999995</c:v>
                </c:pt>
                <c:pt idx="67">
                  <c:v>2015.5833333333283</c:v>
                </c:pt>
                <c:pt idx="68">
                  <c:v>2015.6666666666615</c:v>
                </c:pt>
                <c:pt idx="69">
                  <c:v>2015.7499999999948</c:v>
                </c:pt>
                <c:pt idx="70">
                  <c:v>2015.833333333328</c:v>
                </c:pt>
                <c:pt idx="71">
                  <c:v>2015.9166666666613</c:v>
                </c:pt>
                <c:pt idx="72">
                  <c:v>2015.9999999999945</c:v>
                </c:pt>
                <c:pt idx="73">
                  <c:v>2016.0833333333278</c:v>
                </c:pt>
                <c:pt idx="74">
                  <c:v>2016.1666666666611</c:v>
                </c:pt>
                <c:pt idx="75">
                  <c:v>2016.2499999999943</c:v>
                </c:pt>
                <c:pt idx="76">
                  <c:v>2016.3333333333276</c:v>
                </c:pt>
                <c:pt idx="77">
                  <c:v>2016.4166666666608</c:v>
                </c:pt>
                <c:pt idx="78">
                  <c:v>2016.4999999999941</c:v>
                </c:pt>
                <c:pt idx="79">
                  <c:v>2016.5833333333273</c:v>
                </c:pt>
                <c:pt idx="80">
                  <c:v>2016.6666666666606</c:v>
                </c:pt>
                <c:pt idx="81">
                  <c:v>2016.7499999999939</c:v>
                </c:pt>
                <c:pt idx="82">
                  <c:v>2016.8333333333271</c:v>
                </c:pt>
                <c:pt idx="83">
                  <c:v>2016.9166666666604</c:v>
                </c:pt>
              </c:numCache>
            </c:numRef>
          </c:xVal>
          <c:yVal>
            <c:numRef>
              <c:f>'PRONÓSTICO CRUDO'!$C$6:$C$89</c:f>
              <c:numCache>
                <c:formatCode>###,###,###.00</c:formatCode>
                <c:ptCount val="84"/>
                <c:pt idx="0">
                  <c:v>1571.05</c:v>
                </c:pt>
                <c:pt idx="1">
                  <c:v>3596.64</c:v>
                </c:pt>
                <c:pt idx="2">
                  <c:v>4211.0200000000004</c:v>
                </c:pt>
                <c:pt idx="3">
                  <c:v>5115.32</c:v>
                </c:pt>
                <c:pt idx="4">
                  <c:v>1799.71</c:v>
                </c:pt>
                <c:pt idx="5">
                  <c:v>2445.6</c:v>
                </c:pt>
                <c:pt idx="6">
                  <c:v>1180.5999999999999</c:v>
                </c:pt>
                <c:pt idx="7">
                  <c:v>3416.75</c:v>
                </c:pt>
                <c:pt idx="8">
                  <c:v>3301.9</c:v>
                </c:pt>
                <c:pt idx="9">
                  <c:v>3954.7</c:v>
                </c:pt>
                <c:pt idx="10">
                  <c:v>3067.69</c:v>
                </c:pt>
                <c:pt idx="11">
                  <c:v>4498.3999999999996</c:v>
                </c:pt>
                <c:pt idx="12">
                  <c:v>1488</c:v>
                </c:pt>
                <c:pt idx="13">
                  <c:v>2052.89</c:v>
                </c:pt>
                <c:pt idx="14">
                  <c:v>2351.1</c:v>
                </c:pt>
                <c:pt idx="15">
                  <c:v>280</c:v>
                </c:pt>
                <c:pt idx="16">
                  <c:v>4585</c:v>
                </c:pt>
                <c:pt idx="17">
                  <c:v>2415</c:v>
                </c:pt>
                <c:pt idx="18">
                  <c:v>3445.4</c:v>
                </c:pt>
                <c:pt idx="19">
                  <c:v>482.4</c:v>
                </c:pt>
                <c:pt idx="20">
                  <c:v>2023.05</c:v>
                </c:pt>
                <c:pt idx="21">
                  <c:v>934.15</c:v>
                </c:pt>
                <c:pt idx="22">
                  <c:v>1885.95</c:v>
                </c:pt>
                <c:pt idx="23">
                  <c:v>1537.65</c:v>
                </c:pt>
                <c:pt idx="24">
                  <c:v>2661.57</c:v>
                </c:pt>
                <c:pt idx="25">
                  <c:v>3943.05</c:v>
                </c:pt>
                <c:pt idx="26">
                  <c:v>4363.2</c:v>
                </c:pt>
                <c:pt idx="27">
                  <c:v>4232.3999999999996</c:v>
                </c:pt>
                <c:pt idx="28">
                  <c:v>4796.3100000000004</c:v>
                </c:pt>
                <c:pt idx="29">
                  <c:v>2675.09</c:v>
                </c:pt>
                <c:pt idx="30">
                  <c:v>3660.95</c:v>
                </c:pt>
                <c:pt idx="31">
                  <c:v>5117.01</c:v>
                </c:pt>
                <c:pt idx="32">
                  <c:v>2539.1999999999998</c:v>
                </c:pt>
                <c:pt idx="33">
                  <c:v>1206.1199999999999</c:v>
                </c:pt>
                <c:pt idx="34">
                  <c:v>2332.0700000000002</c:v>
                </c:pt>
                <c:pt idx="35">
                  <c:v>1609.5</c:v>
                </c:pt>
                <c:pt idx="36">
                  <c:v>4035.2</c:v>
                </c:pt>
                <c:pt idx="37">
                  <c:v>3396.18</c:v>
                </c:pt>
                <c:pt idx="38">
                  <c:v>3038.77</c:v>
                </c:pt>
                <c:pt idx="39">
                  <c:v>4477</c:v>
                </c:pt>
                <c:pt idx="40">
                  <c:v>7972.56</c:v>
                </c:pt>
                <c:pt idx="41">
                  <c:v>4515</c:v>
                </c:pt>
                <c:pt idx="42">
                  <c:v>4581.38</c:v>
                </c:pt>
                <c:pt idx="43">
                  <c:v>3815.32</c:v>
                </c:pt>
                <c:pt idx="44">
                  <c:v>3541.34</c:v>
                </c:pt>
                <c:pt idx="45">
                  <c:v>7559.5</c:v>
                </c:pt>
                <c:pt idx="46">
                  <c:v>5140.12</c:v>
                </c:pt>
                <c:pt idx="47">
                  <c:v>927.72</c:v>
                </c:pt>
                <c:pt idx="48">
                  <c:v>1457</c:v>
                </c:pt>
                <c:pt idx="49">
                  <c:v>2002.89</c:v>
                </c:pt>
                <c:pt idx="50">
                  <c:v>2423.5</c:v>
                </c:pt>
                <c:pt idx="51">
                  <c:v>450</c:v>
                </c:pt>
                <c:pt idx="52">
                  <c:v>4002</c:v>
                </c:pt>
                <c:pt idx="53">
                  <c:v>2400</c:v>
                </c:pt>
                <c:pt idx="54">
                  <c:v>1250.5999999999999</c:v>
                </c:pt>
                <c:pt idx="55">
                  <c:v>3332.23</c:v>
                </c:pt>
                <c:pt idx="56">
                  <c:v>3250.9</c:v>
                </c:pt>
                <c:pt idx="57">
                  <c:v>3960.2</c:v>
                </c:pt>
                <c:pt idx="58">
                  <c:v>3005.69</c:v>
                </c:pt>
                <c:pt idx="59">
                  <c:v>4501.3599999999997</c:v>
                </c:pt>
                <c:pt idx="60">
                  <c:v>2081.4499999999998</c:v>
                </c:pt>
                <c:pt idx="61">
                  <c:v>2791.73</c:v>
                </c:pt>
                <c:pt idx="62">
                  <c:v>5392.23</c:v>
                </c:pt>
                <c:pt idx="63">
                  <c:v>4557.95</c:v>
                </c:pt>
                <c:pt idx="64">
                  <c:v>4299.97</c:v>
                </c:pt>
                <c:pt idx="65">
                  <c:v>4079.11</c:v>
                </c:pt>
                <c:pt idx="66">
                  <c:v>10018.6</c:v>
                </c:pt>
                <c:pt idx="67">
                  <c:v>5570.9</c:v>
                </c:pt>
                <c:pt idx="68">
                  <c:v>5157.7</c:v>
                </c:pt>
                <c:pt idx="69">
                  <c:v>8171.8</c:v>
                </c:pt>
                <c:pt idx="70">
                  <c:v>67.099999999999994</c:v>
                </c:pt>
                <c:pt idx="71" formatCode="General">
                  <c:v>0</c:v>
                </c:pt>
                <c:pt idx="72" formatCode="General">
                  <c:v>2240</c:v>
                </c:pt>
                <c:pt idx="73" formatCode="General">
                  <c:v>0</c:v>
                </c:pt>
                <c:pt idx="74" formatCode="General">
                  <c:v>2433.1999999999998</c:v>
                </c:pt>
                <c:pt idx="75" formatCode="General">
                  <c:v>2354.8000000000002</c:v>
                </c:pt>
                <c:pt idx="76" formatCode="General">
                  <c:v>0</c:v>
                </c:pt>
                <c:pt idx="77" formatCode="General">
                  <c:v>2798.6</c:v>
                </c:pt>
                <c:pt idx="78">
                  <c:v>3660.95</c:v>
                </c:pt>
                <c:pt idx="79">
                  <c:v>5117.01</c:v>
                </c:pt>
                <c:pt idx="80">
                  <c:v>2539.1999999999998</c:v>
                </c:pt>
                <c:pt idx="81">
                  <c:v>1206.1199999999999</c:v>
                </c:pt>
                <c:pt idx="82">
                  <c:v>2332.0700000000002</c:v>
                </c:pt>
                <c:pt idx="83">
                  <c:v>1609.5</c:v>
                </c:pt>
              </c:numCache>
            </c:numRef>
          </c:yVal>
          <c:smooth val="0"/>
        </c:ser>
        <c:dLbls>
          <c:showLegendKey val="0"/>
          <c:showVal val="0"/>
          <c:showCatName val="0"/>
          <c:showSerName val="0"/>
          <c:showPercent val="0"/>
          <c:showBubbleSize val="0"/>
        </c:dLbls>
        <c:axId val="145404672"/>
        <c:axId val="145406208"/>
      </c:scatterChart>
      <c:valAx>
        <c:axId val="145404672"/>
        <c:scaling>
          <c:orientation val="minMax"/>
        </c:scaling>
        <c:delete val="0"/>
        <c:axPos val="b"/>
        <c:numFmt formatCode="General" sourceLinked="1"/>
        <c:majorTickMark val="out"/>
        <c:minorTickMark val="none"/>
        <c:tickLblPos val="nextTo"/>
        <c:crossAx val="145406208"/>
        <c:crosses val="autoZero"/>
        <c:crossBetween val="midCat"/>
      </c:valAx>
      <c:valAx>
        <c:axId val="145406208"/>
        <c:scaling>
          <c:orientation val="minMax"/>
          <c:max val="12000"/>
          <c:min val="0"/>
        </c:scaling>
        <c:delete val="0"/>
        <c:axPos val="l"/>
        <c:majorGridlines/>
        <c:numFmt formatCode="###,###,###.00" sourceLinked="1"/>
        <c:majorTickMark val="out"/>
        <c:minorTickMark val="none"/>
        <c:tickLblPos val="nextTo"/>
        <c:crossAx val="145404672"/>
        <c:crosses val="autoZero"/>
        <c:crossBetween val="midCat"/>
        <c:majorUnit val="3000"/>
        <c:minorUnit val="1000"/>
      </c:valAx>
    </c:plotArea>
    <c:plotVisOnly val="1"/>
    <c:dispBlanksAs val="gap"/>
    <c:showDLblsOverMax val="0"/>
  </c:chart>
  <c:printSettings>
    <c:headerFooter/>
    <c:pageMargins b="0.75" l="0.7" r="0.7" t="0.75" header="0.3" footer="0.3"/>
    <c:pageSetup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scatterChart>
        <c:scatterStyle val="smoothMarker"/>
        <c:varyColors val="0"/>
        <c:ser>
          <c:idx val="0"/>
          <c:order val="0"/>
          <c:tx>
            <c:strRef>
              <c:f>'PRONÓSTICO CRUDO'!$G$5</c:f>
              <c:strCache>
                <c:ptCount val="1"/>
                <c:pt idx="0">
                  <c:v>Ajuste de Tendencia (Mín. Cuadrados)</c:v>
                </c:pt>
              </c:strCache>
            </c:strRef>
          </c:tx>
          <c:trendline>
            <c:spPr>
              <a:ln w="19050">
                <a:solidFill>
                  <a:srgbClr val="FF0000"/>
                </a:solidFill>
              </a:ln>
            </c:spPr>
            <c:trendlineType val="linear"/>
            <c:dispRSqr val="1"/>
            <c:dispEq val="1"/>
            <c:trendlineLbl>
              <c:layout>
                <c:manualLayout>
                  <c:x val="0.45265173927609886"/>
                  <c:y val="-0.23773084420855667"/>
                </c:manualLayout>
              </c:layout>
              <c:numFmt formatCode="General" sourceLinked="0"/>
            </c:trendlineLbl>
          </c:trendline>
          <c:xVal>
            <c:numRef>
              <c:f>'PRONÓSTICO CRUDO'!$B$6:$B$93</c:f>
              <c:numCache>
                <c:formatCode>General</c:formatCode>
                <c:ptCount val="88"/>
                <c:pt idx="0">
                  <c:v>2010</c:v>
                </c:pt>
                <c:pt idx="1">
                  <c:v>2010.0833333333333</c:v>
                </c:pt>
                <c:pt idx="2">
                  <c:v>2010.1666666666665</c:v>
                </c:pt>
                <c:pt idx="3">
                  <c:v>2010.2499999999998</c:v>
                </c:pt>
                <c:pt idx="4">
                  <c:v>2010.333333333333</c:v>
                </c:pt>
                <c:pt idx="5">
                  <c:v>2010.4166666666663</c:v>
                </c:pt>
                <c:pt idx="6">
                  <c:v>2010.4999999999995</c:v>
                </c:pt>
                <c:pt idx="7">
                  <c:v>2010.5833333333328</c:v>
                </c:pt>
                <c:pt idx="8">
                  <c:v>2010.6666666666661</c:v>
                </c:pt>
                <c:pt idx="9">
                  <c:v>2010.7499999999993</c:v>
                </c:pt>
                <c:pt idx="10">
                  <c:v>2010.8333333333326</c:v>
                </c:pt>
                <c:pt idx="11">
                  <c:v>2010.9166666666658</c:v>
                </c:pt>
                <c:pt idx="12">
                  <c:v>2010.9999999999991</c:v>
                </c:pt>
                <c:pt idx="13">
                  <c:v>2011.0833333333323</c:v>
                </c:pt>
                <c:pt idx="14">
                  <c:v>2011.1666666666656</c:v>
                </c:pt>
                <c:pt idx="15">
                  <c:v>2011.2499999999989</c:v>
                </c:pt>
                <c:pt idx="16">
                  <c:v>2011.3333333333321</c:v>
                </c:pt>
                <c:pt idx="17">
                  <c:v>2011.4166666666654</c:v>
                </c:pt>
                <c:pt idx="18">
                  <c:v>2011.4999999999986</c:v>
                </c:pt>
                <c:pt idx="19">
                  <c:v>2011.5833333333319</c:v>
                </c:pt>
                <c:pt idx="20">
                  <c:v>2011.6666666666652</c:v>
                </c:pt>
                <c:pt idx="21">
                  <c:v>2011.7499999999984</c:v>
                </c:pt>
                <c:pt idx="22">
                  <c:v>2011.8333333333317</c:v>
                </c:pt>
                <c:pt idx="23">
                  <c:v>2011.9166666666649</c:v>
                </c:pt>
                <c:pt idx="24">
                  <c:v>2011.9999999999982</c:v>
                </c:pt>
                <c:pt idx="25">
                  <c:v>2012.0833333333314</c:v>
                </c:pt>
                <c:pt idx="26">
                  <c:v>2012.1666666666647</c:v>
                </c:pt>
                <c:pt idx="27">
                  <c:v>2012.249999999998</c:v>
                </c:pt>
                <c:pt idx="28">
                  <c:v>2012.3333333333312</c:v>
                </c:pt>
                <c:pt idx="29">
                  <c:v>2012.4166666666645</c:v>
                </c:pt>
                <c:pt idx="30">
                  <c:v>2012.4999999999977</c:v>
                </c:pt>
                <c:pt idx="31">
                  <c:v>2012.583333333331</c:v>
                </c:pt>
                <c:pt idx="32">
                  <c:v>2012.6666666666642</c:v>
                </c:pt>
                <c:pt idx="33">
                  <c:v>2012.7499999999975</c:v>
                </c:pt>
                <c:pt idx="34">
                  <c:v>2012.8333333333308</c:v>
                </c:pt>
                <c:pt idx="35">
                  <c:v>2012.916666666664</c:v>
                </c:pt>
                <c:pt idx="36">
                  <c:v>2012.9999999999973</c:v>
                </c:pt>
                <c:pt idx="37">
                  <c:v>2013.0833333333305</c:v>
                </c:pt>
                <c:pt idx="38">
                  <c:v>2013.1666666666638</c:v>
                </c:pt>
                <c:pt idx="39">
                  <c:v>2013.249999999997</c:v>
                </c:pt>
                <c:pt idx="40">
                  <c:v>2013.3333333333303</c:v>
                </c:pt>
                <c:pt idx="41">
                  <c:v>2013.4166666666636</c:v>
                </c:pt>
                <c:pt idx="42">
                  <c:v>2013.4999999999968</c:v>
                </c:pt>
                <c:pt idx="43">
                  <c:v>2013.5833333333301</c:v>
                </c:pt>
                <c:pt idx="44">
                  <c:v>2013.6666666666633</c:v>
                </c:pt>
                <c:pt idx="45">
                  <c:v>2013.7499999999966</c:v>
                </c:pt>
                <c:pt idx="46">
                  <c:v>2013.8333333333298</c:v>
                </c:pt>
                <c:pt idx="47">
                  <c:v>2013.9166666666631</c:v>
                </c:pt>
                <c:pt idx="48">
                  <c:v>2013.9999999999964</c:v>
                </c:pt>
                <c:pt idx="49">
                  <c:v>2014.0833333333296</c:v>
                </c:pt>
                <c:pt idx="50">
                  <c:v>2014.1666666666629</c:v>
                </c:pt>
                <c:pt idx="51">
                  <c:v>2014.2499999999961</c:v>
                </c:pt>
                <c:pt idx="52">
                  <c:v>2014.3333333333294</c:v>
                </c:pt>
                <c:pt idx="53">
                  <c:v>2014.4166666666626</c:v>
                </c:pt>
                <c:pt idx="54">
                  <c:v>2014.4999999999959</c:v>
                </c:pt>
                <c:pt idx="55">
                  <c:v>2014.5833333333292</c:v>
                </c:pt>
                <c:pt idx="56">
                  <c:v>2014.6666666666624</c:v>
                </c:pt>
                <c:pt idx="57">
                  <c:v>2014.7499999999957</c:v>
                </c:pt>
                <c:pt idx="58">
                  <c:v>2014.8333333333289</c:v>
                </c:pt>
                <c:pt idx="59">
                  <c:v>2014.9166666666622</c:v>
                </c:pt>
                <c:pt idx="60">
                  <c:v>2014.9999999999955</c:v>
                </c:pt>
                <c:pt idx="61">
                  <c:v>2015.0833333333287</c:v>
                </c:pt>
                <c:pt idx="62">
                  <c:v>2015.166666666662</c:v>
                </c:pt>
                <c:pt idx="63">
                  <c:v>2015.2499999999952</c:v>
                </c:pt>
                <c:pt idx="64">
                  <c:v>2015.3333333333285</c:v>
                </c:pt>
                <c:pt idx="65">
                  <c:v>2015.4166666666617</c:v>
                </c:pt>
                <c:pt idx="66">
                  <c:v>2015.499999999995</c:v>
                </c:pt>
                <c:pt idx="67">
                  <c:v>2015.5833333333283</c:v>
                </c:pt>
                <c:pt idx="68">
                  <c:v>2015.6666666666615</c:v>
                </c:pt>
                <c:pt idx="69">
                  <c:v>2015.7499999999948</c:v>
                </c:pt>
                <c:pt idx="70">
                  <c:v>2015.833333333328</c:v>
                </c:pt>
                <c:pt idx="71">
                  <c:v>2015.9166666666613</c:v>
                </c:pt>
                <c:pt idx="72">
                  <c:v>2015.9999999999945</c:v>
                </c:pt>
                <c:pt idx="73">
                  <c:v>2016.0833333333278</c:v>
                </c:pt>
                <c:pt idx="74">
                  <c:v>2016.1666666666611</c:v>
                </c:pt>
                <c:pt idx="75">
                  <c:v>2016.2499999999943</c:v>
                </c:pt>
                <c:pt idx="76">
                  <c:v>2016.3333333333276</c:v>
                </c:pt>
                <c:pt idx="77">
                  <c:v>2016.4166666666608</c:v>
                </c:pt>
                <c:pt idx="78">
                  <c:v>2016.4999999999941</c:v>
                </c:pt>
                <c:pt idx="79">
                  <c:v>2016.5833333333273</c:v>
                </c:pt>
                <c:pt idx="80">
                  <c:v>2016.6666666666606</c:v>
                </c:pt>
                <c:pt idx="81">
                  <c:v>2016.7499999999939</c:v>
                </c:pt>
                <c:pt idx="82">
                  <c:v>2016.8333333333271</c:v>
                </c:pt>
                <c:pt idx="83">
                  <c:v>2016.9166666666604</c:v>
                </c:pt>
                <c:pt idx="84">
                  <c:v>2016.9999999999936</c:v>
                </c:pt>
                <c:pt idx="85">
                  <c:v>2017.0833333333269</c:v>
                </c:pt>
                <c:pt idx="86">
                  <c:v>2017.1666666666601</c:v>
                </c:pt>
                <c:pt idx="87">
                  <c:v>2017.2499999999934</c:v>
                </c:pt>
              </c:numCache>
            </c:numRef>
          </c:xVal>
          <c:yVal>
            <c:numRef>
              <c:f>'PRONÓSTICO CRUDO'!$G$6:$G$93</c:f>
              <c:numCache>
                <c:formatCode>General</c:formatCode>
                <c:ptCount val="88"/>
                <c:pt idx="0">
                  <c:v>2989.8199999999924</c:v>
                </c:pt>
                <c:pt idx="1">
                  <c:v>2993.5934999999881</c:v>
                </c:pt>
                <c:pt idx="2">
                  <c:v>2997.3669999999838</c:v>
                </c:pt>
                <c:pt idx="3">
                  <c:v>3001.1404999999795</c:v>
                </c:pt>
                <c:pt idx="4">
                  <c:v>3004.9139999999752</c:v>
                </c:pt>
                <c:pt idx="5">
                  <c:v>3008.6874999999709</c:v>
                </c:pt>
                <c:pt idx="6">
                  <c:v>3012.4609999999666</c:v>
                </c:pt>
                <c:pt idx="7">
                  <c:v>3016.2344999999623</c:v>
                </c:pt>
                <c:pt idx="8">
                  <c:v>3020.0079999999725</c:v>
                </c:pt>
                <c:pt idx="9">
                  <c:v>3023.7814999999682</c:v>
                </c:pt>
                <c:pt idx="10">
                  <c:v>3027.5549999999639</c:v>
                </c:pt>
                <c:pt idx="11">
                  <c:v>3031.3284999999596</c:v>
                </c:pt>
                <c:pt idx="12">
                  <c:v>3035.1019999999553</c:v>
                </c:pt>
                <c:pt idx="13">
                  <c:v>3038.875499999951</c:v>
                </c:pt>
                <c:pt idx="14">
                  <c:v>3042.6489999999467</c:v>
                </c:pt>
                <c:pt idx="15">
                  <c:v>3046.4224999999424</c:v>
                </c:pt>
                <c:pt idx="16">
                  <c:v>3050.1959999999381</c:v>
                </c:pt>
                <c:pt idx="17">
                  <c:v>3053.9694999999338</c:v>
                </c:pt>
                <c:pt idx="18">
                  <c:v>3057.7429999999295</c:v>
                </c:pt>
                <c:pt idx="19">
                  <c:v>3061.5164999999251</c:v>
                </c:pt>
                <c:pt idx="20">
                  <c:v>3065.2899999999208</c:v>
                </c:pt>
                <c:pt idx="21">
                  <c:v>3069.0634999999165</c:v>
                </c:pt>
                <c:pt idx="22">
                  <c:v>3072.8369999999122</c:v>
                </c:pt>
                <c:pt idx="23">
                  <c:v>3076.6104999999079</c:v>
                </c:pt>
                <c:pt idx="24">
                  <c:v>3080.3839999999036</c:v>
                </c:pt>
                <c:pt idx="25">
                  <c:v>3084.1574999999139</c:v>
                </c:pt>
                <c:pt idx="26">
                  <c:v>3087.9309999999095</c:v>
                </c:pt>
                <c:pt idx="27">
                  <c:v>3091.7044999999052</c:v>
                </c:pt>
                <c:pt idx="28">
                  <c:v>3095.4779999999009</c:v>
                </c:pt>
                <c:pt idx="29">
                  <c:v>3099.2514999998966</c:v>
                </c:pt>
                <c:pt idx="30">
                  <c:v>3103.0249999998923</c:v>
                </c:pt>
                <c:pt idx="31">
                  <c:v>3106.798499999888</c:v>
                </c:pt>
                <c:pt idx="32">
                  <c:v>3110.5719999998837</c:v>
                </c:pt>
                <c:pt idx="33">
                  <c:v>3114.3454999998794</c:v>
                </c:pt>
                <c:pt idx="34">
                  <c:v>3118.1189999998751</c:v>
                </c:pt>
                <c:pt idx="35">
                  <c:v>3121.8924999998708</c:v>
                </c:pt>
                <c:pt idx="36">
                  <c:v>3125.6659999998665</c:v>
                </c:pt>
                <c:pt idx="37">
                  <c:v>3129.4394999998622</c:v>
                </c:pt>
                <c:pt idx="38">
                  <c:v>3133.2129999998579</c:v>
                </c:pt>
                <c:pt idx="39">
                  <c:v>3136.9864999998535</c:v>
                </c:pt>
                <c:pt idx="40">
                  <c:v>3140.7599999998492</c:v>
                </c:pt>
                <c:pt idx="41">
                  <c:v>3144.5334999998449</c:v>
                </c:pt>
                <c:pt idx="42">
                  <c:v>3148.3069999998552</c:v>
                </c:pt>
                <c:pt idx="43">
                  <c:v>3152.0804999998509</c:v>
                </c:pt>
                <c:pt idx="44">
                  <c:v>3155.8539999998466</c:v>
                </c:pt>
                <c:pt idx="45">
                  <c:v>3159.6274999998423</c:v>
                </c:pt>
                <c:pt idx="46">
                  <c:v>3163.4009999998379</c:v>
                </c:pt>
                <c:pt idx="47">
                  <c:v>3167.1744999998336</c:v>
                </c:pt>
                <c:pt idx="48">
                  <c:v>3170.9479999998293</c:v>
                </c:pt>
                <c:pt idx="49">
                  <c:v>3174.721499999825</c:v>
                </c:pt>
                <c:pt idx="50">
                  <c:v>3178.4949999998207</c:v>
                </c:pt>
                <c:pt idx="51">
                  <c:v>3182.2684999998164</c:v>
                </c:pt>
                <c:pt idx="52">
                  <c:v>3186.0419999998121</c:v>
                </c:pt>
                <c:pt idx="53">
                  <c:v>3189.8154999998078</c:v>
                </c:pt>
                <c:pt idx="54">
                  <c:v>3193.5889999998035</c:v>
                </c:pt>
                <c:pt idx="55">
                  <c:v>3197.3624999997992</c:v>
                </c:pt>
                <c:pt idx="56">
                  <c:v>3201.1359999997949</c:v>
                </c:pt>
                <c:pt idx="57">
                  <c:v>3204.9094999997906</c:v>
                </c:pt>
                <c:pt idx="58">
                  <c:v>3208.6829999998008</c:v>
                </c:pt>
                <c:pt idx="59">
                  <c:v>3212.4564999997965</c:v>
                </c:pt>
                <c:pt idx="60">
                  <c:v>3216.2299999997922</c:v>
                </c:pt>
                <c:pt idx="61">
                  <c:v>3220.0034999997879</c:v>
                </c:pt>
                <c:pt idx="62">
                  <c:v>3223.7769999997836</c:v>
                </c:pt>
                <c:pt idx="63">
                  <c:v>3227.5504999997793</c:v>
                </c:pt>
                <c:pt idx="64">
                  <c:v>3231.323999999775</c:v>
                </c:pt>
                <c:pt idx="65">
                  <c:v>3235.0974999997707</c:v>
                </c:pt>
                <c:pt idx="66">
                  <c:v>3238.8709999997664</c:v>
                </c:pt>
                <c:pt idx="67">
                  <c:v>3242.644499999762</c:v>
                </c:pt>
                <c:pt idx="68">
                  <c:v>3246.4179999997577</c:v>
                </c:pt>
                <c:pt idx="69">
                  <c:v>3250.1914999997534</c:v>
                </c:pt>
                <c:pt idx="70">
                  <c:v>3253.9649999997491</c:v>
                </c:pt>
                <c:pt idx="71">
                  <c:v>3257.7384999997448</c:v>
                </c:pt>
                <c:pt idx="72">
                  <c:v>3261.5119999997405</c:v>
                </c:pt>
                <c:pt idx="73">
                  <c:v>3265.2854999997362</c:v>
                </c:pt>
                <c:pt idx="74">
                  <c:v>3269.0589999997319</c:v>
                </c:pt>
                <c:pt idx="75">
                  <c:v>3272.8324999997421</c:v>
                </c:pt>
                <c:pt idx="76">
                  <c:v>3276.6059999997378</c:v>
                </c:pt>
                <c:pt idx="77">
                  <c:v>3280.3794999997335</c:v>
                </c:pt>
                <c:pt idx="78">
                  <c:v>3284.1529999997292</c:v>
                </c:pt>
                <c:pt idx="79">
                  <c:v>3287.9264999997249</c:v>
                </c:pt>
                <c:pt idx="80">
                  <c:v>3291.6999999997206</c:v>
                </c:pt>
                <c:pt idx="81">
                  <c:v>3295.4734999997163</c:v>
                </c:pt>
                <c:pt idx="82">
                  <c:v>3299.246999999712</c:v>
                </c:pt>
                <c:pt idx="83">
                  <c:v>3303.0204999997077</c:v>
                </c:pt>
                <c:pt idx="84">
                  <c:v>3306.7939999997034</c:v>
                </c:pt>
                <c:pt idx="85">
                  <c:v>3310.5674999996991</c:v>
                </c:pt>
                <c:pt idx="86">
                  <c:v>3314.3409999996948</c:v>
                </c:pt>
                <c:pt idx="87">
                  <c:v>3318.1144999996905</c:v>
                </c:pt>
              </c:numCache>
            </c:numRef>
          </c:yVal>
          <c:smooth val="1"/>
        </c:ser>
        <c:dLbls>
          <c:showLegendKey val="0"/>
          <c:showVal val="0"/>
          <c:showCatName val="0"/>
          <c:showSerName val="0"/>
          <c:showPercent val="0"/>
          <c:showBubbleSize val="0"/>
        </c:dLbls>
        <c:axId val="145415552"/>
        <c:axId val="145613952"/>
      </c:scatterChart>
      <c:valAx>
        <c:axId val="145415552"/>
        <c:scaling>
          <c:orientation val="minMax"/>
        </c:scaling>
        <c:delete val="0"/>
        <c:axPos val="b"/>
        <c:numFmt formatCode="General" sourceLinked="1"/>
        <c:majorTickMark val="out"/>
        <c:minorTickMark val="none"/>
        <c:tickLblPos val="nextTo"/>
        <c:crossAx val="145613952"/>
        <c:crosses val="autoZero"/>
        <c:crossBetween val="midCat"/>
      </c:valAx>
      <c:valAx>
        <c:axId val="145613952"/>
        <c:scaling>
          <c:orientation val="minMax"/>
        </c:scaling>
        <c:delete val="0"/>
        <c:axPos val="l"/>
        <c:majorGridlines/>
        <c:numFmt formatCode="General" sourceLinked="1"/>
        <c:majorTickMark val="out"/>
        <c:minorTickMark val="none"/>
        <c:tickLblPos val="nextTo"/>
        <c:crossAx val="145415552"/>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ES" sz="1400"/>
              <a:t>Hilo Poliéster 150/48 Tex Obscuro</a:t>
            </a:r>
          </a:p>
        </c:rich>
      </c:tx>
      <c:layout>
        <c:manualLayout>
          <c:xMode val="edge"/>
          <c:yMode val="edge"/>
          <c:x val="8.0393848054645563E-3"/>
          <c:y val="3.0678465126596981E-2"/>
        </c:manualLayout>
      </c:layout>
      <c:overlay val="0"/>
    </c:title>
    <c:autoTitleDeleted val="0"/>
    <c:plotArea>
      <c:layout/>
      <c:scatterChart>
        <c:scatterStyle val="lineMarker"/>
        <c:varyColors val="0"/>
        <c:ser>
          <c:idx val="0"/>
          <c:order val="0"/>
          <c:spPr>
            <a:ln w="28575">
              <a:noFill/>
            </a:ln>
          </c:spPr>
          <c:trendline>
            <c:spPr>
              <a:ln w="22225">
                <a:solidFill>
                  <a:srgbClr val="FF0000"/>
                </a:solidFill>
              </a:ln>
            </c:spPr>
            <c:trendlineType val="linear"/>
            <c:dispRSqr val="1"/>
            <c:dispEq val="1"/>
            <c:trendlineLbl>
              <c:layout>
                <c:manualLayout>
                  <c:x val="7.323366030154721E-2"/>
                  <c:y val="-0.75677908245687631"/>
                </c:manualLayout>
              </c:layout>
              <c:tx>
                <c:rich>
                  <a:bodyPr/>
                  <a:lstStyle/>
                  <a:p>
                    <a:pPr>
                      <a:defRPr sz="1050"/>
                    </a:pPr>
                    <a:r>
                      <a:rPr lang="en-US" sz="1050" baseline="0"/>
                      <a:t>y = -43,708x + 88111
R² = 0,5961</a:t>
                    </a:r>
                    <a:endParaRPr lang="en-US" sz="1050"/>
                  </a:p>
                </c:rich>
              </c:tx>
              <c:numFmt formatCode="General" sourceLinked="0"/>
            </c:trendlineLbl>
          </c:trendline>
          <c:xVal>
            <c:numRef>
              <c:f>'PRONÓSTICO OBSCURO'!$B$6:$B$89</c:f>
              <c:numCache>
                <c:formatCode>General</c:formatCode>
                <c:ptCount val="84"/>
                <c:pt idx="0">
                  <c:v>2010</c:v>
                </c:pt>
                <c:pt idx="1">
                  <c:v>2010.0833333333333</c:v>
                </c:pt>
                <c:pt idx="2">
                  <c:v>2010.1666666666665</c:v>
                </c:pt>
                <c:pt idx="3">
                  <c:v>2010.2499999999998</c:v>
                </c:pt>
                <c:pt idx="4">
                  <c:v>2010.333333333333</c:v>
                </c:pt>
                <c:pt idx="5">
                  <c:v>2010.4166666666663</c:v>
                </c:pt>
                <c:pt idx="6">
                  <c:v>2010.4999999999995</c:v>
                </c:pt>
                <c:pt idx="7">
                  <c:v>2010.5833333333328</c:v>
                </c:pt>
                <c:pt idx="8">
                  <c:v>2010.6666666666661</c:v>
                </c:pt>
                <c:pt idx="9">
                  <c:v>2010.7499999999993</c:v>
                </c:pt>
                <c:pt idx="10">
                  <c:v>2010.8333333333326</c:v>
                </c:pt>
                <c:pt idx="11">
                  <c:v>2010.9166666666658</c:v>
                </c:pt>
                <c:pt idx="12">
                  <c:v>2010.9999999999991</c:v>
                </c:pt>
                <c:pt idx="13">
                  <c:v>2011.0833333333323</c:v>
                </c:pt>
                <c:pt idx="14">
                  <c:v>2011.1666666666656</c:v>
                </c:pt>
                <c:pt idx="15">
                  <c:v>2011.2499999999989</c:v>
                </c:pt>
                <c:pt idx="16">
                  <c:v>2011.3333333333321</c:v>
                </c:pt>
                <c:pt idx="17">
                  <c:v>2011.4166666666654</c:v>
                </c:pt>
                <c:pt idx="18">
                  <c:v>2011.4999999999986</c:v>
                </c:pt>
                <c:pt idx="19">
                  <c:v>2011.5833333333319</c:v>
                </c:pt>
                <c:pt idx="20">
                  <c:v>2011.6666666666652</c:v>
                </c:pt>
                <c:pt idx="21">
                  <c:v>2011.7499999999984</c:v>
                </c:pt>
                <c:pt idx="22">
                  <c:v>2011.8333333333317</c:v>
                </c:pt>
                <c:pt idx="23">
                  <c:v>2011.9166666666649</c:v>
                </c:pt>
                <c:pt idx="24">
                  <c:v>2011.9999999999982</c:v>
                </c:pt>
                <c:pt idx="25">
                  <c:v>2012.0833333333314</c:v>
                </c:pt>
                <c:pt idx="26">
                  <c:v>2012.1666666666647</c:v>
                </c:pt>
                <c:pt idx="27">
                  <c:v>2012.249999999998</c:v>
                </c:pt>
                <c:pt idx="28">
                  <c:v>2012.3333333333312</c:v>
                </c:pt>
                <c:pt idx="29">
                  <c:v>2012.4166666666645</c:v>
                </c:pt>
                <c:pt idx="30">
                  <c:v>2012.4999999999977</c:v>
                </c:pt>
                <c:pt idx="31">
                  <c:v>2012.583333333331</c:v>
                </c:pt>
                <c:pt idx="32">
                  <c:v>2012.6666666666642</c:v>
                </c:pt>
                <c:pt idx="33">
                  <c:v>2012.7499999999975</c:v>
                </c:pt>
                <c:pt idx="34">
                  <c:v>2012.8333333333308</c:v>
                </c:pt>
                <c:pt idx="35">
                  <c:v>2012.916666666664</c:v>
                </c:pt>
                <c:pt idx="36">
                  <c:v>2012.9999999999973</c:v>
                </c:pt>
                <c:pt idx="37">
                  <c:v>2013.0833333333305</c:v>
                </c:pt>
                <c:pt idx="38">
                  <c:v>2013.1666666666638</c:v>
                </c:pt>
                <c:pt idx="39">
                  <c:v>2013.249999999997</c:v>
                </c:pt>
                <c:pt idx="40">
                  <c:v>2013.3333333333303</c:v>
                </c:pt>
                <c:pt idx="41">
                  <c:v>2013.4166666666636</c:v>
                </c:pt>
                <c:pt idx="42">
                  <c:v>2013.4999999999968</c:v>
                </c:pt>
                <c:pt idx="43">
                  <c:v>2013.5833333333301</c:v>
                </c:pt>
                <c:pt idx="44">
                  <c:v>2013.6666666666633</c:v>
                </c:pt>
                <c:pt idx="45">
                  <c:v>2013.7499999999966</c:v>
                </c:pt>
                <c:pt idx="46">
                  <c:v>2013.8333333333298</c:v>
                </c:pt>
                <c:pt idx="47">
                  <c:v>2013.9166666666631</c:v>
                </c:pt>
                <c:pt idx="48">
                  <c:v>2013.9999999999964</c:v>
                </c:pt>
                <c:pt idx="49">
                  <c:v>2014.0833333333296</c:v>
                </c:pt>
                <c:pt idx="50">
                  <c:v>2014.1666666666629</c:v>
                </c:pt>
                <c:pt idx="51">
                  <c:v>2014.2499999999961</c:v>
                </c:pt>
                <c:pt idx="52">
                  <c:v>2014.3333333333294</c:v>
                </c:pt>
                <c:pt idx="53">
                  <c:v>2014.4166666666626</c:v>
                </c:pt>
                <c:pt idx="54">
                  <c:v>2014.4999999999959</c:v>
                </c:pt>
                <c:pt idx="55">
                  <c:v>2014.5833333333292</c:v>
                </c:pt>
                <c:pt idx="56">
                  <c:v>2014.6666666666624</c:v>
                </c:pt>
                <c:pt idx="57">
                  <c:v>2014.7499999999957</c:v>
                </c:pt>
                <c:pt idx="58">
                  <c:v>2014.8333333333289</c:v>
                </c:pt>
                <c:pt idx="59">
                  <c:v>2014.9166666666622</c:v>
                </c:pt>
                <c:pt idx="60">
                  <c:v>2014.9999999999955</c:v>
                </c:pt>
                <c:pt idx="61">
                  <c:v>2015.0833333333287</c:v>
                </c:pt>
                <c:pt idx="62">
                  <c:v>2015.166666666662</c:v>
                </c:pt>
                <c:pt idx="63">
                  <c:v>2015.2499999999952</c:v>
                </c:pt>
                <c:pt idx="64">
                  <c:v>2015.3333333333285</c:v>
                </c:pt>
                <c:pt idx="65">
                  <c:v>2015.4166666666617</c:v>
                </c:pt>
                <c:pt idx="66">
                  <c:v>2015.499999999995</c:v>
                </c:pt>
                <c:pt idx="67">
                  <c:v>2015.5833333333283</c:v>
                </c:pt>
                <c:pt idx="68">
                  <c:v>2015.6666666666615</c:v>
                </c:pt>
                <c:pt idx="69">
                  <c:v>2015.7499999999948</c:v>
                </c:pt>
                <c:pt idx="70">
                  <c:v>2015.833333333328</c:v>
                </c:pt>
                <c:pt idx="71">
                  <c:v>2015.9166666666613</c:v>
                </c:pt>
                <c:pt idx="72">
                  <c:v>2015.9999999999945</c:v>
                </c:pt>
                <c:pt idx="73">
                  <c:v>2016.0833333333278</c:v>
                </c:pt>
                <c:pt idx="74">
                  <c:v>2016.1666666666611</c:v>
                </c:pt>
                <c:pt idx="75">
                  <c:v>2016.2499999999943</c:v>
                </c:pt>
                <c:pt idx="76">
                  <c:v>2016.3333333333276</c:v>
                </c:pt>
                <c:pt idx="77">
                  <c:v>2016.4166666666608</c:v>
                </c:pt>
                <c:pt idx="78">
                  <c:v>2016.4999999999941</c:v>
                </c:pt>
                <c:pt idx="79">
                  <c:v>2016.5833333333273</c:v>
                </c:pt>
                <c:pt idx="80">
                  <c:v>2016.6666666666606</c:v>
                </c:pt>
                <c:pt idx="81">
                  <c:v>2016.7499999999939</c:v>
                </c:pt>
                <c:pt idx="82">
                  <c:v>2016.8333333333271</c:v>
                </c:pt>
                <c:pt idx="83">
                  <c:v>2016.9166666666604</c:v>
                </c:pt>
              </c:numCache>
            </c:numRef>
          </c:xVal>
          <c:yVal>
            <c:numRef>
              <c:f>'PRONÓSTICO OBSCURO'!$C$6:$C$89</c:f>
              <c:numCache>
                <c:formatCode>General</c:formatCode>
                <c:ptCount val="84"/>
                <c:pt idx="0">
                  <c:v>245.13</c:v>
                </c:pt>
                <c:pt idx="1">
                  <c:v>409.04</c:v>
                </c:pt>
                <c:pt idx="2">
                  <c:v>341.66</c:v>
                </c:pt>
                <c:pt idx="3">
                  <c:v>165.68</c:v>
                </c:pt>
                <c:pt idx="4">
                  <c:v>250.85</c:v>
                </c:pt>
                <c:pt idx="5">
                  <c:v>99.22</c:v>
                </c:pt>
                <c:pt idx="6">
                  <c:v>241.01</c:v>
                </c:pt>
                <c:pt idx="7">
                  <c:v>427.57</c:v>
                </c:pt>
                <c:pt idx="8">
                  <c:v>428.4</c:v>
                </c:pt>
                <c:pt idx="9">
                  <c:v>336.26</c:v>
                </c:pt>
                <c:pt idx="10">
                  <c:v>163.41</c:v>
                </c:pt>
                <c:pt idx="11">
                  <c:v>237.82</c:v>
                </c:pt>
                <c:pt idx="12">
                  <c:v>219.61</c:v>
                </c:pt>
                <c:pt idx="13">
                  <c:v>208.93</c:v>
                </c:pt>
                <c:pt idx="14">
                  <c:v>130.34</c:v>
                </c:pt>
                <c:pt idx="15">
                  <c:v>208.72</c:v>
                </c:pt>
                <c:pt idx="16">
                  <c:v>113.34</c:v>
                </c:pt>
                <c:pt idx="17">
                  <c:v>262.08999999999997</c:v>
                </c:pt>
                <c:pt idx="18">
                  <c:v>247.22</c:v>
                </c:pt>
                <c:pt idx="19">
                  <c:v>80.150000000000006</c:v>
                </c:pt>
                <c:pt idx="20">
                  <c:v>271.20999999999998</c:v>
                </c:pt>
                <c:pt idx="21">
                  <c:v>98.01</c:v>
                </c:pt>
                <c:pt idx="22">
                  <c:v>176.86</c:v>
                </c:pt>
                <c:pt idx="23">
                  <c:v>66.709999999999994</c:v>
                </c:pt>
                <c:pt idx="24">
                  <c:v>264.14999999999998</c:v>
                </c:pt>
                <c:pt idx="25">
                  <c:v>129.44</c:v>
                </c:pt>
                <c:pt idx="26">
                  <c:v>212.8</c:v>
                </c:pt>
                <c:pt idx="27">
                  <c:v>125.46</c:v>
                </c:pt>
                <c:pt idx="28">
                  <c:v>248.76</c:v>
                </c:pt>
                <c:pt idx="29">
                  <c:v>163.49</c:v>
                </c:pt>
                <c:pt idx="30">
                  <c:v>89.9</c:v>
                </c:pt>
                <c:pt idx="31">
                  <c:v>342.73</c:v>
                </c:pt>
                <c:pt idx="32">
                  <c:v>111.59</c:v>
                </c:pt>
                <c:pt idx="33">
                  <c:v>34.020000000000003</c:v>
                </c:pt>
                <c:pt idx="34">
                  <c:v>245.56</c:v>
                </c:pt>
                <c:pt idx="35">
                  <c:v>239.71</c:v>
                </c:pt>
                <c:pt idx="36">
                  <c:v>39.93</c:v>
                </c:pt>
                <c:pt idx="37">
                  <c:v>11.62</c:v>
                </c:pt>
                <c:pt idx="38">
                  <c:v>12.81</c:v>
                </c:pt>
                <c:pt idx="39">
                  <c:v>11.06</c:v>
                </c:pt>
                <c:pt idx="40">
                  <c:v>63.55</c:v>
                </c:pt>
                <c:pt idx="41">
                  <c:v>11.29</c:v>
                </c:pt>
                <c:pt idx="42">
                  <c:v>17.52</c:v>
                </c:pt>
                <c:pt idx="43">
                  <c:v>50.13</c:v>
                </c:pt>
                <c:pt idx="44">
                  <c:v>35.4</c:v>
                </c:pt>
                <c:pt idx="45">
                  <c:v>29.21</c:v>
                </c:pt>
                <c:pt idx="46">
                  <c:v>25.06</c:v>
                </c:pt>
                <c:pt idx="47">
                  <c:v>15.92</c:v>
                </c:pt>
                <c:pt idx="48">
                  <c:v>82.96</c:v>
                </c:pt>
                <c:pt idx="49">
                  <c:v>34.06</c:v>
                </c:pt>
                <c:pt idx="50">
                  <c:v>23.32</c:v>
                </c:pt>
                <c:pt idx="51">
                  <c:v>8.8800000000000008</c:v>
                </c:pt>
                <c:pt idx="52">
                  <c:v>14.8</c:v>
                </c:pt>
                <c:pt idx="53">
                  <c:v>29.26</c:v>
                </c:pt>
                <c:pt idx="54">
                  <c:v>77.48</c:v>
                </c:pt>
                <c:pt idx="55">
                  <c:v>38.340000000000003</c:v>
                </c:pt>
                <c:pt idx="56">
                  <c:v>64.680000000000007</c:v>
                </c:pt>
                <c:pt idx="57">
                  <c:v>20.86</c:v>
                </c:pt>
                <c:pt idx="58">
                  <c:v>17.88</c:v>
                </c:pt>
                <c:pt idx="59">
                  <c:v>0</c:v>
                </c:pt>
                <c:pt idx="60">
                  <c:v>15.82</c:v>
                </c:pt>
                <c:pt idx="61">
                  <c:v>47.96</c:v>
                </c:pt>
                <c:pt idx="62">
                  <c:v>112.22</c:v>
                </c:pt>
                <c:pt idx="63">
                  <c:v>7.36</c:v>
                </c:pt>
                <c:pt idx="64">
                  <c:v>19.62</c:v>
                </c:pt>
                <c:pt idx="65">
                  <c:v>13.42</c:v>
                </c:pt>
                <c:pt idx="66">
                  <c:v>8.5399999999999991</c:v>
                </c:pt>
                <c:pt idx="67">
                  <c:v>8.4</c:v>
                </c:pt>
                <c:pt idx="68">
                  <c:v>73.760000000000005</c:v>
                </c:pt>
                <c:pt idx="69">
                  <c:v>36.619999999999997</c:v>
                </c:pt>
                <c:pt idx="70">
                  <c:v>5.0599999999999996</c:v>
                </c:pt>
                <c:pt idx="71">
                  <c:v>0</c:v>
                </c:pt>
                <c:pt idx="72">
                  <c:v>17.28</c:v>
                </c:pt>
                <c:pt idx="73">
                  <c:v>1.2</c:v>
                </c:pt>
                <c:pt idx="74">
                  <c:v>23.62</c:v>
                </c:pt>
                <c:pt idx="75">
                  <c:v>9.1</c:v>
                </c:pt>
                <c:pt idx="76">
                  <c:v>10.24</c:v>
                </c:pt>
                <c:pt idx="77">
                  <c:v>18.739999999999998</c:v>
                </c:pt>
                <c:pt idx="78">
                  <c:v>17.28</c:v>
                </c:pt>
                <c:pt idx="79">
                  <c:v>1.2</c:v>
                </c:pt>
                <c:pt idx="80">
                  <c:v>23.62</c:v>
                </c:pt>
                <c:pt idx="81">
                  <c:v>9.1</c:v>
                </c:pt>
                <c:pt idx="82">
                  <c:v>10.24</c:v>
                </c:pt>
                <c:pt idx="83">
                  <c:v>18.739999999999998</c:v>
                </c:pt>
              </c:numCache>
            </c:numRef>
          </c:yVal>
          <c:smooth val="0"/>
        </c:ser>
        <c:dLbls>
          <c:showLegendKey val="0"/>
          <c:showVal val="0"/>
          <c:showCatName val="0"/>
          <c:showSerName val="0"/>
          <c:showPercent val="0"/>
          <c:showBubbleSize val="0"/>
        </c:dLbls>
        <c:axId val="150707200"/>
        <c:axId val="150713088"/>
      </c:scatterChart>
      <c:valAx>
        <c:axId val="150707200"/>
        <c:scaling>
          <c:orientation val="minMax"/>
        </c:scaling>
        <c:delete val="0"/>
        <c:axPos val="b"/>
        <c:numFmt formatCode="General" sourceLinked="1"/>
        <c:majorTickMark val="out"/>
        <c:minorTickMark val="none"/>
        <c:tickLblPos val="nextTo"/>
        <c:crossAx val="150713088"/>
        <c:crosses val="autoZero"/>
        <c:crossBetween val="midCat"/>
      </c:valAx>
      <c:valAx>
        <c:axId val="150713088"/>
        <c:scaling>
          <c:orientation val="minMax"/>
        </c:scaling>
        <c:delete val="0"/>
        <c:axPos val="l"/>
        <c:majorGridlines/>
        <c:numFmt formatCode="General" sourceLinked="1"/>
        <c:majorTickMark val="out"/>
        <c:minorTickMark val="none"/>
        <c:tickLblPos val="nextTo"/>
        <c:crossAx val="150707200"/>
        <c:crosses val="autoZero"/>
        <c:crossBetween val="midCat"/>
      </c:valAx>
    </c:plotArea>
    <c:plotVisOnly val="1"/>
    <c:dispBlanksAs val="gap"/>
    <c:showDLblsOverMax val="0"/>
  </c:chart>
  <c:printSettings>
    <c:headerFooter/>
    <c:pageMargins b="0.75" l="0.7" r="0.7" t="0.75" header="0.3" footer="0.3"/>
    <c:pageSetup orientation="landscape"/>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ES" sz="1400"/>
              <a:t>Hilo Poliéster 150/48 Tex Claro</a:t>
            </a:r>
          </a:p>
        </c:rich>
      </c:tx>
      <c:layout>
        <c:manualLayout>
          <c:xMode val="edge"/>
          <c:yMode val="edge"/>
          <c:x val="2.4059794487943105E-2"/>
          <c:y val="4.7561010623623466E-2"/>
        </c:manualLayout>
      </c:layout>
      <c:overlay val="0"/>
    </c:title>
    <c:autoTitleDeleted val="0"/>
    <c:plotArea>
      <c:layout>
        <c:manualLayout>
          <c:layoutTarget val="inner"/>
          <c:xMode val="edge"/>
          <c:yMode val="edge"/>
          <c:x val="0.12668264233901119"/>
          <c:y val="0.2172085972664278"/>
          <c:w val="0.8254688541879448"/>
          <c:h val="0.67682730193418938"/>
        </c:manualLayout>
      </c:layout>
      <c:scatterChart>
        <c:scatterStyle val="lineMarker"/>
        <c:varyColors val="0"/>
        <c:ser>
          <c:idx val="0"/>
          <c:order val="0"/>
          <c:spPr>
            <a:ln w="28575">
              <a:noFill/>
            </a:ln>
          </c:spPr>
          <c:trendline>
            <c:spPr>
              <a:ln w="22225">
                <a:solidFill>
                  <a:srgbClr val="FF0000"/>
                </a:solidFill>
              </a:ln>
            </c:spPr>
            <c:trendlineType val="linear"/>
            <c:dispRSqr val="1"/>
            <c:dispEq val="1"/>
            <c:trendlineLbl>
              <c:layout>
                <c:manualLayout>
                  <c:x val="4.668407313054488E-2"/>
                  <c:y val="-0.70040974039511006"/>
                </c:manualLayout>
              </c:layout>
              <c:tx>
                <c:rich>
                  <a:bodyPr/>
                  <a:lstStyle/>
                  <a:p>
                    <a:pPr>
                      <a:defRPr sz="1050"/>
                    </a:pPr>
                    <a:r>
                      <a:rPr lang="en-US" sz="1050" baseline="0"/>
                      <a:t>y = -10,283x + 20767
R² = 0,0582</a:t>
                    </a:r>
                    <a:endParaRPr lang="en-US" sz="1050"/>
                  </a:p>
                </c:rich>
              </c:tx>
              <c:numFmt formatCode="General" sourceLinked="0"/>
            </c:trendlineLbl>
          </c:trendline>
          <c:xVal>
            <c:numRef>
              <c:f>'PRONÓSTICO CLARO'!$B$6:$B$89</c:f>
              <c:numCache>
                <c:formatCode>General</c:formatCode>
                <c:ptCount val="84"/>
                <c:pt idx="0">
                  <c:v>2010</c:v>
                </c:pt>
                <c:pt idx="1">
                  <c:v>2010.0833333333333</c:v>
                </c:pt>
                <c:pt idx="2">
                  <c:v>2010.1666666666665</c:v>
                </c:pt>
                <c:pt idx="3">
                  <c:v>2010.2499999999998</c:v>
                </c:pt>
                <c:pt idx="4">
                  <c:v>2010.333333333333</c:v>
                </c:pt>
                <c:pt idx="5">
                  <c:v>2010.4166666666663</c:v>
                </c:pt>
                <c:pt idx="6">
                  <c:v>2010.4999999999995</c:v>
                </c:pt>
                <c:pt idx="7">
                  <c:v>2010.5833333333328</c:v>
                </c:pt>
                <c:pt idx="8">
                  <c:v>2010.6666666666661</c:v>
                </c:pt>
                <c:pt idx="9">
                  <c:v>2010.7499999999993</c:v>
                </c:pt>
                <c:pt idx="10">
                  <c:v>2010.8333333333326</c:v>
                </c:pt>
                <c:pt idx="11">
                  <c:v>2010.9166666666658</c:v>
                </c:pt>
                <c:pt idx="12">
                  <c:v>2010.9999999999991</c:v>
                </c:pt>
                <c:pt idx="13">
                  <c:v>2011.0833333333323</c:v>
                </c:pt>
                <c:pt idx="14">
                  <c:v>2011.1666666666656</c:v>
                </c:pt>
                <c:pt idx="15">
                  <c:v>2011.2499999999989</c:v>
                </c:pt>
                <c:pt idx="16">
                  <c:v>2011.3333333333321</c:v>
                </c:pt>
                <c:pt idx="17">
                  <c:v>2011.4166666666654</c:v>
                </c:pt>
                <c:pt idx="18">
                  <c:v>2011.4999999999986</c:v>
                </c:pt>
                <c:pt idx="19">
                  <c:v>2011.5833333333319</c:v>
                </c:pt>
                <c:pt idx="20">
                  <c:v>2011.6666666666652</c:v>
                </c:pt>
                <c:pt idx="21">
                  <c:v>2011.7499999999984</c:v>
                </c:pt>
                <c:pt idx="22">
                  <c:v>2011.8333333333317</c:v>
                </c:pt>
                <c:pt idx="23">
                  <c:v>2011.9166666666649</c:v>
                </c:pt>
                <c:pt idx="24">
                  <c:v>2011.9999999999982</c:v>
                </c:pt>
                <c:pt idx="25">
                  <c:v>2012.0833333333314</c:v>
                </c:pt>
                <c:pt idx="26">
                  <c:v>2012.1666666666647</c:v>
                </c:pt>
                <c:pt idx="27">
                  <c:v>2012.249999999998</c:v>
                </c:pt>
                <c:pt idx="28">
                  <c:v>2012.3333333333312</c:v>
                </c:pt>
                <c:pt idx="29">
                  <c:v>2012.4166666666645</c:v>
                </c:pt>
                <c:pt idx="30">
                  <c:v>2012.4999999999977</c:v>
                </c:pt>
                <c:pt idx="31">
                  <c:v>2012.583333333331</c:v>
                </c:pt>
                <c:pt idx="32">
                  <c:v>2012.6666666666642</c:v>
                </c:pt>
                <c:pt idx="33">
                  <c:v>2012.7499999999975</c:v>
                </c:pt>
                <c:pt idx="34">
                  <c:v>2012.8333333333308</c:v>
                </c:pt>
                <c:pt idx="35">
                  <c:v>2012.916666666664</c:v>
                </c:pt>
                <c:pt idx="36">
                  <c:v>2012.9999999999973</c:v>
                </c:pt>
                <c:pt idx="37">
                  <c:v>2013.0833333333305</c:v>
                </c:pt>
                <c:pt idx="38">
                  <c:v>2013.1666666666638</c:v>
                </c:pt>
                <c:pt idx="39">
                  <c:v>2013.249999999997</c:v>
                </c:pt>
                <c:pt idx="40">
                  <c:v>2013.3333333333303</c:v>
                </c:pt>
                <c:pt idx="41">
                  <c:v>2013.4166666666636</c:v>
                </c:pt>
                <c:pt idx="42">
                  <c:v>2013.4999999999968</c:v>
                </c:pt>
                <c:pt idx="43">
                  <c:v>2013.5833333333301</c:v>
                </c:pt>
                <c:pt idx="44">
                  <c:v>2013.6666666666633</c:v>
                </c:pt>
                <c:pt idx="45">
                  <c:v>2013.7499999999966</c:v>
                </c:pt>
                <c:pt idx="46">
                  <c:v>2013.8333333333298</c:v>
                </c:pt>
                <c:pt idx="47">
                  <c:v>2013.9166666666631</c:v>
                </c:pt>
                <c:pt idx="48">
                  <c:v>2013.9999999999964</c:v>
                </c:pt>
                <c:pt idx="49">
                  <c:v>2014.0833333333296</c:v>
                </c:pt>
                <c:pt idx="50">
                  <c:v>2014.1666666666629</c:v>
                </c:pt>
                <c:pt idx="51">
                  <c:v>2014.2499999999961</c:v>
                </c:pt>
                <c:pt idx="52">
                  <c:v>2014.3333333333294</c:v>
                </c:pt>
                <c:pt idx="53">
                  <c:v>2014.4166666666626</c:v>
                </c:pt>
                <c:pt idx="54">
                  <c:v>2014.4999999999959</c:v>
                </c:pt>
                <c:pt idx="55">
                  <c:v>2014.5833333333292</c:v>
                </c:pt>
                <c:pt idx="56">
                  <c:v>2014.6666666666624</c:v>
                </c:pt>
                <c:pt idx="57">
                  <c:v>2014.7499999999957</c:v>
                </c:pt>
                <c:pt idx="58">
                  <c:v>2014.8333333333289</c:v>
                </c:pt>
                <c:pt idx="59">
                  <c:v>2014.9166666666622</c:v>
                </c:pt>
                <c:pt idx="60">
                  <c:v>2014.9999999999955</c:v>
                </c:pt>
                <c:pt idx="61">
                  <c:v>2015.0833333333287</c:v>
                </c:pt>
                <c:pt idx="62">
                  <c:v>2015.166666666662</c:v>
                </c:pt>
                <c:pt idx="63">
                  <c:v>2015.2499999999952</c:v>
                </c:pt>
                <c:pt idx="64">
                  <c:v>2015.3333333333285</c:v>
                </c:pt>
                <c:pt idx="65">
                  <c:v>2015.4166666666617</c:v>
                </c:pt>
                <c:pt idx="66">
                  <c:v>2015.499999999995</c:v>
                </c:pt>
                <c:pt idx="67">
                  <c:v>2015.5833333333283</c:v>
                </c:pt>
                <c:pt idx="68">
                  <c:v>2015.6666666666615</c:v>
                </c:pt>
                <c:pt idx="69">
                  <c:v>2015.7499999999948</c:v>
                </c:pt>
                <c:pt idx="70">
                  <c:v>2015.833333333328</c:v>
                </c:pt>
                <c:pt idx="71">
                  <c:v>2015.9166666666613</c:v>
                </c:pt>
                <c:pt idx="72">
                  <c:v>2015.9999999999945</c:v>
                </c:pt>
                <c:pt idx="73">
                  <c:v>2016.0833333333278</c:v>
                </c:pt>
                <c:pt idx="74">
                  <c:v>2016.1666666666611</c:v>
                </c:pt>
                <c:pt idx="75">
                  <c:v>2016.2499999999943</c:v>
                </c:pt>
                <c:pt idx="76">
                  <c:v>2016.3333333333276</c:v>
                </c:pt>
                <c:pt idx="77">
                  <c:v>2016.4166666666608</c:v>
                </c:pt>
                <c:pt idx="78">
                  <c:v>2016.4999999999941</c:v>
                </c:pt>
                <c:pt idx="79">
                  <c:v>2016.5833333333273</c:v>
                </c:pt>
                <c:pt idx="80">
                  <c:v>2016.6666666666606</c:v>
                </c:pt>
                <c:pt idx="81">
                  <c:v>2016.7499999999939</c:v>
                </c:pt>
                <c:pt idx="82">
                  <c:v>2016.8333333333271</c:v>
                </c:pt>
                <c:pt idx="83">
                  <c:v>2016.9166666666604</c:v>
                </c:pt>
              </c:numCache>
            </c:numRef>
          </c:xVal>
          <c:yVal>
            <c:numRef>
              <c:f>'PRONÓSTICO CLARO'!$C$6:$C$89</c:f>
              <c:numCache>
                <c:formatCode>General</c:formatCode>
                <c:ptCount val="84"/>
                <c:pt idx="0">
                  <c:v>34.68</c:v>
                </c:pt>
                <c:pt idx="1">
                  <c:v>208.54</c:v>
                </c:pt>
                <c:pt idx="2">
                  <c:v>69.290000000000006</c:v>
                </c:pt>
                <c:pt idx="3">
                  <c:v>208.48</c:v>
                </c:pt>
                <c:pt idx="4">
                  <c:v>74.7</c:v>
                </c:pt>
                <c:pt idx="5">
                  <c:v>175.68</c:v>
                </c:pt>
                <c:pt idx="6">
                  <c:v>376.42</c:v>
                </c:pt>
                <c:pt idx="7">
                  <c:v>36.36</c:v>
                </c:pt>
                <c:pt idx="8">
                  <c:v>57.52</c:v>
                </c:pt>
                <c:pt idx="9">
                  <c:v>0</c:v>
                </c:pt>
                <c:pt idx="10">
                  <c:v>71.02</c:v>
                </c:pt>
                <c:pt idx="11">
                  <c:v>221.9</c:v>
                </c:pt>
                <c:pt idx="12">
                  <c:v>50.95</c:v>
                </c:pt>
                <c:pt idx="13">
                  <c:v>0</c:v>
                </c:pt>
                <c:pt idx="14">
                  <c:v>3.47</c:v>
                </c:pt>
                <c:pt idx="15">
                  <c:v>156.34</c:v>
                </c:pt>
                <c:pt idx="16">
                  <c:v>263.94</c:v>
                </c:pt>
                <c:pt idx="17">
                  <c:v>0</c:v>
                </c:pt>
                <c:pt idx="18">
                  <c:v>209.31</c:v>
                </c:pt>
                <c:pt idx="19">
                  <c:v>14.7</c:v>
                </c:pt>
                <c:pt idx="20">
                  <c:v>0</c:v>
                </c:pt>
                <c:pt idx="21">
                  <c:v>44.65</c:v>
                </c:pt>
                <c:pt idx="22">
                  <c:v>182.81</c:v>
                </c:pt>
                <c:pt idx="23">
                  <c:v>7.51</c:v>
                </c:pt>
                <c:pt idx="24">
                  <c:v>28.92</c:v>
                </c:pt>
                <c:pt idx="25">
                  <c:v>0</c:v>
                </c:pt>
                <c:pt idx="26">
                  <c:v>212.95</c:v>
                </c:pt>
                <c:pt idx="27">
                  <c:v>42.93</c:v>
                </c:pt>
                <c:pt idx="28">
                  <c:v>91.42</c:v>
                </c:pt>
                <c:pt idx="29">
                  <c:v>58.32</c:v>
                </c:pt>
                <c:pt idx="30">
                  <c:v>0</c:v>
                </c:pt>
                <c:pt idx="31">
                  <c:v>92.11</c:v>
                </c:pt>
                <c:pt idx="32">
                  <c:v>4.4800000000000004</c:v>
                </c:pt>
                <c:pt idx="33">
                  <c:v>63.06</c:v>
                </c:pt>
                <c:pt idx="34">
                  <c:v>5.54</c:v>
                </c:pt>
                <c:pt idx="35">
                  <c:v>0</c:v>
                </c:pt>
                <c:pt idx="36">
                  <c:v>43.7</c:v>
                </c:pt>
                <c:pt idx="37">
                  <c:v>53.28</c:v>
                </c:pt>
                <c:pt idx="38">
                  <c:v>94.88</c:v>
                </c:pt>
                <c:pt idx="39">
                  <c:v>27.63</c:v>
                </c:pt>
                <c:pt idx="40">
                  <c:v>91.22</c:v>
                </c:pt>
                <c:pt idx="41">
                  <c:v>0</c:v>
                </c:pt>
                <c:pt idx="42">
                  <c:v>6.97</c:v>
                </c:pt>
                <c:pt idx="43">
                  <c:v>105.47</c:v>
                </c:pt>
                <c:pt idx="44">
                  <c:v>203.73</c:v>
                </c:pt>
                <c:pt idx="45">
                  <c:v>24.1</c:v>
                </c:pt>
                <c:pt idx="46">
                  <c:v>0</c:v>
                </c:pt>
                <c:pt idx="47">
                  <c:v>0</c:v>
                </c:pt>
                <c:pt idx="48">
                  <c:v>96.45</c:v>
                </c:pt>
                <c:pt idx="49">
                  <c:v>0</c:v>
                </c:pt>
                <c:pt idx="50">
                  <c:v>248.81</c:v>
                </c:pt>
                <c:pt idx="51">
                  <c:v>0</c:v>
                </c:pt>
                <c:pt idx="52">
                  <c:v>5.14</c:v>
                </c:pt>
                <c:pt idx="53">
                  <c:v>0</c:v>
                </c:pt>
                <c:pt idx="54">
                  <c:v>0</c:v>
                </c:pt>
                <c:pt idx="55">
                  <c:v>0</c:v>
                </c:pt>
                <c:pt idx="56">
                  <c:v>81.92</c:v>
                </c:pt>
                <c:pt idx="57">
                  <c:v>123.12</c:v>
                </c:pt>
                <c:pt idx="58">
                  <c:v>0</c:v>
                </c:pt>
                <c:pt idx="59">
                  <c:v>0</c:v>
                </c:pt>
                <c:pt idx="60">
                  <c:v>57.48</c:v>
                </c:pt>
                <c:pt idx="61">
                  <c:v>0</c:v>
                </c:pt>
                <c:pt idx="62">
                  <c:v>28.75</c:v>
                </c:pt>
                <c:pt idx="63">
                  <c:v>0</c:v>
                </c:pt>
                <c:pt idx="64">
                  <c:v>0</c:v>
                </c:pt>
                <c:pt idx="65">
                  <c:v>5.78</c:v>
                </c:pt>
                <c:pt idx="66">
                  <c:v>60.08</c:v>
                </c:pt>
                <c:pt idx="67">
                  <c:v>0</c:v>
                </c:pt>
                <c:pt idx="68">
                  <c:v>69.08</c:v>
                </c:pt>
                <c:pt idx="69">
                  <c:v>4.8600000000000003</c:v>
                </c:pt>
                <c:pt idx="70">
                  <c:v>0</c:v>
                </c:pt>
                <c:pt idx="71">
                  <c:v>0</c:v>
                </c:pt>
                <c:pt idx="72">
                  <c:v>11.65</c:v>
                </c:pt>
                <c:pt idx="73">
                  <c:v>0</c:v>
                </c:pt>
                <c:pt idx="74">
                  <c:v>41.22</c:v>
                </c:pt>
                <c:pt idx="75">
                  <c:v>0</c:v>
                </c:pt>
                <c:pt idx="76">
                  <c:v>0</c:v>
                </c:pt>
                <c:pt idx="77">
                  <c:v>41.22</c:v>
                </c:pt>
                <c:pt idx="78">
                  <c:v>376.42</c:v>
                </c:pt>
                <c:pt idx="79">
                  <c:v>36.36</c:v>
                </c:pt>
                <c:pt idx="80">
                  <c:v>57.52</c:v>
                </c:pt>
                <c:pt idx="81">
                  <c:v>0</c:v>
                </c:pt>
                <c:pt idx="82">
                  <c:v>71.02</c:v>
                </c:pt>
                <c:pt idx="83">
                  <c:v>221.9</c:v>
                </c:pt>
              </c:numCache>
            </c:numRef>
          </c:yVal>
          <c:smooth val="0"/>
        </c:ser>
        <c:dLbls>
          <c:showLegendKey val="0"/>
          <c:showVal val="0"/>
          <c:showCatName val="0"/>
          <c:showSerName val="0"/>
          <c:showPercent val="0"/>
          <c:showBubbleSize val="0"/>
        </c:dLbls>
        <c:axId val="144906496"/>
        <c:axId val="144908288"/>
      </c:scatterChart>
      <c:valAx>
        <c:axId val="144906496"/>
        <c:scaling>
          <c:orientation val="minMax"/>
        </c:scaling>
        <c:delete val="0"/>
        <c:axPos val="b"/>
        <c:numFmt formatCode="General" sourceLinked="1"/>
        <c:majorTickMark val="out"/>
        <c:minorTickMark val="none"/>
        <c:tickLblPos val="nextTo"/>
        <c:crossAx val="144908288"/>
        <c:crosses val="autoZero"/>
        <c:crossBetween val="midCat"/>
      </c:valAx>
      <c:valAx>
        <c:axId val="144908288"/>
        <c:scaling>
          <c:orientation val="minMax"/>
        </c:scaling>
        <c:delete val="0"/>
        <c:axPos val="l"/>
        <c:majorGridlines/>
        <c:numFmt formatCode="General" sourceLinked="1"/>
        <c:majorTickMark val="out"/>
        <c:minorTickMark val="none"/>
        <c:tickLblPos val="nextTo"/>
        <c:crossAx val="144906496"/>
        <c:crosses val="autoZero"/>
        <c:crossBetween val="midCat"/>
      </c:valAx>
    </c:plotArea>
    <c:plotVisOnly val="1"/>
    <c:dispBlanksAs val="gap"/>
    <c:showDLblsOverMax val="0"/>
  </c:chart>
  <c:printSettings>
    <c:headerFooter/>
    <c:pageMargins b="0.75" l="0.7" r="0.7" t="0.75" header="0.3" footer="0.3"/>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Demanda en Kilos logarítmica</a:t>
            </a:r>
          </a:p>
        </c:rich>
      </c:tx>
      <c:overlay val="0"/>
    </c:title>
    <c:autoTitleDeleted val="0"/>
    <c:plotArea>
      <c:layout/>
      <c:scatterChart>
        <c:scatterStyle val="lineMarker"/>
        <c:varyColors val="0"/>
        <c:ser>
          <c:idx val="0"/>
          <c:order val="0"/>
          <c:tx>
            <c:strRef>
              <c:f>' Poliester Claro '!$C$35</c:f>
              <c:strCache>
                <c:ptCount val="1"/>
                <c:pt idx="0">
                  <c:v>Demanda en Kilos</c:v>
                </c:pt>
              </c:strCache>
            </c:strRef>
          </c:tx>
          <c:spPr>
            <a:ln w="28575">
              <a:noFill/>
            </a:ln>
          </c:spPr>
          <c:trendline>
            <c:spPr>
              <a:ln w="19050">
                <a:solidFill>
                  <a:srgbClr val="FF0000"/>
                </a:solidFill>
              </a:ln>
            </c:spPr>
            <c:trendlineType val="log"/>
            <c:dispRSqr val="1"/>
            <c:dispEq val="1"/>
            <c:trendlineLbl>
              <c:layout>
                <c:manualLayout>
                  <c:x val="0.49322200349956258"/>
                  <c:y val="-0.52564049285505976"/>
                </c:manualLayout>
              </c:layout>
              <c:numFmt formatCode="General" sourceLinked="0"/>
            </c:trendlineLbl>
          </c:trendline>
          <c:xVal>
            <c:numRef>
              <c:f>' Poliester Claro '!$B$36:$B$61</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 Poliester Claro '!$C$36:$C$61</c:f>
              <c:numCache>
                <c:formatCode>General</c:formatCode>
                <c:ptCount val="26"/>
                <c:pt idx="0">
                  <c:v>312.51</c:v>
                </c:pt>
                <c:pt idx="1">
                  <c:v>458.86</c:v>
                </c:pt>
                <c:pt idx="2">
                  <c:v>470.3</c:v>
                </c:pt>
                <c:pt idx="3">
                  <c:v>292.92</c:v>
                </c:pt>
                <c:pt idx="4">
                  <c:v>54.42</c:v>
                </c:pt>
                <c:pt idx="5">
                  <c:v>420.28</c:v>
                </c:pt>
                <c:pt idx="6">
                  <c:v>224.01</c:v>
                </c:pt>
                <c:pt idx="7">
                  <c:v>234.97</c:v>
                </c:pt>
                <c:pt idx="8">
                  <c:v>241.87</c:v>
                </c:pt>
                <c:pt idx="9">
                  <c:v>192.67</c:v>
                </c:pt>
                <c:pt idx="10">
                  <c:v>96.59</c:v>
                </c:pt>
                <c:pt idx="11">
                  <c:v>68.600000000000009</c:v>
                </c:pt>
                <c:pt idx="12">
                  <c:v>191.86</c:v>
                </c:pt>
                <c:pt idx="13">
                  <c:v>118.85</c:v>
                </c:pt>
                <c:pt idx="14">
                  <c:v>316.16999999999996</c:v>
                </c:pt>
                <c:pt idx="15">
                  <c:v>24.1</c:v>
                </c:pt>
                <c:pt idx="16">
                  <c:v>345.26</c:v>
                </c:pt>
                <c:pt idx="17">
                  <c:v>5.14</c:v>
                </c:pt>
                <c:pt idx="18">
                  <c:v>81.92</c:v>
                </c:pt>
                <c:pt idx="19">
                  <c:v>123.12</c:v>
                </c:pt>
                <c:pt idx="20">
                  <c:v>86.22999999999999</c:v>
                </c:pt>
                <c:pt idx="21">
                  <c:v>5.78</c:v>
                </c:pt>
                <c:pt idx="22">
                  <c:v>129.16</c:v>
                </c:pt>
                <c:pt idx="23">
                  <c:v>4.8600000000000003</c:v>
                </c:pt>
                <c:pt idx="24">
                  <c:v>52.87</c:v>
                </c:pt>
                <c:pt idx="25">
                  <c:v>41.22</c:v>
                </c:pt>
              </c:numCache>
            </c:numRef>
          </c:yVal>
          <c:smooth val="0"/>
        </c:ser>
        <c:dLbls>
          <c:showLegendKey val="0"/>
          <c:showVal val="0"/>
          <c:showCatName val="0"/>
          <c:showSerName val="0"/>
          <c:showPercent val="0"/>
          <c:showBubbleSize val="0"/>
        </c:dLbls>
        <c:axId val="143982592"/>
        <c:axId val="143984128"/>
      </c:scatterChart>
      <c:valAx>
        <c:axId val="143982592"/>
        <c:scaling>
          <c:orientation val="minMax"/>
        </c:scaling>
        <c:delete val="0"/>
        <c:axPos val="b"/>
        <c:numFmt formatCode="General" sourceLinked="1"/>
        <c:majorTickMark val="out"/>
        <c:minorTickMark val="none"/>
        <c:tickLblPos val="nextTo"/>
        <c:crossAx val="143984128"/>
        <c:crosses val="autoZero"/>
        <c:crossBetween val="midCat"/>
      </c:valAx>
      <c:valAx>
        <c:axId val="143984128"/>
        <c:scaling>
          <c:orientation val="minMax"/>
        </c:scaling>
        <c:delete val="0"/>
        <c:axPos val="l"/>
        <c:majorGridlines/>
        <c:numFmt formatCode="General" sourceLinked="1"/>
        <c:majorTickMark val="out"/>
        <c:minorTickMark val="none"/>
        <c:tickLblPos val="nextTo"/>
        <c:crossAx val="143982592"/>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Demanda en Kilos Exponenecial</a:t>
            </a:r>
          </a:p>
        </c:rich>
      </c:tx>
      <c:overlay val="0"/>
    </c:title>
    <c:autoTitleDeleted val="0"/>
    <c:plotArea>
      <c:layout/>
      <c:scatterChart>
        <c:scatterStyle val="lineMarker"/>
        <c:varyColors val="0"/>
        <c:ser>
          <c:idx val="0"/>
          <c:order val="0"/>
          <c:tx>
            <c:strRef>
              <c:f>' Poliester Claro '!$C$35</c:f>
              <c:strCache>
                <c:ptCount val="1"/>
                <c:pt idx="0">
                  <c:v>Demanda en Kilos</c:v>
                </c:pt>
              </c:strCache>
            </c:strRef>
          </c:tx>
          <c:spPr>
            <a:ln w="28575">
              <a:noFill/>
            </a:ln>
          </c:spPr>
          <c:trendline>
            <c:spPr>
              <a:ln w="19050">
                <a:solidFill>
                  <a:srgbClr val="FF0000"/>
                </a:solidFill>
              </a:ln>
            </c:spPr>
            <c:trendlineType val="exp"/>
            <c:dispRSqr val="1"/>
            <c:dispEq val="1"/>
            <c:trendlineLbl>
              <c:layout>
                <c:manualLayout>
                  <c:x val="0.34082764654418196"/>
                  <c:y val="-1.424795858850977E-2"/>
                </c:manualLayout>
              </c:layout>
              <c:numFmt formatCode="General" sourceLinked="0"/>
            </c:trendlineLbl>
          </c:trendline>
          <c:trendline>
            <c:trendlineType val="exp"/>
            <c:dispRSqr val="0"/>
            <c:dispEq val="0"/>
          </c:trendline>
          <c:xVal>
            <c:numRef>
              <c:f>' Poliester Claro '!$B$36:$B$61</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 Poliester Claro '!$C$36:$C$61</c:f>
              <c:numCache>
                <c:formatCode>General</c:formatCode>
                <c:ptCount val="26"/>
                <c:pt idx="0">
                  <c:v>312.51</c:v>
                </c:pt>
                <c:pt idx="1">
                  <c:v>458.86</c:v>
                </c:pt>
                <c:pt idx="2">
                  <c:v>470.3</c:v>
                </c:pt>
                <c:pt idx="3">
                  <c:v>292.92</c:v>
                </c:pt>
                <c:pt idx="4">
                  <c:v>54.42</c:v>
                </c:pt>
                <c:pt idx="5">
                  <c:v>420.28</c:v>
                </c:pt>
                <c:pt idx="6">
                  <c:v>224.01</c:v>
                </c:pt>
                <c:pt idx="7">
                  <c:v>234.97</c:v>
                </c:pt>
                <c:pt idx="8">
                  <c:v>241.87</c:v>
                </c:pt>
                <c:pt idx="9">
                  <c:v>192.67</c:v>
                </c:pt>
                <c:pt idx="10">
                  <c:v>96.59</c:v>
                </c:pt>
                <c:pt idx="11">
                  <c:v>68.600000000000009</c:v>
                </c:pt>
                <c:pt idx="12">
                  <c:v>191.86</c:v>
                </c:pt>
                <c:pt idx="13">
                  <c:v>118.85</c:v>
                </c:pt>
                <c:pt idx="14">
                  <c:v>316.16999999999996</c:v>
                </c:pt>
                <c:pt idx="15">
                  <c:v>24.1</c:v>
                </c:pt>
                <c:pt idx="16">
                  <c:v>345.26</c:v>
                </c:pt>
                <c:pt idx="17">
                  <c:v>5.14</c:v>
                </c:pt>
                <c:pt idx="18">
                  <c:v>81.92</c:v>
                </c:pt>
                <c:pt idx="19">
                  <c:v>123.12</c:v>
                </c:pt>
                <c:pt idx="20">
                  <c:v>86.22999999999999</c:v>
                </c:pt>
                <c:pt idx="21">
                  <c:v>5.78</c:v>
                </c:pt>
                <c:pt idx="22">
                  <c:v>129.16</c:v>
                </c:pt>
                <c:pt idx="23">
                  <c:v>4.8600000000000003</c:v>
                </c:pt>
                <c:pt idx="24">
                  <c:v>52.87</c:v>
                </c:pt>
                <c:pt idx="25">
                  <c:v>41.22</c:v>
                </c:pt>
              </c:numCache>
            </c:numRef>
          </c:yVal>
          <c:smooth val="0"/>
        </c:ser>
        <c:dLbls>
          <c:showLegendKey val="0"/>
          <c:showVal val="0"/>
          <c:showCatName val="0"/>
          <c:showSerName val="0"/>
          <c:showPercent val="0"/>
          <c:showBubbleSize val="0"/>
        </c:dLbls>
        <c:axId val="144018432"/>
        <c:axId val="144139008"/>
      </c:scatterChart>
      <c:valAx>
        <c:axId val="144018432"/>
        <c:scaling>
          <c:orientation val="minMax"/>
        </c:scaling>
        <c:delete val="0"/>
        <c:axPos val="b"/>
        <c:numFmt formatCode="General" sourceLinked="1"/>
        <c:majorTickMark val="out"/>
        <c:minorTickMark val="none"/>
        <c:tickLblPos val="nextTo"/>
        <c:crossAx val="144139008"/>
        <c:crosses val="autoZero"/>
        <c:crossBetween val="midCat"/>
      </c:valAx>
      <c:valAx>
        <c:axId val="144139008"/>
        <c:scaling>
          <c:orientation val="minMax"/>
        </c:scaling>
        <c:delete val="0"/>
        <c:axPos val="l"/>
        <c:majorGridlines/>
        <c:numFmt formatCode="General" sourceLinked="1"/>
        <c:majorTickMark val="out"/>
        <c:minorTickMark val="none"/>
        <c:tickLblPos val="nextTo"/>
        <c:crossAx val="144018432"/>
        <c:crosses val="autoZero"/>
        <c:crossBetween val="midCat"/>
      </c:valAx>
    </c:plotArea>
    <c:legend>
      <c:legendPos val="r"/>
      <c:legendEntry>
        <c:idx val="2"/>
        <c:delete val="1"/>
      </c:legendEntry>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Demanda en Kilos Polinómica</a:t>
            </a:r>
          </a:p>
        </c:rich>
      </c:tx>
      <c:overlay val="0"/>
    </c:title>
    <c:autoTitleDeleted val="0"/>
    <c:plotArea>
      <c:layout/>
      <c:scatterChart>
        <c:scatterStyle val="lineMarker"/>
        <c:varyColors val="0"/>
        <c:ser>
          <c:idx val="0"/>
          <c:order val="0"/>
          <c:tx>
            <c:strRef>
              <c:f>' Poliester Claro '!$C$35</c:f>
              <c:strCache>
                <c:ptCount val="1"/>
                <c:pt idx="0">
                  <c:v>Demanda en Kilos</c:v>
                </c:pt>
              </c:strCache>
            </c:strRef>
          </c:tx>
          <c:spPr>
            <a:ln w="28575">
              <a:noFill/>
            </a:ln>
          </c:spPr>
          <c:trendline>
            <c:spPr>
              <a:ln w="19050">
                <a:solidFill>
                  <a:srgbClr val="FF0000"/>
                </a:solidFill>
              </a:ln>
            </c:spPr>
            <c:trendlineType val="poly"/>
            <c:order val="2"/>
            <c:dispRSqr val="1"/>
            <c:dispEq val="1"/>
            <c:trendlineLbl>
              <c:layout>
                <c:manualLayout>
                  <c:x val="0.4884870953630796"/>
                  <c:y val="-0.52411344415281425"/>
                </c:manualLayout>
              </c:layout>
              <c:numFmt formatCode="General" sourceLinked="0"/>
            </c:trendlineLbl>
          </c:trendline>
          <c:xVal>
            <c:numRef>
              <c:f>' Poliester Claro '!$B$36:$B$61</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 Poliester Claro '!$C$36:$C$61</c:f>
              <c:numCache>
                <c:formatCode>General</c:formatCode>
                <c:ptCount val="26"/>
                <c:pt idx="0">
                  <c:v>312.51</c:v>
                </c:pt>
                <c:pt idx="1">
                  <c:v>458.86</c:v>
                </c:pt>
                <c:pt idx="2">
                  <c:v>470.3</c:v>
                </c:pt>
                <c:pt idx="3">
                  <c:v>292.92</c:v>
                </c:pt>
                <c:pt idx="4">
                  <c:v>54.42</c:v>
                </c:pt>
                <c:pt idx="5">
                  <c:v>420.28</c:v>
                </c:pt>
                <c:pt idx="6">
                  <c:v>224.01</c:v>
                </c:pt>
                <c:pt idx="7">
                  <c:v>234.97</c:v>
                </c:pt>
                <c:pt idx="8">
                  <c:v>241.87</c:v>
                </c:pt>
                <c:pt idx="9">
                  <c:v>192.67</c:v>
                </c:pt>
                <c:pt idx="10">
                  <c:v>96.59</c:v>
                </c:pt>
                <c:pt idx="11">
                  <c:v>68.600000000000009</c:v>
                </c:pt>
                <c:pt idx="12">
                  <c:v>191.86</c:v>
                </c:pt>
                <c:pt idx="13">
                  <c:v>118.85</c:v>
                </c:pt>
                <c:pt idx="14">
                  <c:v>316.16999999999996</c:v>
                </c:pt>
                <c:pt idx="15">
                  <c:v>24.1</c:v>
                </c:pt>
                <c:pt idx="16">
                  <c:v>345.26</c:v>
                </c:pt>
                <c:pt idx="17">
                  <c:v>5.14</c:v>
                </c:pt>
                <c:pt idx="18">
                  <c:v>81.92</c:v>
                </c:pt>
                <c:pt idx="19">
                  <c:v>123.12</c:v>
                </c:pt>
                <c:pt idx="20">
                  <c:v>86.22999999999999</c:v>
                </c:pt>
                <c:pt idx="21">
                  <c:v>5.78</c:v>
                </c:pt>
                <c:pt idx="22">
                  <c:v>129.16</c:v>
                </c:pt>
                <c:pt idx="23">
                  <c:v>4.8600000000000003</c:v>
                </c:pt>
                <c:pt idx="24">
                  <c:v>52.87</c:v>
                </c:pt>
                <c:pt idx="25">
                  <c:v>41.22</c:v>
                </c:pt>
              </c:numCache>
            </c:numRef>
          </c:yVal>
          <c:smooth val="0"/>
        </c:ser>
        <c:dLbls>
          <c:showLegendKey val="0"/>
          <c:showVal val="0"/>
          <c:showCatName val="0"/>
          <c:showSerName val="0"/>
          <c:showPercent val="0"/>
          <c:showBubbleSize val="0"/>
        </c:dLbls>
        <c:axId val="144153984"/>
        <c:axId val="144172160"/>
      </c:scatterChart>
      <c:valAx>
        <c:axId val="144153984"/>
        <c:scaling>
          <c:orientation val="minMax"/>
        </c:scaling>
        <c:delete val="0"/>
        <c:axPos val="b"/>
        <c:numFmt formatCode="General" sourceLinked="1"/>
        <c:majorTickMark val="out"/>
        <c:minorTickMark val="none"/>
        <c:tickLblPos val="nextTo"/>
        <c:crossAx val="144172160"/>
        <c:crosses val="autoZero"/>
        <c:crossBetween val="midCat"/>
      </c:valAx>
      <c:valAx>
        <c:axId val="144172160"/>
        <c:scaling>
          <c:orientation val="minMax"/>
        </c:scaling>
        <c:delete val="0"/>
        <c:axPos val="l"/>
        <c:majorGridlines/>
        <c:numFmt formatCode="General" sourceLinked="1"/>
        <c:majorTickMark val="out"/>
        <c:minorTickMark val="none"/>
        <c:tickLblPos val="nextTo"/>
        <c:crossAx val="144153984"/>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Demanda en Kilos media móvil</a:t>
            </a:r>
          </a:p>
        </c:rich>
      </c:tx>
      <c:overlay val="0"/>
    </c:title>
    <c:autoTitleDeleted val="0"/>
    <c:plotArea>
      <c:layout/>
      <c:scatterChart>
        <c:scatterStyle val="lineMarker"/>
        <c:varyColors val="0"/>
        <c:ser>
          <c:idx val="0"/>
          <c:order val="0"/>
          <c:tx>
            <c:strRef>
              <c:f>' Poliester Claro '!$C$35</c:f>
              <c:strCache>
                <c:ptCount val="1"/>
                <c:pt idx="0">
                  <c:v>Demanda en Kilos</c:v>
                </c:pt>
              </c:strCache>
            </c:strRef>
          </c:tx>
          <c:spPr>
            <a:ln w="28575">
              <a:noFill/>
            </a:ln>
          </c:spPr>
          <c:trendline>
            <c:trendlineType val="movingAvg"/>
            <c:period val="2"/>
            <c:dispRSqr val="0"/>
            <c:dispEq val="0"/>
          </c:trendline>
          <c:xVal>
            <c:numRef>
              <c:f>' Poliester Claro '!$B$36:$B$61</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 Poliester Claro '!$C$36:$C$61</c:f>
              <c:numCache>
                <c:formatCode>General</c:formatCode>
                <c:ptCount val="26"/>
                <c:pt idx="0">
                  <c:v>312.51</c:v>
                </c:pt>
                <c:pt idx="1">
                  <c:v>458.86</c:v>
                </c:pt>
                <c:pt idx="2">
                  <c:v>470.3</c:v>
                </c:pt>
                <c:pt idx="3">
                  <c:v>292.92</c:v>
                </c:pt>
                <c:pt idx="4">
                  <c:v>54.42</c:v>
                </c:pt>
                <c:pt idx="5">
                  <c:v>420.28</c:v>
                </c:pt>
                <c:pt idx="6">
                  <c:v>224.01</c:v>
                </c:pt>
                <c:pt idx="7">
                  <c:v>234.97</c:v>
                </c:pt>
                <c:pt idx="8">
                  <c:v>241.87</c:v>
                </c:pt>
                <c:pt idx="9">
                  <c:v>192.67</c:v>
                </c:pt>
                <c:pt idx="10">
                  <c:v>96.59</c:v>
                </c:pt>
                <c:pt idx="11">
                  <c:v>68.600000000000009</c:v>
                </c:pt>
                <c:pt idx="12">
                  <c:v>191.86</c:v>
                </c:pt>
                <c:pt idx="13">
                  <c:v>118.85</c:v>
                </c:pt>
                <c:pt idx="14">
                  <c:v>316.16999999999996</c:v>
                </c:pt>
                <c:pt idx="15">
                  <c:v>24.1</c:v>
                </c:pt>
                <c:pt idx="16">
                  <c:v>345.26</c:v>
                </c:pt>
                <c:pt idx="17">
                  <c:v>5.14</c:v>
                </c:pt>
                <c:pt idx="18">
                  <c:v>81.92</c:v>
                </c:pt>
                <c:pt idx="19">
                  <c:v>123.12</c:v>
                </c:pt>
                <c:pt idx="20">
                  <c:v>86.22999999999999</c:v>
                </c:pt>
                <c:pt idx="21">
                  <c:v>5.78</c:v>
                </c:pt>
                <c:pt idx="22">
                  <c:v>129.16</c:v>
                </c:pt>
                <c:pt idx="23">
                  <c:v>4.8600000000000003</c:v>
                </c:pt>
                <c:pt idx="24">
                  <c:v>52.87</c:v>
                </c:pt>
                <c:pt idx="25">
                  <c:v>41.22</c:v>
                </c:pt>
              </c:numCache>
            </c:numRef>
          </c:yVal>
          <c:smooth val="0"/>
        </c:ser>
        <c:dLbls>
          <c:showLegendKey val="0"/>
          <c:showVal val="0"/>
          <c:showCatName val="0"/>
          <c:showSerName val="0"/>
          <c:showPercent val="0"/>
          <c:showBubbleSize val="0"/>
        </c:dLbls>
        <c:axId val="144599296"/>
        <c:axId val="144609280"/>
      </c:scatterChart>
      <c:valAx>
        <c:axId val="144599296"/>
        <c:scaling>
          <c:orientation val="minMax"/>
        </c:scaling>
        <c:delete val="0"/>
        <c:axPos val="b"/>
        <c:numFmt formatCode="General" sourceLinked="1"/>
        <c:majorTickMark val="out"/>
        <c:minorTickMark val="none"/>
        <c:tickLblPos val="nextTo"/>
        <c:crossAx val="144609280"/>
        <c:crosses val="autoZero"/>
        <c:crossBetween val="midCat"/>
      </c:valAx>
      <c:valAx>
        <c:axId val="144609280"/>
        <c:scaling>
          <c:orientation val="minMax"/>
        </c:scaling>
        <c:delete val="0"/>
        <c:axPos val="l"/>
        <c:majorGridlines/>
        <c:numFmt formatCode="General" sourceLinked="1"/>
        <c:majorTickMark val="out"/>
        <c:minorTickMark val="none"/>
        <c:tickLblPos val="nextTo"/>
        <c:crossAx val="144599296"/>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ES"/>
              <a:t>Variable X 1 Gráfico de los residuales</a:t>
            </a:r>
          </a:p>
        </c:rich>
      </c:tx>
      <c:overlay val="0"/>
    </c:title>
    <c:autoTitleDeleted val="0"/>
    <c:plotArea>
      <c:layout/>
      <c:scatterChart>
        <c:scatterStyle val="lineMarker"/>
        <c:varyColors val="0"/>
        <c:ser>
          <c:idx val="0"/>
          <c:order val="0"/>
          <c:spPr>
            <a:ln w="28575">
              <a:noFill/>
            </a:ln>
          </c:spPr>
          <c:xVal>
            <c:numRef>
              <c:f>' Poliester Claro '!$B$36:$B$61</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 Poliester Claro '!$C$115:$C$140</c:f>
              <c:numCache>
                <c:formatCode>General</c:formatCode>
                <c:ptCount val="26"/>
                <c:pt idx="0">
                  <c:v>-29.133162393156681</c:v>
                </c:pt>
                <c:pt idx="1">
                  <c:v>130.41124444444665</c:v>
                </c:pt>
                <c:pt idx="2">
                  <c:v>155.04565128206451</c:v>
                </c:pt>
                <c:pt idx="3">
                  <c:v>-9.1399418803321737</c:v>
                </c:pt>
                <c:pt idx="4">
                  <c:v>-234.44553504272886</c:v>
                </c:pt>
                <c:pt idx="5">
                  <c:v>144.6088717948744</c:v>
                </c:pt>
                <c:pt idx="6">
                  <c:v>-38.466721367507716</c:v>
                </c:pt>
                <c:pt idx="7">
                  <c:v>-14.312314529904398</c:v>
                </c:pt>
                <c:pt idx="8">
                  <c:v>5.7820923076989175</c:v>
                </c:pt>
                <c:pt idx="9">
                  <c:v>-30.223500854697789</c:v>
                </c:pt>
                <c:pt idx="10">
                  <c:v>-113.10909401707991</c:v>
                </c:pt>
                <c:pt idx="11">
                  <c:v>-127.9046871794766</c:v>
                </c:pt>
                <c:pt idx="12">
                  <c:v>8.549719658126719</c:v>
                </c:pt>
                <c:pt idx="13">
                  <c:v>-51.26587350426999</c:v>
                </c:pt>
                <c:pt idx="14">
                  <c:v>159.24853333334784</c:v>
                </c:pt>
                <c:pt idx="15">
                  <c:v>-119.62705982904882</c:v>
                </c:pt>
                <c:pt idx="16">
                  <c:v>214.72734700855449</c:v>
                </c:pt>
                <c:pt idx="17">
                  <c:v>-112.19824615384219</c:v>
                </c:pt>
                <c:pt idx="18">
                  <c:v>-22.223839316224328</c:v>
                </c:pt>
                <c:pt idx="19">
                  <c:v>32.170567521378985</c:v>
                </c:pt>
                <c:pt idx="20">
                  <c:v>8.4749743589822799</c:v>
                </c:pt>
                <c:pt idx="21">
                  <c:v>-58.780618803414399</c:v>
                </c:pt>
                <c:pt idx="22">
                  <c:v>77.793788034203459</c:v>
                </c:pt>
                <c:pt idx="23">
                  <c:v>-33.311805128193228</c:v>
                </c:pt>
                <c:pt idx="24">
                  <c:v>27.89260170941008</c:v>
                </c:pt>
                <c:pt idx="25">
                  <c:v>29.437008547013392</c:v>
                </c:pt>
              </c:numCache>
            </c:numRef>
          </c:yVal>
          <c:smooth val="0"/>
        </c:ser>
        <c:dLbls>
          <c:showLegendKey val="0"/>
          <c:showVal val="0"/>
          <c:showCatName val="0"/>
          <c:showSerName val="0"/>
          <c:showPercent val="0"/>
          <c:showBubbleSize val="0"/>
        </c:dLbls>
        <c:axId val="144633856"/>
        <c:axId val="144635776"/>
      </c:scatterChart>
      <c:valAx>
        <c:axId val="144633856"/>
        <c:scaling>
          <c:orientation val="minMax"/>
        </c:scaling>
        <c:delete val="0"/>
        <c:axPos val="b"/>
        <c:title>
          <c:tx>
            <c:rich>
              <a:bodyPr/>
              <a:lstStyle/>
              <a:p>
                <a:pPr>
                  <a:defRPr/>
                </a:pPr>
                <a:r>
                  <a:rPr lang="es-ES"/>
                  <a:t>Variable X 1</a:t>
                </a:r>
              </a:p>
            </c:rich>
          </c:tx>
          <c:overlay val="0"/>
        </c:title>
        <c:numFmt formatCode="General" sourceLinked="1"/>
        <c:majorTickMark val="out"/>
        <c:minorTickMark val="none"/>
        <c:tickLblPos val="nextTo"/>
        <c:crossAx val="144635776"/>
        <c:crosses val="autoZero"/>
        <c:crossBetween val="midCat"/>
      </c:valAx>
      <c:valAx>
        <c:axId val="144635776"/>
        <c:scaling>
          <c:orientation val="minMax"/>
        </c:scaling>
        <c:delete val="0"/>
        <c:axPos val="l"/>
        <c:title>
          <c:tx>
            <c:rich>
              <a:bodyPr/>
              <a:lstStyle/>
              <a:p>
                <a:pPr>
                  <a:defRPr/>
                </a:pPr>
                <a:r>
                  <a:rPr lang="es-ES"/>
                  <a:t>Residuos</a:t>
                </a:r>
              </a:p>
            </c:rich>
          </c:tx>
          <c:overlay val="0"/>
        </c:title>
        <c:numFmt formatCode="General" sourceLinked="1"/>
        <c:majorTickMark val="out"/>
        <c:minorTickMark val="none"/>
        <c:tickLblPos val="nextTo"/>
        <c:crossAx val="144633856"/>
        <c:crosses val="autoZero"/>
        <c:crossBetween val="midCat"/>
      </c:valAx>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ES"/>
              <a:t>Variable X 1 Curva de regresión ajustada</a:t>
            </a:r>
          </a:p>
        </c:rich>
      </c:tx>
      <c:overlay val="0"/>
    </c:title>
    <c:autoTitleDeleted val="0"/>
    <c:plotArea>
      <c:layout>
        <c:manualLayout>
          <c:layoutTarget val="inner"/>
          <c:xMode val="edge"/>
          <c:yMode val="edge"/>
          <c:x val="0.14497462817147858"/>
          <c:y val="0.31008150297002346"/>
          <c:w val="0.62903958880139987"/>
          <c:h val="0.42419789631559213"/>
        </c:manualLayout>
      </c:layout>
      <c:scatterChart>
        <c:scatterStyle val="lineMarker"/>
        <c:varyColors val="0"/>
        <c:ser>
          <c:idx val="0"/>
          <c:order val="0"/>
          <c:tx>
            <c:v>Y</c:v>
          </c:tx>
          <c:spPr>
            <a:ln w="28575">
              <a:noFill/>
            </a:ln>
          </c:spPr>
          <c:xVal>
            <c:numRef>
              <c:f>' Poliester Claro '!$B$36:$B$61</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 Poliester Claro '!$C$36:$C$61</c:f>
              <c:numCache>
                <c:formatCode>General</c:formatCode>
                <c:ptCount val="26"/>
                <c:pt idx="0">
                  <c:v>312.51</c:v>
                </c:pt>
                <c:pt idx="1">
                  <c:v>458.86</c:v>
                </c:pt>
                <c:pt idx="2">
                  <c:v>470.3</c:v>
                </c:pt>
                <c:pt idx="3">
                  <c:v>292.92</c:v>
                </c:pt>
                <c:pt idx="4">
                  <c:v>54.42</c:v>
                </c:pt>
                <c:pt idx="5">
                  <c:v>420.28</c:v>
                </c:pt>
                <c:pt idx="6">
                  <c:v>224.01</c:v>
                </c:pt>
                <c:pt idx="7">
                  <c:v>234.97</c:v>
                </c:pt>
                <c:pt idx="8">
                  <c:v>241.87</c:v>
                </c:pt>
                <c:pt idx="9">
                  <c:v>192.67</c:v>
                </c:pt>
                <c:pt idx="10">
                  <c:v>96.59</c:v>
                </c:pt>
                <c:pt idx="11">
                  <c:v>68.600000000000009</c:v>
                </c:pt>
                <c:pt idx="12">
                  <c:v>191.86</c:v>
                </c:pt>
                <c:pt idx="13">
                  <c:v>118.85</c:v>
                </c:pt>
                <c:pt idx="14">
                  <c:v>316.16999999999996</c:v>
                </c:pt>
                <c:pt idx="15">
                  <c:v>24.1</c:v>
                </c:pt>
                <c:pt idx="16">
                  <c:v>345.26</c:v>
                </c:pt>
                <c:pt idx="17">
                  <c:v>5.14</c:v>
                </c:pt>
                <c:pt idx="18">
                  <c:v>81.92</c:v>
                </c:pt>
                <c:pt idx="19">
                  <c:v>123.12</c:v>
                </c:pt>
                <c:pt idx="20">
                  <c:v>86.22999999999999</c:v>
                </c:pt>
                <c:pt idx="21">
                  <c:v>5.78</c:v>
                </c:pt>
                <c:pt idx="22">
                  <c:v>129.16</c:v>
                </c:pt>
                <c:pt idx="23">
                  <c:v>4.8600000000000003</c:v>
                </c:pt>
                <c:pt idx="24">
                  <c:v>52.87</c:v>
                </c:pt>
                <c:pt idx="25">
                  <c:v>41.22</c:v>
                </c:pt>
              </c:numCache>
            </c:numRef>
          </c:yVal>
          <c:smooth val="0"/>
        </c:ser>
        <c:ser>
          <c:idx val="1"/>
          <c:order val="1"/>
          <c:tx>
            <c:v>Pronóstico para Y</c:v>
          </c:tx>
          <c:spPr>
            <a:ln w="28575">
              <a:noFill/>
            </a:ln>
          </c:spPr>
          <c:xVal>
            <c:numRef>
              <c:f>' Poliester Claro '!$B$36:$B$61</c:f>
              <c:numCache>
                <c:formatCode>General</c:formatCode>
                <c:ptCount val="26"/>
                <c:pt idx="0">
                  <c:v>2010</c:v>
                </c:pt>
                <c:pt idx="1">
                  <c:v>2010.25</c:v>
                </c:pt>
                <c:pt idx="2">
                  <c:v>2010.5</c:v>
                </c:pt>
                <c:pt idx="3">
                  <c:v>2010.75</c:v>
                </c:pt>
                <c:pt idx="4">
                  <c:v>2011</c:v>
                </c:pt>
                <c:pt idx="5">
                  <c:v>2011.25</c:v>
                </c:pt>
                <c:pt idx="6">
                  <c:v>2011.5</c:v>
                </c:pt>
                <c:pt idx="7">
                  <c:v>2011.75</c:v>
                </c:pt>
                <c:pt idx="8">
                  <c:v>2012</c:v>
                </c:pt>
                <c:pt idx="9">
                  <c:v>2012.25</c:v>
                </c:pt>
                <c:pt idx="10">
                  <c:v>2012.5</c:v>
                </c:pt>
                <c:pt idx="11">
                  <c:v>2012.75</c:v>
                </c:pt>
                <c:pt idx="12">
                  <c:v>2013</c:v>
                </c:pt>
                <c:pt idx="13">
                  <c:v>2013.25</c:v>
                </c:pt>
                <c:pt idx="14">
                  <c:v>2013.5</c:v>
                </c:pt>
                <c:pt idx="15">
                  <c:v>2013.75</c:v>
                </c:pt>
                <c:pt idx="16">
                  <c:v>2014</c:v>
                </c:pt>
                <c:pt idx="17">
                  <c:v>2014.25</c:v>
                </c:pt>
                <c:pt idx="18">
                  <c:v>2014.5</c:v>
                </c:pt>
                <c:pt idx="19">
                  <c:v>2014.75</c:v>
                </c:pt>
                <c:pt idx="20">
                  <c:v>2015</c:v>
                </c:pt>
                <c:pt idx="21">
                  <c:v>2015.25</c:v>
                </c:pt>
                <c:pt idx="22">
                  <c:v>2015.5</c:v>
                </c:pt>
                <c:pt idx="23">
                  <c:v>2015.75</c:v>
                </c:pt>
                <c:pt idx="24">
                  <c:v>2016</c:v>
                </c:pt>
                <c:pt idx="25">
                  <c:v>2016.25</c:v>
                </c:pt>
              </c:numCache>
            </c:numRef>
          </c:xVal>
          <c:yVal>
            <c:numRef>
              <c:f>' Poliester Claro '!$B$115:$B$140</c:f>
              <c:numCache>
                <c:formatCode>General</c:formatCode>
                <c:ptCount val="26"/>
                <c:pt idx="0">
                  <c:v>341.64316239315667</c:v>
                </c:pt>
                <c:pt idx="1">
                  <c:v>328.44875555555336</c:v>
                </c:pt>
                <c:pt idx="2">
                  <c:v>315.2543487179355</c:v>
                </c:pt>
                <c:pt idx="3">
                  <c:v>302.05994188033219</c:v>
                </c:pt>
                <c:pt idx="4">
                  <c:v>288.86553504272888</c:v>
                </c:pt>
                <c:pt idx="5">
                  <c:v>275.67112820512557</c:v>
                </c:pt>
                <c:pt idx="6">
                  <c:v>262.47672136750771</c:v>
                </c:pt>
                <c:pt idx="7">
                  <c:v>249.2823145299044</c:v>
                </c:pt>
                <c:pt idx="8">
                  <c:v>236.08790769230109</c:v>
                </c:pt>
                <c:pt idx="9">
                  <c:v>222.89350085469778</c:v>
                </c:pt>
                <c:pt idx="10">
                  <c:v>209.69909401707991</c:v>
                </c:pt>
                <c:pt idx="11">
                  <c:v>196.5046871794766</c:v>
                </c:pt>
                <c:pt idx="12">
                  <c:v>183.31028034187329</c:v>
                </c:pt>
                <c:pt idx="13">
                  <c:v>170.11587350426998</c:v>
                </c:pt>
                <c:pt idx="14">
                  <c:v>156.92146666665212</c:v>
                </c:pt>
                <c:pt idx="15">
                  <c:v>143.72705982904881</c:v>
                </c:pt>
                <c:pt idx="16">
                  <c:v>130.5326529914455</c:v>
                </c:pt>
                <c:pt idx="17">
                  <c:v>117.33824615384219</c:v>
                </c:pt>
                <c:pt idx="18">
                  <c:v>104.14383931622433</c:v>
                </c:pt>
                <c:pt idx="19">
                  <c:v>90.94943247862102</c:v>
                </c:pt>
                <c:pt idx="20">
                  <c:v>77.75502564101771</c:v>
                </c:pt>
                <c:pt idx="21">
                  <c:v>64.5606188034144</c:v>
                </c:pt>
                <c:pt idx="22">
                  <c:v>51.366211965796538</c:v>
                </c:pt>
                <c:pt idx="23">
                  <c:v>38.171805128193228</c:v>
                </c:pt>
                <c:pt idx="24">
                  <c:v>24.977398290589917</c:v>
                </c:pt>
                <c:pt idx="25">
                  <c:v>11.782991452986607</c:v>
                </c:pt>
              </c:numCache>
            </c:numRef>
          </c:yVal>
          <c:smooth val="0"/>
        </c:ser>
        <c:dLbls>
          <c:showLegendKey val="0"/>
          <c:showVal val="0"/>
          <c:showCatName val="0"/>
          <c:showSerName val="0"/>
          <c:showPercent val="0"/>
          <c:showBubbleSize val="0"/>
        </c:dLbls>
        <c:axId val="144660736"/>
        <c:axId val="144662912"/>
      </c:scatterChart>
      <c:valAx>
        <c:axId val="144660736"/>
        <c:scaling>
          <c:orientation val="minMax"/>
        </c:scaling>
        <c:delete val="0"/>
        <c:axPos val="b"/>
        <c:title>
          <c:tx>
            <c:rich>
              <a:bodyPr/>
              <a:lstStyle/>
              <a:p>
                <a:pPr>
                  <a:defRPr/>
                </a:pPr>
                <a:r>
                  <a:rPr lang="es-ES"/>
                  <a:t>Variable X 1</a:t>
                </a:r>
              </a:p>
            </c:rich>
          </c:tx>
          <c:overlay val="0"/>
        </c:title>
        <c:numFmt formatCode="General" sourceLinked="1"/>
        <c:majorTickMark val="out"/>
        <c:minorTickMark val="none"/>
        <c:tickLblPos val="nextTo"/>
        <c:crossAx val="144662912"/>
        <c:crosses val="autoZero"/>
        <c:crossBetween val="midCat"/>
      </c:valAx>
      <c:valAx>
        <c:axId val="144662912"/>
        <c:scaling>
          <c:orientation val="minMax"/>
        </c:scaling>
        <c:delete val="0"/>
        <c:axPos val="l"/>
        <c:title>
          <c:tx>
            <c:rich>
              <a:bodyPr/>
              <a:lstStyle/>
              <a:p>
                <a:pPr>
                  <a:defRPr/>
                </a:pPr>
                <a:r>
                  <a:rPr lang="es-ES"/>
                  <a:t>Y</a:t>
                </a:r>
              </a:p>
            </c:rich>
          </c:tx>
          <c:overlay val="0"/>
        </c:title>
        <c:numFmt formatCode="General" sourceLinked="1"/>
        <c:majorTickMark val="out"/>
        <c:minorTickMark val="none"/>
        <c:tickLblPos val="nextTo"/>
        <c:crossAx val="144660736"/>
        <c:crosses val="autoZero"/>
        <c:crossBetween val="midCat"/>
      </c:valAx>
    </c:plotArea>
    <c:legend>
      <c:legendPos val="r"/>
      <c:layout>
        <c:manualLayout>
          <c:xMode val="edge"/>
          <c:yMode val="edge"/>
          <c:x val="0.82718088363954501"/>
          <c:y val="0.42337984979600324"/>
          <c:w val="0.15615244969378825"/>
          <c:h val="0.37073152984589797"/>
        </c:manualLayout>
      </c:layout>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ES"/>
              <a:t>Residuos para comprobar</a:t>
            </a:r>
            <a:r>
              <a:rPr lang="es-ES" baseline="0"/>
              <a:t> linealid</a:t>
            </a:r>
            <a:r>
              <a:rPr lang="es-ES"/>
              <a:t>ad</a:t>
            </a:r>
          </a:p>
        </c:rich>
      </c:tx>
      <c:overlay val="0"/>
    </c:title>
    <c:autoTitleDeleted val="0"/>
    <c:plotArea>
      <c:layout/>
      <c:scatterChart>
        <c:scatterStyle val="lineMarker"/>
        <c:varyColors val="0"/>
        <c:ser>
          <c:idx val="0"/>
          <c:order val="0"/>
          <c:tx>
            <c:strRef>
              <c:f>' Poliester Claro '!$C$114</c:f>
              <c:strCache>
                <c:ptCount val="1"/>
                <c:pt idx="0">
                  <c:v>Residuos</c:v>
                </c:pt>
              </c:strCache>
            </c:strRef>
          </c:tx>
          <c:spPr>
            <a:ln w="28575">
              <a:noFill/>
            </a:ln>
          </c:spPr>
          <c:yVal>
            <c:numRef>
              <c:f>' Poliester Claro '!$C$115:$C$140</c:f>
              <c:numCache>
                <c:formatCode>General</c:formatCode>
                <c:ptCount val="26"/>
                <c:pt idx="0">
                  <c:v>-29.133162393156681</c:v>
                </c:pt>
                <c:pt idx="1">
                  <c:v>130.41124444444665</c:v>
                </c:pt>
                <c:pt idx="2">
                  <c:v>155.04565128206451</c:v>
                </c:pt>
                <c:pt idx="3">
                  <c:v>-9.1399418803321737</c:v>
                </c:pt>
                <c:pt idx="4">
                  <c:v>-234.44553504272886</c:v>
                </c:pt>
                <c:pt idx="5">
                  <c:v>144.6088717948744</c:v>
                </c:pt>
                <c:pt idx="6">
                  <c:v>-38.466721367507716</c:v>
                </c:pt>
                <c:pt idx="7">
                  <c:v>-14.312314529904398</c:v>
                </c:pt>
                <c:pt idx="8">
                  <c:v>5.7820923076989175</c:v>
                </c:pt>
                <c:pt idx="9">
                  <c:v>-30.223500854697789</c:v>
                </c:pt>
                <c:pt idx="10">
                  <c:v>-113.10909401707991</c:v>
                </c:pt>
                <c:pt idx="11">
                  <c:v>-127.9046871794766</c:v>
                </c:pt>
                <c:pt idx="12">
                  <c:v>8.549719658126719</c:v>
                </c:pt>
                <c:pt idx="13">
                  <c:v>-51.26587350426999</c:v>
                </c:pt>
                <c:pt idx="14">
                  <c:v>159.24853333334784</c:v>
                </c:pt>
                <c:pt idx="15">
                  <c:v>-119.62705982904882</c:v>
                </c:pt>
                <c:pt idx="16">
                  <c:v>214.72734700855449</c:v>
                </c:pt>
                <c:pt idx="17">
                  <c:v>-112.19824615384219</c:v>
                </c:pt>
                <c:pt idx="18">
                  <c:v>-22.223839316224328</c:v>
                </c:pt>
                <c:pt idx="19">
                  <c:v>32.170567521378985</c:v>
                </c:pt>
                <c:pt idx="20">
                  <c:v>8.4749743589822799</c:v>
                </c:pt>
                <c:pt idx="21">
                  <c:v>-58.780618803414399</c:v>
                </c:pt>
                <c:pt idx="22">
                  <c:v>77.793788034203459</c:v>
                </c:pt>
                <c:pt idx="23">
                  <c:v>-33.311805128193228</c:v>
                </c:pt>
                <c:pt idx="24">
                  <c:v>27.89260170941008</c:v>
                </c:pt>
                <c:pt idx="25">
                  <c:v>29.437008547013392</c:v>
                </c:pt>
              </c:numCache>
            </c:numRef>
          </c:yVal>
          <c:smooth val="0"/>
        </c:ser>
        <c:dLbls>
          <c:showLegendKey val="0"/>
          <c:showVal val="0"/>
          <c:showCatName val="0"/>
          <c:showSerName val="0"/>
          <c:showPercent val="0"/>
          <c:showBubbleSize val="0"/>
        </c:dLbls>
        <c:axId val="144696064"/>
        <c:axId val="144697600"/>
      </c:scatterChart>
      <c:valAx>
        <c:axId val="144696064"/>
        <c:scaling>
          <c:orientation val="minMax"/>
        </c:scaling>
        <c:delete val="0"/>
        <c:axPos val="b"/>
        <c:majorGridlines/>
        <c:majorTickMark val="none"/>
        <c:minorTickMark val="none"/>
        <c:tickLblPos val="nextTo"/>
        <c:crossAx val="144697600"/>
        <c:crosses val="autoZero"/>
        <c:crossBetween val="midCat"/>
      </c:valAx>
      <c:valAx>
        <c:axId val="144697600"/>
        <c:scaling>
          <c:orientation val="minMax"/>
        </c:scaling>
        <c:delete val="0"/>
        <c:axPos val="l"/>
        <c:majorGridlines/>
        <c:numFmt formatCode="General" sourceLinked="1"/>
        <c:majorTickMark val="none"/>
        <c:minorTickMark val="none"/>
        <c:tickLblPos val="nextTo"/>
        <c:crossAx val="144696064"/>
        <c:crosses val="autoZero"/>
        <c:crossBetween val="midCat"/>
      </c:valAx>
    </c:plotArea>
    <c:legend>
      <c:legendPos val="b"/>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xml.rels><?xml version="1.0" encoding="UTF-8" standalone="yes"?>
<Relationships xmlns="http://schemas.openxmlformats.org/package/2006/relationships"><Relationship Id="rId8" Type="http://schemas.openxmlformats.org/officeDocument/2006/relationships/chart" Target="../charts/chart9.xml"/><Relationship Id="rId3" Type="http://schemas.openxmlformats.org/officeDocument/2006/relationships/chart" Target="../charts/chart4.xml"/><Relationship Id="rId7" Type="http://schemas.openxmlformats.org/officeDocument/2006/relationships/chart" Target="../charts/chart8.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 Id="rId9" Type="http://schemas.openxmlformats.org/officeDocument/2006/relationships/chart" Target="../charts/chart1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6" Type="http://schemas.openxmlformats.org/officeDocument/2006/relationships/chart" Target="../charts/chart22.xml"/><Relationship Id="rId5" Type="http://schemas.openxmlformats.org/officeDocument/2006/relationships/chart" Target="../charts/chart21.xml"/><Relationship Id="rId4" Type="http://schemas.openxmlformats.org/officeDocument/2006/relationships/chart" Target="../charts/chart20.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8.xml.rels><?xml version="1.0" encoding="UTF-8" standalone="yes"?>
<Relationships xmlns="http://schemas.openxmlformats.org/package/2006/relationships"><Relationship Id="rId3" Type="http://schemas.openxmlformats.org/officeDocument/2006/relationships/image" Target="../media/image3.tmp"/><Relationship Id="rId2" Type="http://schemas.openxmlformats.org/officeDocument/2006/relationships/image" Target="../media/image2.tmp"/><Relationship Id="rId1" Type="http://schemas.openxmlformats.org/officeDocument/2006/relationships/image" Target="../media/image1.tmp"/></Relationships>
</file>

<file path=xl/drawings/_rels/drawing9.xml.rels><?xml version="1.0" encoding="UTF-8" standalone="yes"?>
<Relationships xmlns="http://schemas.openxmlformats.org/package/2006/relationships"><Relationship Id="rId2" Type="http://schemas.openxmlformats.org/officeDocument/2006/relationships/chart" Target="../charts/chart25.xml"/><Relationship Id="rId1"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3</xdr:col>
      <xdr:colOff>628650</xdr:colOff>
      <xdr:row>19</xdr:row>
      <xdr:rowOff>133350</xdr:rowOff>
    </xdr:from>
    <xdr:to>
      <xdr:col>11</xdr:col>
      <xdr:colOff>247650</xdr:colOff>
      <xdr:row>34</xdr:row>
      <xdr:rowOff>9525</xdr:rowOff>
    </xdr:to>
    <xdr:graphicFrame macro="">
      <xdr:nvGraphicFramePr>
        <xdr:cNvPr id="2"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456617</xdr:colOff>
      <xdr:row>101</xdr:row>
      <xdr:rowOff>29306</xdr:rowOff>
    </xdr:from>
    <xdr:to>
      <xdr:col>7</xdr:col>
      <xdr:colOff>58615</xdr:colOff>
      <xdr:row>116</xdr:row>
      <xdr:rowOff>95249</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398004</xdr:colOff>
      <xdr:row>99</xdr:row>
      <xdr:rowOff>124557</xdr:rowOff>
    </xdr:from>
    <xdr:to>
      <xdr:col>6</xdr:col>
      <xdr:colOff>681404</xdr:colOff>
      <xdr:row>114</xdr:row>
      <xdr:rowOff>29305</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733425</xdr:colOff>
      <xdr:row>34</xdr:row>
      <xdr:rowOff>119062</xdr:rowOff>
    </xdr:from>
    <xdr:to>
      <xdr:col>10</xdr:col>
      <xdr:colOff>733425</xdr:colOff>
      <xdr:row>49</xdr:row>
      <xdr:rowOff>4762</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38100</xdr:colOff>
      <xdr:row>53</xdr:row>
      <xdr:rowOff>14287</xdr:rowOff>
    </xdr:from>
    <xdr:to>
      <xdr:col>11</xdr:col>
      <xdr:colOff>38100</xdr:colOff>
      <xdr:row>67</xdr:row>
      <xdr:rowOff>90487</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333375</xdr:colOff>
      <xdr:row>34</xdr:row>
      <xdr:rowOff>100012</xdr:rowOff>
    </xdr:from>
    <xdr:to>
      <xdr:col>17</xdr:col>
      <xdr:colOff>333375</xdr:colOff>
      <xdr:row>48</xdr:row>
      <xdr:rowOff>176212</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266700</xdr:colOff>
      <xdr:row>52</xdr:row>
      <xdr:rowOff>176212</xdr:rowOff>
    </xdr:from>
    <xdr:to>
      <xdr:col>17</xdr:col>
      <xdr:colOff>266700</xdr:colOff>
      <xdr:row>67</xdr:row>
      <xdr:rowOff>61912</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752475</xdr:colOff>
      <xdr:row>71</xdr:row>
      <xdr:rowOff>14287</xdr:rowOff>
    </xdr:from>
    <xdr:to>
      <xdr:col>10</xdr:col>
      <xdr:colOff>752475</xdr:colOff>
      <xdr:row>85</xdr:row>
      <xdr:rowOff>90487</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571500</xdr:colOff>
      <xdr:row>113</xdr:row>
      <xdr:rowOff>9525</xdr:rowOff>
    </xdr:from>
    <xdr:to>
      <xdr:col>15</xdr:col>
      <xdr:colOff>571500</xdr:colOff>
      <xdr:row>123</xdr:row>
      <xdr:rowOff>38100</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542925</xdr:colOff>
      <xdr:row>97</xdr:row>
      <xdr:rowOff>171450</xdr:rowOff>
    </xdr:from>
    <xdr:to>
      <xdr:col>15</xdr:col>
      <xdr:colOff>542925</xdr:colOff>
      <xdr:row>110</xdr:row>
      <xdr:rowOff>180975</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600075</xdr:colOff>
      <xdr:row>124</xdr:row>
      <xdr:rowOff>80962</xdr:rowOff>
    </xdr:from>
    <xdr:to>
      <xdr:col>15</xdr:col>
      <xdr:colOff>600075</xdr:colOff>
      <xdr:row>138</xdr:row>
      <xdr:rowOff>157162</xdr:rowOff>
    </xdr:to>
    <xdr:graphicFrame macro="">
      <xdr:nvGraphicFramePr>
        <xdr:cNvPr id="10"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571</xdr:row>
      <xdr:rowOff>33337</xdr:rowOff>
    </xdr:from>
    <xdr:to>
      <xdr:col>6</xdr:col>
      <xdr:colOff>0</xdr:colOff>
      <xdr:row>585</xdr:row>
      <xdr:rowOff>109537</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314325</xdr:colOff>
      <xdr:row>58</xdr:row>
      <xdr:rowOff>42861</xdr:rowOff>
    </xdr:from>
    <xdr:to>
      <xdr:col>15</xdr:col>
      <xdr:colOff>447675</xdr:colOff>
      <xdr:row>87</xdr:row>
      <xdr:rowOff>180975</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314324</xdr:colOff>
      <xdr:row>33</xdr:row>
      <xdr:rowOff>14286</xdr:rowOff>
    </xdr:from>
    <xdr:to>
      <xdr:col>17</xdr:col>
      <xdr:colOff>428625</xdr:colOff>
      <xdr:row>57</xdr:row>
      <xdr:rowOff>19049</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314324</xdr:colOff>
      <xdr:row>32</xdr:row>
      <xdr:rowOff>42861</xdr:rowOff>
    </xdr:from>
    <xdr:to>
      <xdr:col>15</xdr:col>
      <xdr:colOff>228600</xdr:colOff>
      <xdr:row>55</xdr:row>
      <xdr:rowOff>66675</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523875</xdr:colOff>
      <xdr:row>4</xdr:row>
      <xdr:rowOff>9524</xdr:rowOff>
    </xdr:from>
    <xdr:to>
      <xdr:col>12</xdr:col>
      <xdr:colOff>581025</xdr:colOff>
      <xdr:row>27</xdr:row>
      <xdr:rowOff>57149</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4</xdr:row>
      <xdr:rowOff>0</xdr:rowOff>
    </xdr:from>
    <xdr:to>
      <xdr:col>22</xdr:col>
      <xdr:colOff>676276</xdr:colOff>
      <xdr:row>27</xdr:row>
      <xdr:rowOff>23814</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63501</xdr:colOff>
      <xdr:row>29</xdr:row>
      <xdr:rowOff>174625</xdr:rowOff>
    </xdr:from>
    <xdr:to>
      <xdr:col>22</xdr:col>
      <xdr:colOff>730251</xdr:colOff>
      <xdr:row>53</xdr:row>
      <xdr:rowOff>179388</xdr:rowOff>
    </xdr:to>
    <xdr:graphicFrame macro="">
      <xdr:nvGraphicFramePr>
        <xdr:cNvPr id="6"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25</xdr:col>
      <xdr:colOff>238124</xdr:colOff>
      <xdr:row>2</xdr:row>
      <xdr:rowOff>4762</xdr:rowOff>
    </xdr:from>
    <xdr:to>
      <xdr:col>36</xdr:col>
      <xdr:colOff>485775</xdr:colOff>
      <xdr:row>15</xdr:row>
      <xdr:rowOff>114300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523874</xdr:colOff>
      <xdr:row>18</xdr:row>
      <xdr:rowOff>166686</xdr:rowOff>
    </xdr:from>
    <xdr:to>
      <xdr:col>36</xdr:col>
      <xdr:colOff>457199</xdr:colOff>
      <xdr:row>46</xdr:row>
      <xdr:rowOff>114299</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25</xdr:col>
      <xdr:colOff>238125</xdr:colOff>
      <xdr:row>47</xdr:row>
      <xdr:rowOff>66675</xdr:rowOff>
    </xdr:from>
    <xdr:to>
      <xdr:col>36</xdr:col>
      <xdr:colOff>485776</xdr:colOff>
      <xdr:row>65</xdr:row>
      <xdr:rowOff>176213</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xdr:col>
      <xdr:colOff>238125</xdr:colOff>
      <xdr:row>66</xdr:row>
      <xdr:rowOff>104775</xdr:rowOff>
    </xdr:from>
    <xdr:to>
      <xdr:col>34</xdr:col>
      <xdr:colOff>95250</xdr:colOff>
      <xdr:row>88</xdr:row>
      <xdr:rowOff>38100</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21</xdr:col>
      <xdr:colOff>285750</xdr:colOff>
      <xdr:row>94</xdr:row>
      <xdr:rowOff>57150</xdr:rowOff>
    </xdr:from>
    <xdr:to>
      <xdr:col>32</xdr:col>
      <xdr:colOff>533401</xdr:colOff>
      <xdr:row>112</xdr:row>
      <xdr:rowOff>166688</xdr:rowOff>
    </xdr:to>
    <xdr:graphicFrame macro="">
      <xdr:nvGraphicFramePr>
        <xdr:cNvPr id="6"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95250</xdr:colOff>
      <xdr:row>94</xdr:row>
      <xdr:rowOff>157162</xdr:rowOff>
    </xdr:from>
    <xdr:to>
      <xdr:col>10</xdr:col>
      <xdr:colOff>714375</xdr:colOff>
      <xdr:row>109</xdr:row>
      <xdr:rowOff>42862</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247650</xdr:colOff>
      <xdr:row>7</xdr:row>
      <xdr:rowOff>100012</xdr:rowOff>
    </xdr:from>
    <xdr:to>
      <xdr:col>7</xdr:col>
      <xdr:colOff>247650</xdr:colOff>
      <xdr:row>21</xdr:row>
      <xdr:rowOff>176212</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209550</xdr:colOff>
      <xdr:row>3</xdr:row>
      <xdr:rowOff>57150</xdr:rowOff>
    </xdr:from>
    <xdr:to>
      <xdr:col>5</xdr:col>
      <xdr:colOff>542925</xdr:colOff>
      <xdr:row>4</xdr:row>
      <xdr:rowOff>0</xdr:rowOff>
    </xdr:to>
    <xdr:pic>
      <xdr:nvPicPr>
        <xdr:cNvPr id="5" name="0 Imagen"/>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435" t="44253" r="24521" b="49752"/>
        <a:stretch/>
      </xdr:blipFill>
      <xdr:spPr bwMode="auto">
        <a:xfrm>
          <a:off x="1733550" y="628650"/>
          <a:ext cx="2619375" cy="66675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228601</xdr:colOff>
      <xdr:row>4</xdr:row>
      <xdr:rowOff>190500</xdr:rowOff>
    </xdr:from>
    <xdr:to>
      <xdr:col>5</xdr:col>
      <xdr:colOff>361951</xdr:colOff>
      <xdr:row>4</xdr:row>
      <xdr:rowOff>800100</xdr:rowOff>
    </xdr:to>
    <xdr:pic>
      <xdr:nvPicPr>
        <xdr:cNvPr id="6" name="0 Imagen"/>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9507" t="32840" r="19304" b="58576"/>
        <a:stretch/>
      </xdr:blipFill>
      <xdr:spPr bwMode="auto">
        <a:xfrm>
          <a:off x="1752601" y="1485900"/>
          <a:ext cx="2419350" cy="60960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xdr:col>
      <xdr:colOff>180975</xdr:colOff>
      <xdr:row>18</xdr:row>
      <xdr:rowOff>180975</xdr:rowOff>
    </xdr:from>
    <xdr:to>
      <xdr:col>4</xdr:col>
      <xdr:colOff>628650</xdr:colOff>
      <xdr:row>22</xdr:row>
      <xdr:rowOff>173355</xdr:rowOff>
    </xdr:to>
    <xdr:pic>
      <xdr:nvPicPr>
        <xdr:cNvPr id="7" name="0 Imagen"/>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55799" t="46602" r="20540" b="41424"/>
        <a:stretch/>
      </xdr:blipFill>
      <xdr:spPr bwMode="auto">
        <a:xfrm>
          <a:off x="942975" y="3228975"/>
          <a:ext cx="2733675" cy="7543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171450</xdr:colOff>
      <xdr:row>5</xdr:row>
      <xdr:rowOff>47624</xdr:rowOff>
    </xdr:from>
    <xdr:to>
      <xdr:col>5</xdr:col>
      <xdr:colOff>409575</xdr:colOff>
      <xdr:row>5</xdr:row>
      <xdr:rowOff>666749</xdr:rowOff>
    </xdr:to>
    <xdr:pic>
      <xdr:nvPicPr>
        <xdr:cNvPr id="8" name="0 Imagen"/>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55799" t="46602" r="20540" b="41424"/>
        <a:stretch/>
      </xdr:blipFill>
      <xdr:spPr bwMode="auto">
        <a:xfrm>
          <a:off x="1695450" y="2247899"/>
          <a:ext cx="2524125" cy="619125"/>
        </a:xfrm>
        <a:prstGeom prst="rect">
          <a:avLst/>
        </a:prstGeom>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354042</xdr:colOff>
      <xdr:row>101</xdr:row>
      <xdr:rowOff>117230</xdr:rowOff>
    </xdr:from>
    <xdr:to>
      <xdr:col>6</xdr:col>
      <xdr:colOff>183173</xdr:colOff>
      <xdr:row>112</xdr:row>
      <xdr:rowOff>7327</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556846</xdr:colOff>
      <xdr:row>101</xdr:row>
      <xdr:rowOff>134082</xdr:rowOff>
    </xdr:from>
    <xdr:to>
      <xdr:col>11</xdr:col>
      <xdr:colOff>439616</xdr:colOff>
      <xdr:row>112</xdr:row>
      <xdr:rowOff>73269</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hyperlink" Target="mailto:IVERKOVITCH@PUCE.EDU.EC" TargetMode="Externa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tabSelected="1" topLeftCell="C18" zoomScale="120" zoomScaleNormal="120" workbookViewId="0">
      <selection activeCell="N23" sqref="N23"/>
    </sheetView>
  </sheetViews>
  <sheetFormatPr baseColWidth="10" defaultRowHeight="15" x14ac:dyDescent="0.25"/>
  <cols>
    <col min="3" max="3" width="29.42578125" customWidth="1"/>
  </cols>
  <sheetData>
    <row r="1" spans="1:12" x14ac:dyDescent="0.25">
      <c r="C1" s="217"/>
      <c r="D1" s="217"/>
      <c r="E1" s="217"/>
      <c r="F1" s="217"/>
      <c r="G1" s="217"/>
      <c r="H1" s="217"/>
      <c r="I1" s="217"/>
      <c r="J1" s="217"/>
      <c r="K1" s="217"/>
      <c r="L1" s="217"/>
    </row>
    <row r="2" spans="1:12" x14ac:dyDescent="0.25">
      <c r="C2" s="217"/>
      <c r="D2" s="217"/>
      <c r="E2" s="217"/>
      <c r="F2" s="217"/>
      <c r="G2" s="217"/>
      <c r="H2" s="217"/>
      <c r="I2" s="217"/>
      <c r="J2" s="217"/>
      <c r="K2" s="217"/>
      <c r="L2" s="217"/>
    </row>
    <row r="3" spans="1:12" x14ac:dyDescent="0.25">
      <c r="A3" s="266"/>
      <c r="C3" s="217"/>
      <c r="D3" s="217"/>
      <c r="E3" s="217"/>
      <c r="F3" s="217"/>
      <c r="G3" s="217"/>
      <c r="H3" s="217"/>
      <c r="I3" s="217"/>
      <c r="J3" s="217"/>
      <c r="K3" s="217"/>
      <c r="L3" s="217"/>
    </row>
    <row r="4" spans="1:12" x14ac:dyDescent="0.25">
      <c r="C4" s="217"/>
      <c r="D4" s="267"/>
      <c r="E4" s="267"/>
      <c r="F4" s="267"/>
      <c r="G4" s="267"/>
      <c r="H4" s="267"/>
      <c r="I4" s="267"/>
      <c r="J4" s="267"/>
      <c r="K4" s="267"/>
      <c r="L4" s="217"/>
    </row>
    <row r="5" spans="1:12" x14ac:dyDescent="0.25">
      <c r="C5" s="217"/>
      <c r="D5" s="217"/>
      <c r="E5" s="217"/>
      <c r="F5" s="217"/>
      <c r="G5" s="217"/>
      <c r="H5" s="217"/>
      <c r="I5" s="217"/>
      <c r="J5" s="217"/>
      <c r="K5" s="217"/>
      <c r="L5" s="217"/>
    </row>
    <row r="6" spans="1:12" ht="15.75" thickBot="1" x14ac:dyDescent="0.3"/>
    <row r="7" spans="1:12" ht="113.25" thickBot="1" x14ac:dyDescent="0.3">
      <c r="A7" s="268" t="s">
        <v>467</v>
      </c>
      <c r="B7" s="269">
        <v>1.7</v>
      </c>
      <c r="C7" s="269">
        <v>-0.9</v>
      </c>
      <c r="D7" s="269">
        <v>6.7</v>
      </c>
      <c r="E7" s="269">
        <v>2.9</v>
      </c>
      <c r="F7" s="269">
        <v>6.7</v>
      </c>
      <c r="G7" s="269">
        <v>-7.7</v>
      </c>
      <c r="H7" s="269">
        <v>3.3</v>
      </c>
      <c r="I7" s="269">
        <v>2.9</v>
      </c>
    </row>
    <row r="8" spans="1:12" ht="113.25" thickBot="1" x14ac:dyDescent="0.3">
      <c r="A8" s="270"/>
      <c r="B8" s="270"/>
      <c r="C8" s="271" t="s">
        <v>468</v>
      </c>
      <c r="D8" s="272" t="s">
        <v>469</v>
      </c>
      <c r="E8" s="273">
        <v>1.7</v>
      </c>
      <c r="F8" s="273">
        <v>-0.9</v>
      </c>
      <c r="G8" s="273">
        <v>6.7</v>
      </c>
      <c r="H8" s="273">
        <v>2.9</v>
      </c>
      <c r="I8" s="273">
        <v>6.7</v>
      </c>
      <c r="J8" s="273">
        <v>-7.7</v>
      </c>
      <c r="K8" s="273">
        <v>3.3</v>
      </c>
      <c r="L8" s="273">
        <v>2.9</v>
      </c>
    </row>
    <row r="9" spans="1:12" x14ac:dyDescent="0.25">
      <c r="A9" s="270"/>
      <c r="B9" s="270"/>
      <c r="C9" s="274"/>
      <c r="D9" s="272"/>
      <c r="E9" s="273"/>
      <c r="F9" s="273"/>
      <c r="G9" s="273"/>
      <c r="H9" s="273"/>
      <c r="I9" s="273"/>
      <c r="J9" s="273"/>
      <c r="K9" s="273"/>
      <c r="L9" s="273"/>
    </row>
    <row r="10" spans="1:12" x14ac:dyDescent="0.25">
      <c r="A10" s="270"/>
      <c r="B10" s="270"/>
      <c r="C10" s="275"/>
      <c r="D10" s="276"/>
      <c r="E10" s="277"/>
      <c r="F10" s="277"/>
      <c r="G10" s="277"/>
      <c r="H10" s="277"/>
      <c r="I10" s="277"/>
      <c r="J10" s="277"/>
      <c r="K10" s="277"/>
      <c r="L10" s="273"/>
    </row>
    <row r="11" spans="1:12" ht="15.75" thickBot="1" x14ac:dyDescent="0.3">
      <c r="A11" s="270"/>
      <c r="B11" s="270"/>
      <c r="C11" s="275"/>
      <c r="D11" s="276"/>
      <c r="E11" s="277"/>
      <c r="F11" s="277"/>
      <c r="G11" s="277"/>
      <c r="H11" s="277"/>
      <c r="I11" s="277"/>
      <c r="J11" s="277"/>
      <c r="K11" s="277"/>
      <c r="L11" s="273"/>
    </row>
    <row r="12" spans="1:12" ht="21.75" thickBot="1" x14ac:dyDescent="0.4">
      <c r="C12" s="412" t="s">
        <v>470</v>
      </c>
      <c r="D12" s="413"/>
      <c r="E12" s="413"/>
      <c r="F12" s="413"/>
      <c r="G12" s="413"/>
      <c r="H12" s="413"/>
      <c r="I12" s="413"/>
      <c r="J12" s="413"/>
      <c r="K12" s="414"/>
    </row>
    <row r="13" spans="1:12" ht="15.75" x14ac:dyDescent="0.25">
      <c r="C13" s="278" t="s">
        <v>377</v>
      </c>
      <c r="D13" s="279">
        <v>2007</v>
      </c>
      <c r="E13" s="279">
        <v>2008</v>
      </c>
      <c r="F13" s="279">
        <v>2009</v>
      </c>
      <c r="G13" s="279">
        <v>2010</v>
      </c>
      <c r="H13" s="279">
        <v>2011</v>
      </c>
      <c r="I13" s="279">
        <v>2012</v>
      </c>
      <c r="J13" s="279">
        <v>2013</v>
      </c>
      <c r="K13" s="280">
        <v>2014</v>
      </c>
      <c r="L13" s="281"/>
    </row>
    <row r="14" spans="1:12" ht="84" customHeight="1" x14ac:dyDescent="0.25">
      <c r="C14" s="282" t="s">
        <v>471</v>
      </c>
      <c r="D14" s="283">
        <v>1.7</v>
      </c>
      <c r="E14" s="284">
        <v>-0.9</v>
      </c>
      <c r="F14" s="284">
        <v>6.7</v>
      </c>
      <c r="G14" s="284">
        <v>2.9</v>
      </c>
      <c r="H14" s="284">
        <v>6.7</v>
      </c>
      <c r="I14" s="284">
        <v>-7.7</v>
      </c>
      <c r="J14" s="284">
        <v>3.3</v>
      </c>
      <c r="K14" s="285">
        <v>2.9</v>
      </c>
      <c r="L14" s="281"/>
    </row>
    <row r="15" spans="1:12" ht="15.75" x14ac:dyDescent="0.25">
      <c r="C15" s="415" t="s">
        <v>472</v>
      </c>
      <c r="D15" s="416"/>
      <c r="E15" s="416"/>
      <c r="F15" s="416"/>
      <c r="G15" s="416"/>
      <c r="H15" s="416"/>
      <c r="I15" s="416"/>
      <c r="J15" s="416"/>
      <c r="K15" s="417"/>
    </row>
    <row r="16" spans="1:12" ht="16.5" thickBot="1" x14ac:dyDescent="0.3">
      <c r="C16" s="418" t="s">
        <v>473</v>
      </c>
      <c r="D16" s="419"/>
      <c r="E16" s="419"/>
      <c r="F16" s="419"/>
      <c r="G16" s="419"/>
      <c r="H16" s="419"/>
      <c r="I16" s="419"/>
      <c r="J16" s="419"/>
      <c r="K16" s="420"/>
    </row>
    <row r="18" spans="1:7" x14ac:dyDescent="0.25">
      <c r="A18" t="s">
        <v>309</v>
      </c>
      <c r="B18" t="s">
        <v>474</v>
      </c>
      <c r="G18" t="s">
        <v>475</v>
      </c>
    </row>
    <row r="19" spans="1:7" x14ac:dyDescent="0.25">
      <c r="A19">
        <v>2007</v>
      </c>
      <c r="B19">
        <v>1.7</v>
      </c>
    </row>
    <row r="20" spans="1:7" x14ac:dyDescent="0.25">
      <c r="A20">
        <v>2008</v>
      </c>
      <c r="B20" s="217">
        <v>-0.9</v>
      </c>
      <c r="C20" s="217"/>
      <c r="D20" s="217"/>
      <c r="E20" s="217"/>
      <c r="F20" s="217"/>
    </row>
    <row r="21" spans="1:7" ht="15.75" x14ac:dyDescent="0.25">
      <c r="A21">
        <v>2009</v>
      </c>
      <c r="B21" s="217">
        <v>6.7</v>
      </c>
      <c r="C21" s="286"/>
      <c r="D21" s="217"/>
      <c r="E21" s="217"/>
      <c r="F21" s="217"/>
    </row>
    <row r="22" spans="1:7" x14ac:dyDescent="0.25">
      <c r="A22">
        <v>2010</v>
      </c>
      <c r="B22" s="217">
        <v>2.9</v>
      </c>
      <c r="C22" s="287"/>
      <c r="D22" s="287"/>
      <c r="E22" s="288"/>
      <c r="F22" s="217"/>
    </row>
    <row r="23" spans="1:7" x14ac:dyDescent="0.25">
      <c r="A23">
        <v>2011</v>
      </c>
      <c r="B23" s="217">
        <v>6.7</v>
      </c>
      <c r="C23" s="287"/>
      <c r="D23" s="289"/>
      <c r="E23" s="290"/>
      <c r="F23" s="217"/>
    </row>
    <row r="24" spans="1:7" x14ac:dyDescent="0.25">
      <c r="A24">
        <v>2012</v>
      </c>
      <c r="B24" s="217">
        <v>-7.7</v>
      </c>
      <c r="C24" s="287"/>
      <c r="D24" s="289"/>
      <c r="E24" s="290"/>
      <c r="F24" s="217"/>
    </row>
    <row r="25" spans="1:7" x14ac:dyDescent="0.25">
      <c r="A25">
        <v>2013</v>
      </c>
      <c r="B25" s="217">
        <v>3.3</v>
      </c>
      <c r="C25" s="287"/>
      <c r="D25" s="289"/>
      <c r="E25" s="290"/>
      <c r="F25" s="217"/>
    </row>
    <row r="26" spans="1:7" x14ac:dyDescent="0.25">
      <c r="A26">
        <v>2014</v>
      </c>
      <c r="B26" s="217">
        <v>2.9</v>
      </c>
      <c r="C26" s="287"/>
      <c r="D26" s="289"/>
      <c r="E26" s="290"/>
      <c r="F26" s="217"/>
    </row>
    <row r="27" spans="1:7" x14ac:dyDescent="0.25">
      <c r="B27" s="217"/>
      <c r="C27" s="287"/>
      <c r="D27" s="289"/>
      <c r="E27" s="290"/>
      <c r="F27" s="217"/>
    </row>
    <row r="28" spans="1:7" x14ac:dyDescent="0.25">
      <c r="B28" s="217"/>
      <c r="C28" s="287"/>
      <c r="D28" s="289"/>
      <c r="E28" s="290"/>
      <c r="F28" s="217"/>
    </row>
    <row r="29" spans="1:7" x14ac:dyDescent="0.25">
      <c r="B29" s="217"/>
      <c r="C29" s="287"/>
      <c r="D29" s="289"/>
      <c r="E29" s="290"/>
      <c r="F29" s="217"/>
    </row>
    <row r="30" spans="1:7" x14ac:dyDescent="0.25">
      <c r="B30" s="217"/>
      <c r="C30" s="287"/>
      <c r="D30" s="289"/>
      <c r="E30" s="290"/>
      <c r="F30" s="217"/>
    </row>
    <row r="31" spans="1:7" x14ac:dyDescent="0.25">
      <c r="B31" s="217"/>
      <c r="C31" s="287"/>
      <c r="D31" s="289"/>
      <c r="E31" s="290"/>
      <c r="F31" s="217"/>
    </row>
    <row r="32" spans="1:7" x14ac:dyDescent="0.25">
      <c r="B32" s="217"/>
      <c r="C32" s="287"/>
      <c r="D32" s="289"/>
      <c r="E32" s="290"/>
      <c r="F32" s="217"/>
    </row>
    <row r="33" spans="2:6" x14ac:dyDescent="0.25">
      <c r="B33" s="217"/>
      <c r="C33" s="287"/>
      <c r="D33" s="289"/>
      <c r="E33" s="290"/>
      <c r="F33" s="217"/>
    </row>
    <row r="34" spans="2:6" x14ac:dyDescent="0.25">
      <c r="B34" s="217"/>
      <c r="C34" s="287"/>
      <c r="D34" s="289"/>
      <c r="E34" s="290"/>
      <c r="F34" s="217"/>
    </row>
    <row r="35" spans="2:6" x14ac:dyDescent="0.25">
      <c r="B35" s="217"/>
      <c r="C35" s="287"/>
      <c r="D35" s="289"/>
      <c r="E35" s="290"/>
      <c r="F35" s="217"/>
    </row>
    <row r="36" spans="2:6" x14ac:dyDescent="0.25">
      <c r="B36" s="217"/>
      <c r="C36" s="287"/>
      <c r="D36" s="289"/>
      <c r="E36" s="290"/>
      <c r="F36" s="217"/>
    </row>
    <row r="37" spans="2:6" x14ac:dyDescent="0.25">
      <c r="B37" s="217"/>
      <c r="C37" s="287"/>
      <c r="D37" s="289"/>
      <c r="E37" s="290"/>
      <c r="F37" s="217"/>
    </row>
    <row r="38" spans="2:6" x14ac:dyDescent="0.25">
      <c r="B38" s="217"/>
      <c r="C38" s="287"/>
      <c r="D38" s="289"/>
      <c r="E38" s="290"/>
      <c r="F38" s="217"/>
    </row>
  </sheetData>
  <mergeCells count="3">
    <mergeCell ref="C12:K12"/>
    <mergeCell ref="C15:K15"/>
    <mergeCell ref="C16:K1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46"/>
  <sheetViews>
    <sheetView topLeftCell="A28" zoomScale="110" zoomScaleNormal="110" workbookViewId="0">
      <selection activeCell="G37" sqref="G37"/>
    </sheetView>
  </sheetViews>
  <sheetFormatPr baseColWidth="10" defaultRowHeight="15" x14ac:dyDescent="0.25"/>
  <cols>
    <col min="4" max="4" width="11.85546875" bestFit="1" customWidth="1"/>
    <col min="5" max="7" width="11.85546875" customWidth="1"/>
    <col min="8" max="8" width="13" customWidth="1"/>
  </cols>
  <sheetData>
    <row r="2" spans="1:37" ht="30" x14ac:dyDescent="0.25">
      <c r="G2" s="113"/>
      <c r="H2" s="113" t="s">
        <v>348</v>
      </c>
      <c r="J2" s="479"/>
      <c r="K2" s="480"/>
    </row>
    <row r="3" spans="1:37" ht="57" x14ac:dyDescent="0.25">
      <c r="A3" s="116" t="s">
        <v>353</v>
      </c>
      <c r="B3" s="211" t="s">
        <v>349</v>
      </c>
      <c r="C3" s="211" t="s">
        <v>343</v>
      </c>
      <c r="D3" s="207" t="s">
        <v>337</v>
      </c>
      <c r="E3" s="198" t="s">
        <v>426</v>
      </c>
      <c r="F3" s="199" t="s">
        <v>425</v>
      </c>
      <c r="G3" s="113"/>
      <c r="H3" s="113" t="s">
        <v>229</v>
      </c>
      <c r="I3" s="113" t="s">
        <v>350</v>
      </c>
      <c r="J3" s="114" t="s">
        <v>351</v>
      </c>
      <c r="K3" s="114" t="s">
        <v>352</v>
      </c>
      <c r="L3" s="115"/>
      <c r="M3" s="115"/>
      <c r="N3" s="446"/>
      <c r="O3" s="446"/>
      <c r="P3" s="446"/>
      <c r="Q3" s="446"/>
      <c r="R3" s="446"/>
      <c r="S3" s="446"/>
      <c r="T3" s="446"/>
      <c r="U3" s="446"/>
      <c r="V3" s="446"/>
      <c r="W3" s="446"/>
      <c r="X3" s="446"/>
      <c r="Y3" s="446"/>
      <c r="Z3" s="446"/>
      <c r="AA3" s="446"/>
      <c r="AB3" s="446"/>
      <c r="AC3" s="446"/>
      <c r="AD3" s="446"/>
      <c r="AE3" s="446"/>
      <c r="AF3" s="446"/>
      <c r="AG3" s="446"/>
      <c r="AH3" s="446"/>
      <c r="AI3" s="446"/>
      <c r="AJ3" s="446"/>
      <c r="AK3" s="446"/>
    </row>
    <row r="4" spans="1:37" x14ac:dyDescent="0.25">
      <c r="A4" s="60">
        <v>1</v>
      </c>
      <c r="B4" s="445">
        <v>2010</v>
      </c>
      <c r="C4" s="106" t="s">
        <v>344</v>
      </c>
      <c r="D4" s="212">
        <v>9378.7099999999991</v>
      </c>
      <c r="E4" s="212">
        <v>995.83000000000015</v>
      </c>
      <c r="F4" s="212">
        <v>312.51</v>
      </c>
      <c r="G4" s="106"/>
      <c r="H4" s="16">
        <v>937.87100000000009</v>
      </c>
      <c r="I4">
        <f>+D4^2</f>
        <v>87960201.264099985</v>
      </c>
      <c r="J4">
        <f>+H4^2</f>
        <v>879602.01264100021</v>
      </c>
      <c r="K4">
        <f>+H4*D4</f>
        <v>8796020.12641</v>
      </c>
    </row>
    <row r="5" spans="1:37" x14ac:dyDescent="0.25">
      <c r="A5" s="60">
        <v>2</v>
      </c>
      <c r="B5" s="445"/>
      <c r="C5" s="106" t="s">
        <v>345</v>
      </c>
      <c r="D5" s="212">
        <v>9360.6299999999992</v>
      </c>
      <c r="E5" s="212">
        <v>515.75</v>
      </c>
      <c r="F5" s="212">
        <v>458.86</v>
      </c>
      <c r="G5" s="106"/>
      <c r="H5" s="16">
        <v>936.06299999999987</v>
      </c>
      <c r="I5">
        <f t="shared" ref="I5:I27" si="0">+D5^2</f>
        <v>87621393.996899992</v>
      </c>
      <c r="J5">
        <f t="shared" ref="J5:J27" si="1">+H5^2</f>
        <v>876213.93996899971</v>
      </c>
      <c r="K5">
        <f t="shared" ref="K5:K27" si="2">+H5*D5</f>
        <v>8762139.3996899985</v>
      </c>
    </row>
    <row r="6" spans="1:37" x14ac:dyDescent="0.25">
      <c r="A6" s="60">
        <v>3</v>
      </c>
      <c r="B6" s="445"/>
      <c r="C6" s="106" t="s">
        <v>346</v>
      </c>
      <c r="D6" s="212">
        <v>7899.25</v>
      </c>
      <c r="E6" s="212">
        <v>1096.98</v>
      </c>
      <c r="F6" s="212">
        <v>470.3</v>
      </c>
      <c r="G6" s="106"/>
      <c r="H6" s="16">
        <v>789.92500000000007</v>
      </c>
      <c r="I6">
        <f t="shared" si="0"/>
        <v>62398150.5625</v>
      </c>
      <c r="J6">
        <f t="shared" si="1"/>
        <v>623981.50562500011</v>
      </c>
      <c r="K6">
        <f t="shared" si="2"/>
        <v>6239815.0562500004</v>
      </c>
    </row>
    <row r="7" spans="1:37" x14ac:dyDescent="0.25">
      <c r="A7" s="60">
        <v>4</v>
      </c>
      <c r="B7" s="445"/>
      <c r="C7" s="106" t="s">
        <v>347</v>
      </c>
      <c r="D7" s="212">
        <v>11520.789999999999</v>
      </c>
      <c r="E7" s="212">
        <v>737.49</v>
      </c>
      <c r="F7" s="212">
        <v>292.92</v>
      </c>
      <c r="G7" s="106"/>
      <c r="H7" s="16">
        <v>1152.079</v>
      </c>
      <c r="I7">
        <f t="shared" si="0"/>
        <v>132728602.22409998</v>
      </c>
      <c r="J7">
        <f t="shared" si="1"/>
        <v>1327286.0222409999</v>
      </c>
      <c r="K7">
        <f t="shared" si="2"/>
        <v>13272860.222409999</v>
      </c>
    </row>
    <row r="8" spans="1:37" x14ac:dyDescent="0.25">
      <c r="A8" s="60">
        <v>5</v>
      </c>
      <c r="B8" s="445">
        <v>2011</v>
      </c>
      <c r="C8" s="106" t="s">
        <v>344</v>
      </c>
      <c r="D8" s="212">
        <v>5891.99</v>
      </c>
      <c r="E8" s="212">
        <v>558.88</v>
      </c>
      <c r="F8" s="212">
        <v>54.42</v>
      </c>
      <c r="G8" s="106"/>
      <c r="H8" s="16">
        <v>589.19900000000007</v>
      </c>
      <c r="I8">
        <f t="shared" si="0"/>
        <v>34715546.160099998</v>
      </c>
      <c r="J8">
        <f t="shared" si="1"/>
        <v>347155.4616010001</v>
      </c>
      <c r="K8">
        <f t="shared" si="2"/>
        <v>3471554.6160100005</v>
      </c>
    </row>
    <row r="9" spans="1:37" x14ac:dyDescent="0.25">
      <c r="A9" s="60">
        <v>6</v>
      </c>
      <c r="B9" s="445"/>
      <c r="C9" s="106" t="s">
        <v>345</v>
      </c>
      <c r="D9" s="212">
        <v>7280</v>
      </c>
      <c r="E9" s="212">
        <v>584.15</v>
      </c>
      <c r="F9" s="212">
        <v>420.28</v>
      </c>
      <c r="G9" s="106"/>
      <c r="H9" s="16">
        <v>980</v>
      </c>
      <c r="I9">
        <f t="shared" si="0"/>
        <v>52998400</v>
      </c>
      <c r="J9">
        <f t="shared" si="1"/>
        <v>960400</v>
      </c>
      <c r="K9">
        <f t="shared" si="2"/>
        <v>7134400</v>
      </c>
    </row>
    <row r="10" spans="1:37" x14ac:dyDescent="0.25">
      <c r="A10" s="60">
        <v>7</v>
      </c>
      <c r="B10" s="445"/>
      <c r="C10" s="106" t="s">
        <v>346</v>
      </c>
      <c r="D10" s="212">
        <v>5950.85</v>
      </c>
      <c r="E10" s="212">
        <v>598.57999999999993</v>
      </c>
      <c r="F10" s="212">
        <v>224.01</v>
      </c>
      <c r="G10" s="106"/>
      <c r="H10" s="16">
        <v>788.04500000000007</v>
      </c>
      <c r="I10">
        <f t="shared" si="0"/>
        <v>35412615.722500004</v>
      </c>
      <c r="J10">
        <f t="shared" si="1"/>
        <v>621014.92202500009</v>
      </c>
      <c r="K10">
        <f t="shared" si="2"/>
        <v>4689537.588250001</v>
      </c>
    </row>
    <row r="11" spans="1:37" x14ac:dyDescent="0.25">
      <c r="A11" s="60">
        <v>8</v>
      </c>
      <c r="B11" s="445"/>
      <c r="C11" s="106" t="s">
        <v>347</v>
      </c>
      <c r="D11" s="212">
        <v>4357.75</v>
      </c>
      <c r="E11" s="212">
        <v>341.58</v>
      </c>
      <c r="F11" s="212">
        <v>234.97</v>
      </c>
      <c r="G11" s="106"/>
      <c r="H11" s="16">
        <v>1020.6610000000001</v>
      </c>
      <c r="I11">
        <f t="shared" si="0"/>
        <v>18989985.0625</v>
      </c>
      <c r="J11">
        <f t="shared" si="1"/>
        <v>1041748.8769210001</v>
      </c>
      <c r="K11">
        <f t="shared" si="2"/>
        <v>4447785.4727500007</v>
      </c>
    </row>
    <row r="12" spans="1:37" x14ac:dyDescent="0.25">
      <c r="A12" s="60">
        <v>9</v>
      </c>
      <c r="B12" s="445">
        <v>2012</v>
      </c>
      <c r="C12" s="106" t="s">
        <v>344</v>
      </c>
      <c r="D12" s="212">
        <v>10967.82</v>
      </c>
      <c r="E12" s="212">
        <v>606.39</v>
      </c>
      <c r="F12" s="212">
        <v>241.87</v>
      </c>
      <c r="G12" s="106"/>
      <c r="H12" s="16">
        <v>1096.7820000000002</v>
      </c>
      <c r="I12">
        <f t="shared" si="0"/>
        <v>120293075.55239999</v>
      </c>
      <c r="J12">
        <f t="shared" si="1"/>
        <v>1202930.7555240004</v>
      </c>
      <c r="K12">
        <f t="shared" si="2"/>
        <v>12029307.555240002</v>
      </c>
    </row>
    <row r="13" spans="1:37" x14ac:dyDescent="0.25">
      <c r="A13" s="60">
        <v>10</v>
      </c>
      <c r="B13" s="445"/>
      <c r="C13" s="106" t="s">
        <v>345</v>
      </c>
      <c r="D13" s="212">
        <v>11703.8</v>
      </c>
      <c r="E13" s="212">
        <v>537.71</v>
      </c>
      <c r="F13" s="212">
        <v>192.67</v>
      </c>
      <c r="G13" s="106"/>
      <c r="H13" s="16">
        <v>1170.3800000000001</v>
      </c>
      <c r="I13">
        <f t="shared" si="0"/>
        <v>136978934.44</v>
      </c>
      <c r="J13">
        <f t="shared" si="1"/>
        <v>1369789.3444000003</v>
      </c>
      <c r="K13">
        <f t="shared" si="2"/>
        <v>13697893.444</v>
      </c>
    </row>
    <row r="14" spans="1:37" x14ac:dyDescent="0.25">
      <c r="A14" s="60">
        <v>11</v>
      </c>
      <c r="B14" s="445"/>
      <c r="C14" s="106" t="s">
        <v>346</v>
      </c>
      <c r="D14" s="212">
        <v>11317.16</v>
      </c>
      <c r="E14" s="212">
        <v>544.22</v>
      </c>
      <c r="F14" s="212">
        <v>96.59</v>
      </c>
      <c r="G14" s="106"/>
      <c r="H14" s="16">
        <v>1131.7160000000001</v>
      </c>
      <c r="I14">
        <f t="shared" si="0"/>
        <v>128078110.4656</v>
      </c>
      <c r="J14">
        <f t="shared" si="1"/>
        <v>1280781.1046560004</v>
      </c>
      <c r="K14">
        <f t="shared" si="2"/>
        <v>12807811.046560001</v>
      </c>
    </row>
    <row r="15" spans="1:37" x14ac:dyDescent="0.25">
      <c r="A15" s="60">
        <v>12</v>
      </c>
      <c r="B15" s="445"/>
      <c r="C15" s="106" t="s">
        <v>347</v>
      </c>
      <c r="D15" s="212">
        <v>5147.6900000000005</v>
      </c>
      <c r="E15" s="212">
        <v>519.29</v>
      </c>
      <c r="F15" s="212">
        <v>68.600000000000009</v>
      </c>
      <c r="G15" s="106"/>
      <c r="H15" s="16">
        <v>575.07500000000005</v>
      </c>
      <c r="I15">
        <f t="shared" si="0"/>
        <v>26498712.336100005</v>
      </c>
      <c r="J15">
        <f t="shared" si="1"/>
        <v>330711.25562500005</v>
      </c>
      <c r="K15">
        <f t="shared" si="2"/>
        <v>2960307.8267500005</v>
      </c>
    </row>
    <row r="16" spans="1:37" x14ac:dyDescent="0.25">
      <c r="A16" s="60">
        <v>13</v>
      </c>
      <c r="B16" s="445">
        <v>2013</v>
      </c>
      <c r="C16" s="106" t="s">
        <v>344</v>
      </c>
      <c r="D16" s="212">
        <v>10470.15</v>
      </c>
      <c r="E16" s="212">
        <v>64.36</v>
      </c>
      <c r="F16" s="212">
        <v>191.86</v>
      </c>
      <c r="G16" s="106"/>
      <c r="H16" s="16">
        <v>1047.0149999999999</v>
      </c>
      <c r="I16">
        <f t="shared" si="0"/>
        <v>109624041.02249999</v>
      </c>
      <c r="J16">
        <f t="shared" si="1"/>
        <v>1096240.4102249998</v>
      </c>
      <c r="K16">
        <f t="shared" si="2"/>
        <v>10962404.102249999</v>
      </c>
    </row>
    <row r="17" spans="1:11" x14ac:dyDescent="0.25">
      <c r="A17" s="60">
        <v>14</v>
      </c>
      <c r="B17" s="445"/>
      <c r="C17" s="106" t="s">
        <v>345</v>
      </c>
      <c r="D17" s="212">
        <v>16964.560000000001</v>
      </c>
      <c r="E17" s="212">
        <v>85.9</v>
      </c>
      <c r="F17" s="212">
        <v>118.85</v>
      </c>
      <c r="G17" s="106"/>
      <c r="H17" s="16">
        <v>1696.4560000000001</v>
      </c>
      <c r="I17">
        <f t="shared" si="0"/>
        <v>287796295.99360007</v>
      </c>
      <c r="J17">
        <f t="shared" si="1"/>
        <v>2877962.9599360004</v>
      </c>
      <c r="K17">
        <f t="shared" si="2"/>
        <v>28779629.599360004</v>
      </c>
    </row>
    <row r="18" spans="1:11" x14ac:dyDescent="0.25">
      <c r="A18" s="60">
        <v>15</v>
      </c>
      <c r="B18" s="445"/>
      <c r="C18" s="106" t="s">
        <v>346</v>
      </c>
      <c r="D18" s="212">
        <v>11938.04</v>
      </c>
      <c r="E18" s="212">
        <v>103.05000000000001</v>
      </c>
      <c r="F18" s="212">
        <v>316.16999999999996</v>
      </c>
      <c r="G18" s="106"/>
      <c r="H18" s="16">
        <v>1193.8040000000001</v>
      </c>
      <c r="I18">
        <f t="shared" si="0"/>
        <v>142516799.04160002</v>
      </c>
      <c r="J18">
        <f t="shared" si="1"/>
        <v>1425167.9904160001</v>
      </c>
      <c r="K18">
        <f t="shared" si="2"/>
        <v>14251679.904160002</v>
      </c>
    </row>
    <row r="19" spans="1:11" x14ac:dyDescent="0.25">
      <c r="A19" s="60">
        <v>16</v>
      </c>
      <c r="B19" s="445"/>
      <c r="C19" s="106" t="s">
        <v>347</v>
      </c>
      <c r="D19" s="212">
        <v>13627.339999999998</v>
      </c>
      <c r="E19" s="212">
        <v>70.19</v>
      </c>
      <c r="F19" s="212">
        <v>24.1</v>
      </c>
      <c r="G19" s="106"/>
      <c r="H19" s="16">
        <v>1733.8220000000001</v>
      </c>
      <c r="I19">
        <f t="shared" si="0"/>
        <v>185704395.47559994</v>
      </c>
      <c r="J19">
        <f t="shared" si="1"/>
        <v>3006138.7276840005</v>
      </c>
      <c r="K19">
        <f t="shared" si="2"/>
        <v>23627381.893479999</v>
      </c>
    </row>
    <row r="20" spans="1:11" x14ac:dyDescent="0.25">
      <c r="A20" s="60">
        <v>17</v>
      </c>
      <c r="B20" s="445">
        <v>2014</v>
      </c>
      <c r="C20" s="106" t="s">
        <v>344</v>
      </c>
      <c r="D20" s="212">
        <v>5883.39</v>
      </c>
      <c r="E20" s="212">
        <v>140.34</v>
      </c>
      <c r="F20" s="212">
        <v>345.26</v>
      </c>
      <c r="G20" s="106"/>
      <c r="H20" s="16">
        <v>1026.5409999999999</v>
      </c>
      <c r="I20">
        <f t="shared" si="0"/>
        <v>34614277.892100006</v>
      </c>
      <c r="J20">
        <f t="shared" si="1"/>
        <v>1053786.4246809999</v>
      </c>
      <c r="K20">
        <f t="shared" si="2"/>
        <v>6039541.0539899999</v>
      </c>
    </row>
    <row r="21" spans="1:11" x14ac:dyDescent="0.25">
      <c r="A21" s="60">
        <v>18</v>
      </c>
      <c r="B21" s="445"/>
      <c r="C21" s="106" t="s">
        <v>345</v>
      </c>
      <c r="D21" s="212">
        <v>6852</v>
      </c>
      <c r="E21" s="212">
        <v>52.94</v>
      </c>
      <c r="F21" s="212">
        <v>5.14</v>
      </c>
      <c r="G21" s="106"/>
      <c r="H21" s="16">
        <v>1293.7030000000002</v>
      </c>
      <c r="I21">
        <f t="shared" si="0"/>
        <v>46949904</v>
      </c>
      <c r="J21">
        <f t="shared" si="1"/>
        <v>1673667.4522090005</v>
      </c>
      <c r="K21">
        <f t="shared" si="2"/>
        <v>8864452.9560000021</v>
      </c>
    </row>
    <row r="22" spans="1:11" x14ac:dyDescent="0.25">
      <c r="A22" s="60">
        <v>19</v>
      </c>
      <c r="B22" s="445"/>
      <c r="C22" s="106" t="s">
        <v>346</v>
      </c>
      <c r="D22" s="212">
        <v>7833.73</v>
      </c>
      <c r="E22" s="212">
        <v>180.5</v>
      </c>
      <c r="F22" s="212">
        <v>81.92</v>
      </c>
      <c r="G22" s="106"/>
      <c r="H22" s="16">
        <v>1573.79</v>
      </c>
      <c r="I22">
        <f t="shared" si="0"/>
        <v>61367325.71289999</v>
      </c>
      <c r="J22">
        <f t="shared" si="1"/>
        <v>2476814.9641</v>
      </c>
      <c r="K22">
        <f t="shared" si="2"/>
        <v>12328645.936699999</v>
      </c>
    </row>
    <row r="23" spans="1:11" x14ac:dyDescent="0.25">
      <c r="A23" s="60">
        <v>20</v>
      </c>
      <c r="B23" s="445"/>
      <c r="C23" s="106" t="s">
        <v>347</v>
      </c>
      <c r="D23" s="212">
        <v>11467.25</v>
      </c>
      <c r="E23" s="212">
        <v>38.739999999999995</v>
      </c>
      <c r="F23" s="212">
        <v>123.12</v>
      </c>
      <c r="G23" s="106"/>
      <c r="H23" s="16">
        <v>823.8900000000001</v>
      </c>
      <c r="I23">
        <f t="shared" si="0"/>
        <v>131497822.5625</v>
      </c>
      <c r="J23">
        <f t="shared" si="1"/>
        <v>678794.73210000014</v>
      </c>
      <c r="K23">
        <f t="shared" si="2"/>
        <v>9447752.602500001</v>
      </c>
    </row>
    <row r="24" spans="1:11" x14ac:dyDescent="0.25">
      <c r="A24" s="60">
        <v>21</v>
      </c>
      <c r="B24" s="445">
        <v>2015</v>
      </c>
      <c r="C24" s="106" t="s">
        <v>344</v>
      </c>
      <c r="D24" s="212">
        <v>10265.41</v>
      </c>
      <c r="E24" s="212">
        <v>176</v>
      </c>
      <c r="F24" s="212">
        <v>86.22999999999999</v>
      </c>
      <c r="G24" s="106"/>
      <c r="H24" s="16">
        <v>467.32</v>
      </c>
      <c r="I24">
        <f t="shared" si="0"/>
        <v>105378642.4681</v>
      </c>
      <c r="J24">
        <f t="shared" si="1"/>
        <v>218387.98240000001</v>
      </c>
      <c r="K24">
        <f t="shared" si="2"/>
        <v>4797231.4012000002</v>
      </c>
    </row>
    <row r="25" spans="1:11" x14ac:dyDescent="0.25">
      <c r="A25" s="60">
        <v>22</v>
      </c>
      <c r="B25" s="445"/>
      <c r="C25" s="106" t="s">
        <v>345</v>
      </c>
      <c r="D25" s="212">
        <v>12937.03</v>
      </c>
      <c r="E25" s="212">
        <v>40.4</v>
      </c>
      <c r="F25" s="212">
        <v>5.78</v>
      </c>
      <c r="G25" s="106"/>
      <c r="H25" s="16">
        <v>515.34</v>
      </c>
      <c r="I25">
        <f t="shared" si="0"/>
        <v>167366745.22090003</v>
      </c>
      <c r="J25">
        <f t="shared" si="1"/>
        <v>265575.31560000003</v>
      </c>
      <c r="K25">
        <f t="shared" si="2"/>
        <v>6666969.0402000006</v>
      </c>
    </row>
    <row r="26" spans="1:11" x14ac:dyDescent="0.25">
      <c r="A26" s="60">
        <v>23</v>
      </c>
      <c r="B26" s="445"/>
      <c r="C26" s="106" t="s">
        <v>346</v>
      </c>
      <c r="D26" s="212">
        <v>20747.2</v>
      </c>
      <c r="E26" s="212">
        <v>90.7</v>
      </c>
      <c r="F26" s="212">
        <v>129.16</v>
      </c>
      <c r="G26" s="106"/>
      <c r="H26" s="16"/>
      <c r="I26">
        <f t="shared" si="0"/>
        <v>430446307.84000003</v>
      </c>
      <c r="J26">
        <f t="shared" si="1"/>
        <v>0</v>
      </c>
      <c r="K26">
        <f t="shared" si="2"/>
        <v>0</v>
      </c>
    </row>
    <row r="27" spans="1:11" x14ac:dyDescent="0.25">
      <c r="A27" s="60">
        <v>24</v>
      </c>
      <c r="B27" s="445"/>
      <c r="C27" s="106" t="s">
        <v>347</v>
      </c>
      <c r="D27" s="212">
        <v>8238.9</v>
      </c>
      <c r="E27" s="212">
        <v>41.68</v>
      </c>
      <c r="F27" s="212">
        <v>4.8600000000000003</v>
      </c>
      <c r="G27" s="106"/>
      <c r="H27" s="16"/>
      <c r="I27">
        <f t="shared" si="0"/>
        <v>67879473.209999993</v>
      </c>
      <c r="J27">
        <f t="shared" si="1"/>
        <v>0</v>
      </c>
      <c r="K27">
        <f t="shared" si="2"/>
        <v>0</v>
      </c>
    </row>
    <row r="28" spans="1:11" x14ac:dyDescent="0.25">
      <c r="A28" t="s">
        <v>354</v>
      </c>
      <c r="B28" s="445">
        <v>2016</v>
      </c>
      <c r="C28" s="106" t="s">
        <v>344</v>
      </c>
      <c r="D28" s="212">
        <v>4673.2</v>
      </c>
      <c r="E28" s="212">
        <v>42.1</v>
      </c>
      <c r="F28" s="212">
        <v>52.87</v>
      </c>
      <c r="H28">
        <f>+SUM(H4:H27)</f>
        <v>22539.477000000006</v>
      </c>
      <c r="I28">
        <f t="shared" ref="I28:K28" si="3">+SUM(I4:I27)</f>
        <v>2695815758.2266002</v>
      </c>
      <c r="J28">
        <f t="shared" si="3"/>
        <v>25634152.160579</v>
      </c>
      <c r="K28">
        <f t="shared" si="3"/>
        <v>224075120.84415999</v>
      </c>
    </row>
    <row r="29" spans="1:11" x14ac:dyDescent="0.25">
      <c r="B29" s="445"/>
      <c r="C29" s="106" t="s">
        <v>345</v>
      </c>
      <c r="D29" s="212">
        <v>5153.3999999999996</v>
      </c>
      <c r="E29" s="212">
        <v>38.08</v>
      </c>
      <c r="F29" s="212">
        <v>41.22</v>
      </c>
      <c r="H29">
        <f t="shared" ref="H29:H31" si="4">+SUM(H5:H28)</f>
        <v>44141.083000000013</v>
      </c>
      <c r="I29">
        <f t="shared" ref="I29:K29" si="5">+SUM(I5:I28)</f>
        <v>5303671315.1891003</v>
      </c>
      <c r="J29">
        <f t="shared" si="5"/>
        <v>50388702.308517002</v>
      </c>
      <c r="K29">
        <f t="shared" si="5"/>
        <v>439354221.56190997</v>
      </c>
    </row>
    <row r="30" spans="1:11" x14ac:dyDescent="0.25">
      <c r="B30" s="445"/>
      <c r="C30" s="106" t="s">
        <v>346</v>
      </c>
      <c r="D30" s="212">
        <v>11317.16</v>
      </c>
      <c r="E30" s="212">
        <v>42.1</v>
      </c>
      <c r="F30" s="212">
        <v>470.3</v>
      </c>
      <c r="H30">
        <f t="shared" si="4"/>
        <v>87346.103000000017</v>
      </c>
      <c r="I30">
        <f t="shared" ref="I30:K30" si="6">+SUM(I6:I29)</f>
        <v>10519721236.381302</v>
      </c>
      <c r="J30">
        <f t="shared" si="6"/>
        <v>99901190.677065</v>
      </c>
      <c r="K30">
        <f t="shared" si="6"/>
        <v>869946303.72412992</v>
      </c>
    </row>
    <row r="31" spans="1:11" x14ac:dyDescent="0.25">
      <c r="B31" s="445"/>
      <c r="C31" s="106" t="s">
        <v>347</v>
      </c>
      <c r="D31" s="212">
        <v>5147.6900000000005</v>
      </c>
      <c r="E31" s="212">
        <v>38.08</v>
      </c>
      <c r="F31" s="212">
        <v>292.92</v>
      </c>
      <c r="H31">
        <f t="shared" si="4"/>
        <v>173902.28100000002</v>
      </c>
      <c r="I31">
        <f t="shared" ref="I31:K31" si="7">+SUM(I7:I30)</f>
        <v>20977044322.200104</v>
      </c>
      <c r="J31">
        <f t="shared" si="7"/>
        <v>199178399.84850502</v>
      </c>
      <c r="K31">
        <f t="shared" si="7"/>
        <v>1733652792.3920097</v>
      </c>
    </row>
    <row r="44" spans="9:9" x14ac:dyDescent="0.25">
      <c r="I44" s="117"/>
    </row>
    <row r="46" spans="9:9" x14ac:dyDescent="0.25">
      <c r="I46" s="117"/>
    </row>
  </sheetData>
  <mergeCells count="13">
    <mergeCell ref="B28:B31"/>
    <mergeCell ref="AD3:AG3"/>
    <mergeCell ref="AH3:AK3"/>
    <mergeCell ref="B24:B27"/>
    <mergeCell ref="N3:Q3"/>
    <mergeCell ref="R3:U3"/>
    <mergeCell ref="V3:Y3"/>
    <mergeCell ref="Z3:AC3"/>
    <mergeCell ref="B4:B7"/>
    <mergeCell ref="B8:B11"/>
    <mergeCell ref="B12:B15"/>
    <mergeCell ref="B16:B19"/>
    <mergeCell ref="B20:B2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6"/>
  <sheetViews>
    <sheetView workbookViewId="0">
      <selection activeCell="G7" sqref="G7"/>
    </sheetView>
  </sheetViews>
  <sheetFormatPr baseColWidth="10" defaultRowHeight="15" x14ac:dyDescent="0.25"/>
  <sheetData>
    <row r="3" spans="2:6" x14ac:dyDescent="0.25">
      <c r="C3" s="448" t="s">
        <v>437</v>
      </c>
      <c r="D3" s="448"/>
      <c r="E3" s="448"/>
      <c r="F3" s="448"/>
    </row>
    <row r="4" spans="2:6" ht="57" x14ac:dyDescent="0.25">
      <c r="B4" s="207" t="s">
        <v>337</v>
      </c>
      <c r="C4" s="447"/>
      <c r="D4" s="447"/>
      <c r="E4" s="447"/>
      <c r="F4" s="447"/>
    </row>
    <row r="5" spans="2:6" ht="71.25" x14ac:dyDescent="0.25">
      <c r="B5" s="198" t="s">
        <v>426</v>
      </c>
      <c r="C5" s="447"/>
      <c r="D5" s="447"/>
      <c r="E5" s="447"/>
      <c r="F5" s="447"/>
    </row>
    <row r="6" spans="2:6" ht="57" x14ac:dyDescent="0.25">
      <c r="B6" s="199" t="s">
        <v>425</v>
      </c>
      <c r="C6" s="447"/>
      <c r="D6" s="447"/>
      <c r="E6" s="447"/>
      <c r="F6" s="447"/>
    </row>
  </sheetData>
  <mergeCells count="4">
    <mergeCell ref="C4:F4"/>
    <mergeCell ref="C5:F5"/>
    <mergeCell ref="C6:F6"/>
    <mergeCell ref="C3:F3"/>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36"/>
  <sheetViews>
    <sheetView zoomScale="130" zoomScaleNormal="130" workbookViewId="0">
      <selection activeCell="L8" sqref="L8"/>
    </sheetView>
  </sheetViews>
  <sheetFormatPr baseColWidth="10" defaultColWidth="9.140625" defaultRowHeight="12.75" x14ac:dyDescent="0.2"/>
  <cols>
    <col min="1" max="1" width="9.140625" style="156"/>
    <col min="2" max="2" width="7.7109375" style="164" customWidth="1"/>
    <col min="3" max="4" width="10.7109375" style="156" customWidth="1"/>
    <col min="5" max="5" width="11.140625" style="156" customWidth="1"/>
    <col min="6" max="6" width="12.7109375" style="156" customWidth="1"/>
    <col min="7" max="7" width="11.28515625" style="156" customWidth="1"/>
    <col min="8" max="8" width="12.85546875" style="156" customWidth="1"/>
    <col min="9" max="9" width="11" style="156" customWidth="1"/>
    <col min="10" max="10" width="11.42578125" style="156" customWidth="1"/>
    <col min="11" max="11" width="12.140625" style="156" customWidth="1"/>
    <col min="12" max="12" width="16.7109375" style="156" customWidth="1"/>
    <col min="13" max="13" width="4" style="156" customWidth="1"/>
    <col min="14" max="16384" width="9.140625" style="156"/>
  </cols>
  <sheetData>
    <row r="1" spans="1:16" ht="15" x14ac:dyDescent="0.25">
      <c r="A1" s="175"/>
      <c r="B1" s="176" t="s">
        <v>415</v>
      </c>
      <c r="C1" s="177"/>
      <c r="D1" s="177"/>
      <c r="E1" s="177"/>
      <c r="F1" s="177"/>
      <c r="G1" s="177"/>
      <c r="H1" s="177"/>
      <c r="I1" s="177"/>
      <c r="J1" s="177"/>
      <c r="K1" s="177"/>
      <c r="L1" s="457" t="s">
        <v>421</v>
      </c>
      <c r="M1" s="458"/>
      <c r="N1" s="458"/>
      <c r="O1" s="155"/>
      <c r="P1" s="155"/>
    </row>
    <row r="2" spans="1:16" ht="42.75" x14ac:dyDescent="0.25">
      <c r="A2" s="175"/>
      <c r="B2" s="178"/>
      <c r="C2" s="177"/>
      <c r="D2" s="177"/>
      <c r="E2" s="177"/>
      <c r="F2" s="187" t="s">
        <v>401</v>
      </c>
      <c r="G2" s="177"/>
      <c r="H2" s="185" t="s">
        <v>422</v>
      </c>
      <c r="I2" s="177"/>
      <c r="J2" s="177"/>
      <c r="K2" s="177"/>
      <c r="L2" s="167" t="s">
        <v>477</v>
      </c>
      <c r="M2" s="168">
        <v>1</v>
      </c>
      <c r="N2" s="179">
        <f>+M2/M5</f>
        <v>0.16666666666666666</v>
      </c>
      <c r="O2" s="155"/>
      <c r="P2" s="155"/>
    </row>
    <row r="3" spans="1:16" ht="15" x14ac:dyDescent="0.25">
      <c r="A3" s="175"/>
      <c r="B3" s="169"/>
      <c r="C3" s="170"/>
      <c r="D3" s="170"/>
      <c r="E3" s="186"/>
      <c r="F3" s="188">
        <v>0.6</v>
      </c>
      <c r="G3" s="460" t="s">
        <v>403</v>
      </c>
      <c r="H3" s="184">
        <f>1/12</f>
        <v>8.3333333333333329E-2</v>
      </c>
      <c r="I3" s="177"/>
      <c r="J3" s="177"/>
      <c r="K3" s="177"/>
      <c r="L3" s="167" t="s">
        <v>404</v>
      </c>
      <c r="M3" s="168">
        <v>2</v>
      </c>
      <c r="N3" s="179">
        <f>+M3/$M$5</f>
        <v>0.33333333333333331</v>
      </c>
      <c r="O3" s="155"/>
      <c r="P3" s="155"/>
    </row>
    <row r="4" spans="1:16" ht="15" x14ac:dyDescent="0.25">
      <c r="A4" s="175"/>
      <c r="B4" s="171"/>
      <c r="C4" s="172"/>
      <c r="D4" s="180" t="s">
        <v>416</v>
      </c>
      <c r="E4" s="180" t="s">
        <v>416</v>
      </c>
      <c r="F4" s="177"/>
      <c r="G4" s="461"/>
      <c r="H4" s="177"/>
      <c r="I4" s="177"/>
      <c r="J4" s="177"/>
      <c r="K4" s="177"/>
      <c r="L4" s="167" t="s">
        <v>478</v>
      </c>
      <c r="M4" s="168">
        <v>3</v>
      </c>
      <c r="N4" s="179">
        <f>+M4/$M$5</f>
        <v>0.5</v>
      </c>
      <c r="O4" s="155"/>
      <c r="P4" s="155"/>
    </row>
    <row r="5" spans="1:16" ht="71.25" x14ac:dyDescent="0.25">
      <c r="A5" s="200" t="s">
        <v>329</v>
      </c>
      <c r="B5" s="199" t="s">
        <v>322</v>
      </c>
      <c r="C5" s="200" t="s">
        <v>337</v>
      </c>
      <c r="D5" s="198" t="s">
        <v>406</v>
      </c>
      <c r="E5" s="198" t="s">
        <v>407</v>
      </c>
      <c r="F5" s="198" t="s">
        <v>435</v>
      </c>
      <c r="G5" s="198" t="s">
        <v>424</v>
      </c>
      <c r="H5" s="198" t="s">
        <v>418</v>
      </c>
      <c r="I5" s="198" t="s">
        <v>423</v>
      </c>
      <c r="J5" s="198" t="s">
        <v>419</v>
      </c>
      <c r="K5" s="198" t="s">
        <v>420</v>
      </c>
      <c r="L5" s="177" t="s">
        <v>479</v>
      </c>
      <c r="M5" s="181">
        <f>+SUM(M2:M4)</f>
        <v>6</v>
      </c>
      <c r="N5" s="181">
        <f>+SUM(N2:N4)</f>
        <v>1</v>
      </c>
      <c r="O5" s="155"/>
      <c r="P5" s="155"/>
    </row>
    <row r="6" spans="1:16" ht="18" customHeight="1" x14ac:dyDescent="0.25">
      <c r="A6" s="173">
        <v>1</v>
      </c>
      <c r="B6" s="174">
        <v>2010</v>
      </c>
      <c r="C6" s="126">
        <v>1571.05</v>
      </c>
      <c r="D6" s="189"/>
      <c r="E6" s="190"/>
      <c r="F6" s="191">
        <f>+C6</f>
        <v>1571.05</v>
      </c>
      <c r="G6" s="192">
        <f>+$E$96+$E$97*B6</f>
        <v>2989.8199999999924</v>
      </c>
      <c r="H6" s="191">
        <f>+(C6-G6)^2</f>
        <v>2012908.3128999786</v>
      </c>
      <c r="I6" s="183"/>
      <c r="J6" s="193"/>
      <c r="K6" s="194"/>
      <c r="L6" s="177"/>
      <c r="M6" s="177"/>
      <c r="N6" s="177"/>
      <c r="O6" s="155"/>
      <c r="P6" s="155"/>
    </row>
    <row r="7" spans="1:16" ht="18" customHeight="1" x14ac:dyDescent="0.25">
      <c r="A7" s="173">
        <v>2</v>
      </c>
      <c r="B7" s="174">
        <f>+B6+$H$3</f>
        <v>2010.0833333333333</v>
      </c>
      <c r="C7" s="127">
        <v>3596.64</v>
      </c>
      <c r="D7" s="195"/>
      <c r="E7" s="190"/>
      <c r="F7" s="191">
        <f>+(C6*$F$3)+(F6*0.4)</f>
        <v>1571.05</v>
      </c>
      <c r="G7" s="192">
        <f>+$E$96+$E$97*B7</f>
        <v>2993.5934999999881</v>
      </c>
      <c r="H7" s="191">
        <f>+(C7-G7)^2</f>
        <v>363665.08116226416</v>
      </c>
      <c r="I7" s="183"/>
      <c r="J7" s="193"/>
      <c r="K7" s="191">
        <f>+(C7-F7)^2</f>
        <v>4103014.8480999996</v>
      </c>
      <c r="L7" s="177"/>
      <c r="M7" s="177"/>
      <c r="N7" s="177"/>
      <c r="O7" s="155"/>
      <c r="P7" s="155"/>
    </row>
    <row r="8" spans="1:16" ht="18" customHeight="1" x14ac:dyDescent="0.25">
      <c r="A8" s="173">
        <v>3</v>
      </c>
      <c r="B8" s="174">
        <f t="shared" ref="B8:B17" si="0">+B7+$H$3</f>
        <v>2010.1666666666665</v>
      </c>
      <c r="C8" s="127">
        <v>4211.0200000000004</v>
      </c>
      <c r="D8" s="195"/>
      <c r="E8" s="190"/>
      <c r="F8" s="191">
        <f t="shared" ref="F8:F70" si="1">+(C7*$F$3)+(F7*0.4)</f>
        <v>2786.404</v>
      </c>
      <c r="G8" s="192">
        <f t="shared" ref="G8:G71" si="2">+$E$96+$E$97*B8</f>
        <v>2997.3669999999838</v>
      </c>
      <c r="H8" s="191">
        <f>+(C8-G8)^2</f>
        <v>1472953.6044090404</v>
      </c>
      <c r="I8" s="183"/>
      <c r="J8" s="193"/>
      <c r="K8" s="191">
        <f t="shared" ref="K8:K89" si="3">+(C8-F8)^2</f>
        <v>2029530.7474560014</v>
      </c>
      <c r="L8" s="175"/>
      <c r="M8" s="177"/>
      <c r="N8" s="177"/>
      <c r="O8" s="155"/>
      <c r="P8" s="155"/>
    </row>
    <row r="9" spans="1:16" ht="18" customHeight="1" x14ac:dyDescent="0.25">
      <c r="A9" s="173">
        <v>4</v>
      </c>
      <c r="B9" s="174">
        <f t="shared" si="0"/>
        <v>2010.2499999999998</v>
      </c>
      <c r="C9" s="127">
        <v>5115.32</v>
      </c>
      <c r="D9" s="196">
        <f>+AVERAGE(C6:C8)</f>
        <v>3126.2366666666662</v>
      </c>
      <c r="E9" s="197">
        <f>+SUMPRODUCT($N$2:$N$4,C6:C8)</f>
        <v>3566.2316666666666</v>
      </c>
      <c r="F9" s="191">
        <f t="shared" si="1"/>
        <v>3641.1736000000001</v>
      </c>
      <c r="G9" s="192">
        <f t="shared" si="2"/>
        <v>3001.1404999999795</v>
      </c>
      <c r="H9" s="191">
        <f t="shared" ref="H9:H72" si="4">+(C9-G9)^2</f>
        <v>4469754.9582203357</v>
      </c>
      <c r="I9" s="191">
        <f>+(C9-D9)^2</f>
        <v>3956452.506944445</v>
      </c>
      <c r="J9" s="191">
        <f>+(C9-E9)^2</f>
        <v>2399674.6644694437</v>
      </c>
      <c r="K9" s="191">
        <f t="shared" si="3"/>
        <v>2173107.608632959</v>
      </c>
      <c r="L9" s="182">
        <f>SUM(M2:M4)</f>
        <v>6</v>
      </c>
      <c r="M9" s="177"/>
      <c r="N9" s="177"/>
      <c r="O9" s="155"/>
      <c r="P9" s="155"/>
    </row>
    <row r="10" spans="1:16" ht="18" customHeight="1" x14ac:dyDescent="0.25">
      <c r="A10" s="173">
        <v>5</v>
      </c>
      <c r="B10" s="174">
        <f t="shared" si="0"/>
        <v>2010.333333333333</v>
      </c>
      <c r="C10" s="127">
        <v>1799.71</v>
      </c>
      <c r="D10" s="196">
        <f t="shared" ref="D10:D73" si="5">+AVERAGE(C7:C9)</f>
        <v>4307.66</v>
      </c>
      <c r="E10" s="197">
        <f t="shared" ref="E10:E73" si="6">+SUMPRODUCT($N$2:$N$4,C7:C9)</f>
        <v>4560.7733333333326</v>
      </c>
      <c r="F10" s="191">
        <f t="shared" si="1"/>
        <v>4525.6614399999999</v>
      </c>
      <c r="G10" s="192">
        <f t="shared" si="2"/>
        <v>3004.9139999999752</v>
      </c>
      <c r="H10" s="191">
        <f t="shared" si="4"/>
        <v>1452516.6816159401</v>
      </c>
      <c r="I10" s="191">
        <f t="shared" ref="I10:I73" si="7">+(C10-D10)^2</f>
        <v>6289813.2024999987</v>
      </c>
      <c r="J10" s="191">
        <f t="shared" ref="J10:J73" si="8">+(C10-E10)^2</f>
        <v>7623470.7306777732</v>
      </c>
      <c r="K10" s="191">
        <f t="shared" si="3"/>
        <v>7430811.2532380726</v>
      </c>
      <c r="L10" s="177"/>
      <c r="M10" s="177"/>
      <c r="N10" s="177"/>
      <c r="O10" s="155"/>
      <c r="P10" s="155"/>
    </row>
    <row r="11" spans="1:16" ht="18" customHeight="1" x14ac:dyDescent="0.25">
      <c r="A11" s="173">
        <v>6</v>
      </c>
      <c r="B11" s="174">
        <f t="shared" si="0"/>
        <v>2010.4166666666663</v>
      </c>
      <c r="C11" s="127">
        <v>2445.6</v>
      </c>
      <c r="D11" s="196">
        <f t="shared" si="5"/>
        <v>3708.6833333333329</v>
      </c>
      <c r="E11" s="197">
        <f t="shared" si="6"/>
        <v>3306.7983333333332</v>
      </c>
      <c r="F11" s="191">
        <f t="shared" si="1"/>
        <v>2890.0905760000001</v>
      </c>
      <c r="G11" s="192">
        <f t="shared" si="2"/>
        <v>3008.6874999999709</v>
      </c>
      <c r="H11" s="191">
        <f t="shared" si="4"/>
        <v>317067.53265621734</v>
      </c>
      <c r="I11" s="191">
        <f t="shared" si="7"/>
        <v>1595379.5069444436</v>
      </c>
      <c r="J11" s="191">
        <f t="shared" si="8"/>
        <v>741662.56933611096</v>
      </c>
      <c r="K11" s="191">
        <f t="shared" si="3"/>
        <v>197571.87215281191</v>
      </c>
      <c r="L11" s="177"/>
      <c r="M11" s="177"/>
      <c r="N11" s="175"/>
      <c r="O11" s="155"/>
      <c r="P11" s="155"/>
    </row>
    <row r="12" spans="1:16" ht="18" customHeight="1" x14ac:dyDescent="0.25">
      <c r="A12" s="173">
        <v>7</v>
      </c>
      <c r="B12" s="174">
        <f t="shared" si="0"/>
        <v>2010.4999999999995</v>
      </c>
      <c r="C12" s="127">
        <v>1180.5999999999999</v>
      </c>
      <c r="D12" s="196">
        <f t="shared" si="5"/>
        <v>3120.2099999999996</v>
      </c>
      <c r="E12" s="197">
        <f>+SUMPRODUCT($N$2:$N$4,C9:C11)</f>
        <v>2675.2566666666662</v>
      </c>
      <c r="F12" s="191">
        <f t="shared" si="1"/>
        <v>2623.3962303999997</v>
      </c>
      <c r="G12" s="192">
        <f t="shared" si="2"/>
        <v>3012.4609999999666</v>
      </c>
      <c r="H12" s="191">
        <f t="shared" si="4"/>
        <v>3355714.7233208781</v>
      </c>
      <c r="I12" s="191">
        <f t="shared" si="7"/>
        <v>3762086.9520999989</v>
      </c>
      <c r="J12" s="191">
        <f t="shared" si="8"/>
        <v>2233998.5512111099</v>
      </c>
      <c r="K12" s="191">
        <f>+(C12-F12)^2</f>
        <v>2081660.9624564492</v>
      </c>
      <c r="L12" s="177"/>
      <c r="M12" s="177"/>
      <c r="N12" s="177"/>
      <c r="O12" s="155"/>
      <c r="P12" s="155"/>
    </row>
    <row r="13" spans="1:16" ht="18" customHeight="1" x14ac:dyDescent="0.25">
      <c r="A13" s="173">
        <v>8</v>
      </c>
      <c r="B13" s="174">
        <f t="shared" si="0"/>
        <v>2010.5833333333328</v>
      </c>
      <c r="C13" s="128">
        <v>3416.75</v>
      </c>
      <c r="D13" s="196">
        <f t="shared" si="5"/>
        <v>1808.6366666666665</v>
      </c>
      <c r="E13" s="197">
        <f t="shared" si="6"/>
        <v>1705.4516666666666</v>
      </c>
      <c r="F13" s="191">
        <f t="shared" si="1"/>
        <v>1757.7184921599999</v>
      </c>
      <c r="G13" s="192">
        <f t="shared" si="2"/>
        <v>3016.2344999999623</v>
      </c>
      <c r="H13" s="191">
        <f t="shared" si="4"/>
        <v>160412.66574028021</v>
      </c>
      <c r="I13" s="191">
        <f t="shared" si="7"/>
        <v>2586028.4928444447</v>
      </c>
      <c r="J13" s="191">
        <f t="shared" si="8"/>
        <v>2928541.9856694448</v>
      </c>
      <c r="K13" s="191">
        <f t="shared" si="3"/>
        <v>2752385.5440058643</v>
      </c>
      <c r="L13" s="177"/>
      <c r="M13" s="177"/>
      <c r="N13" s="177"/>
      <c r="O13" s="155"/>
      <c r="P13" s="155"/>
    </row>
    <row r="14" spans="1:16" ht="18" customHeight="1" x14ac:dyDescent="0.25">
      <c r="A14" s="173">
        <v>9</v>
      </c>
      <c r="B14" s="174">
        <f t="shared" si="0"/>
        <v>2010.6666666666661</v>
      </c>
      <c r="C14" s="127">
        <v>3301.9</v>
      </c>
      <c r="D14" s="196">
        <f t="shared" si="5"/>
        <v>2347.65</v>
      </c>
      <c r="E14" s="197">
        <f t="shared" si="6"/>
        <v>2509.5083333333332</v>
      </c>
      <c r="F14" s="191">
        <f t="shared" si="1"/>
        <v>2753.1373968639996</v>
      </c>
      <c r="G14" s="192">
        <f t="shared" si="2"/>
        <v>3020.0079999999725</v>
      </c>
      <c r="H14" s="191">
        <f t="shared" si="4"/>
        <v>79463.099664015535</v>
      </c>
      <c r="I14" s="191">
        <f t="shared" si="7"/>
        <v>910593.0625</v>
      </c>
      <c r="J14" s="191">
        <f t="shared" si="8"/>
        <v>627884.55340277811</v>
      </c>
      <c r="K14" s="191">
        <f t="shared" si="3"/>
        <v>301140.3946005996</v>
      </c>
      <c r="L14" s="177"/>
      <c r="M14" s="177"/>
      <c r="N14" s="177"/>
      <c r="O14" s="155"/>
      <c r="P14" s="155"/>
    </row>
    <row r="15" spans="1:16" ht="18" customHeight="1" x14ac:dyDescent="0.25">
      <c r="A15" s="173">
        <v>10</v>
      </c>
      <c r="B15" s="174">
        <f t="shared" si="0"/>
        <v>2010.7499999999993</v>
      </c>
      <c r="C15" s="127">
        <v>3954.7</v>
      </c>
      <c r="D15" s="196">
        <f t="shared" si="5"/>
        <v>2633.0833333333335</v>
      </c>
      <c r="E15" s="197">
        <f t="shared" si="6"/>
        <v>2986.6333333333332</v>
      </c>
      <c r="F15" s="191">
        <f t="shared" si="1"/>
        <v>3082.3949587456</v>
      </c>
      <c r="G15" s="192">
        <f t="shared" si="2"/>
        <v>3023.7814999999682</v>
      </c>
      <c r="H15" s="191">
        <f t="shared" si="4"/>
        <v>866609.25364230887</v>
      </c>
      <c r="I15" s="191">
        <f t="shared" si="7"/>
        <v>1746670.6136111103</v>
      </c>
      <c r="J15" s="191">
        <f t="shared" si="8"/>
        <v>937153.07111111097</v>
      </c>
      <c r="K15" s="191">
        <f t="shared" si="3"/>
        <v>760916.08499784023</v>
      </c>
      <c r="L15" s="177"/>
      <c r="M15" s="177"/>
      <c r="N15" s="177"/>
      <c r="O15" s="155"/>
      <c r="P15" s="155"/>
    </row>
    <row r="16" spans="1:16" ht="18" customHeight="1" x14ac:dyDescent="0.25">
      <c r="A16" s="173">
        <v>11</v>
      </c>
      <c r="B16" s="174">
        <f t="shared" si="0"/>
        <v>2010.8333333333326</v>
      </c>
      <c r="C16" s="127">
        <v>3067.69</v>
      </c>
      <c r="D16" s="196">
        <f t="shared" si="5"/>
        <v>3557.7833333333328</v>
      </c>
      <c r="E16" s="197">
        <f t="shared" si="6"/>
        <v>3647.4416666666666</v>
      </c>
      <c r="F16" s="191">
        <f t="shared" si="1"/>
        <v>3605.7779834982398</v>
      </c>
      <c r="G16" s="192">
        <f t="shared" si="2"/>
        <v>3027.5549999999639</v>
      </c>
      <c r="H16" s="191">
        <f t="shared" si="4"/>
        <v>1610.8182250029013</v>
      </c>
      <c r="I16" s="191">
        <f t="shared" si="7"/>
        <v>240191.47537777724</v>
      </c>
      <c r="J16" s="191">
        <f t="shared" si="8"/>
        <v>336111.99500277766</v>
      </c>
      <c r="K16" s="191">
        <f t="shared" si="3"/>
        <v>289538.67798520194</v>
      </c>
      <c r="L16" s="177"/>
      <c r="M16" s="177"/>
      <c r="N16" s="177"/>
      <c r="O16" s="155"/>
      <c r="P16" s="155"/>
    </row>
    <row r="17" spans="1:16" ht="18" customHeight="1" x14ac:dyDescent="0.25">
      <c r="A17" s="173">
        <v>12</v>
      </c>
      <c r="B17" s="174">
        <f t="shared" si="0"/>
        <v>2010.9166666666658</v>
      </c>
      <c r="C17" s="128">
        <v>4498.3999999999996</v>
      </c>
      <c r="D17" s="196">
        <f t="shared" si="5"/>
        <v>3441.4300000000003</v>
      </c>
      <c r="E17" s="197">
        <f t="shared" si="6"/>
        <v>3402.3949999999995</v>
      </c>
      <c r="F17" s="191">
        <f t="shared" si="1"/>
        <v>3282.9251933992959</v>
      </c>
      <c r="G17" s="192">
        <f t="shared" si="2"/>
        <v>3031.3284999999596</v>
      </c>
      <c r="H17" s="191">
        <f t="shared" si="4"/>
        <v>2152298.7861123676</v>
      </c>
      <c r="I17" s="191">
        <f t="shared" si="7"/>
        <v>1117185.5808999985</v>
      </c>
      <c r="J17" s="191">
        <f t="shared" si="8"/>
        <v>1201226.9600250002</v>
      </c>
      <c r="K17" s="191">
        <f t="shared" si="3"/>
        <v>1477379.005481018</v>
      </c>
      <c r="L17" s="177"/>
      <c r="M17" s="177"/>
      <c r="N17" s="177"/>
      <c r="O17" s="155"/>
      <c r="P17" s="155"/>
    </row>
    <row r="18" spans="1:16" ht="18" customHeight="1" x14ac:dyDescent="0.25">
      <c r="A18" s="173">
        <v>13</v>
      </c>
      <c r="B18" s="174">
        <f>+B17+$H$3</f>
        <v>2010.9999999999991</v>
      </c>
      <c r="C18" s="127">
        <v>1488</v>
      </c>
      <c r="D18" s="196">
        <f t="shared" si="5"/>
        <v>3840.2633333333329</v>
      </c>
      <c r="E18" s="197">
        <f t="shared" si="6"/>
        <v>3930.8799999999997</v>
      </c>
      <c r="F18" s="191">
        <f t="shared" si="1"/>
        <v>4012.2100773597181</v>
      </c>
      <c r="G18" s="192">
        <f t="shared" si="2"/>
        <v>3035.1019999999553</v>
      </c>
      <c r="H18" s="191">
        <f t="shared" si="4"/>
        <v>2393524.5984038617</v>
      </c>
      <c r="I18" s="191">
        <f t="shared" si="7"/>
        <v>5533142.7893444421</v>
      </c>
      <c r="J18" s="191">
        <f t="shared" si="8"/>
        <v>5967662.6943999985</v>
      </c>
      <c r="K18" s="191">
        <f t="shared" si="3"/>
        <v>6371636.5146443537</v>
      </c>
      <c r="L18" s="177"/>
      <c r="M18" s="177"/>
      <c r="N18" s="177"/>
      <c r="O18" s="155"/>
      <c r="P18" s="155"/>
    </row>
    <row r="19" spans="1:16" ht="18" customHeight="1" x14ac:dyDescent="0.25">
      <c r="A19" s="173">
        <v>14</v>
      </c>
      <c r="B19" s="174">
        <f t="shared" ref="B19:B82" si="9">+B18+$H$3</f>
        <v>2011.0833333333323</v>
      </c>
      <c r="C19" s="127">
        <v>2052.89</v>
      </c>
      <c r="D19" s="196">
        <f t="shared" si="5"/>
        <v>3018.03</v>
      </c>
      <c r="E19" s="197">
        <f t="shared" si="6"/>
        <v>2754.748333333333</v>
      </c>
      <c r="F19" s="191">
        <f t="shared" si="1"/>
        <v>2497.6840309438876</v>
      </c>
      <c r="G19" s="192">
        <f t="shared" si="2"/>
        <v>3038.875499999951</v>
      </c>
      <c r="H19" s="191">
        <f t="shared" si="4"/>
        <v>972167.4062101536</v>
      </c>
      <c r="I19" s="191">
        <f t="shared" si="7"/>
        <v>931495.21960000065</v>
      </c>
      <c r="J19" s="191">
        <f t="shared" si="8"/>
        <v>492605.12006944412</v>
      </c>
      <c r="K19" s="191">
        <f t="shared" si="3"/>
        <v>197841.72996331216</v>
      </c>
      <c r="L19" s="177"/>
      <c r="M19" s="177"/>
      <c r="N19" s="177"/>
      <c r="O19" s="155"/>
      <c r="P19" s="155"/>
    </row>
    <row r="20" spans="1:16" ht="18" customHeight="1" x14ac:dyDescent="0.25">
      <c r="A20" s="173">
        <v>15</v>
      </c>
      <c r="B20" s="174">
        <f t="shared" si="9"/>
        <v>2011.1666666666656</v>
      </c>
      <c r="C20" s="127">
        <v>2351.1</v>
      </c>
      <c r="D20" s="196">
        <f t="shared" si="5"/>
        <v>2679.7633333333329</v>
      </c>
      <c r="E20" s="197">
        <f t="shared" si="6"/>
        <v>2272.1783333333333</v>
      </c>
      <c r="F20" s="191">
        <f t="shared" si="1"/>
        <v>2230.807612377555</v>
      </c>
      <c r="G20" s="192">
        <f t="shared" si="2"/>
        <v>3042.6489999999467</v>
      </c>
      <c r="H20" s="191">
        <f t="shared" si="4"/>
        <v>478240.01940092637</v>
      </c>
      <c r="I20" s="191">
        <f t="shared" si="7"/>
        <v>108019.58667777754</v>
      </c>
      <c r="J20" s="191">
        <f t="shared" si="8"/>
        <v>6228.6294694444377</v>
      </c>
      <c r="K20" s="191">
        <f t="shared" si="3"/>
        <v>14470.258519908546</v>
      </c>
      <c r="L20" s="177"/>
      <c r="M20" s="177"/>
      <c r="N20" s="177"/>
      <c r="O20" s="155"/>
      <c r="P20" s="155"/>
    </row>
    <row r="21" spans="1:16" ht="18" customHeight="1" x14ac:dyDescent="0.25">
      <c r="A21" s="173">
        <v>16</v>
      </c>
      <c r="B21" s="174">
        <f t="shared" si="9"/>
        <v>2011.2499999999989</v>
      </c>
      <c r="C21" s="127">
        <v>280</v>
      </c>
      <c r="D21" s="196">
        <f t="shared" si="5"/>
        <v>1963.9966666666667</v>
      </c>
      <c r="E21" s="197">
        <f t="shared" si="6"/>
        <v>2107.8466666666664</v>
      </c>
      <c r="F21" s="191">
        <f t="shared" si="1"/>
        <v>2302.9830449510218</v>
      </c>
      <c r="G21" s="192">
        <f t="shared" si="2"/>
        <v>3046.4224999999424</v>
      </c>
      <c r="H21" s="191">
        <f t="shared" si="4"/>
        <v>7653093.4485059315</v>
      </c>
      <c r="I21" s="191">
        <f t="shared" si="7"/>
        <v>2835844.7733444446</v>
      </c>
      <c r="J21" s="191">
        <f t="shared" si="8"/>
        <v>3341023.4368444434</v>
      </c>
      <c r="K21" s="191">
        <f t="shared" si="3"/>
        <v>4092460.4001593082</v>
      </c>
      <c r="L21" s="177"/>
      <c r="M21" s="177"/>
      <c r="N21" s="177"/>
      <c r="O21" s="155"/>
      <c r="P21" s="155"/>
    </row>
    <row r="22" spans="1:16" ht="18" customHeight="1" x14ac:dyDescent="0.25">
      <c r="A22" s="173">
        <v>17</v>
      </c>
      <c r="B22" s="174">
        <f t="shared" si="9"/>
        <v>2011.3333333333321</v>
      </c>
      <c r="C22" s="127">
        <v>4585</v>
      </c>
      <c r="D22" s="196">
        <f t="shared" si="5"/>
        <v>1561.33</v>
      </c>
      <c r="E22" s="197">
        <f t="shared" si="6"/>
        <v>1265.8483333333334</v>
      </c>
      <c r="F22" s="191">
        <f t="shared" si="1"/>
        <v>1089.1932179804089</v>
      </c>
      <c r="G22" s="192">
        <f t="shared" si="2"/>
        <v>3050.1959999999381</v>
      </c>
      <c r="H22" s="191">
        <f t="shared" si="4"/>
        <v>2355623.3184161903</v>
      </c>
      <c r="I22" s="191">
        <f t="shared" si="7"/>
        <v>9142580.2688999996</v>
      </c>
      <c r="J22" s="191">
        <f t="shared" si="8"/>
        <v>11016767.786336111</v>
      </c>
      <c r="K22" s="191">
        <f t="shared" si="3"/>
        <v>12220665.057214169</v>
      </c>
      <c r="L22" s="177"/>
      <c r="M22" s="177"/>
      <c r="N22" s="177"/>
      <c r="O22" s="155"/>
      <c r="P22" s="155"/>
    </row>
    <row r="23" spans="1:16" ht="18" customHeight="1" x14ac:dyDescent="0.25">
      <c r="A23" s="173">
        <v>18</v>
      </c>
      <c r="B23" s="174">
        <f t="shared" si="9"/>
        <v>2011.4166666666654</v>
      </c>
      <c r="C23" s="127">
        <v>2415</v>
      </c>
      <c r="D23" s="196">
        <f t="shared" si="5"/>
        <v>2405.3666666666668</v>
      </c>
      <c r="E23" s="197">
        <f t="shared" si="6"/>
        <v>2777.6833333333334</v>
      </c>
      <c r="F23" s="191">
        <f t="shared" si="1"/>
        <v>3186.6772871921635</v>
      </c>
      <c r="G23" s="192">
        <f t="shared" si="2"/>
        <v>3053.9694999999338</v>
      </c>
      <c r="H23" s="191">
        <f t="shared" si="4"/>
        <v>408282.02193016536</v>
      </c>
      <c r="I23" s="191">
        <f t="shared" si="7"/>
        <v>92.801111111108781</v>
      </c>
      <c r="J23" s="191">
        <f t="shared" si="8"/>
        <v>131539.20027777783</v>
      </c>
      <c r="K23" s="191">
        <f t="shared" si="3"/>
        <v>595485.83556825679</v>
      </c>
      <c r="L23" s="177"/>
      <c r="M23" s="177"/>
      <c r="N23" s="177"/>
      <c r="O23" s="155"/>
      <c r="P23" s="155"/>
    </row>
    <row r="24" spans="1:16" ht="18" customHeight="1" x14ac:dyDescent="0.25">
      <c r="A24" s="173">
        <v>19</v>
      </c>
      <c r="B24" s="174">
        <f t="shared" si="9"/>
        <v>2011.4999999999986</v>
      </c>
      <c r="C24" s="127">
        <v>3445.4</v>
      </c>
      <c r="D24" s="196">
        <f t="shared" si="5"/>
        <v>2426.6666666666665</v>
      </c>
      <c r="E24" s="197">
        <f t="shared" si="6"/>
        <v>2782.5</v>
      </c>
      <c r="F24" s="191">
        <f t="shared" si="1"/>
        <v>2723.6709148768655</v>
      </c>
      <c r="G24" s="192">
        <f t="shared" si="2"/>
        <v>3057.7429999999295</v>
      </c>
      <c r="H24" s="191">
        <f t="shared" si="4"/>
        <v>150277.94964905476</v>
      </c>
      <c r="I24" s="191">
        <f t="shared" si="7"/>
        <v>1037817.604444445</v>
      </c>
      <c r="J24" s="191">
        <f t="shared" si="8"/>
        <v>439436.41000000015</v>
      </c>
      <c r="K24" s="191">
        <f t="shared" si="3"/>
        <v>520892.87231267686</v>
      </c>
      <c r="L24" s="177"/>
      <c r="M24" s="177"/>
      <c r="N24" s="177"/>
      <c r="O24" s="155"/>
      <c r="P24" s="155"/>
    </row>
    <row r="25" spans="1:16" ht="18" customHeight="1" x14ac:dyDescent="0.25">
      <c r="A25" s="173">
        <v>20</v>
      </c>
      <c r="B25" s="174">
        <f t="shared" si="9"/>
        <v>2011.5833333333319</v>
      </c>
      <c r="C25" s="128">
        <v>482.4</v>
      </c>
      <c r="D25" s="196">
        <f t="shared" si="5"/>
        <v>3481.7999999999997</v>
      </c>
      <c r="E25" s="197">
        <f t="shared" si="6"/>
        <v>3291.8666666666668</v>
      </c>
      <c r="F25" s="191">
        <f t="shared" si="1"/>
        <v>3156.7083659507462</v>
      </c>
      <c r="G25" s="192">
        <f t="shared" si="2"/>
        <v>3061.5164999999251</v>
      </c>
      <c r="H25" s="191">
        <f t="shared" si="4"/>
        <v>6651841.9205718637</v>
      </c>
      <c r="I25" s="191">
        <f t="shared" si="7"/>
        <v>8996400.3599999975</v>
      </c>
      <c r="J25" s="191">
        <f t="shared" si="8"/>
        <v>7893102.9511111109</v>
      </c>
      <c r="K25" s="191">
        <f t="shared" si="3"/>
        <v>7151925.2361941496</v>
      </c>
      <c r="L25" s="177"/>
      <c r="M25" s="177"/>
      <c r="N25" s="177"/>
      <c r="O25" s="155"/>
      <c r="P25" s="155"/>
    </row>
    <row r="26" spans="1:16" ht="18" customHeight="1" x14ac:dyDescent="0.25">
      <c r="A26" s="173">
        <v>21</v>
      </c>
      <c r="B26" s="174">
        <f t="shared" si="9"/>
        <v>2011.6666666666652</v>
      </c>
      <c r="C26" s="127">
        <v>2023.05</v>
      </c>
      <c r="D26" s="196">
        <f t="shared" si="5"/>
        <v>2114.2666666666664</v>
      </c>
      <c r="E26" s="197">
        <f t="shared" si="6"/>
        <v>1792.1666666666667</v>
      </c>
      <c r="F26" s="191">
        <f t="shared" si="1"/>
        <v>1552.1233463802987</v>
      </c>
      <c r="G26" s="192">
        <f t="shared" si="2"/>
        <v>3065.2899999999208</v>
      </c>
      <c r="H26" s="191">
        <f t="shared" si="4"/>
        <v>1086264.217599835</v>
      </c>
      <c r="I26" s="191">
        <f t="shared" si="7"/>
        <v>8320.4802777777422</v>
      </c>
      <c r="J26" s="191">
        <f t="shared" si="8"/>
        <v>53307.113611111054</v>
      </c>
      <c r="K26" s="191">
        <f t="shared" si="3"/>
        <v>221771.9130894501</v>
      </c>
      <c r="L26" s="177"/>
      <c r="M26" s="177"/>
      <c r="N26" s="177"/>
      <c r="O26" s="155"/>
      <c r="P26" s="155"/>
    </row>
    <row r="27" spans="1:16" ht="18" customHeight="1" x14ac:dyDescent="0.25">
      <c r="A27" s="173">
        <v>22</v>
      </c>
      <c r="B27" s="174">
        <f t="shared" si="9"/>
        <v>2011.7499999999984</v>
      </c>
      <c r="C27" s="127">
        <v>934.15</v>
      </c>
      <c r="D27" s="196">
        <f t="shared" si="5"/>
        <v>1983.6166666666668</v>
      </c>
      <c r="E27" s="197">
        <f t="shared" si="6"/>
        <v>1746.5583333333334</v>
      </c>
      <c r="F27" s="191">
        <f t="shared" si="1"/>
        <v>1834.6793385521196</v>
      </c>
      <c r="G27" s="192">
        <f t="shared" si="2"/>
        <v>3069.0634999999165</v>
      </c>
      <c r="H27" s="191">
        <f t="shared" si="4"/>
        <v>4557855.6524818931</v>
      </c>
      <c r="I27" s="191">
        <f t="shared" si="7"/>
        <v>1101380.2844444446</v>
      </c>
      <c r="J27" s="191">
        <f t="shared" si="8"/>
        <v>660007.30006944458</v>
      </c>
      <c r="K27" s="191">
        <f t="shared" si="3"/>
        <v>810953.08959311806</v>
      </c>
      <c r="L27" s="177"/>
      <c r="M27" s="177"/>
      <c r="N27" s="177"/>
      <c r="O27" s="155"/>
      <c r="P27" s="155"/>
    </row>
    <row r="28" spans="1:16" ht="18" customHeight="1" x14ac:dyDescent="0.25">
      <c r="A28" s="173">
        <v>23</v>
      </c>
      <c r="B28" s="174">
        <f t="shared" si="9"/>
        <v>2011.8333333333317</v>
      </c>
      <c r="C28" s="127">
        <v>1885.95</v>
      </c>
      <c r="D28" s="196">
        <f t="shared" si="5"/>
        <v>1146.5333333333333</v>
      </c>
      <c r="E28" s="197">
        <f t="shared" si="6"/>
        <v>1221.8249999999998</v>
      </c>
      <c r="F28" s="191">
        <f t="shared" si="1"/>
        <v>1294.3617354208479</v>
      </c>
      <c r="G28" s="192">
        <f t="shared" si="2"/>
        <v>3072.8369999999122</v>
      </c>
      <c r="H28" s="191">
        <f t="shared" si="4"/>
        <v>1408700.7507687914</v>
      </c>
      <c r="I28" s="191">
        <f t="shared" si="7"/>
        <v>546737.00694444461</v>
      </c>
      <c r="J28" s="191">
        <f t="shared" si="8"/>
        <v>441062.01562500029</v>
      </c>
      <c r="K28" s="191">
        <f t="shared" si="3"/>
        <v>349976.67478777288</v>
      </c>
      <c r="L28" s="177"/>
      <c r="M28" s="177"/>
      <c r="N28" s="177"/>
      <c r="O28" s="155"/>
      <c r="P28" s="155"/>
    </row>
    <row r="29" spans="1:16" ht="18" customHeight="1" x14ac:dyDescent="0.25">
      <c r="A29" s="173">
        <v>24</v>
      </c>
      <c r="B29" s="174">
        <f t="shared" si="9"/>
        <v>2011.9166666666649</v>
      </c>
      <c r="C29" s="128">
        <v>1537.65</v>
      </c>
      <c r="D29" s="196">
        <f t="shared" si="5"/>
        <v>1614.3833333333332</v>
      </c>
      <c r="E29" s="197">
        <f t="shared" si="6"/>
        <v>1591.5333333333333</v>
      </c>
      <c r="F29" s="191">
        <f t="shared" si="1"/>
        <v>1649.314694168339</v>
      </c>
      <c r="G29" s="192">
        <f t="shared" si="2"/>
        <v>3076.6104999999079</v>
      </c>
      <c r="H29" s="191">
        <f t="shared" si="4"/>
        <v>2368399.4205599665</v>
      </c>
      <c r="I29" s="191">
        <f t="shared" si="7"/>
        <v>5888.004444444412</v>
      </c>
      <c r="J29" s="191">
        <f t="shared" si="8"/>
        <v>2903.4136111110979</v>
      </c>
      <c r="K29" s="191">
        <f t="shared" si="3"/>
        <v>12469.003923708657</v>
      </c>
      <c r="L29" s="177"/>
      <c r="M29" s="177"/>
      <c r="N29" s="177"/>
      <c r="O29" s="155"/>
      <c r="P29" s="155"/>
    </row>
    <row r="30" spans="1:16" ht="18" customHeight="1" x14ac:dyDescent="0.25">
      <c r="A30" s="173">
        <v>25</v>
      </c>
      <c r="B30" s="174">
        <f t="shared" si="9"/>
        <v>2011.9999999999982</v>
      </c>
      <c r="C30" s="127">
        <v>2661.57</v>
      </c>
      <c r="D30" s="196">
        <f t="shared" si="5"/>
        <v>1452.5833333333333</v>
      </c>
      <c r="E30" s="197">
        <f t="shared" si="6"/>
        <v>1553.1666666666667</v>
      </c>
      <c r="F30" s="191">
        <f t="shared" si="1"/>
        <v>1582.3158776673358</v>
      </c>
      <c r="G30" s="192">
        <f t="shared" si="2"/>
        <v>3080.3839999999036</v>
      </c>
      <c r="H30" s="191">
        <f t="shared" si="4"/>
        <v>175405.16659591912</v>
      </c>
      <c r="I30" s="191">
        <f t="shared" si="7"/>
        <v>1461648.7601777783</v>
      </c>
      <c r="J30" s="191">
        <f t="shared" si="8"/>
        <v>1228557.9493444446</v>
      </c>
      <c r="K30" s="191">
        <f t="shared" si="3"/>
        <v>1164789.4605720495</v>
      </c>
      <c r="L30" s="177"/>
      <c r="M30" s="177"/>
      <c r="N30" s="177"/>
      <c r="O30" s="155"/>
      <c r="P30" s="155"/>
    </row>
    <row r="31" spans="1:16" ht="18" customHeight="1" x14ac:dyDescent="0.25">
      <c r="A31" s="173">
        <v>26</v>
      </c>
      <c r="B31" s="174">
        <f t="shared" si="9"/>
        <v>2012.0833333333314</v>
      </c>
      <c r="C31" s="127">
        <v>3943.05</v>
      </c>
      <c r="D31" s="196">
        <f t="shared" si="5"/>
        <v>2028.39</v>
      </c>
      <c r="E31" s="197">
        <f t="shared" si="6"/>
        <v>2157.66</v>
      </c>
      <c r="F31" s="191">
        <f t="shared" si="1"/>
        <v>2229.8683510669343</v>
      </c>
      <c r="G31" s="192">
        <f t="shared" si="2"/>
        <v>3084.1574999999139</v>
      </c>
      <c r="H31" s="191">
        <f t="shared" si="4"/>
        <v>737696.3265563983</v>
      </c>
      <c r="I31" s="191">
        <f t="shared" si="7"/>
        <v>3665922.9156000004</v>
      </c>
      <c r="J31" s="191">
        <f t="shared" si="8"/>
        <v>3187617.4521000013</v>
      </c>
      <c r="K31" s="191">
        <f t="shared" si="3"/>
        <v>2934991.3622410186</v>
      </c>
      <c r="L31" s="177"/>
      <c r="M31" s="177"/>
      <c r="N31" s="177"/>
      <c r="O31" s="155"/>
      <c r="P31" s="155"/>
    </row>
    <row r="32" spans="1:16" ht="18" customHeight="1" x14ac:dyDescent="0.25">
      <c r="A32" s="173">
        <v>27</v>
      </c>
      <c r="B32" s="174">
        <f t="shared" si="9"/>
        <v>2012.1666666666647</v>
      </c>
      <c r="C32" s="127">
        <v>4363.2</v>
      </c>
      <c r="D32" s="196">
        <f t="shared" si="5"/>
        <v>2714.09</v>
      </c>
      <c r="E32" s="197">
        <f t="shared" si="6"/>
        <v>3114.9900000000002</v>
      </c>
      <c r="F32" s="191">
        <f t="shared" si="1"/>
        <v>3257.7773404267737</v>
      </c>
      <c r="G32" s="192">
        <f t="shared" si="2"/>
        <v>3087.9309999999095</v>
      </c>
      <c r="H32" s="191">
        <f t="shared" si="4"/>
        <v>1626311.0223612303</v>
      </c>
      <c r="I32" s="191">
        <f t="shared" si="7"/>
        <v>2719563.7920999988</v>
      </c>
      <c r="J32" s="191">
        <f t="shared" si="8"/>
        <v>1558028.204099999</v>
      </c>
      <c r="K32" s="191">
        <f t="shared" si="3"/>
        <v>1221959.2562979446</v>
      </c>
      <c r="L32" s="177"/>
      <c r="M32" s="177"/>
      <c r="N32" s="177"/>
      <c r="O32" s="155"/>
      <c r="P32" s="155"/>
    </row>
    <row r="33" spans="1:16" ht="18" customHeight="1" x14ac:dyDescent="0.25">
      <c r="A33" s="173">
        <v>28</v>
      </c>
      <c r="B33" s="174">
        <f t="shared" si="9"/>
        <v>2012.249999999998</v>
      </c>
      <c r="C33" s="127">
        <v>4232.3999999999996</v>
      </c>
      <c r="D33" s="196">
        <f t="shared" si="5"/>
        <v>3655.94</v>
      </c>
      <c r="E33" s="197">
        <f t="shared" si="6"/>
        <v>3939.5450000000001</v>
      </c>
      <c r="F33" s="191">
        <f t="shared" si="1"/>
        <v>3921.0309361707091</v>
      </c>
      <c r="G33" s="192">
        <f t="shared" si="2"/>
        <v>3091.7044999999052</v>
      </c>
      <c r="H33" s="191">
        <f t="shared" si="4"/>
        <v>1301186.2237204653</v>
      </c>
      <c r="I33" s="191">
        <f t="shared" si="7"/>
        <v>332306.1315999995</v>
      </c>
      <c r="J33" s="191">
        <f t="shared" si="8"/>
        <v>85764.051024999746</v>
      </c>
      <c r="K33" s="191">
        <f t="shared" si="3"/>
        <v>96950.693909928814</v>
      </c>
      <c r="L33" s="177"/>
      <c r="M33" s="177"/>
      <c r="N33" s="177"/>
      <c r="O33" s="155"/>
      <c r="P33" s="155"/>
    </row>
    <row r="34" spans="1:16" ht="18" customHeight="1" x14ac:dyDescent="0.25">
      <c r="A34" s="173">
        <v>29</v>
      </c>
      <c r="B34" s="174">
        <f t="shared" si="9"/>
        <v>2012.3333333333312</v>
      </c>
      <c r="C34" s="127">
        <v>4796.3100000000004</v>
      </c>
      <c r="D34" s="196">
        <f t="shared" si="5"/>
        <v>4179.55</v>
      </c>
      <c r="E34" s="197">
        <f t="shared" si="6"/>
        <v>4227.7749999999996</v>
      </c>
      <c r="F34" s="191">
        <f t="shared" si="1"/>
        <v>4107.8523744682834</v>
      </c>
      <c r="G34" s="192">
        <f t="shared" si="2"/>
        <v>3095.4779999999009</v>
      </c>
      <c r="H34" s="191">
        <f t="shared" si="4"/>
        <v>2892829.4922243385</v>
      </c>
      <c r="I34" s="191">
        <f t="shared" si="7"/>
        <v>380392.89760000026</v>
      </c>
      <c r="J34" s="191">
        <f t="shared" si="8"/>
        <v>323232.04622500087</v>
      </c>
      <c r="K34" s="191">
        <f t="shared" si="3"/>
        <v>473973.90215276985</v>
      </c>
      <c r="L34" s="177"/>
      <c r="M34" s="177"/>
      <c r="N34" s="177"/>
      <c r="O34" s="155"/>
      <c r="P34" s="155"/>
    </row>
    <row r="35" spans="1:16" ht="18" customHeight="1" x14ac:dyDescent="0.25">
      <c r="A35" s="173">
        <v>30</v>
      </c>
      <c r="B35" s="174">
        <f t="shared" si="9"/>
        <v>2012.4166666666645</v>
      </c>
      <c r="C35" s="127">
        <v>2675.09</v>
      </c>
      <c r="D35" s="196">
        <f t="shared" si="5"/>
        <v>4463.97</v>
      </c>
      <c r="E35" s="197">
        <f t="shared" si="6"/>
        <v>4536.1549999999997</v>
      </c>
      <c r="F35" s="191">
        <f t="shared" si="1"/>
        <v>4520.9269497873138</v>
      </c>
      <c r="G35" s="192">
        <f t="shared" si="2"/>
        <v>3099.2514999998966</v>
      </c>
      <c r="H35" s="191">
        <f t="shared" si="4"/>
        <v>179912.97808216218</v>
      </c>
      <c r="I35" s="191">
        <f t="shared" si="7"/>
        <v>3200091.6544000003</v>
      </c>
      <c r="J35" s="191">
        <f t="shared" si="8"/>
        <v>3463562.9342249986</v>
      </c>
      <c r="K35" s="191">
        <f t="shared" si="3"/>
        <v>3407114.0452001337</v>
      </c>
      <c r="L35" s="177"/>
      <c r="M35" s="177"/>
      <c r="N35" s="177"/>
      <c r="O35" s="155"/>
      <c r="P35" s="155"/>
    </row>
    <row r="36" spans="1:16" ht="18" customHeight="1" x14ac:dyDescent="0.25">
      <c r="A36" s="173">
        <v>31</v>
      </c>
      <c r="B36" s="174">
        <f t="shared" si="9"/>
        <v>2012.4999999999977</v>
      </c>
      <c r="C36" s="127">
        <v>3660.95</v>
      </c>
      <c r="D36" s="196">
        <f t="shared" si="5"/>
        <v>3901.2666666666664</v>
      </c>
      <c r="E36" s="197">
        <f t="shared" si="6"/>
        <v>3641.7150000000001</v>
      </c>
      <c r="F36" s="191">
        <f t="shared" si="1"/>
        <v>3413.4247799149257</v>
      </c>
      <c r="G36" s="192">
        <f t="shared" si="2"/>
        <v>3103.0249999998923</v>
      </c>
      <c r="H36" s="191">
        <f t="shared" si="4"/>
        <v>311280.30562511995</v>
      </c>
      <c r="I36" s="191">
        <f t="shared" si="7"/>
        <v>57752.100277777747</v>
      </c>
      <c r="J36" s="191">
        <f t="shared" si="8"/>
        <v>369.98522499998739</v>
      </c>
      <c r="K36" s="191">
        <f t="shared" si="3"/>
        <v>61268.734578164382</v>
      </c>
      <c r="L36" s="177"/>
      <c r="M36" s="177"/>
      <c r="N36" s="177"/>
      <c r="O36" s="155"/>
      <c r="P36" s="155"/>
    </row>
    <row r="37" spans="1:16" ht="18" customHeight="1" x14ac:dyDescent="0.25">
      <c r="A37" s="173">
        <v>32</v>
      </c>
      <c r="B37" s="174">
        <f t="shared" si="9"/>
        <v>2012.583333333331</v>
      </c>
      <c r="C37" s="128">
        <v>5117.01</v>
      </c>
      <c r="D37" s="196">
        <f t="shared" si="5"/>
        <v>3710.7833333333333</v>
      </c>
      <c r="E37" s="197">
        <f t="shared" si="6"/>
        <v>3521.5566666666664</v>
      </c>
      <c r="F37" s="191">
        <f t="shared" si="1"/>
        <v>3561.9399119659702</v>
      </c>
      <c r="G37" s="192">
        <f t="shared" si="2"/>
        <v>3106.798499999888</v>
      </c>
      <c r="H37" s="191">
        <f t="shared" si="4"/>
        <v>4040950.274732701</v>
      </c>
      <c r="I37" s="191">
        <f t="shared" si="7"/>
        <v>1977473.4380444451</v>
      </c>
      <c r="J37" s="191">
        <f t="shared" si="8"/>
        <v>2545471.338844446</v>
      </c>
      <c r="K37" s="191">
        <f t="shared" si="3"/>
        <v>2418242.9786981661</v>
      </c>
      <c r="L37" s="177"/>
      <c r="M37" s="177"/>
      <c r="N37" s="177"/>
      <c r="O37" s="155"/>
      <c r="P37" s="155"/>
    </row>
    <row r="38" spans="1:16" ht="18" customHeight="1" x14ac:dyDescent="0.25">
      <c r="A38" s="173">
        <v>33</v>
      </c>
      <c r="B38" s="174">
        <f t="shared" si="9"/>
        <v>2012.6666666666642</v>
      </c>
      <c r="C38" s="127">
        <v>2539.1999999999998</v>
      </c>
      <c r="D38" s="196">
        <f t="shared" si="5"/>
        <v>3817.6833333333329</v>
      </c>
      <c r="E38" s="197">
        <f t="shared" si="6"/>
        <v>4224.67</v>
      </c>
      <c r="F38" s="191">
        <f t="shared" si="1"/>
        <v>4494.9819647863878</v>
      </c>
      <c r="G38" s="192">
        <f t="shared" si="2"/>
        <v>3110.5719999998837</v>
      </c>
      <c r="H38" s="191">
        <f t="shared" si="4"/>
        <v>326465.9623838673</v>
      </c>
      <c r="I38" s="191">
        <f t="shared" si="7"/>
        <v>1634519.6336111105</v>
      </c>
      <c r="J38" s="191">
        <f t="shared" si="8"/>
        <v>2840809.1209000009</v>
      </c>
      <c r="K38" s="191">
        <f t="shared" si="3"/>
        <v>3825083.0937837041</v>
      </c>
      <c r="L38" s="177"/>
      <c r="M38" s="177"/>
      <c r="N38" s="177"/>
      <c r="O38" s="155"/>
      <c r="P38" s="155"/>
    </row>
    <row r="39" spans="1:16" ht="18" customHeight="1" x14ac:dyDescent="0.25">
      <c r="A39" s="173">
        <v>34</v>
      </c>
      <c r="B39" s="174">
        <f t="shared" si="9"/>
        <v>2012.7499999999975</v>
      </c>
      <c r="C39" s="127">
        <v>1206.1199999999999</v>
      </c>
      <c r="D39" s="196">
        <f t="shared" si="5"/>
        <v>3772.3866666666668</v>
      </c>
      <c r="E39" s="197">
        <f t="shared" si="6"/>
        <v>3585.4283333333333</v>
      </c>
      <c r="F39" s="191">
        <f t="shared" si="1"/>
        <v>3321.512785914555</v>
      </c>
      <c r="G39" s="192">
        <f t="shared" si="2"/>
        <v>3114.3454999998794</v>
      </c>
      <c r="H39" s="191">
        <f t="shared" si="4"/>
        <v>3641324.5588497901</v>
      </c>
      <c r="I39" s="191">
        <f t="shared" si="7"/>
        <v>6585724.6044444451</v>
      </c>
      <c r="J39" s="191">
        <f t="shared" si="8"/>
        <v>5661108.1450694446</v>
      </c>
      <c r="K39" s="191">
        <f t="shared" si="3"/>
        <v>4474886.6386993425</v>
      </c>
      <c r="L39" s="177"/>
      <c r="M39" s="177"/>
      <c r="N39" s="177"/>
      <c r="O39" s="155"/>
      <c r="P39" s="155"/>
    </row>
    <row r="40" spans="1:16" ht="18" customHeight="1" x14ac:dyDescent="0.25">
      <c r="A40" s="173">
        <v>35</v>
      </c>
      <c r="B40" s="174">
        <f t="shared" si="9"/>
        <v>2012.8333333333308</v>
      </c>
      <c r="C40" s="127">
        <v>2332.0700000000002</v>
      </c>
      <c r="D40" s="196">
        <f t="shared" si="5"/>
        <v>2954.11</v>
      </c>
      <c r="E40" s="197">
        <f t="shared" si="6"/>
        <v>2302.2950000000001</v>
      </c>
      <c r="F40" s="191">
        <f t="shared" si="1"/>
        <v>2052.2771143658219</v>
      </c>
      <c r="G40" s="192">
        <f t="shared" si="2"/>
        <v>3118.1189999998751</v>
      </c>
      <c r="H40" s="191">
        <f t="shared" si="4"/>
        <v>617873.03040080331</v>
      </c>
      <c r="I40" s="191">
        <f t="shared" si="7"/>
        <v>386933.76159999997</v>
      </c>
      <c r="J40" s="191">
        <f t="shared" si="8"/>
        <v>886.55062500000543</v>
      </c>
      <c r="K40" s="191">
        <f t="shared" si="3"/>
        <v>78284.058851500333</v>
      </c>
      <c r="L40" s="177"/>
      <c r="M40" s="177"/>
      <c r="N40" s="177"/>
      <c r="O40" s="155"/>
      <c r="P40" s="155"/>
    </row>
    <row r="41" spans="1:16" ht="18" customHeight="1" x14ac:dyDescent="0.25">
      <c r="A41" s="173">
        <v>36</v>
      </c>
      <c r="B41" s="174">
        <f t="shared" si="9"/>
        <v>2012.916666666664</v>
      </c>
      <c r="C41" s="128">
        <v>1609.5</v>
      </c>
      <c r="D41" s="196">
        <f t="shared" si="5"/>
        <v>2025.7966666666664</v>
      </c>
      <c r="E41" s="197">
        <f t="shared" si="6"/>
        <v>1991.2750000000001</v>
      </c>
      <c r="F41" s="191">
        <f t="shared" si="1"/>
        <v>2220.1528457463287</v>
      </c>
      <c r="G41" s="192">
        <f t="shared" si="2"/>
        <v>3121.8924999998708</v>
      </c>
      <c r="H41" s="191">
        <f t="shared" si="4"/>
        <v>2287331.0740558594</v>
      </c>
      <c r="I41" s="191">
        <f t="shared" si="7"/>
        <v>173302.91467777756</v>
      </c>
      <c r="J41" s="191">
        <f t="shared" si="8"/>
        <v>145752.15062500007</v>
      </c>
      <c r="K41" s="191">
        <f t="shared" si="3"/>
        <v>372896.89801808953</v>
      </c>
      <c r="L41" s="177"/>
      <c r="M41" s="177"/>
      <c r="N41" s="177"/>
      <c r="O41" s="155"/>
      <c r="P41" s="155"/>
    </row>
    <row r="42" spans="1:16" ht="18" customHeight="1" x14ac:dyDescent="0.25">
      <c r="A42" s="173">
        <v>37</v>
      </c>
      <c r="B42" s="174">
        <f t="shared" si="9"/>
        <v>2012.9999999999973</v>
      </c>
      <c r="C42" s="127">
        <v>4035.2</v>
      </c>
      <c r="D42" s="196">
        <f t="shared" si="5"/>
        <v>1715.8966666666668</v>
      </c>
      <c r="E42" s="197">
        <f t="shared" si="6"/>
        <v>1783.1266666666666</v>
      </c>
      <c r="F42" s="191">
        <f t="shared" si="1"/>
        <v>1853.7611382985315</v>
      </c>
      <c r="G42" s="192">
        <f t="shared" si="2"/>
        <v>3125.6659999998665</v>
      </c>
      <c r="H42" s="191">
        <f t="shared" si="4"/>
        <v>827252.09715624258</v>
      </c>
      <c r="I42" s="191">
        <f t="shared" si="7"/>
        <v>5379167.9520111112</v>
      </c>
      <c r="J42" s="191">
        <f t="shared" si="8"/>
        <v>5071834.2987111108</v>
      </c>
      <c r="K42" s="191">
        <f t="shared" si="3"/>
        <v>4758675.5073413979</v>
      </c>
      <c r="L42" s="177"/>
      <c r="M42" s="177"/>
      <c r="N42" s="177"/>
      <c r="O42" s="155"/>
      <c r="P42" s="155"/>
    </row>
    <row r="43" spans="1:16" ht="18" customHeight="1" x14ac:dyDescent="0.25">
      <c r="A43" s="173">
        <v>38</v>
      </c>
      <c r="B43" s="174">
        <f t="shared" si="9"/>
        <v>2013.0833333333305</v>
      </c>
      <c r="C43" s="127">
        <v>3396.18</v>
      </c>
      <c r="D43" s="196">
        <f t="shared" si="5"/>
        <v>2658.9233333333336</v>
      </c>
      <c r="E43" s="197">
        <f t="shared" si="6"/>
        <v>2942.7783333333332</v>
      </c>
      <c r="F43" s="191">
        <f t="shared" si="1"/>
        <v>3162.6244553194124</v>
      </c>
      <c r="G43" s="192">
        <f t="shared" si="2"/>
        <v>3129.4394999998622</v>
      </c>
      <c r="H43" s="191">
        <f t="shared" si="4"/>
        <v>71150.49434032345</v>
      </c>
      <c r="I43" s="191">
        <f t="shared" si="7"/>
        <v>543547.39254444372</v>
      </c>
      <c r="J43" s="191">
        <f t="shared" si="8"/>
        <v>205573.07133611108</v>
      </c>
      <c r="K43" s="191">
        <f t="shared" si="3"/>
        <v>54548.192451045878</v>
      </c>
      <c r="L43" s="177"/>
      <c r="M43" s="177"/>
      <c r="N43" s="177"/>
      <c r="O43" s="155"/>
      <c r="P43" s="155"/>
    </row>
    <row r="44" spans="1:16" ht="18" customHeight="1" x14ac:dyDescent="0.25">
      <c r="A44" s="173">
        <v>39</v>
      </c>
      <c r="B44" s="174">
        <f t="shared" si="9"/>
        <v>2013.1666666666638</v>
      </c>
      <c r="C44" s="127">
        <v>3038.77</v>
      </c>
      <c r="D44" s="196">
        <f t="shared" si="5"/>
        <v>3013.6266666666666</v>
      </c>
      <c r="E44" s="197">
        <f t="shared" si="6"/>
        <v>3311.4066666666668</v>
      </c>
      <c r="F44" s="191">
        <f t="shared" si="1"/>
        <v>3302.7577821277646</v>
      </c>
      <c r="G44" s="192">
        <f t="shared" si="2"/>
        <v>3133.2129999998579</v>
      </c>
      <c r="H44" s="191">
        <f t="shared" si="4"/>
        <v>8919.4802489731537</v>
      </c>
      <c r="I44" s="191">
        <f t="shared" si="7"/>
        <v>632.18721111111597</v>
      </c>
      <c r="J44" s="191">
        <f t="shared" si="8"/>
        <v>74330.752011111166</v>
      </c>
      <c r="K44" s="191">
        <f t="shared" si="3"/>
        <v>69689.549112736117</v>
      </c>
      <c r="L44" s="177"/>
      <c r="M44" s="177"/>
      <c r="N44" s="177"/>
      <c r="O44" s="155"/>
      <c r="P44" s="155"/>
    </row>
    <row r="45" spans="1:16" ht="18" customHeight="1" x14ac:dyDescent="0.25">
      <c r="A45" s="173">
        <v>40</v>
      </c>
      <c r="B45" s="174">
        <f t="shared" si="9"/>
        <v>2013.249999999997</v>
      </c>
      <c r="C45" s="127">
        <v>4477</v>
      </c>
      <c r="D45" s="196">
        <f t="shared" si="5"/>
        <v>3490.0499999999997</v>
      </c>
      <c r="E45" s="197">
        <f t="shared" si="6"/>
        <v>3323.9783333333335</v>
      </c>
      <c r="F45" s="191">
        <f t="shared" si="1"/>
        <v>3144.3651128511056</v>
      </c>
      <c r="G45" s="192">
        <f t="shared" si="2"/>
        <v>3136.9864999998535</v>
      </c>
      <c r="H45" s="191">
        <f t="shared" si="4"/>
        <v>1795636.1801826425</v>
      </c>
      <c r="I45" s="191">
        <f t="shared" si="7"/>
        <v>974070.30250000057</v>
      </c>
      <c r="J45" s="191">
        <f t="shared" si="8"/>
        <v>1329458.9638027775</v>
      </c>
      <c r="K45" s="191">
        <f t="shared" si="3"/>
        <v>1775915.7424463467</v>
      </c>
      <c r="L45" s="177"/>
      <c r="M45" s="177"/>
      <c r="N45" s="177"/>
      <c r="O45" s="155"/>
      <c r="P45" s="155"/>
    </row>
    <row r="46" spans="1:16" ht="18" customHeight="1" x14ac:dyDescent="0.25">
      <c r="A46" s="173">
        <v>41</v>
      </c>
      <c r="B46" s="174">
        <f t="shared" si="9"/>
        <v>2013.3333333333303</v>
      </c>
      <c r="C46" s="127">
        <v>7972.56</v>
      </c>
      <c r="D46" s="196">
        <f t="shared" si="5"/>
        <v>3637.3166666666671</v>
      </c>
      <c r="E46" s="197">
        <f t="shared" si="6"/>
        <v>3817.4533333333334</v>
      </c>
      <c r="F46" s="191">
        <f t="shared" si="1"/>
        <v>3943.946045140442</v>
      </c>
      <c r="G46" s="192">
        <f t="shared" si="2"/>
        <v>3140.7599999998492</v>
      </c>
      <c r="H46" s="191">
        <f t="shared" si="4"/>
        <v>23346291.240001462</v>
      </c>
      <c r="I46" s="191">
        <f t="shared" si="7"/>
        <v>18794334.759211116</v>
      </c>
      <c r="J46" s="191">
        <f t="shared" si="8"/>
        <v>17264911.411377776</v>
      </c>
      <c r="K46" s="191">
        <f t="shared" si="3"/>
        <v>16229730.397289172</v>
      </c>
      <c r="L46" s="177"/>
      <c r="M46" s="177"/>
      <c r="N46" s="177"/>
      <c r="O46" s="155"/>
      <c r="P46" s="155"/>
    </row>
    <row r="47" spans="1:16" ht="18" customHeight="1" x14ac:dyDescent="0.25">
      <c r="A47" s="173">
        <v>42</v>
      </c>
      <c r="B47" s="174">
        <f t="shared" si="9"/>
        <v>2013.4166666666636</v>
      </c>
      <c r="C47" s="127">
        <v>4515</v>
      </c>
      <c r="D47" s="196">
        <f t="shared" si="5"/>
        <v>5162.7766666666676</v>
      </c>
      <c r="E47" s="197">
        <f t="shared" si="6"/>
        <v>5985.0749999999998</v>
      </c>
      <c r="F47" s="191">
        <f t="shared" si="1"/>
        <v>6361.1144180561769</v>
      </c>
      <c r="G47" s="192">
        <f t="shared" si="2"/>
        <v>3144.5334999998449</v>
      </c>
      <c r="H47" s="191">
        <f t="shared" si="4"/>
        <v>1878178.427622675</v>
      </c>
      <c r="I47" s="191">
        <f t="shared" si="7"/>
        <v>419614.60987777892</v>
      </c>
      <c r="J47" s="191">
        <f t="shared" si="8"/>
        <v>2161120.5056249993</v>
      </c>
      <c r="K47" s="191">
        <f t="shared" si="3"/>
        <v>3408138.4445548966</v>
      </c>
      <c r="L47" s="177"/>
      <c r="M47" s="177"/>
      <c r="N47" s="177"/>
      <c r="O47" s="155"/>
      <c r="P47" s="155"/>
    </row>
    <row r="48" spans="1:16" ht="18" customHeight="1" x14ac:dyDescent="0.25">
      <c r="A48" s="173">
        <v>43</v>
      </c>
      <c r="B48" s="174">
        <f t="shared" si="9"/>
        <v>2013.4999999999968</v>
      </c>
      <c r="C48" s="127">
        <v>4581.38</v>
      </c>
      <c r="D48" s="196">
        <f t="shared" si="5"/>
        <v>5654.8533333333335</v>
      </c>
      <c r="E48" s="197">
        <f t="shared" si="6"/>
        <v>5661.1866666666665</v>
      </c>
      <c r="F48" s="191">
        <f t="shared" si="1"/>
        <v>5253.4457672224707</v>
      </c>
      <c r="G48" s="192">
        <f t="shared" si="2"/>
        <v>3148.3069999998552</v>
      </c>
      <c r="H48" s="191">
        <f t="shared" si="4"/>
        <v>2053698.2233294153</v>
      </c>
      <c r="I48" s="191">
        <f t="shared" si="7"/>
        <v>1152344.9973777779</v>
      </c>
      <c r="J48" s="191">
        <f t="shared" si="8"/>
        <v>1165982.4373777772</v>
      </c>
      <c r="K48" s="191">
        <f t="shared" si="3"/>
        <v>451672.39547232812</v>
      </c>
      <c r="L48" s="177"/>
      <c r="M48" s="177"/>
      <c r="N48" s="177"/>
      <c r="O48" s="155"/>
      <c r="P48" s="155"/>
    </row>
    <row r="49" spans="1:16" ht="18" customHeight="1" x14ac:dyDescent="0.25">
      <c r="A49" s="173">
        <v>44</v>
      </c>
      <c r="B49" s="174">
        <f t="shared" si="9"/>
        <v>2013.5833333333301</v>
      </c>
      <c r="C49" s="128">
        <v>3815.32</v>
      </c>
      <c r="D49" s="196">
        <f t="shared" si="5"/>
        <v>5689.6466666666674</v>
      </c>
      <c r="E49" s="197">
        <f t="shared" si="6"/>
        <v>5124.4500000000007</v>
      </c>
      <c r="F49" s="191">
        <f t="shared" si="1"/>
        <v>4850.2063068889884</v>
      </c>
      <c r="G49" s="192">
        <f t="shared" si="2"/>
        <v>3152.0804999998509</v>
      </c>
      <c r="H49" s="191">
        <f t="shared" si="4"/>
        <v>439886.63436044805</v>
      </c>
      <c r="I49" s="191">
        <f t="shared" si="7"/>
        <v>3513100.45337778</v>
      </c>
      <c r="J49" s="191">
        <f t="shared" si="8"/>
        <v>1713821.3569000014</v>
      </c>
      <c r="K49" s="191">
        <f t="shared" si="3"/>
        <v>1070989.6681863291</v>
      </c>
      <c r="L49" s="177"/>
      <c r="M49" s="177"/>
      <c r="N49" s="177"/>
      <c r="O49" s="155"/>
      <c r="P49" s="155"/>
    </row>
    <row r="50" spans="1:16" ht="18" customHeight="1" x14ac:dyDescent="0.25">
      <c r="A50" s="173">
        <v>45</v>
      </c>
      <c r="B50" s="174">
        <f t="shared" si="9"/>
        <v>2013.6666666666633</v>
      </c>
      <c r="C50" s="127">
        <v>3541.34</v>
      </c>
      <c r="D50" s="196">
        <f t="shared" si="5"/>
        <v>4303.9000000000005</v>
      </c>
      <c r="E50" s="197">
        <f t="shared" si="6"/>
        <v>4187.2866666666669</v>
      </c>
      <c r="F50" s="191">
        <f t="shared" si="1"/>
        <v>4229.2745227555952</v>
      </c>
      <c r="G50" s="192">
        <f t="shared" si="2"/>
        <v>3155.8539999998466</v>
      </c>
      <c r="H50" s="191">
        <f t="shared" si="4"/>
        <v>148599.45619611841</v>
      </c>
      <c r="I50" s="191">
        <f t="shared" si="7"/>
        <v>581497.75360000064</v>
      </c>
      <c r="J50" s="191">
        <f t="shared" si="8"/>
        <v>417247.09617777786</v>
      </c>
      <c r="K50" s="191">
        <f t="shared" si="3"/>
        <v>473253.9075989683</v>
      </c>
      <c r="L50" s="177"/>
      <c r="M50" s="177"/>
      <c r="N50" s="177"/>
      <c r="O50" s="155"/>
      <c r="P50" s="155"/>
    </row>
    <row r="51" spans="1:16" ht="18" customHeight="1" x14ac:dyDescent="0.25">
      <c r="A51" s="173">
        <v>46</v>
      </c>
      <c r="B51" s="174">
        <f t="shared" si="9"/>
        <v>2013.7499999999966</v>
      </c>
      <c r="C51" s="127">
        <v>7559.5</v>
      </c>
      <c r="D51" s="196">
        <f t="shared" si="5"/>
        <v>3979.3466666666668</v>
      </c>
      <c r="E51" s="197">
        <f t="shared" si="6"/>
        <v>3806.0066666666667</v>
      </c>
      <c r="F51" s="191">
        <f t="shared" si="1"/>
        <v>3816.5138091022382</v>
      </c>
      <c r="G51" s="192">
        <f t="shared" si="2"/>
        <v>3159.6274999998423</v>
      </c>
      <c r="H51" s="191">
        <f t="shared" si="4"/>
        <v>19358878.016257636</v>
      </c>
      <c r="I51" s="191">
        <f t="shared" si="7"/>
        <v>12817497.890177777</v>
      </c>
      <c r="J51" s="191">
        <f t="shared" si="8"/>
        <v>14088712.203377778</v>
      </c>
      <c r="K51" s="191">
        <f t="shared" si="3"/>
        <v>14009945.625251336</v>
      </c>
      <c r="L51" s="177"/>
      <c r="M51" s="177"/>
      <c r="N51" s="177"/>
      <c r="O51" s="155"/>
      <c r="P51" s="155"/>
    </row>
    <row r="52" spans="1:16" ht="18" customHeight="1" x14ac:dyDescent="0.25">
      <c r="A52" s="173">
        <v>47</v>
      </c>
      <c r="B52" s="174">
        <f t="shared" si="9"/>
        <v>2013.8333333333298</v>
      </c>
      <c r="C52" s="127">
        <v>5140.12</v>
      </c>
      <c r="D52" s="196">
        <f t="shared" si="5"/>
        <v>4972.0533333333333</v>
      </c>
      <c r="E52" s="197">
        <f t="shared" si="6"/>
        <v>5596.0833333333339</v>
      </c>
      <c r="F52" s="191">
        <f t="shared" si="1"/>
        <v>6062.3055236408954</v>
      </c>
      <c r="G52" s="192">
        <f t="shared" si="2"/>
        <v>3163.4009999998379</v>
      </c>
      <c r="H52" s="191">
        <f t="shared" si="4"/>
        <v>3907418.0049616401</v>
      </c>
      <c r="I52" s="191">
        <f t="shared" si="7"/>
        <v>28246.404444444423</v>
      </c>
      <c r="J52" s="191">
        <f t="shared" si="8"/>
        <v>207902.5613444451</v>
      </c>
      <c r="K52" s="191">
        <f t="shared" si="3"/>
        <v>850426.14001283271</v>
      </c>
      <c r="L52" s="177"/>
      <c r="M52" s="177"/>
      <c r="N52" s="177"/>
      <c r="O52" s="155"/>
      <c r="P52" s="155"/>
    </row>
    <row r="53" spans="1:16" ht="18" customHeight="1" x14ac:dyDescent="0.25">
      <c r="A53" s="173">
        <v>48</v>
      </c>
      <c r="B53" s="174">
        <f t="shared" si="9"/>
        <v>2013.9166666666631</v>
      </c>
      <c r="C53" s="128">
        <v>927.72</v>
      </c>
      <c r="D53" s="196">
        <f t="shared" si="5"/>
        <v>5413.6533333333327</v>
      </c>
      <c r="E53" s="197">
        <f t="shared" si="6"/>
        <v>5680.1166666666668</v>
      </c>
      <c r="F53" s="191">
        <f t="shared" si="1"/>
        <v>5508.9942094563576</v>
      </c>
      <c r="G53" s="192">
        <f t="shared" si="2"/>
        <v>3167.1744999998336</v>
      </c>
      <c r="H53" s="191">
        <f t="shared" si="4"/>
        <v>5015156.4575695042</v>
      </c>
      <c r="I53" s="191">
        <f t="shared" si="7"/>
        <v>20123597.871111102</v>
      </c>
      <c r="J53" s="191">
        <f t="shared" si="8"/>
        <v>22585274.077344444</v>
      </c>
      <c r="K53" s="191">
        <f t="shared" si="3"/>
        <v>20988073.382229973</v>
      </c>
      <c r="L53" s="177"/>
      <c r="M53" s="177"/>
      <c r="N53" s="177"/>
      <c r="O53" s="155"/>
      <c r="P53" s="155"/>
    </row>
    <row r="54" spans="1:16" ht="18" customHeight="1" x14ac:dyDescent="0.25">
      <c r="A54" s="173">
        <v>49</v>
      </c>
      <c r="B54" s="174">
        <f t="shared" si="9"/>
        <v>2013.9999999999964</v>
      </c>
      <c r="C54" s="152">
        <v>1457</v>
      </c>
      <c r="D54" s="196">
        <f t="shared" si="5"/>
        <v>4542.4466666666658</v>
      </c>
      <c r="E54" s="197">
        <f t="shared" si="6"/>
        <v>3437.15</v>
      </c>
      <c r="F54" s="191">
        <f t="shared" si="1"/>
        <v>2760.2296837825434</v>
      </c>
      <c r="G54" s="192">
        <f t="shared" si="2"/>
        <v>3170.9479999998293</v>
      </c>
      <c r="H54" s="191">
        <f t="shared" si="4"/>
        <v>2937617.7467034152</v>
      </c>
      <c r="I54" s="191">
        <f t="shared" si="7"/>
        <v>9519981.1328444388</v>
      </c>
      <c r="J54" s="191">
        <f t="shared" si="8"/>
        <v>3920994.0225000004</v>
      </c>
      <c r="K54" s="191">
        <f t="shared" si="3"/>
        <v>1698407.608691948</v>
      </c>
      <c r="L54" s="177"/>
      <c r="M54" s="177"/>
      <c r="N54" s="177"/>
      <c r="O54" s="155"/>
      <c r="P54" s="155"/>
    </row>
    <row r="55" spans="1:16" ht="18" customHeight="1" x14ac:dyDescent="0.25">
      <c r="A55" s="173">
        <v>50</v>
      </c>
      <c r="B55" s="174">
        <f t="shared" si="9"/>
        <v>2014.0833333333296</v>
      </c>
      <c r="C55" s="152">
        <v>2002.89</v>
      </c>
      <c r="D55" s="196">
        <f t="shared" si="5"/>
        <v>2508.2800000000002</v>
      </c>
      <c r="E55" s="197">
        <f t="shared" si="6"/>
        <v>1894.4266666666667</v>
      </c>
      <c r="F55" s="191">
        <f t="shared" si="1"/>
        <v>1978.2918735130174</v>
      </c>
      <c r="G55" s="192">
        <f t="shared" si="2"/>
        <v>3174.721499999825</v>
      </c>
      <c r="H55" s="191">
        <f t="shared" si="4"/>
        <v>1373189.0643918398</v>
      </c>
      <c r="I55" s="191">
        <f t="shared" si="7"/>
        <v>255419.05210000009</v>
      </c>
      <c r="J55" s="191">
        <f t="shared" si="8"/>
        <v>11764.294677777785</v>
      </c>
      <c r="K55" s="191">
        <f t="shared" si="3"/>
        <v>605.06782666959816</v>
      </c>
      <c r="L55" s="177"/>
      <c r="M55" s="177"/>
      <c r="N55" s="177"/>
      <c r="O55" s="155"/>
      <c r="P55" s="155"/>
    </row>
    <row r="56" spans="1:16" ht="18" customHeight="1" x14ac:dyDescent="0.25">
      <c r="A56" s="173">
        <v>51</v>
      </c>
      <c r="B56" s="174">
        <f t="shared" si="9"/>
        <v>2014.1666666666629</v>
      </c>
      <c r="C56" s="152">
        <v>2423.5</v>
      </c>
      <c r="D56" s="196">
        <f t="shared" si="5"/>
        <v>1462.5366666666669</v>
      </c>
      <c r="E56" s="197">
        <f t="shared" si="6"/>
        <v>1641.7316666666666</v>
      </c>
      <c r="F56" s="191">
        <f t="shared" si="1"/>
        <v>1993.0507494052069</v>
      </c>
      <c r="G56" s="192">
        <f t="shared" si="2"/>
        <v>3178.4949999998207</v>
      </c>
      <c r="H56" s="191">
        <f t="shared" si="4"/>
        <v>570017.45002472925</v>
      </c>
      <c r="I56" s="191">
        <f t="shared" si="7"/>
        <v>923450.52801111073</v>
      </c>
      <c r="J56" s="191">
        <f t="shared" si="8"/>
        <v>611161.72700277797</v>
      </c>
      <c r="K56" s="191">
        <f t="shared" si="3"/>
        <v>185286.55733761896</v>
      </c>
      <c r="L56" s="177"/>
      <c r="M56" s="177"/>
      <c r="N56" s="177"/>
      <c r="O56" s="155"/>
      <c r="P56" s="155"/>
    </row>
    <row r="57" spans="1:16" ht="18" customHeight="1" x14ac:dyDescent="0.25">
      <c r="A57" s="173">
        <v>52</v>
      </c>
      <c r="B57" s="174">
        <f t="shared" si="9"/>
        <v>2014.2499999999961</v>
      </c>
      <c r="C57" s="152">
        <v>450</v>
      </c>
      <c r="D57" s="196">
        <f t="shared" si="5"/>
        <v>1961.13</v>
      </c>
      <c r="E57" s="197">
        <f t="shared" si="6"/>
        <v>2122.2133333333331</v>
      </c>
      <c r="F57" s="191">
        <f t="shared" si="1"/>
        <v>2251.3202997620829</v>
      </c>
      <c r="G57" s="192">
        <f t="shared" si="2"/>
        <v>3182.2684999998164</v>
      </c>
      <c r="H57" s="191">
        <f t="shared" si="4"/>
        <v>7465291.1560912468</v>
      </c>
      <c r="I57" s="191">
        <f t="shared" si="7"/>
        <v>2283513.8769000005</v>
      </c>
      <c r="J57" s="191">
        <f t="shared" si="8"/>
        <v>2796297.4321777769</v>
      </c>
      <c r="K57" s="191">
        <f t="shared" si="3"/>
        <v>3244754.8223349601</v>
      </c>
      <c r="L57" s="177"/>
      <c r="M57" s="177"/>
      <c r="N57" s="177"/>
      <c r="O57" s="155"/>
      <c r="P57" s="155"/>
    </row>
    <row r="58" spans="1:16" ht="18" customHeight="1" x14ac:dyDescent="0.25">
      <c r="A58" s="173">
        <v>53</v>
      </c>
      <c r="B58" s="174">
        <f t="shared" si="9"/>
        <v>2014.3333333333294</v>
      </c>
      <c r="C58" s="152">
        <v>4002</v>
      </c>
      <c r="D58" s="196">
        <f t="shared" si="5"/>
        <v>1625.4633333333334</v>
      </c>
      <c r="E58" s="197">
        <f t="shared" si="6"/>
        <v>1366.6483333333333</v>
      </c>
      <c r="F58" s="191">
        <f t="shared" si="1"/>
        <v>1170.5281199048331</v>
      </c>
      <c r="G58" s="192">
        <f t="shared" si="2"/>
        <v>3186.0419999998121</v>
      </c>
      <c r="H58" s="191">
        <f t="shared" si="4"/>
        <v>665787.45776430657</v>
      </c>
      <c r="I58" s="191">
        <f t="shared" si="7"/>
        <v>5647926.5280111125</v>
      </c>
      <c r="J58" s="191">
        <f t="shared" si="8"/>
        <v>6945078.4070027769</v>
      </c>
      <c r="K58" s="191">
        <f t="shared" si="3"/>
        <v>8017233.0077696592</v>
      </c>
      <c r="L58" s="177"/>
      <c r="M58" s="177"/>
      <c r="N58" s="177"/>
      <c r="O58" s="155"/>
      <c r="P58" s="155"/>
    </row>
    <row r="59" spans="1:16" ht="18" customHeight="1" x14ac:dyDescent="0.25">
      <c r="A59" s="173">
        <v>54</v>
      </c>
      <c r="B59" s="174">
        <f t="shared" si="9"/>
        <v>2014.4166666666626</v>
      </c>
      <c r="C59" s="152">
        <v>2400</v>
      </c>
      <c r="D59" s="196">
        <f t="shared" si="5"/>
        <v>2291.8333333333335</v>
      </c>
      <c r="E59" s="197">
        <f t="shared" si="6"/>
        <v>2554.9166666666665</v>
      </c>
      <c r="F59" s="191">
        <f t="shared" si="1"/>
        <v>2869.411247961933</v>
      </c>
      <c r="G59" s="192">
        <f t="shared" si="2"/>
        <v>3189.8154999998078</v>
      </c>
      <c r="H59" s="191">
        <f t="shared" si="4"/>
        <v>623808.52403994638</v>
      </c>
      <c r="I59" s="191">
        <f t="shared" si="7"/>
        <v>11700.027777777745</v>
      </c>
      <c r="J59" s="191">
        <f t="shared" si="8"/>
        <v>23999.173611111066</v>
      </c>
      <c r="K59" s="191">
        <f t="shared" si="3"/>
        <v>220346.91971317935</v>
      </c>
      <c r="L59" s="177"/>
      <c r="M59" s="177"/>
      <c r="N59" s="177"/>
      <c r="O59" s="155"/>
      <c r="P59" s="155"/>
    </row>
    <row r="60" spans="1:16" ht="18" customHeight="1" x14ac:dyDescent="0.25">
      <c r="A60" s="173">
        <v>55</v>
      </c>
      <c r="B60" s="174">
        <f t="shared" si="9"/>
        <v>2014.4999999999959</v>
      </c>
      <c r="C60" s="152">
        <v>1250.5999999999999</v>
      </c>
      <c r="D60" s="196">
        <f t="shared" si="5"/>
        <v>2284</v>
      </c>
      <c r="E60" s="197">
        <f t="shared" si="6"/>
        <v>2609</v>
      </c>
      <c r="F60" s="191">
        <f t="shared" si="1"/>
        <v>2587.7644991847733</v>
      </c>
      <c r="G60" s="192">
        <f t="shared" si="2"/>
        <v>3193.5889999998035</v>
      </c>
      <c r="H60" s="191">
        <f t="shared" si="4"/>
        <v>3775206.2541202367</v>
      </c>
      <c r="I60" s="191">
        <f t="shared" si="7"/>
        <v>1067915.5600000003</v>
      </c>
      <c r="J60" s="191">
        <f t="shared" si="8"/>
        <v>1845250.5600000003</v>
      </c>
      <c r="K60" s="191">
        <f t="shared" si="3"/>
        <v>1788008.8978800657</v>
      </c>
      <c r="L60" s="177"/>
      <c r="M60" s="177"/>
      <c r="N60" s="177"/>
      <c r="O60" s="155"/>
      <c r="P60" s="155"/>
    </row>
    <row r="61" spans="1:16" ht="18" customHeight="1" x14ac:dyDescent="0.25">
      <c r="A61" s="173">
        <v>56</v>
      </c>
      <c r="B61" s="174">
        <f t="shared" si="9"/>
        <v>2014.5833333333292</v>
      </c>
      <c r="C61" s="152">
        <v>3332.23</v>
      </c>
      <c r="D61" s="196">
        <f t="shared" si="5"/>
        <v>2550.8666666666668</v>
      </c>
      <c r="E61" s="197">
        <f t="shared" si="6"/>
        <v>2092.3000000000002</v>
      </c>
      <c r="F61" s="191">
        <f t="shared" si="1"/>
        <v>1785.4657996739093</v>
      </c>
      <c r="G61" s="192">
        <f t="shared" si="2"/>
        <v>3197.3624999997992</v>
      </c>
      <c r="H61" s="191">
        <f t="shared" si="4"/>
        <v>18189.242556304172</v>
      </c>
      <c r="I61" s="191">
        <f t="shared" si="7"/>
        <v>610528.65867777762</v>
      </c>
      <c r="J61" s="191">
        <f t="shared" si="8"/>
        <v>1537426.4048999995</v>
      </c>
      <c r="K61" s="191">
        <f t="shared" si="3"/>
        <v>2392479.491410411</v>
      </c>
      <c r="L61" s="177"/>
      <c r="M61" s="177"/>
      <c r="N61" s="177"/>
      <c r="O61" s="155"/>
      <c r="P61" s="155"/>
    </row>
    <row r="62" spans="1:16" ht="18" customHeight="1" x14ac:dyDescent="0.25">
      <c r="A62" s="173">
        <v>57</v>
      </c>
      <c r="B62" s="174">
        <f t="shared" si="9"/>
        <v>2014.6666666666624</v>
      </c>
      <c r="C62" s="152">
        <v>3250.9</v>
      </c>
      <c r="D62" s="196">
        <f t="shared" si="5"/>
        <v>2327.61</v>
      </c>
      <c r="E62" s="197">
        <f t="shared" si="6"/>
        <v>2482.9816666666666</v>
      </c>
      <c r="F62" s="191">
        <f t="shared" si="1"/>
        <v>2713.5243198695634</v>
      </c>
      <c r="G62" s="192">
        <f t="shared" si="2"/>
        <v>3201.1359999997949</v>
      </c>
      <c r="H62" s="191">
        <f t="shared" si="4"/>
        <v>2476.4556960204245</v>
      </c>
      <c r="I62" s="191">
        <f t="shared" si="7"/>
        <v>852464.42409999995</v>
      </c>
      <c r="J62" s="191">
        <f t="shared" si="8"/>
        <v>589698.56666944479</v>
      </c>
      <c r="K62" s="191">
        <f t="shared" si="3"/>
        <v>288772.62159564934</v>
      </c>
      <c r="L62" s="177"/>
      <c r="M62" s="177"/>
      <c r="N62" s="177"/>
      <c r="O62" s="155"/>
      <c r="P62" s="155"/>
    </row>
    <row r="63" spans="1:16" ht="18" customHeight="1" x14ac:dyDescent="0.25">
      <c r="A63" s="173">
        <v>58</v>
      </c>
      <c r="B63" s="174">
        <f t="shared" si="9"/>
        <v>2014.7499999999957</v>
      </c>
      <c r="C63" s="152">
        <v>3960.2</v>
      </c>
      <c r="D63" s="196">
        <f t="shared" si="5"/>
        <v>2611.2433333333333</v>
      </c>
      <c r="E63" s="197">
        <f t="shared" si="6"/>
        <v>2944.626666666667</v>
      </c>
      <c r="F63" s="191">
        <f t="shared" si="1"/>
        <v>3035.9497279478255</v>
      </c>
      <c r="G63" s="192">
        <f t="shared" si="2"/>
        <v>3204.9094999997906</v>
      </c>
      <c r="H63" s="191">
        <f t="shared" si="4"/>
        <v>570463.73939056613</v>
      </c>
      <c r="I63" s="191">
        <f t="shared" si="7"/>
        <v>1819684.0885444439</v>
      </c>
      <c r="J63" s="191">
        <f t="shared" si="8"/>
        <v>1031389.1953777767</v>
      </c>
      <c r="K63" s="191">
        <f t="shared" si="3"/>
        <v>854238.56538851815</v>
      </c>
      <c r="L63" s="177"/>
      <c r="M63" s="177"/>
      <c r="N63" s="177"/>
      <c r="O63" s="155"/>
      <c r="P63" s="155"/>
    </row>
    <row r="64" spans="1:16" ht="18" customHeight="1" x14ac:dyDescent="0.25">
      <c r="A64" s="173">
        <v>59</v>
      </c>
      <c r="B64" s="174">
        <f t="shared" si="9"/>
        <v>2014.8333333333289</v>
      </c>
      <c r="C64" s="152">
        <v>3005.69</v>
      </c>
      <c r="D64" s="196">
        <f t="shared" si="5"/>
        <v>3514.4433333333332</v>
      </c>
      <c r="E64" s="197">
        <f t="shared" si="6"/>
        <v>3619.1049999999996</v>
      </c>
      <c r="F64" s="191">
        <f t="shared" si="1"/>
        <v>3590.4998911791299</v>
      </c>
      <c r="G64" s="192">
        <f t="shared" si="2"/>
        <v>3208.6829999998008</v>
      </c>
      <c r="H64" s="191">
        <f t="shared" si="4"/>
        <v>41206.158048919111</v>
      </c>
      <c r="I64" s="191">
        <f t="shared" si="7"/>
        <v>258829.95417777754</v>
      </c>
      <c r="J64" s="191">
        <f t="shared" si="8"/>
        <v>376277.96222499938</v>
      </c>
      <c r="K64" s="191">
        <f t="shared" si="3"/>
        <v>342002.60882094572</v>
      </c>
      <c r="L64" s="177"/>
      <c r="M64" s="177"/>
      <c r="N64" s="177"/>
      <c r="O64" s="155"/>
      <c r="P64" s="155"/>
    </row>
    <row r="65" spans="1:16" ht="18" customHeight="1" x14ac:dyDescent="0.25">
      <c r="A65" s="173">
        <v>60</v>
      </c>
      <c r="B65" s="174">
        <f t="shared" si="9"/>
        <v>2014.9166666666622</v>
      </c>
      <c r="C65" s="152">
        <v>4501.3599999999997</v>
      </c>
      <c r="D65" s="196">
        <f t="shared" si="5"/>
        <v>3405.5966666666668</v>
      </c>
      <c r="E65" s="197">
        <f t="shared" si="6"/>
        <v>3364.7283333333335</v>
      </c>
      <c r="F65" s="191">
        <f t="shared" si="1"/>
        <v>3239.6139564716523</v>
      </c>
      <c r="G65" s="192">
        <f t="shared" si="2"/>
        <v>3212.4564999997965</v>
      </c>
      <c r="H65" s="191">
        <f t="shared" si="4"/>
        <v>1661272.2323127738</v>
      </c>
      <c r="I65" s="191">
        <f t="shared" si="7"/>
        <v>1200697.2826777766</v>
      </c>
      <c r="J65" s="191">
        <f t="shared" si="8"/>
        <v>1291931.5456694434</v>
      </c>
      <c r="K65" s="191">
        <f t="shared" si="3"/>
        <v>1592003.0783594383</v>
      </c>
      <c r="L65" s="177"/>
      <c r="M65" s="177"/>
      <c r="N65" s="177"/>
      <c r="O65" s="155"/>
      <c r="P65" s="155"/>
    </row>
    <row r="66" spans="1:16" ht="18" customHeight="1" x14ac:dyDescent="0.25">
      <c r="A66" s="173">
        <v>61</v>
      </c>
      <c r="B66" s="174">
        <f t="shared" si="9"/>
        <v>2014.9999999999955</v>
      </c>
      <c r="C66" s="127">
        <v>2081.4499999999998</v>
      </c>
      <c r="D66" s="196">
        <f t="shared" si="5"/>
        <v>3822.4166666666665</v>
      </c>
      <c r="E66" s="197">
        <f t="shared" si="6"/>
        <v>3912.6099999999997</v>
      </c>
      <c r="F66" s="191">
        <f t="shared" si="1"/>
        <v>3996.6615825886611</v>
      </c>
      <c r="G66" s="192">
        <f t="shared" si="2"/>
        <v>3216.2299999997922</v>
      </c>
      <c r="H66" s="191">
        <f t="shared" si="4"/>
        <v>1287725.6483995288</v>
      </c>
      <c r="I66" s="191">
        <f t="shared" si="7"/>
        <v>3030964.9344444447</v>
      </c>
      <c r="J66" s="191">
        <f t="shared" si="8"/>
        <v>3353146.9455999993</v>
      </c>
      <c r="K66" s="191">
        <f t="shared" si="3"/>
        <v>3668035.4060817645</v>
      </c>
      <c r="L66" s="177"/>
      <c r="M66" s="177"/>
      <c r="N66" s="177"/>
      <c r="O66" s="155"/>
      <c r="P66" s="155"/>
    </row>
    <row r="67" spans="1:16" ht="18" customHeight="1" x14ac:dyDescent="0.25">
      <c r="A67" s="173">
        <v>62</v>
      </c>
      <c r="B67" s="174">
        <f t="shared" si="9"/>
        <v>2015.0833333333287</v>
      </c>
      <c r="C67" s="127">
        <v>2791.73</v>
      </c>
      <c r="D67" s="196">
        <f t="shared" si="5"/>
        <v>3196.1666666666665</v>
      </c>
      <c r="E67" s="197">
        <f t="shared" si="6"/>
        <v>3042.1266666666661</v>
      </c>
      <c r="F67" s="191">
        <f t="shared" si="1"/>
        <v>2847.5346330354641</v>
      </c>
      <c r="G67" s="192">
        <f t="shared" si="2"/>
        <v>3220.0034999997879</v>
      </c>
      <c r="H67" s="191">
        <f t="shared" si="4"/>
        <v>183418.1908020683</v>
      </c>
      <c r="I67" s="191">
        <f t="shared" si="7"/>
        <v>163569.01734444432</v>
      </c>
      <c r="J67" s="191">
        <f t="shared" si="8"/>
        <v>62698.490677777481</v>
      </c>
      <c r="K67" s="191">
        <f t="shared" si="3"/>
        <v>3114.1570682228135</v>
      </c>
      <c r="L67" s="177"/>
      <c r="M67" s="177"/>
      <c r="N67" s="177"/>
      <c r="O67" s="155"/>
      <c r="P67" s="155"/>
    </row>
    <row r="68" spans="1:16" ht="18" customHeight="1" x14ac:dyDescent="0.25">
      <c r="A68" s="173">
        <v>63</v>
      </c>
      <c r="B68" s="174">
        <f t="shared" si="9"/>
        <v>2015.166666666662</v>
      </c>
      <c r="C68" s="127">
        <v>5392.23</v>
      </c>
      <c r="D68" s="196">
        <f t="shared" si="5"/>
        <v>3124.8466666666664</v>
      </c>
      <c r="E68" s="197">
        <f t="shared" si="6"/>
        <v>2839.9083333333328</v>
      </c>
      <c r="F68" s="191">
        <f t="shared" si="1"/>
        <v>2814.0518532141859</v>
      </c>
      <c r="G68" s="192">
        <f t="shared" si="2"/>
        <v>3223.7769999997836</v>
      </c>
      <c r="H68" s="191">
        <f t="shared" si="4"/>
        <v>4702188.4132099366</v>
      </c>
      <c r="I68" s="191">
        <f t="shared" si="7"/>
        <v>5141027.1802777769</v>
      </c>
      <c r="J68" s="191">
        <f t="shared" si="8"/>
        <v>6514345.8901361115</v>
      </c>
      <c r="K68" s="191">
        <f t="shared" si="3"/>
        <v>6647002.5565639324</v>
      </c>
      <c r="L68" s="177"/>
      <c r="M68" s="177"/>
      <c r="N68" s="177"/>
      <c r="O68" s="155"/>
      <c r="P68" s="155"/>
    </row>
    <row r="69" spans="1:16" ht="18" customHeight="1" x14ac:dyDescent="0.25">
      <c r="A69" s="173">
        <v>64</v>
      </c>
      <c r="B69" s="174">
        <f t="shared" si="9"/>
        <v>2015.2499999999952</v>
      </c>
      <c r="C69" s="127">
        <v>4557.95</v>
      </c>
      <c r="D69" s="196">
        <f t="shared" si="5"/>
        <v>3421.8033333333333</v>
      </c>
      <c r="E69" s="197">
        <f t="shared" si="6"/>
        <v>3973.5999999999995</v>
      </c>
      <c r="F69" s="191">
        <f t="shared" si="1"/>
        <v>4360.9587412856745</v>
      </c>
      <c r="G69" s="192">
        <f t="shared" si="2"/>
        <v>3227.5504999997793</v>
      </c>
      <c r="H69" s="191">
        <f t="shared" si="4"/>
        <v>1769962.8296008368</v>
      </c>
      <c r="I69" s="191">
        <f t="shared" si="7"/>
        <v>1290829.2481777775</v>
      </c>
      <c r="J69" s="191">
        <f t="shared" si="8"/>
        <v>341464.92250000045</v>
      </c>
      <c r="K69" s="191">
        <f t="shared" si="3"/>
        <v>38805.556009854263</v>
      </c>
      <c r="L69" s="177"/>
      <c r="M69" s="177"/>
      <c r="N69" s="177"/>
      <c r="O69" s="155"/>
      <c r="P69" s="155"/>
    </row>
    <row r="70" spans="1:16" ht="18" customHeight="1" x14ac:dyDescent="0.25">
      <c r="A70" s="173">
        <v>65</v>
      </c>
      <c r="B70" s="174">
        <f t="shared" si="9"/>
        <v>2015.3333333333285</v>
      </c>
      <c r="C70" s="127">
        <v>4299.97</v>
      </c>
      <c r="D70" s="196">
        <f t="shared" si="5"/>
        <v>4247.3033333333333</v>
      </c>
      <c r="E70" s="197">
        <f t="shared" si="6"/>
        <v>4541.6733333333332</v>
      </c>
      <c r="F70" s="191">
        <f t="shared" si="1"/>
        <v>4479.15349651427</v>
      </c>
      <c r="G70" s="192">
        <f t="shared" si="2"/>
        <v>3231.323999999775</v>
      </c>
      <c r="H70" s="191">
        <f t="shared" si="4"/>
        <v>1142004.2733164816</v>
      </c>
      <c r="I70" s="191">
        <f t="shared" si="7"/>
        <v>2773.7777777778097</v>
      </c>
      <c r="J70" s="191">
        <f t="shared" si="8"/>
        <v>58420.501344444245</v>
      </c>
      <c r="K70" s="191">
        <f t="shared" si="3"/>
        <v>32106.725423079333</v>
      </c>
      <c r="L70" s="177"/>
      <c r="M70" s="177"/>
      <c r="N70" s="177"/>
      <c r="O70" s="155"/>
      <c r="P70" s="155"/>
    </row>
    <row r="71" spans="1:16" ht="18" customHeight="1" x14ac:dyDescent="0.25">
      <c r="A71" s="173">
        <v>66</v>
      </c>
      <c r="B71" s="174">
        <f t="shared" si="9"/>
        <v>2015.4166666666617</v>
      </c>
      <c r="C71" s="127">
        <v>4079.11</v>
      </c>
      <c r="D71" s="196">
        <f t="shared" si="5"/>
        <v>4750.05</v>
      </c>
      <c r="E71" s="197">
        <f t="shared" si="6"/>
        <v>4568.0066666666662</v>
      </c>
      <c r="F71" s="191">
        <f t="shared" ref="F71:F89" si="10">+(C70*$F$3)+(F70*0.4)</f>
        <v>4371.6433986057082</v>
      </c>
      <c r="G71" s="192">
        <f t="shared" si="2"/>
        <v>3235.0974999997707</v>
      </c>
      <c r="H71" s="191">
        <f t="shared" si="4"/>
        <v>712357.10015663737</v>
      </c>
      <c r="I71" s="191">
        <f t="shared" si="7"/>
        <v>450160.48360000009</v>
      </c>
      <c r="J71" s="191">
        <f t="shared" si="8"/>
        <v>239019.9506777772</v>
      </c>
      <c r="K71" s="191">
        <f t="shared" si="3"/>
        <v>85575.789299806071</v>
      </c>
      <c r="L71" s="177"/>
      <c r="M71" s="177"/>
      <c r="N71" s="177"/>
      <c r="O71" s="155"/>
      <c r="P71" s="155"/>
    </row>
    <row r="72" spans="1:16" ht="18" customHeight="1" x14ac:dyDescent="0.25">
      <c r="A72" s="173">
        <v>67</v>
      </c>
      <c r="B72" s="174">
        <f t="shared" si="9"/>
        <v>2015.499999999995</v>
      </c>
      <c r="C72" s="127">
        <v>10018.6</v>
      </c>
      <c r="D72" s="196">
        <f t="shared" si="5"/>
        <v>4312.3433333333332</v>
      </c>
      <c r="E72" s="197">
        <f t="shared" si="6"/>
        <v>4232.5366666666669</v>
      </c>
      <c r="F72" s="191">
        <f t="shared" si="10"/>
        <v>4196.1233594422829</v>
      </c>
      <c r="G72" s="192">
        <f t="shared" ref="G72:G89" si="11">+$E$96+$E$97*B72</f>
        <v>3238.8709999997664</v>
      </c>
      <c r="H72" s="191">
        <f t="shared" si="4"/>
        <v>45964725.313444175</v>
      </c>
      <c r="I72" s="191">
        <f t="shared" si="7"/>
        <v>32561365.145877782</v>
      </c>
      <c r="J72" s="191">
        <f t="shared" si="8"/>
        <v>33478528.897344448</v>
      </c>
      <c r="K72" s="191">
        <f t="shared" si="3"/>
        <v>33901234.229840286</v>
      </c>
      <c r="L72" s="177"/>
      <c r="M72" s="177"/>
      <c r="N72" s="177"/>
      <c r="O72" s="155"/>
      <c r="P72" s="155"/>
    </row>
    <row r="73" spans="1:16" ht="18" customHeight="1" x14ac:dyDescent="0.25">
      <c r="A73" s="173">
        <v>68</v>
      </c>
      <c r="B73" s="174">
        <f t="shared" si="9"/>
        <v>2015.5833333333283</v>
      </c>
      <c r="C73" s="128">
        <v>5570.9</v>
      </c>
      <c r="D73" s="196">
        <f t="shared" si="5"/>
        <v>6132.56</v>
      </c>
      <c r="E73" s="197">
        <f t="shared" si="6"/>
        <v>7085.665</v>
      </c>
      <c r="F73" s="191">
        <f t="shared" si="10"/>
        <v>7689.6093437769132</v>
      </c>
      <c r="G73" s="192">
        <f t="shared" si="11"/>
        <v>3242.644499999762</v>
      </c>
      <c r="H73" s="191">
        <f t="shared" ref="H73:H88" si="12">+(C73-G73)^2</f>
        <v>5420773.6732813567</v>
      </c>
      <c r="I73" s="191">
        <f t="shared" si="7"/>
        <v>315461.95560000086</v>
      </c>
      <c r="J73" s="191">
        <f t="shared" si="8"/>
        <v>2294513.0052250009</v>
      </c>
      <c r="K73" s="191">
        <f t="shared" si="3"/>
        <v>4488929.2834075997</v>
      </c>
      <c r="L73" s="177"/>
      <c r="M73" s="177"/>
      <c r="N73" s="177"/>
      <c r="O73" s="155"/>
      <c r="P73" s="155"/>
    </row>
    <row r="74" spans="1:16" ht="18" customHeight="1" x14ac:dyDescent="0.25">
      <c r="A74" s="173">
        <v>69</v>
      </c>
      <c r="B74" s="174">
        <f t="shared" si="9"/>
        <v>2015.6666666666615</v>
      </c>
      <c r="C74" s="127">
        <v>5157.7</v>
      </c>
      <c r="D74" s="196">
        <f t="shared" ref="D74:D87" si="13">+AVERAGE(C71:C73)</f>
        <v>6556.2033333333338</v>
      </c>
      <c r="E74" s="197">
        <f t="shared" ref="E74:E87" si="14">+SUMPRODUCT($N$2:$N$4,C71:C73)</f>
        <v>6804.835</v>
      </c>
      <c r="F74" s="191">
        <f t="shared" si="10"/>
        <v>6418.3837375107651</v>
      </c>
      <c r="G74" s="192">
        <f t="shared" si="11"/>
        <v>3246.4179999997577</v>
      </c>
      <c r="H74" s="191">
        <f t="shared" si="12"/>
        <v>3652998.8835249254</v>
      </c>
      <c r="I74" s="191">
        <f t="shared" ref="I74:I89" si="15">+(C74-D74)^2</f>
        <v>1955811.5733444463</v>
      </c>
      <c r="J74" s="191">
        <f t="shared" ref="J74:J89" si="16">+(C74-E74)^2</f>
        <v>2713053.7082250006</v>
      </c>
      <c r="K74" s="191">
        <f t="shared" si="3"/>
        <v>1589323.486024112</v>
      </c>
      <c r="L74" s="177"/>
      <c r="M74" s="177"/>
      <c r="N74" s="177"/>
      <c r="O74" s="155"/>
      <c r="P74" s="155"/>
    </row>
    <row r="75" spans="1:16" ht="18" customHeight="1" x14ac:dyDescent="0.25">
      <c r="A75" s="173">
        <v>70</v>
      </c>
      <c r="B75" s="174">
        <f t="shared" si="9"/>
        <v>2015.7499999999948</v>
      </c>
      <c r="C75" s="127">
        <v>8171.8</v>
      </c>
      <c r="D75" s="196">
        <f t="shared" si="13"/>
        <v>6915.7333333333336</v>
      </c>
      <c r="E75" s="197">
        <f t="shared" si="14"/>
        <v>6105.583333333333</v>
      </c>
      <c r="F75" s="191">
        <f t="shared" si="10"/>
        <v>5661.9734950043057</v>
      </c>
      <c r="G75" s="192">
        <f t="shared" si="11"/>
        <v>3250.1914999997534</v>
      </c>
      <c r="H75" s="191">
        <f t="shared" si="12"/>
        <v>24222230.227274679</v>
      </c>
      <c r="I75" s="191">
        <f t="shared" si="15"/>
        <v>1577703.4711111109</v>
      </c>
      <c r="J75" s="191">
        <f t="shared" si="16"/>
        <v>4269251.3136111135</v>
      </c>
      <c r="K75" s="191">
        <f t="shared" si="3"/>
        <v>6299229.0851789024</v>
      </c>
      <c r="L75" s="177"/>
      <c r="M75" s="177"/>
      <c r="N75" s="177"/>
      <c r="O75" s="155"/>
      <c r="P75" s="155"/>
    </row>
    <row r="76" spans="1:16" ht="18" customHeight="1" x14ac:dyDescent="0.25">
      <c r="A76" s="173">
        <v>71</v>
      </c>
      <c r="B76" s="174">
        <f t="shared" si="9"/>
        <v>2015.833333333328</v>
      </c>
      <c r="C76" s="127">
        <v>67.099999999999994</v>
      </c>
      <c r="D76" s="196">
        <f t="shared" si="13"/>
        <v>6300.1333333333323</v>
      </c>
      <c r="E76" s="197">
        <f t="shared" si="14"/>
        <v>6733.6166666666668</v>
      </c>
      <c r="F76" s="191">
        <f t="shared" si="10"/>
        <v>7167.8693980017224</v>
      </c>
      <c r="G76" s="192">
        <f t="shared" si="11"/>
        <v>3253.9649999997491</v>
      </c>
      <c r="H76" s="191">
        <f t="shared" si="12"/>
        <v>10156108.528223401</v>
      </c>
      <c r="I76" s="191">
        <f t="shared" si="15"/>
        <v>38850704.534444429</v>
      </c>
      <c r="J76" s="191">
        <f t="shared" si="16"/>
        <v>44442444.466944441</v>
      </c>
      <c r="K76" s="191">
        <f t="shared" si="3"/>
        <v>50420926.043597735</v>
      </c>
      <c r="L76" s="177"/>
      <c r="M76" s="177"/>
      <c r="N76" s="177"/>
      <c r="O76" s="155"/>
      <c r="P76" s="155"/>
    </row>
    <row r="77" spans="1:16" ht="18" customHeight="1" x14ac:dyDescent="0.25">
      <c r="A77" s="173">
        <v>72</v>
      </c>
      <c r="B77" s="174">
        <f t="shared" si="9"/>
        <v>2015.9166666666613</v>
      </c>
      <c r="C77" s="163">
        <v>0</v>
      </c>
      <c r="D77" s="196">
        <f t="shared" si="13"/>
        <v>4465.5333333333338</v>
      </c>
      <c r="E77" s="197">
        <f t="shared" si="14"/>
        <v>3617.1000000000004</v>
      </c>
      <c r="F77" s="191">
        <f t="shared" si="10"/>
        <v>2907.4077592006893</v>
      </c>
      <c r="G77" s="192">
        <f t="shared" si="11"/>
        <v>3257.7384999997448</v>
      </c>
      <c r="H77" s="191">
        <f t="shared" si="12"/>
        <v>10612860.134380586</v>
      </c>
      <c r="I77" s="191">
        <f t="shared" si="15"/>
        <v>19940987.951111116</v>
      </c>
      <c r="J77" s="191">
        <f t="shared" si="16"/>
        <v>13083412.410000002</v>
      </c>
      <c r="K77" s="191">
        <f t="shared" si="3"/>
        <v>8453019.8782603741</v>
      </c>
      <c r="L77" s="177"/>
      <c r="M77" s="177"/>
      <c r="N77" s="177"/>
      <c r="O77" s="155"/>
      <c r="P77" s="155"/>
    </row>
    <row r="78" spans="1:16" ht="18" customHeight="1" x14ac:dyDescent="0.25">
      <c r="A78" s="173">
        <v>73</v>
      </c>
      <c r="B78" s="174">
        <f t="shared" si="9"/>
        <v>2015.9999999999945</v>
      </c>
      <c r="C78" s="129">
        <v>2240</v>
      </c>
      <c r="D78" s="196">
        <f t="shared" si="13"/>
        <v>2746.2999999999997</v>
      </c>
      <c r="E78" s="197">
        <f t="shared" si="14"/>
        <v>1384.3333333333333</v>
      </c>
      <c r="F78" s="191">
        <f t="shared" si="10"/>
        <v>1162.9631036802757</v>
      </c>
      <c r="G78" s="192">
        <f t="shared" si="11"/>
        <v>3261.5119999997405</v>
      </c>
      <c r="H78" s="191">
        <f t="shared" si="12"/>
        <v>1043486.7661434698</v>
      </c>
      <c r="I78" s="191">
        <f t="shared" si="15"/>
        <v>256339.68999999971</v>
      </c>
      <c r="J78" s="191">
        <f t="shared" si="16"/>
        <v>732165.44444444461</v>
      </c>
      <c r="K78" s="191">
        <f t="shared" si="3"/>
        <v>1160008.4760340245</v>
      </c>
      <c r="L78" s="177"/>
      <c r="M78" s="177"/>
      <c r="N78" s="177"/>
      <c r="O78" s="155"/>
      <c r="P78" s="155"/>
    </row>
    <row r="79" spans="1:16" ht="18" customHeight="1" x14ac:dyDescent="0.25">
      <c r="A79" s="173">
        <v>74</v>
      </c>
      <c r="B79" s="174">
        <f t="shared" si="9"/>
        <v>2016.0833333333278</v>
      </c>
      <c r="C79" s="129">
        <v>0</v>
      </c>
      <c r="D79" s="196">
        <f t="shared" si="13"/>
        <v>769.0333333333333</v>
      </c>
      <c r="E79" s="197">
        <f t="shared" si="14"/>
        <v>1131.1833333333334</v>
      </c>
      <c r="F79" s="191">
        <f t="shared" si="10"/>
        <v>1809.1852414721102</v>
      </c>
      <c r="G79" s="192">
        <f t="shared" si="11"/>
        <v>3265.2854999997362</v>
      </c>
      <c r="H79" s="191">
        <f t="shared" si="12"/>
        <v>10662089.396508528</v>
      </c>
      <c r="I79" s="191">
        <f t="shared" si="15"/>
        <v>591412.26777777774</v>
      </c>
      <c r="J79" s="191">
        <f t="shared" si="16"/>
        <v>1279575.7336111113</v>
      </c>
      <c r="K79" s="191">
        <f t="shared" si="3"/>
        <v>3273151.2379604978</v>
      </c>
      <c r="L79" s="177"/>
      <c r="M79" s="177"/>
      <c r="N79" s="177"/>
      <c r="O79" s="155"/>
      <c r="P79" s="155"/>
    </row>
    <row r="80" spans="1:16" ht="18" customHeight="1" x14ac:dyDescent="0.25">
      <c r="A80" s="173">
        <v>75</v>
      </c>
      <c r="B80" s="174">
        <f t="shared" si="9"/>
        <v>2016.1666666666611</v>
      </c>
      <c r="C80" s="129">
        <v>2433.1999999999998</v>
      </c>
      <c r="D80" s="196">
        <f t="shared" si="13"/>
        <v>746.66666666666663</v>
      </c>
      <c r="E80" s="197">
        <f t="shared" si="14"/>
        <v>746.66666666666663</v>
      </c>
      <c r="F80" s="191">
        <f t="shared" si="10"/>
        <v>723.67409658884412</v>
      </c>
      <c r="G80" s="192">
        <f t="shared" si="11"/>
        <v>3269.0589999997319</v>
      </c>
      <c r="H80" s="191">
        <f t="shared" si="12"/>
        <v>698660.2678805521</v>
      </c>
      <c r="I80" s="191">
        <f t="shared" si="15"/>
        <v>2844394.6844444443</v>
      </c>
      <c r="J80" s="191">
        <f t="shared" si="16"/>
        <v>2844394.6844444443</v>
      </c>
      <c r="K80" s="191">
        <f t="shared" si="3"/>
        <v>2922478.8144337279</v>
      </c>
      <c r="L80" s="177"/>
      <c r="M80" s="177"/>
      <c r="N80" s="177"/>
      <c r="O80" s="155"/>
      <c r="P80" s="155"/>
    </row>
    <row r="81" spans="1:16" ht="18" customHeight="1" x14ac:dyDescent="0.25">
      <c r="A81" s="173">
        <v>76</v>
      </c>
      <c r="B81" s="174">
        <f t="shared" si="9"/>
        <v>2016.2499999999943</v>
      </c>
      <c r="C81" s="129">
        <v>2354.8000000000002</v>
      </c>
      <c r="D81" s="196">
        <f t="shared" si="13"/>
        <v>1557.7333333333333</v>
      </c>
      <c r="E81" s="197">
        <f t="shared" si="14"/>
        <v>1589.9333333333332</v>
      </c>
      <c r="F81" s="191">
        <f t="shared" si="10"/>
        <v>1749.3896386355375</v>
      </c>
      <c r="G81" s="192">
        <f t="shared" si="11"/>
        <v>3272.8324999997421</v>
      </c>
      <c r="H81" s="191">
        <f t="shared" si="12"/>
        <v>842783.67105577618</v>
      </c>
      <c r="I81" s="191">
        <f t="shared" si="15"/>
        <v>635315.27111111139</v>
      </c>
      <c r="J81" s="191">
        <f t="shared" si="16"/>
        <v>585021.01777777832</v>
      </c>
      <c r="K81" s="191">
        <f t="shared" si="3"/>
        <v>366521.7056474493</v>
      </c>
      <c r="L81" s="177"/>
      <c r="M81" s="177"/>
      <c r="N81" s="177"/>
      <c r="O81" s="155"/>
      <c r="P81" s="155"/>
    </row>
    <row r="82" spans="1:16" ht="18" customHeight="1" x14ac:dyDescent="0.25">
      <c r="A82" s="173">
        <v>77</v>
      </c>
      <c r="B82" s="174">
        <f t="shared" si="9"/>
        <v>2016.3333333333276</v>
      </c>
      <c r="C82" s="129">
        <v>0</v>
      </c>
      <c r="D82" s="196">
        <f t="shared" si="13"/>
        <v>1596</v>
      </c>
      <c r="E82" s="197">
        <f t="shared" si="14"/>
        <v>1988.4666666666667</v>
      </c>
      <c r="F82" s="191">
        <f t="shared" si="10"/>
        <v>2112.6358554542153</v>
      </c>
      <c r="G82" s="192">
        <f t="shared" si="11"/>
        <v>3276.6059999997378</v>
      </c>
      <c r="H82" s="191">
        <f t="shared" si="12"/>
        <v>10736146.879234282</v>
      </c>
      <c r="I82" s="191">
        <f t="shared" si="15"/>
        <v>2547216</v>
      </c>
      <c r="J82" s="191">
        <f t="shared" si="16"/>
        <v>3953999.6844444447</v>
      </c>
      <c r="K82" s="191">
        <f t="shared" si="3"/>
        <v>4463230.2577507645</v>
      </c>
      <c r="L82" s="177"/>
      <c r="M82" s="177"/>
      <c r="N82" s="177"/>
      <c r="O82" s="155"/>
      <c r="P82" s="155"/>
    </row>
    <row r="83" spans="1:16" ht="18" customHeight="1" x14ac:dyDescent="0.25">
      <c r="A83" s="173">
        <v>78</v>
      </c>
      <c r="B83" s="174">
        <f t="shared" ref="B83:B89" si="17">+B82+$H$3</f>
        <v>2016.4166666666608</v>
      </c>
      <c r="C83" s="129">
        <v>2798.6</v>
      </c>
      <c r="D83" s="196">
        <f t="shared" si="13"/>
        <v>1596</v>
      </c>
      <c r="E83" s="197">
        <f t="shared" si="14"/>
        <v>1190.4666666666667</v>
      </c>
      <c r="F83" s="191">
        <f t="shared" si="10"/>
        <v>845.05434218168614</v>
      </c>
      <c r="G83" s="192">
        <f t="shared" si="11"/>
        <v>3280.3794999997335</v>
      </c>
      <c r="H83" s="191">
        <f t="shared" si="12"/>
        <v>232111.48661999332</v>
      </c>
      <c r="I83" s="191">
        <f t="shared" si="15"/>
        <v>1446246.7599999998</v>
      </c>
      <c r="J83" s="191">
        <f t="shared" si="16"/>
        <v>2586092.8177777776</v>
      </c>
      <c r="K83" s="191">
        <f t="shared" si="3"/>
        <v>3816340.6371807889</v>
      </c>
      <c r="L83" s="177"/>
      <c r="M83" s="177"/>
      <c r="N83" s="177"/>
      <c r="O83" s="155"/>
      <c r="P83" s="155"/>
    </row>
    <row r="84" spans="1:16" ht="18" customHeight="1" x14ac:dyDescent="0.25">
      <c r="A84" s="173">
        <v>79</v>
      </c>
      <c r="B84" s="174">
        <f t="shared" si="17"/>
        <v>2016.4999999999941</v>
      </c>
      <c r="C84" s="127">
        <v>3660.95</v>
      </c>
      <c r="D84" s="196">
        <f t="shared" si="13"/>
        <v>1717.8</v>
      </c>
      <c r="E84" s="197">
        <f t="shared" si="14"/>
        <v>1791.7666666666667</v>
      </c>
      <c r="F84" s="191">
        <f t="shared" si="10"/>
        <v>2017.1817368726743</v>
      </c>
      <c r="G84" s="192">
        <f t="shared" si="11"/>
        <v>3284.1529999997292</v>
      </c>
      <c r="H84" s="191">
        <f t="shared" si="12"/>
        <v>141975.97920920391</v>
      </c>
      <c r="I84" s="191">
        <f t="shared" si="15"/>
        <v>3775831.9224999994</v>
      </c>
      <c r="J84" s="191">
        <f t="shared" si="16"/>
        <v>3493846.3336111107</v>
      </c>
      <c r="K84" s="191">
        <f t="shared" si="3"/>
        <v>2701974.1028646245</v>
      </c>
      <c r="L84" s="177"/>
      <c r="M84" s="177"/>
      <c r="N84" s="177"/>
      <c r="O84" s="155"/>
      <c r="P84" s="155"/>
    </row>
    <row r="85" spans="1:16" ht="18" customHeight="1" x14ac:dyDescent="0.25">
      <c r="A85" s="173">
        <v>80</v>
      </c>
      <c r="B85" s="174">
        <f t="shared" si="17"/>
        <v>2016.5833333333273</v>
      </c>
      <c r="C85" s="128">
        <v>5117.01</v>
      </c>
      <c r="D85" s="196">
        <f t="shared" si="13"/>
        <v>2153.1833333333329</v>
      </c>
      <c r="E85" s="197">
        <f t="shared" si="14"/>
        <v>2763.3416666666662</v>
      </c>
      <c r="F85" s="191">
        <f t="shared" si="10"/>
        <v>3003.4426947490692</v>
      </c>
      <c r="G85" s="192">
        <f t="shared" si="11"/>
        <v>3287.9264999997249</v>
      </c>
      <c r="H85" s="191">
        <f t="shared" si="12"/>
        <v>3345546.4499732573</v>
      </c>
      <c r="I85" s="191">
        <f t="shared" si="15"/>
        <v>8784268.5100444481</v>
      </c>
      <c r="J85" s="191">
        <f t="shared" si="16"/>
        <v>5539754.623336114</v>
      </c>
      <c r="K85" s="191">
        <f t="shared" si="3"/>
        <v>4467166.7538256822</v>
      </c>
      <c r="L85" s="177"/>
      <c r="M85" s="177"/>
      <c r="N85" s="177"/>
      <c r="O85" s="155"/>
      <c r="P85" s="155"/>
    </row>
    <row r="86" spans="1:16" ht="18" customHeight="1" x14ac:dyDescent="0.25">
      <c r="A86" s="173">
        <v>81</v>
      </c>
      <c r="B86" s="174">
        <f t="shared" si="17"/>
        <v>2016.6666666666606</v>
      </c>
      <c r="C86" s="127">
        <v>2539.1999999999998</v>
      </c>
      <c r="D86" s="196">
        <f>+AVERAGE(C83:C85)</f>
        <v>3858.853333333333</v>
      </c>
      <c r="E86" s="197">
        <f t="shared" si="14"/>
        <v>4245.2550000000001</v>
      </c>
      <c r="F86" s="191">
        <f t="shared" si="10"/>
        <v>4271.5830778996278</v>
      </c>
      <c r="G86" s="192">
        <f t="shared" si="11"/>
        <v>3291.6999999997206</v>
      </c>
      <c r="H86" s="191">
        <f t="shared" si="12"/>
        <v>566256.24999957974</v>
      </c>
      <c r="I86" s="191">
        <f t="shared" si="15"/>
        <v>1741484.9201777773</v>
      </c>
      <c r="J86" s="191">
        <f t="shared" si="16"/>
        <v>2910623.6630250011</v>
      </c>
      <c r="K86" s="191">
        <f t="shared" si="3"/>
        <v>3001151.1285929885</v>
      </c>
      <c r="L86" s="177"/>
      <c r="M86" s="177"/>
      <c r="N86" s="177"/>
      <c r="O86" s="155"/>
      <c r="P86" s="155"/>
    </row>
    <row r="87" spans="1:16" ht="18" customHeight="1" x14ac:dyDescent="0.25">
      <c r="A87" s="173">
        <v>82</v>
      </c>
      <c r="B87" s="174">
        <f t="shared" si="17"/>
        <v>2016.7499999999939</v>
      </c>
      <c r="C87" s="127">
        <v>1206.1199999999999</v>
      </c>
      <c r="D87" s="196">
        <f t="shared" si="13"/>
        <v>3772.3866666666668</v>
      </c>
      <c r="E87" s="197">
        <f t="shared" si="14"/>
        <v>3585.4283333333333</v>
      </c>
      <c r="F87" s="191">
        <f t="shared" si="10"/>
        <v>3232.1532311598512</v>
      </c>
      <c r="G87" s="192">
        <f t="shared" si="11"/>
        <v>3295.4734999997163</v>
      </c>
      <c r="H87" s="191">
        <f t="shared" si="12"/>
        <v>4365398.0479610646</v>
      </c>
      <c r="I87" s="191">
        <f t="shared" si="15"/>
        <v>6585724.6044444451</v>
      </c>
      <c r="J87" s="191">
        <f t="shared" si="16"/>
        <v>5661108.1450694446</v>
      </c>
      <c r="K87" s="191">
        <f t="shared" si="3"/>
        <v>4104810.6537640276</v>
      </c>
      <c r="L87" s="177"/>
      <c r="M87" s="177"/>
      <c r="N87" s="177"/>
      <c r="O87" s="155"/>
      <c r="P87" s="155"/>
    </row>
    <row r="88" spans="1:16" ht="18" customHeight="1" x14ac:dyDescent="0.25">
      <c r="A88" s="173">
        <v>83</v>
      </c>
      <c r="B88" s="291">
        <f t="shared" si="17"/>
        <v>2016.8333333333271</v>
      </c>
      <c r="C88" s="127">
        <v>2332.0700000000002</v>
      </c>
      <c r="D88" s="196">
        <f>+AVERAGE(C85:C87)</f>
        <v>2954.11</v>
      </c>
      <c r="E88" s="197">
        <f>+SUMPRODUCT($N$2:$N$4,C85:C87)</f>
        <v>2302.2950000000001</v>
      </c>
      <c r="F88" s="191">
        <f t="shared" si="10"/>
        <v>2016.5332924639406</v>
      </c>
      <c r="G88" s="192">
        <f t="shared" si="11"/>
        <v>3299.246999999712</v>
      </c>
      <c r="H88" s="191">
        <f t="shared" si="12"/>
        <v>935431.34932844259</v>
      </c>
      <c r="I88" s="191">
        <f t="shared" si="15"/>
        <v>386933.76159999997</v>
      </c>
      <c r="J88" s="191">
        <f t="shared" si="16"/>
        <v>886.55062500000543</v>
      </c>
      <c r="K88" s="191">
        <f t="shared" si="3"/>
        <v>99563.413802696785</v>
      </c>
      <c r="L88" s="292"/>
      <c r="M88" s="177"/>
      <c r="N88" s="177"/>
      <c r="O88" s="155"/>
      <c r="P88" s="155"/>
    </row>
    <row r="89" spans="1:16" ht="18" customHeight="1" x14ac:dyDescent="0.25">
      <c r="A89" s="173">
        <v>84</v>
      </c>
      <c r="B89" s="291">
        <f t="shared" si="17"/>
        <v>2016.9166666666604</v>
      </c>
      <c r="C89" s="128">
        <v>1609.5</v>
      </c>
      <c r="D89" s="196">
        <f t="shared" ref="D89:D90" si="18">+AVERAGE(C86:C88)</f>
        <v>2025.7966666666664</v>
      </c>
      <c r="E89" s="197">
        <f>+SUMPRODUCT($N$2:$N$4,C86:C88)</f>
        <v>1991.2750000000001</v>
      </c>
      <c r="F89" s="191">
        <f t="shared" si="10"/>
        <v>2205.8553169855763</v>
      </c>
      <c r="G89" s="192">
        <f t="shared" si="11"/>
        <v>3303.0204999997077</v>
      </c>
      <c r="H89" s="191">
        <f>+(C89-G89)^2</f>
        <v>2868011.6839192598</v>
      </c>
      <c r="I89" s="191">
        <f t="shared" si="15"/>
        <v>173302.91467777756</v>
      </c>
      <c r="J89" s="191">
        <f t="shared" si="16"/>
        <v>145752.15062500007</v>
      </c>
      <c r="K89" s="191">
        <f t="shared" si="3"/>
        <v>355639.66409696726</v>
      </c>
      <c r="L89" s="292"/>
      <c r="M89" s="177"/>
      <c r="N89" s="177"/>
      <c r="O89" s="155"/>
      <c r="P89" s="155"/>
    </row>
    <row r="90" spans="1:16" ht="20.100000000000001" customHeight="1" x14ac:dyDescent="0.25">
      <c r="A90" s="175"/>
      <c r="B90" s="291">
        <f>+B89+$H$3</f>
        <v>2016.9999999999936</v>
      </c>
      <c r="C90" s="293">
        <f>+E90</f>
        <v>1783.1266666666666</v>
      </c>
      <c r="D90" s="196">
        <f t="shared" si="18"/>
        <v>1715.8966666666668</v>
      </c>
      <c r="E90" s="197">
        <f>+SUMPRODUCT($N$2:$N$4,C87:C89)</f>
        <v>1783.1266666666666</v>
      </c>
      <c r="F90" s="191">
        <f>+(C89*$F$3)+(F89*0.4)</f>
        <v>1848.0421267942306</v>
      </c>
      <c r="G90" s="191">
        <f>+$E$96+$E$97*B90</f>
        <v>3306.7939999997034</v>
      </c>
      <c r="H90" s="183"/>
      <c r="I90" s="183"/>
      <c r="J90" s="183"/>
      <c r="K90" s="183"/>
      <c r="L90" s="292"/>
      <c r="M90" s="177"/>
      <c r="N90" s="177"/>
      <c r="O90" s="155"/>
      <c r="P90" s="155"/>
    </row>
    <row r="91" spans="1:16" ht="15" x14ac:dyDescent="0.25">
      <c r="A91" s="175"/>
      <c r="B91" s="291">
        <f t="shared" ref="B91:B93" si="19">+B90+$H$3</f>
        <v>2017.0833333333269</v>
      </c>
      <c r="C91" s="293">
        <f>+E91</f>
        <v>1816.7416666666666</v>
      </c>
      <c r="D91" s="196"/>
      <c r="E91" s="197">
        <f>+SUMPRODUCT($N$2:$N$4,C88:C90)</f>
        <v>1816.7416666666666</v>
      </c>
      <c r="F91" s="191"/>
      <c r="G91" s="191">
        <f>+$E$96+$E$97*B91</f>
        <v>3310.5674999996991</v>
      </c>
      <c r="H91" s="292"/>
      <c r="I91" s="292"/>
      <c r="J91" s="292"/>
      <c r="K91" s="292"/>
      <c r="L91" s="292"/>
      <c r="M91" s="177"/>
      <c r="N91" s="177"/>
      <c r="O91" s="155"/>
      <c r="P91" s="155"/>
    </row>
    <row r="92" spans="1:16" ht="15" x14ac:dyDescent="0.25">
      <c r="A92" s="175"/>
      <c r="B92" s="291">
        <f t="shared" si="19"/>
        <v>2017.1666666666601</v>
      </c>
      <c r="C92" s="293">
        <f>+E92</f>
        <v>1770.9963888888888</v>
      </c>
      <c r="D92" s="196"/>
      <c r="E92" s="197">
        <f>+SUMPRODUCT($N$2:$N$4,C89:C91)</f>
        <v>1770.9963888888888</v>
      </c>
      <c r="F92" s="191"/>
      <c r="G92" s="191">
        <f>+$E$96+$E$97*B92</f>
        <v>3314.3409999996948</v>
      </c>
      <c r="H92" s="292"/>
      <c r="I92" s="292"/>
      <c r="J92" s="292"/>
      <c r="K92" s="292"/>
      <c r="L92" s="292"/>
      <c r="M92" s="177"/>
      <c r="N92" s="177"/>
      <c r="O92" s="155"/>
      <c r="P92" s="155"/>
    </row>
    <row r="93" spans="1:16" ht="15" x14ac:dyDescent="0.25">
      <c r="A93" s="175"/>
      <c r="B93" s="291">
        <f t="shared" si="19"/>
        <v>2017.2499999999934</v>
      </c>
      <c r="C93" s="292"/>
      <c r="D93" s="292"/>
      <c r="E93" s="292"/>
      <c r="F93" s="191"/>
      <c r="G93" s="191">
        <f>+$E$96+$E$97*B93</f>
        <v>3318.1144999996905</v>
      </c>
      <c r="H93" s="292"/>
      <c r="I93" s="292"/>
      <c r="J93" s="292"/>
      <c r="K93" s="292"/>
      <c r="L93" s="292"/>
      <c r="M93" s="177"/>
      <c r="N93" s="177"/>
      <c r="O93" s="155"/>
      <c r="P93" s="155"/>
    </row>
    <row r="94" spans="1:16" ht="15.75" x14ac:dyDescent="0.25">
      <c r="B94" s="294"/>
      <c r="C94" s="295"/>
      <c r="D94" s="295"/>
      <c r="E94" s="295"/>
      <c r="F94" s="157"/>
      <c r="G94" s="157"/>
      <c r="H94" s="295"/>
      <c r="I94" s="295"/>
      <c r="J94" s="295"/>
      <c r="K94" s="295"/>
      <c r="L94" s="295"/>
      <c r="M94" s="155"/>
      <c r="N94" s="155"/>
      <c r="O94" s="155"/>
      <c r="P94" s="155"/>
    </row>
    <row r="95" spans="1:16" x14ac:dyDescent="0.2">
      <c r="B95" s="296"/>
      <c r="C95" s="295"/>
      <c r="D95" s="295"/>
      <c r="E95" s="295"/>
      <c r="F95" s="295" t="s">
        <v>408</v>
      </c>
      <c r="G95" s="295" t="s">
        <v>409</v>
      </c>
      <c r="H95" s="297">
        <f>+AVERAGE(H6:H89)</f>
        <v>3454150.6463639438</v>
      </c>
      <c r="I95" s="297">
        <f>+AVERAGE(I9:I89)</f>
        <v>3689596.8820314137</v>
      </c>
      <c r="J95" s="297">
        <f>+AVERAGE(J9:J89)</f>
        <v>3683549.2649248969</v>
      </c>
      <c r="K95" s="297">
        <f>+AVERAGE(K7:K89)</f>
        <v>3708585.3487935676</v>
      </c>
      <c r="L95" s="295"/>
      <c r="M95" s="155"/>
      <c r="N95" s="155"/>
      <c r="O95" s="155"/>
      <c r="P95" s="155"/>
    </row>
    <row r="96" spans="1:16" ht="18" customHeight="1" x14ac:dyDescent="0.2">
      <c r="B96" s="462" t="s">
        <v>410</v>
      </c>
      <c r="C96" s="462"/>
      <c r="D96" s="298" t="s">
        <v>411</v>
      </c>
      <c r="E96" s="299">
        <v>-88027</v>
      </c>
      <c r="F96" s="300"/>
      <c r="G96" s="463" t="s">
        <v>428</v>
      </c>
      <c r="H96" s="463"/>
      <c r="I96" s="295"/>
      <c r="J96" s="464"/>
      <c r="K96" s="464" t="s">
        <v>412</v>
      </c>
      <c r="L96" s="295"/>
      <c r="M96" s="155"/>
      <c r="N96" s="155"/>
      <c r="O96" s="155"/>
      <c r="P96" s="155"/>
    </row>
    <row r="97" spans="2:16" ht="18" customHeight="1" x14ac:dyDescent="0.2">
      <c r="B97" s="462"/>
      <c r="C97" s="462"/>
      <c r="D97" s="298" t="s">
        <v>413</v>
      </c>
      <c r="E97" s="299">
        <v>45.281999999999996</v>
      </c>
      <c r="F97" s="300"/>
      <c r="G97" s="463"/>
      <c r="H97" s="463"/>
      <c r="I97" s="295"/>
      <c r="J97" s="465"/>
      <c r="K97" s="466"/>
      <c r="L97" s="295"/>
      <c r="M97" s="155"/>
      <c r="N97" s="155"/>
      <c r="O97" s="155"/>
      <c r="P97" s="155"/>
    </row>
    <row r="98" spans="2:16" x14ac:dyDescent="0.2">
      <c r="B98" s="296"/>
      <c r="C98" s="295"/>
      <c r="D98" s="295"/>
      <c r="E98" s="295"/>
      <c r="F98" s="295"/>
      <c r="G98" s="463"/>
      <c r="H98" s="463"/>
      <c r="I98" s="295"/>
      <c r="J98" s="295"/>
      <c r="K98" s="295"/>
      <c r="L98" s="295"/>
      <c r="M98" s="155"/>
      <c r="N98" s="155"/>
      <c r="O98" s="155"/>
      <c r="P98" s="155"/>
    </row>
    <row r="99" spans="2:16" x14ac:dyDescent="0.2">
      <c r="B99" s="296" t="s">
        <v>414</v>
      </c>
      <c r="C99" s="295"/>
      <c r="D99" s="295"/>
      <c r="E99" s="295"/>
      <c r="F99" s="295"/>
      <c r="G99" s="463"/>
      <c r="H99" s="463"/>
      <c r="I99" s="295"/>
      <c r="J99" s="295"/>
      <c r="K99" s="295"/>
      <c r="L99" s="295"/>
      <c r="M99" s="155"/>
      <c r="N99" s="155"/>
      <c r="O99" s="155"/>
      <c r="P99" s="155"/>
    </row>
    <row r="100" spans="2:16" ht="18.75" customHeight="1" x14ac:dyDescent="0.2">
      <c r="B100" s="296"/>
      <c r="C100" s="295"/>
      <c r="D100" s="295"/>
      <c r="E100" s="295"/>
      <c r="F100" s="295"/>
      <c r="G100" s="463"/>
      <c r="H100" s="463"/>
      <c r="I100" s="295"/>
      <c r="J100" s="295"/>
      <c r="K100" s="295"/>
      <c r="L100" s="295"/>
      <c r="M100" s="155"/>
      <c r="N100" s="155"/>
      <c r="O100" s="155"/>
      <c r="P100" s="155"/>
    </row>
    <row r="101" spans="2:16" x14ac:dyDescent="0.2">
      <c r="B101" s="296"/>
      <c r="C101" s="295"/>
      <c r="D101" s="295"/>
      <c r="E101" s="295"/>
      <c r="F101" s="295"/>
      <c r="G101" s="463"/>
      <c r="H101" s="463"/>
      <c r="I101" s="295"/>
      <c r="J101" s="295"/>
      <c r="K101" s="295"/>
      <c r="L101" s="295"/>
      <c r="M101" s="155"/>
      <c r="N101" s="155"/>
      <c r="O101" s="155"/>
      <c r="P101" s="155"/>
    </row>
    <row r="102" spans="2:16" x14ac:dyDescent="0.2">
      <c r="B102" s="166"/>
      <c r="C102" s="155"/>
      <c r="D102" s="155"/>
      <c r="E102" s="155"/>
      <c r="F102" s="155"/>
      <c r="G102" s="162"/>
      <c r="H102" s="162"/>
      <c r="I102" s="155"/>
      <c r="J102" s="155"/>
      <c r="K102" s="155"/>
      <c r="L102" s="155"/>
      <c r="M102" s="155"/>
      <c r="N102" s="155"/>
      <c r="O102" s="155"/>
      <c r="P102" s="155"/>
    </row>
    <row r="103" spans="2:16" x14ac:dyDescent="0.2">
      <c r="B103" s="166"/>
      <c r="C103" s="155"/>
      <c r="D103" s="155"/>
      <c r="E103" s="155"/>
      <c r="F103" s="155"/>
      <c r="G103" s="155"/>
      <c r="H103" s="155"/>
      <c r="I103" s="155"/>
      <c r="J103" s="155"/>
      <c r="K103" s="155"/>
      <c r="L103" s="155"/>
      <c r="M103" s="155"/>
      <c r="N103" s="155"/>
      <c r="O103" s="155"/>
      <c r="P103" s="155"/>
    </row>
    <row r="104" spans="2:16" x14ac:dyDescent="0.2">
      <c r="B104" s="166"/>
      <c r="C104" s="155"/>
      <c r="D104" s="155"/>
      <c r="E104" s="155"/>
      <c r="F104" s="155"/>
      <c r="G104" s="155"/>
      <c r="H104" s="155"/>
      <c r="I104" s="155"/>
      <c r="J104" s="155"/>
      <c r="K104" s="155"/>
      <c r="L104" s="155"/>
      <c r="M104" s="155"/>
      <c r="N104" s="155"/>
      <c r="O104" s="155"/>
      <c r="P104" s="155"/>
    </row>
    <row r="105" spans="2:16" x14ac:dyDescent="0.2">
      <c r="B105" s="166"/>
      <c r="C105" s="155"/>
      <c r="D105" s="155"/>
      <c r="E105" s="155"/>
      <c r="F105" s="155"/>
      <c r="G105" s="155"/>
      <c r="H105" s="155"/>
      <c r="I105" s="155"/>
      <c r="J105" s="155"/>
      <c r="K105" s="155"/>
      <c r="L105" s="155"/>
      <c r="M105" s="155"/>
      <c r="N105" s="155"/>
      <c r="O105" s="155"/>
      <c r="P105" s="155"/>
    </row>
    <row r="106" spans="2:16" x14ac:dyDescent="0.2">
      <c r="B106" s="166"/>
      <c r="C106" s="155"/>
      <c r="D106" s="155"/>
      <c r="E106" s="155"/>
      <c r="F106" s="155"/>
      <c r="G106" s="155"/>
      <c r="H106" s="155"/>
      <c r="I106" s="155"/>
      <c r="J106" s="155"/>
      <c r="K106" s="155"/>
      <c r="L106" s="155"/>
      <c r="M106" s="155"/>
      <c r="N106" s="155"/>
      <c r="O106" s="155"/>
      <c r="P106" s="155"/>
    </row>
    <row r="107" spans="2:16" x14ac:dyDescent="0.2">
      <c r="B107" s="166"/>
      <c r="C107" s="155"/>
      <c r="D107" s="155"/>
      <c r="E107" s="155"/>
      <c r="F107" s="155"/>
      <c r="G107" s="155"/>
      <c r="H107" s="155"/>
      <c r="I107" s="155"/>
      <c r="J107" s="155"/>
      <c r="K107" s="155"/>
      <c r="L107" s="155"/>
      <c r="M107" s="155"/>
      <c r="N107" s="155"/>
      <c r="O107" s="155"/>
      <c r="P107" s="155"/>
    </row>
    <row r="108" spans="2:16" x14ac:dyDescent="0.2">
      <c r="B108" s="166"/>
      <c r="C108" s="155"/>
      <c r="D108" s="155"/>
      <c r="E108" s="155"/>
      <c r="F108" s="155"/>
      <c r="G108" s="155"/>
      <c r="H108" s="155"/>
      <c r="I108" s="155"/>
      <c r="J108" s="155"/>
      <c r="K108" s="155"/>
      <c r="L108" s="155"/>
      <c r="M108" s="155"/>
      <c r="N108" s="155"/>
      <c r="O108" s="155"/>
      <c r="P108" s="155"/>
    </row>
    <row r="109" spans="2:16" x14ac:dyDescent="0.2">
      <c r="B109" s="166"/>
      <c r="C109" s="155"/>
      <c r="D109" s="155"/>
      <c r="E109" s="155"/>
      <c r="F109" s="155"/>
      <c r="G109" s="155"/>
      <c r="H109" s="155"/>
      <c r="I109" s="155"/>
      <c r="J109" s="155"/>
      <c r="K109" s="155"/>
      <c r="L109" s="155"/>
      <c r="M109" s="155"/>
      <c r="N109" s="155"/>
      <c r="O109" s="155"/>
      <c r="P109" s="155"/>
    </row>
    <row r="110" spans="2:16" x14ac:dyDescent="0.2">
      <c r="B110" s="166"/>
      <c r="C110" s="155"/>
      <c r="D110" s="155"/>
      <c r="E110" s="155"/>
      <c r="F110" s="155"/>
      <c r="G110" s="155"/>
      <c r="H110" s="155"/>
      <c r="I110" s="155"/>
      <c r="J110" s="155"/>
      <c r="K110" s="155"/>
      <c r="L110" s="155"/>
      <c r="M110" s="155"/>
      <c r="N110" s="155"/>
      <c r="O110" s="155"/>
      <c r="P110" s="155"/>
    </row>
    <row r="111" spans="2:16" x14ac:dyDescent="0.2">
      <c r="B111" s="166"/>
      <c r="C111" s="155"/>
      <c r="D111" s="155"/>
      <c r="E111" s="155"/>
      <c r="F111" s="155"/>
      <c r="G111" s="155"/>
      <c r="H111" s="155"/>
      <c r="I111" s="155"/>
      <c r="J111" s="155"/>
      <c r="K111" s="155"/>
      <c r="L111" s="155"/>
      <c r="M111" s="155"/>
      <c r="N111" s="155"/>
      <c r="O111" s="155"/>
      <c r="P111" s="155"/>
    </row>
    <row r="112" spans="2:16" x14ac:dyDescent="0.2">
      <c r="B112" s="166"/>
      <c r="C112" s="155"/>
      <c r="D112" s="155"/>
      <c r="E112" s="155"/>
      <c r="F112" s="155"/>
      <c r="G112" s="155"/>
      <c r="H112" s="155"/>
      <c r="I112" s="155"/>
      <c r="J112" s="155"/>
      <c r="K112" s="155"/>
      <c r="L112" s="155"/>
      <c r="M112" s="155"/>
      <c r="N112" s="155"/>
      <c r="O112" s="155"/>
      <c r="P112" s="155"/>
    </row>
    <row r="113" spans="1:12" x14ac:dyDescent="0.2">
      <c r="D113" s="155"/>
    </row>
    <row r="114" spans="1:12" x14ac:dyDescent="0.2">
      <c r="D114" s="155"/>
    </row>
    <row r="115" spans="1:12" x14ac:dyDescent="0.2">
      <c r="D115" s="155"/>
    </row>
    <row r="116" spans="1:12" x14ac:dyDescent="0.2">
      <c r="D116" s="155"/>
    </row>
    <row r="117" spans="1:12" x14ac:dyDescent="0.2">
      <c r="D117" s="155"/>
    </row>
    <row r="118" spans="1:12" x14ac:dyDescent="0.2">
      <c r="D118" s="155"/>
    </row>
    <row r="120" spans="1:12" x14ac:dyDescent="0.2">
      <c r="D120" s="155"/>
    </row>
    <row r="123" spans="1:12" ht="71.25" x14ac:dyDescent="0.2">
      <c r="A123" s="216" t="s">
        <v>487</v>
      </c>
      <c r="B123" s="199" t="s">
        <v>322</v>
      </c>
      <c r="C123" s="216" t="s">
        <v>337</v>
      </c>
      <c r="D123" s="198" t="s">
        <v>406</v>
      </c>
      <c r="E123" s="198" t="s">
        <v>407</v>
      </c>
      <c r="F123" s="198" t="s">
        <v>491</v>
      </c>
      <c r="G123" s="198" t="s">
        <v>488</v>
      </c>
      <c r="H123" s="198" t="s">
        <v>418</v>
      </c>
      <c r="I123" s="198" t="s">
        <v>423</v>
      </c>
      <c r="J123" s="198" t="s">
        <v>419</v>
      </c>
      <c r="K123" s="198" t="s">
        <v>420</v>
      </c>
      <c r="L123" s="329"/>
    </row>
    <row r="124" spans="1:12" ht="15" customHeight="1" x14ac:dyDescent="0.2">
      <c r="A124" s="301">
        <v>1</v>
      </c>
      <c r="B124" s="301" t="s">
        <v>204</v>
      </c>
      <c r="C124" s="301">
        <v>1783.1266666666666</v>
      </c>
      <c r="D124" s="301">
        <v>1715.8966666666668</v>
      </c>
      <c r="E124" s="301">
        <v>1783.1266666666666</v>
      </c>
      <c r="F124" s="301">
        <v>1848.0421267942306</v>
      </c>
      <c r="H124" s="456" t="s">
        <v>414</v>
      </c>
      <c r="I124" s="456"/>
      <c r="J124" s="456"/>
      <c r="K124" s="456"/>
    </row>
    <row r="125" spans="1:12" x14ac:dyDescent="0.2">
      <c r="A125" s="301">
        <v>2</v>
      </c>
      <c r="B125" s="301" t="s">
        <v>205</v>
      </c>
      <c r="C125" s="301">
        <v>1816.7416666666666</v>
      </c>
      <c r="E125" s="301">
        <v>1816.7416666666666</v>
      </c>
      <c r="F125" s="308"/>
      <c r="G125" s="318" t="s">
        <v>409</v>
      </c>
      <c r="H125" s="301">
        <v>3454150.6463639438</v>
      </c>
      <c r="I125" s="301">
        <v>3689596.8820314137</v>
      </c>
      <c r="J125" s="306">
        <v>3683549.2649248969</v>
      </c>
      <c r="K125" s="301">
        <v>3708585.3487935676</v>
      </c>
      <c r="L125" s="328"/>
    </row>
    <row r="126" spans="1:12" x14ac:dyDescent="0.2">
      <c r="A126" s="301">
        <v>3</v>
      </c>
      <c r="B126" s="301" t="s">
        <v>206</v>
      </c>
      <c r="C126" s="301">
        <v>1770.9963888888888</v>
      </c>
      <c r="D126" s="309"/>
      <c r="E126" s="301">
        <v>1770.9963888888888</v>
      </c>
      <c r="F126" s="310"/>
      <c r="G126" s="317"/>
      <c r="H126" s="312"/>
      <c r="I126" s="312"/>
      <c r="J126" s="302" t="s">
        <v>412</v>
      </c>
      <c r="K126" s="311"/>
      <c r="L126" s="313"/>
    </row>
    <row r="127" spans="1:12" x14ac:dyDescent="0.2">
      <c r="A127" s="329"/>
      <c r="B127" s="349"/>
      <c r="C127" s="312"/>
      <c r="D127" s="317"/>
      <c r="E127" s="329"/>
      <c r="F127" s="317"/>
      <c r="G127" s="328"/>
      <c r="H127" s="328"/>
      <c r="I127" s="329"/>
      <c r="J127" s="317"/>
      <c r="K127" s="317"/>
      <c r="L127" s="327"/>
    </row>
    <row r="128" spans="1:12" ht="12.75" customHeight="1" x14ac:dyDescent="0.2">
      <c r="B128" s="351"/>
      <c r="C128" s="350"/>
      <c r="D128" s="314"/>
      <c r="E128" s="315"/>
      <c r="G128" s="315"/>
      <c r="H128" s="315"/>
      <c r="I128" s="316"/>
      <c r="K128" s="315"/>
      <c r="L128" s="308"/>
    </row>
    <row r="129" spans="1:14" ht="15.75" customHeight="1" x14ac:dyDescent="0.2">
      <c r="A129" s="449" t="s">
        <v>421</v>
      </c>
      <c r="B129" s="449"/>
      <c r="C129" s="449"/>
      <c r="D129" s="348"/>
      <c r="E129" s="317"/>
      <c r="F129" s="328"/>
      <c r="G129" s="316"/>
      <c r="H129" s="459" t="s">
        <v>483</v>
      </c>
      <c r="I129" s="459"/>
      <c r="J129" s="450" t="s">
        <v>476</v>
      </c>
      <c r="K129" s="451"/>
      <c r="L129" s="315"/>
    </row>
    <row r="130" spans="1:14" ht="15.75" customHeight="1" x14ac:dyDescent="0.2">
      <c r="A130" s="336" t="s">
        <v>480</v>
      </c>
      <c r="B130" s="205">
        <v>1</v>
      </c>
      <c r="C130" s="305">
        <f>+B130/B133</f>
        <v>0.16666666666666666</v>
      </c>
      <c r="D130" s="328"/>
      <c r="E130" s="328"/>
      <c r="F130" s="328"/>
      <c r="G130" s="328"/>
      <c r="H130" s="459"/>
      <c r="I130" s="459"/>
      <c r="J130" s="452"/>
      <c r="K130" s="453"/>
      <c r="L130" s="317"/>
      <c r="N130" s="353"/>
    </row>
    <row r="131" spans="1:14" ht="15.75" customHeight="1" x14ac:dyDescent="0.2">
      <c r="A131" s="336" t="s">
        <v>486</v>
      </c>
      <c r="B131" s="205">
        <v>2</v>
      </c>
      <c r="C131" s="305">
        <f>+B131/$M$5</f>
        <v>0.33333333333333331</v>
      </c>
      <c r="D131" s="319"/>
      <c r="E131" s="328"/>
      <c r="F131" s="317"/>
      <c r="G131" s="328"/>
      <c r="H131" s="301" t="s">
        <v>484</v>
      </c>
      <c r="I131" s="301" t="s">
        <v>485</v>
      </c>
      <c r="J131" s="452"/>
      <c r="K131" s="453"/>
      <c r="L131" s="331"/>
    </row>
    <row r="132" spans="1:14" ht="15.75" customHeight="1" x14ac:dyDescent="0.2">
      <c r="A132" s="336" t="s">
        <v>478</v>
      </c>
      <c r="B132" s="205">
        <v>3</v>
      </c>
      <c r="C132" s="305">
        <f>+B132/$M$5</f>
        <v>0.5</v>
      </c>
      <c r="D132" s="328"/>
      <c r="E132" s="345"/>
      <c r="F132" s="331"/>
      <c r="G132" s="345"/>
      <c r="H132" s="331"/>
      <c r="J132" s="454"/>
      <c r="K132" s="455"/>
    </row>
    <row r="133" spans="1:14" ht="15.75" customHeight="1" x14ac:dyDescent="0.2">
      <c r="A133" s="303" t="s">
        <v>479</v>
      </c>
      <c r="B133" s="303">
        <f>+SUM(B130:B132)</f>
        <v>6</v>
      </c>
      <c r="C133" s="304">
        <f>+SUM(C130:C132)</f>
        <v>1</v>
      </c>
      <c r="D133" s="310"/>
      <c r="E133" s="315"/>
      <c r="F133" s="319"/>
      <c r="G133" s="319"/>
      <c r="H133" s="332"/>
      <c r="I133" s="315"/>
      <c r="J133" s="316"/>
      <c r="K133" s="319"/>
      <c r="L133" s="327"/>
    </row>
    <row r="134" spans="1:14" ht="15.75" customHeight="1" x14ac:dyDescent="0.2">
      <c r="A134" s="331"/>
      <c r="B134" s="352"/>
      <c r="C134" s="345"/>
      <c r="D134" s="348"/>
      <c r="E134" s="317"/>
      <c r="F134" s="328"/>
      <c r="G134" s="328"/>
      <c r="H134" s="317"/>
      <c r="I134" s="317"/>
      <c r="J134" s="328"/>
      <c r="K134" s="328"/>
      <c r="L134" s="328"/>
    </row>
    <row r="135" spans="1:14" ht="15.75" customHeight="1" x14ac:dyDescent="0.2">
      <c r="A135" s="319"/>
      <c r="B135" s="325"/>
      <c r="C135" s="319"/>
      <c r="D135" s="319"/>
      <c r="E135" s="319"/>
      <c r="F135" s="319"/>
      <c r="G135" s="319"/>
      <c r="H135" s="332"/>
      <c r="I135" s="332"/>
      <c r="J135" s="319"/>
      <c r="K135" s="319"/>
    </row>
    <row r="136" spans="1:14" ht="15.75" customHeight="1" x14ac:dyDescent="0.2"/>
  </sheetData>
  <mergeCells count="10">
    <mergeCell ref="A129:C129"/>
    <mergeCell ref="J129:K132"/>
    <mergeCell ref="H124:K124"/>
    <mergeCell ref="L1:N1"/>
    <mergeCell ref="H129:I130"/>
    <mergeCell ref="G3:G4"/>
    <mergeCell ref="B96:C97"/>
    <mergeCell ref="G96:H101"/>
    <mergeCell ref="J96:J97"/>
    <mergeCell ref="K96:K97"/>
  </mergeCells>
  <printOptions headings="1" gridLines="1"/>
  <pageMargins left="0.70866141732283472" right="0.19685039370078741" top="0.74803149606299213" bottom="0.74803149606299213" header="0.31496062992125984" footer="0.31496062992125984"/>
  <pageSetup paperSize="9" scale="81" fitToHeight="0" orientation="landscape" horizontalDpi="4294967294"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38"/>
  <sheetViews>
    <sheetView topLeftCell="A100" zoomScale="130" zoomScaleNormal="130" workbookViewId="0">
      <selection activeCell="I107" sqref="I107"/>
    </sheetView>
  </sheetViews>
  <sheetFormatPr baseColWidth="10" defaultColWidth="9.140625" defaultRowHeight="12.75" x14ac:dyDescent="0.2"/>
  <cols>
    <col min="1" max="1" width="9.140625" style="156"/>
    <col min="2" max="2" width="7.7109375" style="164" customWidth="1"/>
    <col min="3" max="3" width="10.5703125" style="156" customWidth="1"/>
    <col min="4" max="4" width="10.7109375" style="156" customWidth="1"/>
    <col min="5" max="5" width="11.5703125" style="156" customWidth="1"/>
    <col min="6" max="6" width="13.7109375" style="156" customWidth="1"/>
    <col min="7" max="7" width="11.28515625" style="156" customWidth="1"/>
    <col min="8" max="8" width="12.85546875" style="156" customWidth="1"/>
    <col min="9" max="9" width="11" style="156" customWidth="1"/>
    <col min="10" max="10" width="11.42578125" style="156" customWidth="1"/>
    <col min="11" max="11" width="12.140625" style="156" customWidth="1"/>
    <col min="12" max="12" width="16.7109375" style="156" customWidth="1"/>
    <col min="13" max="13" width="4" style="156" customWidth="1"/>
    <col min="14" max="16384" width="9.140625" style="156"/>
  </cols>
  <sheetData>
    <row r="1" spans="1:16" ht="15" x14ac:dyDescent="0.25">
      <c r="A1" s="175"/>
      <c r="B1" s="176" t="s">
        <v>415</v>
      </c>
      <c r="C1" s="177"/>
      <c r="D1" s="177"/>
      <c r="E1" s="177"/>
      <c r="F1" s="177"/>
      <c r="G1" s="177"/>
      <c r="H1" s="177"/>
      <c r="I1" s="177"/>
      <c r="J1" s="177"/>
      <c r="K1" s="177"/>
      <c r="L1" s="457" t="s">
        <v>421</v>
      </c>
      <c r="M1" s="471"/>
      <c r="N1" s="175"/>
      <c r="O1" s="155"/>
      <c r="P1" s="155"/>
    </row>
    <row r="2" spans="1:16" ht="42.75" x14ac:dyDescent="0.25">
      <c r="A2" s="175"/>
      <c r="B2" s="178"/>
      <c r="C2" s="177"/>
      <c r="D2" s="177"/>
      <c r="E2" s="177"/>
      <c r="F2" s="187" t="s">
        <v>401</v>
      </c>
      <c r="G2" s="177"/>
      <c r="H2" s="185" t="s">
        <v>422</v>
      </c>
      <c r="I2" s="177"/>
      <c r="J2" s="177"/>
      <c r="K2" s="177"/>
      <c r="L2" s="167" t="s">
        <v>402</v>
      </c>
      <c r="M2" s="168">
        <v>1</v>
      </c>
      <c r="N2" s="179">
        <f>+M2/M5</f>
        <v>0.16666666666666666</v>
      </c>
      <c r="O2" s="155"/>
      <c r="P2" s="155"/>
    </row>
    <row r="3" spans="1:16" ht="15" x14ac:dyDescent="0.25">
      <c r="A3" s="175"/>
      <c r="B3" s="169"/>
      <c r="C3" s="170"/>
      <c r="D3" s="170"/>
      <c r="E3" s="186"/>
      <c r="F3" s="188">
        <v>0.6</v>
      </c>
      <c r="G3" s="460" t="s">
        <v>403</v>
      </c>
      <c r="H3" s="184">
        <f>1/12</f>
        <v>8.3333333333333329E-2</v>
      </c>
      <c r="I3" s="177"/>
      <c r="J3" s="177"/>
      <c r="K3" s="177"/>
      <c r="L3" s="167" t="s">
        <v>404</v>
      </c>
      <c r="M3" s="168">
        <v>2</v>
      </c>
      <c r="N3" s="179">
        <f>+M3/$M$5</f>
        <v>0.33333333333333331</v>
      </c>
      <c r="O3" s="155"/>
      <c r="P3" s="155"/>
    </row>
    <row r="4" spans="1:16" ht="15" x14ac:dyDescent="0.25">
      <c r="A4" s="175"/>
      <c r="B4" s="171"/>
      <c r="C4" s="172"/>
      <c r="D4" s="180" t="s">
        <v>416</v>
      </c>
      <c r="E4" s="180" t="s">
        <v>416</v>
      </c>
      <c r="F4" s="177"/>
      <c r="G4" s="461"/>
      <c r="H4" s="177"/>
      <c r="I4" s="177"/>
      <c r="J4" s="177"/>
      <c r="K4" s="177"/>
      <c r="L4" s="167" t="s">
        <v>405</v>
      </c>
      <c r="M4" s="168">
        <v>3</v>
      </c>
      <c r="N4" s="179">
        <f>+M4/$M$5</f>
        <v>0.5</v>
      </c>
      <c r="O4" s="155"/>
      <c r="P4" s="155"/>
    </row>
    <row r="5" spans="1:16" ht="71.25" x14ac:dyDescent="0.25">
      <c r="A5" s="200" t="s">
        <v>329</v>
      </c>
      <c r="B5" s="199" t="s">
        <v>322</v>
      </c>
      <c r="C5" s="198" t="s">
        <v>426</v>
      </c>
      <c r="D5" s="198" t="s">
        <v>406</v>
      </c>
      <c r="E5" s="198" t="s">
        <v>407</v>
      </c>
      <c r="F5" s="198" t="s">
        <v>491</v>
      </c>
      <c r="G5" s="198" t="s">
        <v>424</v>
      </c>
      <c r="H5" s="198" t="s">
        <v>418</v>
      </c>
      <c r="I5" s="198" t="s">
        <v>423</v>
      </c>
      <c r="J5" s="198" t="s">
        <v>419</v>
      </c>
      <c r="K5" s="198" t="s">
        <v>420</v>
      </c>
      <c r="L5" s="177"/>
      <c r="M5" s="181">
        <f>+SUM(M2:M4)</f>
        <v>6</v>
      </c>
      <c r="N5" s="181">
        <f>+SUM(N2:N4)</f>
        <v>1</v>
      </c>
      <c r="O5" s="155"/>
      <c r="P5" s="155"/>
    </row>
    <row r="6" spans="1:16" ht="18" customHeight="1" x14ac:dyDescent="0.25">
      <c r="A6" s="173">
        <v>1</v>
      </c>
      <c r="B6" s="174">
        <v>2010</v>
      </c>
      <c r="C6" s="174">
        <v>245.13</v>
      </c>
      <c r="D6" s="189"/>
      <c r="E6" s="190"/>
      <c r="F6" s="191">
        <f>+C6</f>
        <v>245.13</v>
      </c>
      <c r="G6" s="192">
        <f>+$E$96+$E$97*B6</f>
        <v>257.91999999999825</v>
      </c>
      <c r="H6" s="191">
        <f>+(C6-G6)^2</f>
        <v>163.58409999995544</v>
      </c>
      <c r="I6" s="183"/>
      <c r="J6" s="193"/>
      <c r="K6" s="194"/>
      <c r="L6" s="177"/>
      <c r="M6" s="177"/>
      <c r="N6" s="177"/>
      <c r="O6" s="155"/>
      <c r="P6" s="155"/>
    </row>
    <row r="7" spans="1:16" ht="18" customHeight="1" x14ac:dyDescent="0.25">
      <c r="A7" s="173">
        <v>2</v>
      </c>
      <c r="B7" s="174">
        <f>+B6+$H$3</f>
        <v>2010.0833333333333</v>
      </c>
      <c r="C7" s="174">
        <v>409.04</v>
      </c>
      <c r="D7" s="195"/>
      <c r="E7" s="190"/>
      <c r="F7" s="191">
        <f>+(C6*$F$3)+(F6*0.4)</f>
        <v>245.13</v>
      </c>
      <c r="G7" s="192">
        <f>+$E$96+$E$97*B7</f>
        <v>254.27766666667594</v>
      </c>
      <c r="H7" s="191">
        <f>+(C7-G7)^2</f>
        <v>23951.379818774913</v>
      </c>
      <c r="I7" s="183"/>
      <c r="J7" s="193"/>
      <c r="K7" s="191">
        <f>+(C7-F7)^2</f>
        <v>26866.48810000001</v>
      </c>
      <c r="L7" s="177"/>
      <c r="M7" s="177"/>
      <c r="N7" s="177"/>
      <c r="O7" s="155"/>
      <c r="P7" s="155"/>
    </row>
    <row r="8" spans="1:16" ht="18" customHeight="1" x14ac:dyDescent="0.25">
      <c r="A8" s="173">
        <v>3</v>
      </c>
      <c r="B8" s="174">
        <f t="shared" ref="B8:B17" si="0">+B7+$H$3</f>
        <v>2010.1666666666665</v>
      </c>
      <c r="C8" s="174">
        <v>341.66</v>
      </c>
      <c r="D8" s="195"/>
      <c r="E8" s="190"/>
      <c r="F8" s="191">
        <f t="shared" ref="F8:F71" si="1">+(C7*$F$3)+(F7*0.4)</f>
        <v>343.476</v>
      </c>
      <c r="G8" s="192">
        <f t="shared" ref="G8:G71" si="2">+$E$96+$E$97*B8</f>
        <v>250.63533333333908</v>
      </c>
      <c r="H8" s="191">
        <f>+(C8-G8)^2</f>
        <v>8285.4899417767374</v>
      </c>
      <c r="I8" s="183"/>
      <c r="J8" s="193"/>
      <c r="K8" s="191">
        <f t="shared" ref="K8:K89" si="3">+(C8-F8)^2</f>
        <v>3.2978559999999058</v>
      </c>
      <c r="L8" s="175"/>
      <c r="M8" s="177"/>
      <c r="N8" s="177"/>
      <c r="O8" s="155"/>
      <c r="P8" s="155"/>
    </row>
    <row r="9" spans="1:16" ht="18" customHeight="1" x14ac:dyDescent="0.25">
      <c r="A9" s="173">
        <v>4</v>
      </c>
      <c r="B9" s="174">
        <f t="shared" si="0"/>
        <v>2010.2499999999998</v>
      </c>
      <c r="C9" s="174">
        <v>165.68</v>
      </c>
      <c r="D9" s="196">
        <f>+AVERAGE(C6:C8)</f>
        <v>331.94333333333338</v>
      </c>
      <c r="E9" s="197">
        <f>+SUMPRODUCT($N$2:$N$4,C6:C8)</f>
        <v>348.03166666666664</v>
      </c>
      <c r="F9" s="191">
        <f t="shared" si="1"/>
        <v>342.38639999999998</v>
      </c>
      <c r="G9" s="192">
        <f t="shared" si="2"/>
        <v>246.99300000001676</v>
      </c>
      <c r="H9" s="191">
        <f t="shared" ref="H9:H72" si="4">+(C9-G9)^2</f>
        <v>6611.8039690027254</v>
      </c>
      <c r="I9" s="191">
        <f>+(C9-D9)^2</f>
        <v>27643.496011111125</v>
      </c>
      <c r="J9" s="191">
        <f>+(C9-E9)^2</f>
        <v>33252.130336111099</v>
      </c>
      <c r="K9" s="191">
        <f t="shared" si="3"/>
        <v>31225.151800959989</v>
      </c>
      <c r="L9" s="182">
        <f>SUM(M2:M4)</f>
        <v>6</v>
      </c>
      <c r="M9" s="177"/>
      <c r="N9" s="177"/>
      <c r="O9" s="155"/>
      <c r="P9" s="155"/>
    </row>
    <row r="10" spans="1:16" ht="18" customHeight="1" x14ac:dyDescent="0.25">
      <c r="A10" s="173">
        <v>5</v>
      </c>
      <c r="B10" s="174">
        <f t="shared" si="0"/>
        <v>2010.333333333333</v>
      </c>
      <c r="C10" s="174">
        <v>250.85</v>
      </c>
      <c r="D10" s="196">
        <f t="shared" ref="D10:D73" si="5">+AVERAGE(C7:C9)</f>
        <v>305.46000000000004</v>
      </c>
      <c r="E10" s="197">
        <f t="shared" ref="E10:E73" si="6">+SUMPRODUCT($N$2:$N$4,C7:C9)</f>
        <v>264.89999999999998</v>
      </c>
      <c r="F10" s="191">
        <f t="shared" si="1"/>
        <v>236.36255999999997</v>
      </c>
      <c r="G10" s="192">
        <f t="shared" si="2"/>
        <v>243.3506666666799</v>
      </c>
      <c r="H10" s="191">
        <f t="shared" si="4"/>
        <v>56.240000444245887</v>
      </c>
      <c r="I10" s="191">
        <f t="shared" ref="I10:I73" si="7">+(C10-D10)^2</f>
        <v>2982.2521000000047</v>
      </c>
      <c r="J10" s="191">
        <f t="shared" ref="J10:J73" si="8">+(C10-E10)^2</f>
        <v>197.40249999999952</v>
      </c>
      <c r="K10" s="191">
        <f t="shared" si="3"/>
        <v>209.88591775360061</v>
      </c>
      <c r="L10" s="177"/>
      <c r="M10" s="177"/>
      <c r="N10" s="177"/>
      <c r="O10" s="155"/>
      <c r="P10" s="155"/>
    </row>
    <row r="11" spans="1:16" ht="18" customHeight="1" x14ac:dyDescent="0.25">
      <c r="A11" s="173">
        <v>6</v>
      </c>
      <c r="B11" s="174">
        <f t="shared" si="0"/>
        <v>2010.4166666666663</v>
      </c>
      <c r="C11" s="174">
        <v>99.22</v>
      </c>
      <c r="D11" s="196">
        <f t="shared" si="5"/>
        <v>252.73000000000002</v>
      </c>
      <c r="E11" s="197">
        <f t="shared" si="6"/>
        <v>237.595</v>
      </c>
      <c r="F11" s="191">
        <f t="shared" si="1"/>
        <v>245.055024</v>
      </c>
      <c r="G11" s="192">
        <f t="shared" si="2"/>
        <v>239.70833333335759</v>
      </c>
      <c r="H11" s="191">
        <f t="shared" si="4"/>
        <v>19736.971802784592</v>
      </c>
      <c r="I11" s="191">
        <f t="shared" si="7"/>
        <v>23565.320100000004</v>
      </c>
      <c r="J11" s="191">
        <f t="shared" si="8"/>
        <v>19147.640625</v>
      </c>
      <c r="K11" s="191">
        <f t="shared" si="3"/>
        <v>21267.854225080577</v>
      </c>
      <c r="L11" s="177"/>
      <c r="M11" s="177"/>
      <c r="N11" s="175"/>
      <c r="O11" s="155"/>
      <c r="P11" s="155"/>
    </row>
    <row r="12" spans="1:16" ht="18" customHeight="1" x14ac:dyDescent="0.25">
      <c r="A12" s="173">
        <v>7</v>
      </c>
      <c r="B12" s="174">
        <f t="shared" si="0"/>
        <v>2010.4999999999995</v>
      </c>
      <c r="C12" s="174">
        <v>241.01</v>
      </c>
      <c r="D12" s="196">
        <f t="shared" si="5"/>
        <v>171.91666666666666</v>
      </c>
      <c r="E12" s="197">
        <f t="shared" si="6"/>
        <v>160.83999999999997</v>
      </c>
      <c r="F12" s="191">
        <f t="shared" si="1"/>
        <v>157.5540096</v>
      </c>
      <c r="G12" s="192">
        <f t="shared" si="2"/>
        <v>236.06600000002072</v>
      </c>
      <c r="H12" s="191">
        <f t="shared" si="4"/>
        <v>24.443135999795011</v>
      </c>
      <c r="I12" s="191">
        <f t="shared" si="7"/>
        <v>4773.8887111111108</v>
      </c>
      <c r="J12" s="191">
        <f t="shared" si="8"/>
        <v>6427.2289000000028</v>
      </c>
      <c r="K12" s="191">
        <f>+(C12-F12)^2</f>
        <v>6964.9023336448909</v>
      </c>
      <c r="L12" s="177"/>
      <c r="M12" s="177"/>
      <c r="N12" s="177"/>
      <c r="O12" s="155"/>
      <c r="P12" s="155"/>
    </row>
    <row r="13" spans="1:16" ht="18" customHeight="1" x14ac:dyDescent="0.25">
      <c r="A13" s="173">
        <v>8</v>
      </c>
      <c r="B13" s="174">
        <f t="shared" si="0"/>
        <v>2010.5833333333328</v>
      </c>
      <c r="C13" s="174">
        <v>427.57</v>
      </c>
      <c r="D13" s="196">
        <f t="shared" si="5"/>
        <v>197.02666666666664</v>
      </c>
      <c r="E13" s="197">
        <f t="shared" si="6"/>
        <v>195.38666666666666</v>
      </c>
      <c r="F13" s="191">
        <f t="shared" si="1"/>
        <v>207.62760384000001</v>
      </c>
      <c r="G13" s="192">
        <f t="shared" si="2"/>
        <v>232.42366666669841</v>
      </c>
      <c r="H13" s="191">
        <f t="shared" si="4"/>
        <v>38082.091413432056</v>
      </c>
      <c r="I13" s="191">
        <f t="shared" si="7"/>
        <v>53150.22854444445</v>
      </c>
      <c r="J13" s="191">
        <f t="shared" si="8"/>
        <v>53909.100277777783</v>
      </c>
      <c r="K13" s="191">
        <f t="shared" si="3"/>
        <v>48374.657628602377</v>
      </c>
      <c r="L13" s="177"/>
      <c r="M13" s="177"/>
      <c r="N13" s="177"/>
      <c r="O13" s="155"/>
      <c r="P13" s="155"/>
    </row>
    <row r="14" spans="1:16" ht="18" customHeight="1" x14ac:dyDescent="0.25">
      <c r="A14" s="173">
        <v>9</v>
      </c>
      <c r="B14" s="174">
        <f t="shared" si="0"/>
        <v>2010.6666666666661</v>
      </c>
      <c r="C14" s="174">
        <v>428.4</v>
      </c>
      <c r="D14" s="196">
        <f t="shared" si="5"/>
        <v>255.93333333333331</v>
      </c>
      <c r="E14" s="197">
        <f t="shared" si="6"/>
        <v>310.6583333333333</v>
      </c>
      <c r="F14" s="191">
        <f t="shared" si="1"/>
        <v>339.59304153599999</v>
      </c>
      <c r="G14" s="192">
        <f t="shared" si="2"/>
        <v>228.78133333336154</v>
      </c>
      <c r="H14" s="191">
        <f t="shared" si="4"/>
        <v>39847.612081766507</v>
      </c>
      <c r="I14" s="191">
        <f t="shared" si="7"/>
        <v>29744.751111111113</v>
      </c>
      <c r="J14" s="191">
        <f t="shared" si="8"/>
        <v>13863.100069444446</v>
      </c>
      <c r="K14" s="191">
        <f t="shared" si="3"/>
        <v>7886.6758716266195</v>
      </c>
      <c r="L14" s="177"/>
      <c r="M14" s="177"/>
      <c r="N14" s="177"/>
      <c r="O14" s="155"/>
      <c r="P14" s="155"/>
    </row>
    <row r="15" spans="1:16" ht="18" customHeight="1" x14ac:dyDescent="0.25">
      <c r="A15" s="173">
        <v>10</v>
      </c>
      <c r="B15" s="174">
        <f t="shared" si="0"/>
        <v>2010.7499999999993</v>
      </c>
      <c r="C15" s="174">
        <v>336.26</v>
      </c>
      <c r="D15" s="196">
        <f t="shared" si="5"/>
        <v>365.66</v>
      </c>
      <c r="E15" s="197">
        <f t="shared" si="6"/>
        <v>396.89166666666665</v>
      </c>
      <c r="F15" s="191">
        <f t="shared" si="1"/>
        <v>392.87721661439997</v>
      </c>
      <c r="G15" s="192">
        <f t="shared" si="2"/>
        <v>225.13900000003923</v>
      </c>
      <c r="H15" s="191">
        <f t="shared" si="4"/>
        <v>12347.876640991279</v>
      </c>
      <c r="I15" s="191">
        <f t="shared" si="7"/>
        <v>864.36000000000206</v>
      </c>
      <c r="J15" s="191">
        <f t="shared" si="8"/>
        <v>3676.199002777777</v>
      </c>
      <c r="K15" s="191">
        <f t="shared" si="3"/>
        <v>3205.509217161889</v>
      </c>
      <c r="L15" s="177"/>
      <c r="M15" s="177"/>
      <c r="N15" s="177"/>
      <c r="O15" s="155"/>
      <c r="P15" s="155"/>
    </row>
    <row r="16" spans="1:16" ht="18" customHeight="1" x14ac:dyDescent="0.25">
      <c r="A16" s="173">
        <v>11</v>
      </c>
      <c r="B16" s="174">
        <f t="shared" si="0"/>
        <v>2010.8333333333326</v>
      </c>
      <c r="C16" s="174">
        <v>163.41</v>
      </c>
      <c r="D16" s="196">
        <f t="shared" si="5"/>
        <v>397.41</v>
      </c>
      <c r="E16" s="197">
        <f t="shared" si="6"/>
        <v>382.19166666666661</v>
      </c>
      <c r="F16" s="191">
        <f t="shared" si="1"/>
        <v>358.90688664575998</v>
      </c>
      <c r="G16" s="192">
        <f t="shared" si="2"/>
        <v>221.49666666670237</v>
      </c>
      <c r="H16" s="191">
        <f t="shared" si="4"/>
        <v>3374.0608444485924</v>
      </c>
      <c r="I16" s="191">
        <f t="shared" si="7"/>
        <v>54756.000000000015</v>
      </c>
      <c r="J16" s="191">
        <f t="shared" si="8"/>
        <v>47865.417669444418</v>
      </c>
      <c r="K16" s="191">
        <f t="shared" si="3"/>
        <v>38219.032688185129</v>
      </c>
      <c r="L16" s="177"/>
      <c r="M16" s="177"/>
      <c r="N16" s="177"/>
      <c r="O16" s="155"/>
      <c r="P16" s="155"/>
    </row>
    <row r="17" spans="1:16" ht="18" customHeight="1" x14ac:dyDescent="0.25">
      <c r="A17" s="173">
        <v>12</v>
      </c>
      <c r="B17" s="174">
        <f t="shared" si="0"/>
        <v>2010.9166666666658</v>
      </c>
      <c r="C17" s="174">
        <v>237.82</v>
      </c>
      <c r="D17" s="196">
        <f t="shared" si="5"/>
        <v>309.35666666666663</v>
      </c>
      <c r="E17" s="197">
        <f t="shared" si="6"/>
        <v>265.19166666666666</v>
      </c>
      <c r="F17" s="191">
        <f t="shared" si="1"/>
        <v>241.60875465830398</v>
      </c>
      <c r="G17" s="192">
        <f t="shared" si="2"/>
        <v>217.85433333338005</v>
      </c>
      <c r="H17" s="191">
        <f t="shared" si="4"/>
        <v>398.62784544257852</v>
      </c>
      <c r="I17" s="191">
        <f t="shared" si="7"/>
        <v>5117.4946777777732</v>
      </c>
      <c r="J17" s="191">
        <f t="shared" si="8"/>
        <v>749.20813611111123</v>
      </c>
      <c r="K17" s="191">
        <f t="shared" si="3"/>
        <v>14.354661860820157</v>
      </c>
      <c r="L17" s="177"/>
      <c r="M17" s="177"/>
      <c r="N17" s="177"/>
      <c r="O17" s="155"/>
      <c r="P17" s="155"/>
    </row>
    <row r="18" spans="1:16" ht="18" customHeight="1" x14ac:dyDescent="0.25">
      <c r="A18" s="173">
        <v>13</v>
      </c>
      <c r="B18" s="174">
        <f>+B17+$H$3</f>
        <v>2010.9999999999991</v>
      </c>
      <c r="C18" s="174">
        <v>219.61</v>
      </c>
      <c r="D18" s="196">
        <f t="shared" si="5"/>
        <v>245.83</v>
      </c>
      <c r="E18" s="197">
        <f t="shared" si="6"/>
        <v>229.42333333333332</v>
      </c>
      <c r="F18" s="191">
        <f t="shared" si="1"/>
        <v>239.33550186332158</v>
      </c>
      <c r="G18" s="192">
        <f t="shared" si="2"/>
        <v>214.21200000004319</v>
      </c>
      <c r="H18" s="191">
        <f t="shared" si="4"/>
        <v>29.138403999533868</v>
      </c>
      <c r="I18" s="191">
        <f t="shared" si="7"/>
        <v>687.48839999999996</v>
      </c>
      <c r="J18" s="191">
        <f t="shared" si="8"/>
        <v>96.301511111110543</v>
      </c>
      <c r="K18" s="191">
        <f t="shared" si="3"/>
        <v>389.09542375990264</v>
      </c>
      <c r="L18" s="177"/>
      <c r="M18" s="177"/>
      <c r="N18" s="177"/>
      <c r="O18" s="155"/>
      <c r="P18" s="155"/>
    </row>
    <row r="19" spans="1:16" ht="18" customHeight="1" x14ac:dyDescent="0.25">
      <c r="A19" s="173">
        <v>14</v>
      </c>
      <c r="B19" s="174">
        <f t="shared" ref="B19:B82" si="9">+B18+$H$3</f>
        <v>2011.0833333333323</v>
      </c>
      <c r="C19" s="174">
        <v>208.93</v>
      </c>
      <c r="D19" s="196">
        <f t="shared" si="5"/>
        <v>206.94666666666669</v>
      </c>
      <c r="E19" s="197">
        <f t="shared" si="6"/>
        <v>216.31333333333333</v>
      </c>
      <c r="F19" s="191">
        <f t="shared" si="1"/>
        <v>227.50020074532864</v>
      </c>
      <c r="G19" s="192">
        <f t="shared" si="2"/>
        <v>210.56966666670633</v>
      </c>
      <c r="H19" s="191">
        <f t="shared" si="4"/>
        <v>2.68850677790781</v>
      </c>
      <c r="I19" s="191">
        <f t="shared" si="7"/>
        <v>3.9336111111110585</v>
      </c>
      <c r="J19" s="191">
        <f t="shared" si="8"/>
        <v>54.513611111110997</v>
      </c>
      <c r="K19" s="191">
        <f t="shared" si="3"/>
        <v>344.85235572180414</v>
      </c>
      <c r="L19" s="177"/>
      <c r="M19" s="177"/>
      <c r="N19" s="177"/>
      <c r="O19" s="155"/>
      <c r="P19" s="155"/>
    </row>
    <row r="20" spans="1:16" ht="18" customHeight="1" x14ac:dyDescent="0.25">
      <c r="A20" s="173">
        <v>15</v>
      </c>
      <c r="B20" s="174">
        <f t="shared" si="9"/>
        <v>2011.1666666666656</v>
      </c>
      <c r="C20" s="174">
        <v>130.34</v>
      </c>
      <c r="D20" s="196">
        <f t="shared" si="5"/>
        <v>222.12</v>
      </c>
      <c r="E20" s="197">
        <f t="shared" si="6"/>
        <v>217.30500000000001</v>
      </c>
      <c r="F20" s="191">
        <f t="shared" si="1"/>
        <v>216.35808029813148</v>
      </c>
      <c r="G20" s="192">
        <f t="shared" si="2"/>
        <v>206.92733333338401</v>
      </c>
      <c r="H20" s="191">
        <f t="shared" si="4"/>
        <v>5865.6196271188737</v>
      </c>
      <c r="I20" s="191">
        <f t="shared" si="7"/>
        <v>8423.5684000000001</v>
      </c>
      <c r="J20" s="191">
        <f t="shared" si="8"/>
        <v>7562.9112250000007</v>
      </c>
      <c r="K20" s="191">
        <f t="shared" si="3"/>
        <v>7399.1101381757953</v>
      </c>
      <c r="L20" s="177"/>
      <c r="M20" s="177"/>
      <c r="N20" s="177"/>
      <c r="O20" s="155"/>
      <c r="P20" s="155"/>
    </row>
    <row r="21" spans="1:16" ht="18" customHeight="1" x14ac:dyDescent="0.25">
      <c r="A21" s="173">
        <v>16</v>
      </c>
      <c r="B21" s="174">
        <f t="shared" si="9"/>
        <v>2011.2499999999989</v>
      </c>
      <c r="C21" s="174">
        <v>208.72</v>
      </c>
      <c r="D21" s="196">
        <f t="shared" si="5"/>
        <v>186.29333333333332</v>
      </c>
      <c r="E21" s="197">
        <f t="shared" si="6"/>
        <v>171.41500000000002</v>
      </c>
      <c r="F21" s="191">
        <f t="shared" si="1"/>
        <v>164.7472321192526</v>
      </c>
      <c r="G21" s="192">
        <f t="shared" si="2"/>
        <v>203.28500000004715</v>
      </c>
      <c r="H21" s="191">
        <f t="shared" si="4"/>
        <v>29.539224999487487</v>
      </c>
      <c r="I21" s="191">
        <f t="shared" si="7"/>
        <v>502.95537777777821</v>
      </c>
      <c r="J21" s="191">
        <f t="shared" si="8"/>
        <v>1391.6630249999985</v>
      </c>
      <c r="K21" s="191">
        <f t="shared" si="3"/>
        <v>1933.60431509409</v>
      </c>
      <c r="L21" s="177"/>
      <c r="M21" s="177"/>
      <c r="N21" s="177"/>
      <c r="O21" s="155"/>
      <c r="P21" s="155"/>
    </row>
    <row r="22" spans="1:16" ht="18" customHeight="1" x14ac:dyDescent="0.25">
      <c r="A22" s="173">
        <v>17</v>
      </c>
      <c r="B22" s="174">
        <f t="shared" si="9"/>
        <v>2011.3333333333321</v>
      </c>
      <c r="C22" s="174">
        <v>113.34</v>
      </c>
      <c r="D22" s="196">
        <f t="shared" si="5"/>
        <v>182.66333333333333</v>
      </c>
      <c r="E22" s="197">
        <f t="shared" si="6"/>
        <v>182.62833333333333</v>
      </c>
      <c r="F22" s="191">
        <f t="shared" si="1"/>
        <v>191.13089284770103</v>
      </c>
      <c r="G22" s="192">
        <f t="shared" si="2"/>
        <v>199.64266666672484</v>
      </c>
      <c r="H22" s="191">
        <f t="shared" si="4"/>
        <v>7448.1502737878172</v>
      </c>
      <c r="I22" s="191">
        <f t="shared" si="7"/>
        <v>4805.7245444444434</v>
      </c>
      <c r="J22" s="191">
        <f t="shared" si="8"/>
        <v>4800.8731361111104</v>
      </c>
      <c r="K22" s="191">
        <f t="shared" si="3"/>
        <v>6051.4230100425029</v>
      </c>
      <c r="L22" s="177"/>
      <c r="M22" s="177"/>
      <c r="N22" s="177"/>
      <c r="O22" s="155"/>
      <c r="P22" s="155"/>
    </row>
    <row r="23" spans="1:16" ht="18" customHeight="1" x14ac:dyDescent="0.25">
      <c r="A23" s="173">
        <v>18</v>
      </c>
      <c r="B23" s="174">
        <f t="shared" si="9"/>
        <v>2011.4166666666654</v>
      </c>
      <c r="C23" s="174">
        <v>262.08999999999997</v>
      </c>
      <c r="D23" s="196">
        <f t="shared" si="5"/>
        <v>150.79999999999998</v>
      </c>
      <c r="E23" s="197">
        <f t="shared" si="6"/>
        <v>147.96666666666664</v>
      </c>
      <c r="F23" s="191">
        <f t="shared" si="1"/>
        <v>144.45635713908041</v>
      </c>
      <c r="G23" s="192">
        <f t="shared" si="2"/>
        <v>196.00033333338797</v>
      </c>
      <c r="H23" s="191">
        <f t="shared" si="4"/>
        <v>4367.8440401038861</v>
      </c>
      <c r="I23" s="191">
        <f t="shared" si="7"/>
        <v>12385.464099999997</v>
      </c>
      <c r="J23" s="191">
        <f t="shared" si="8"/>
        <v>13024.135211111112</v>
      </c>
      <c r="K23" s="191">
        <f t="shared" si="3"/>
        <v>13837.673932730373</v>
      </c>
      <c r="L23" s="177"/>
      <c r="M23" s="177"/>
      <c r="N23" s="177"/>
      <c r="O23" s="155"/>
      <c r="P23" s="155"/>
    </row>
    <row r="24" spans="1:16" ht="18" customHeight="1" x14ac:dyDescent="0.25">
      <c r="A24" s="173">
        <v>19</v>
      </c>
      <c r="B24" s="174">
        <f t="shared" si="9"/>
        <v>2011.4999999999986</v>
      </c>
      <c r="C24" s="174">
        <v>247.22</v>
      </c>
      <c r="D24" s="196">
        <f t="shared" si="5"/>
        <v>194.71666666666667</v>
      </c>
      <c r="E24" s="197">
        <f t="shared" si="6"/>
        <v>203.61166666666665</v>
      </c>
      <c r="F24" s="191">
        <f t="shared" si="1"/>
        <v>215.03654285563215</v>
      </c>
      <c r="G24" s="192">
        <f t="shared" si="2"/>
        <v>192.35800000006566</v>
      </c>
      <c r="H24" s="191">
        <f t="shared" si="4"/>
        <v>3009.8390439927957</v>
      </c>
      <c r="I24" s="191">
        <f t="shared" si="7"/>
        <v>2756.6000111111107</v>
      </c>
      <c r="J24" s="191">
        <f t="shared" si="8"/>
        <v>1901.6867361111124</v>
      </c>
      <c r="K24" s="191">
        <f t="shared" si="3"/>
        <v>1035.7749137633621</v>
      </c>
      <c r="L24" s="177"/>
      <c r="M24" s="177"/>
      <c r="N24" s="177"/>
      <c r="O24" s="155"/>
      <c r="P24" s="155"/>
    </row>
    <row r="25" spans="1:16" ht="18" customHeight="1" x14ac:dyDescent="0.25">
      <c r="A25" s="173">
        <v>20</v>
      </c>
      <c r="B25" s="174">
        <f t="shared" si="9"/>
        <v>2011.5833333333319</v>
      </c>
      <c r="C25" s="174">
        <v>80.150000000000006</v>
      </c>
      <c r="D25" s="196">
        <f t="shared" si="5"/>
        <v>207.54999999999998</v>
      </c>
      <c r="E25" s="197">
        <f t="shared" si="6"/>
        <v>229.86333333333332</v>
      </c>
      <c r="F25" s="191">
        <f t="shared" si="1"/>
        <v>234.34661714225285</v>
      </c>
      <c r="G25" s="192">
        <f t="shared" si="2"/>
        <v>188.71566666672879</v>
      </c>
      <c r="H25" s="191">
        <f t="shared" si="4"/>
        <v>11786.503978791266</v>
      </c>
      <c r="I25" s="191">
        <f t="shared" si="7"/>
        <v>16230.759999999995</v>
      </c>
      <c r="J25" s="191">
        <f t="shared" si="8"/>
        <v>22414.082177777771</v>
      </c>
      <c r="K25" s="191">
        <f t="shared" si="3"/>
        <v>23776.596738114506</v>
      </c>
      <c r="L25" s="177"/>
      <c r="M25" s="177"/>
      <c r="N25" s="177"/>
      <c r="O25" s="155"/>
      <c r="P25" s="155"/>
    </row>
    <row r="26" spans="1:16" ht="18" customHeight="1" x14ac:dyDescent="0.25">
      <c r="A26" s="173">
        <v>21</v>
      </c>
      <c r="B26" s="174">
        <f t="shared" si="9"/>
        <v>2011.6666666666652</v>
      </c>
      <c r="C26" s="174">
        <v>271.20999999999998</v>
      </c>
      <c r="D26" s="196">
        <f t="shared" si="5"/>
        <v>196.48666666666665</v>
      </c>
      <c r="E26" s="197">
        <f t="shared" si="6"/>
        <v>166.16333333333333</v>
      </c>
      <c r="F26" s="191">
        <f t="shared" si="1"/>
        <v>141.82864685690114</v>
      </c>
      <c r="G26" s="192">
        <f t="shared" si="2"/>
        <v>185.07333333340648</v>
      </c>
      <c r="H26" s="191">
        <f t="shared" si="4"/>
        <v>7419.5253444318396</v>
      </c>
      <c r="I26" s="191">
        <f t="shared" si="7"/>
        <v>5583.5765444444442</v>
      </c>
      <c r="J26" s="191">
        <f t="shared" si="8"/>
        <v>11034.802177777774</v>
      </c>
      <c r="K26" s="191">
        <f t="shared" si="3"/>
        <v>16739.534541139252</v>
      </c>
      <c r="L26" s="177"/>
      <c r="M26" s="177"/>
      <c r="N26" s="177"/>
      <c r="O26" s="155"/>
      <c r="P26" s="155"/>
    </row>
    <row r="27" spans="1:16" ht="18" customHeight="1" x14ac:dyDescent="0.25">
      <c r="A27" s="173">
        <v>22</v>
      </c>
      <c r="B27" s="174">
        <f t="shared" si="9"/>
        <v>2011.7499999999984</v>
      </c>
      <c r="C27" s="174">
        <v>98.01</v>
      </c>
      <c r="D27" s="196">
        <f t="shared" si="5"/>
        <v>199.52666666666664</v>
      </c>
      <c r="E27" s="197">
        <f t="shared" si="6"/>
        <v>203.52499999999998</v>
      </c>
      <c r="F27" s="191">
        <f t="shared" si="1"/>
        <v>219.45745874276042</v>
      </c>
      <c r="G27" s="192">
        <f t="shared" si="2"/>
        <v>181.43100000006962</v>
      </c>
      <c r="H27" s="191">
        <f t="shared" si="4"/>
        <v>6959.0632410116141</v>
      </c>
      <c r="I27" s="191">
        <f t="shared" si="7"/>
        <v>10305.633611111105</v>
      </c>
      <c r="J27" s="191">
        <f t="shared" si="8"/>
        <v>11133.415224999993</v>
      </c>
      <c r="K27" s="191">
        <f t="shared" si="3"/>
        <v>14749.485235074493</v>
      </c>
      <c r="L27" s="177"/>
      <c r="M27" s="177"/>
      <c r="N27" s="177"/>
      <c r="O27" s="155"/>
      <c r="P27" s="155"/>
    </row>
    <row r="28" spans="1:16" ht="18" customHeight="1" x14ac:dyDescent="0.25">
      <c r="A28" s="173">
        <v>23</v>
      </c>
      <c r="B28" s="174">
        <f t="shared" si="9"/>
        <v>2011.8333333333317</v>
      </c>
      <c r="C28" s="174">
        <v>176.86</v>
      </c>
      <c r="D28" s="196">
        <f t="shared" si="5"/>
        <v>149.79</v>
      </c>
      <c r="E28" s="197">
        <f t="shared" si="6"/>
        <v>152.76666666666665</v>
      </c>
      <c r="F28" s="191">
        <f t="shared" si="1"/>
        <v>146.58898349710415</v>
      </c>
      <c r="G28" s="192">
        <f t="shared" si="2"/>
        <v>177.7886666667473</v>
      </c>
      <c r="H28" s="191">
        <f t="shared" si="4"/>
        <v>0.86242177792752228</v>
      </c>
      <c r="I28" s="191">
        <f t="shared" si="7"/>
        <v>732.78490000000113</v>
      </c>
      <c r="J28" s="191">
        <f t="shared" si="8"/>
        <v>580.48871111111248</v>
      </c>
      <c r="K28" s="191">
        <f t="shared" si="3"/>
        <v>916.33444011859353</v>
      </c>
      <c r="L28" s="177"/>
      <c r="M28" s="177"/>
      <c r="N28" s="177"/>
      <c r="O28" s="155"/>
      <c r="P28" s="155"/>
    </row>
    <row r="29" spans="1:16" ht="18" customHeight="1" x14ac:dyDescent="0.25">
      <c r="A29" s="173">
        <v>24</v>
      </c>
      <c r="B29" s="174">
        <f t="shared" si="9"/>
        <v>2011.9166666666649</v>
      </c>
      <c r="C29" s="174">
        <v>66.709999999999994</v>
      </c>
      <c r="D29" s="196">
        <f t="shared" si="5"/>
        <v>182.02666666666664</v>
      </c>
      <c r="E29" s="197">
        <f t="shared" si="6"/>
        <v>166.30166666666668</v>
      </c>
      <c r="F29" s="191">
        <f t="shared" si="1"/>
        <v>164.75159339884166</v>
      </c>
      <c r="G29" s="192">
        <f t="shared" si="2"/>
        <v>174.14633333341044</v>
      </c>
      <c r="H29" s="191">
        <f t="shared" si="4"/>
        <v>11542.565720127681</v>
      </c>
      <c r="I29" s="191">
        <f t="shared" si="7"/>
        <v>13297.933611111106</v>
      </c>
      <c r="J29" s="191">
        <f t="shared" si="8"/>
        <v>9918.5000694444479</v>
      </c>
      <c r="K29" s="191">
        <f t="shared" si="3"/>
        <v>9612.1540361837942</v>
      </c>
      <c r="L29" s="177"/>
      <c r="M29" s="177"/>
      <c r="N29" s="177"/>
      <c r="O29" s="155"/>
      <c r="P29" s="155"/>
    </row>
    <row r="30" spans="1:16" ht="18" customHeight="1" x14ac:dyDescent="0.25">
      <c r="A30" s="173">
        <v>25</v>
      </c>
      <c r="B30" s="174">
        <f t="shared" si="9"/>
        <v>2011.9999999999982</v>
      </c>
      <c r="C30" s="174">
        <v>264.14999999999998</v>
      </c>
      <c r="D30" s="196">
        <f t="shared" si="5"/>
        <v>113.86</v>
      </c>
      <c r="E30" s="197">
        <f t="shared" si="6"/>
        <v>108.64333333333332</v>
      </c>
      <c r="F30" s="191">
        <f t="shared" si="1"/>
        <v>105.92663735953667</v>
      </c>
      <c r="G30" s="192">
        <f t="shared" si="2"/>
        <v>170.50400000008813</v>
      </c>
      <c r="H30" s="191">
        <f t="shared" si="4"/>
        <v>8769.5733159834908</v>
      </c>
      <c r="I30" s="191">
        <f t="shared" si="7"/>
        <v>22587.084099999989</v>
      </c>
      <c r="J30" s="191">
        <f t="shared" si="8"/>
        <v>24182.323377777775</v>
      </c>
      <c r="K30" s="191">
        <f t="shared" si="3"/>
        <v>25034.632485255559</v>
      </c>
      <c r="L30" s="177"/>
      <c r="M30" s="177"/>
      <c r="N30" s="177"/>
      <c r="O30" s="155"/>
      <c r="P30" s="155"/>
    </row>
    <row r="31" spans="1:16" ht="18" customHeight="1" x14ac:dyDescent="0.25">
      <c r="A31" s="173">
        <v>26</v>
      </c>
      <c r="B31" s="174">
        <f t="shared" si="9"/>
        <v>2012.0833333333314</v>
      </c>
      <c r="C31" s="174">
        <v>129.44</v>
      </c>
      <c r="D31" s="196">
        <f t="shared" si="5"/>
        <v>169.23999999999998</v>
      </c>
      <c r="E31" s="197">
        <f t="shared" si="6"/>
        <v>183.78833333333333</v>
      </c>
      <c r="F31" s="191">
        <f t="shared" si="1"/>
        <v>200.86065494381467</v>
      </c>
      <c r="G31" s="192">
        <f t="shared" si="2"/>
        <v>166.86166666675126</v>
      </c>
      <c r="H31" s="191">
        <f t="shared" si="4"/>
        <v>1400.3811361174426</v>
      </c>
      <c r="I31" s="191">
        <f t="shared" si="7"/>
        <v>1584.0399999999986</v>
      </c>
      <c r="J31" s="191">
        <f t="shared" si="8"/>
        <v>2953.7413361111107</v>
      </c>
      <c r="K31" s="191">
        <f t="shared" si="3"/>
        <v>5100.9099526034388</v>
      </c>
      <c r="L31" s="177"/>
      <c r="M31" s="177"/>
      <c r="N31" s="177"/>
      <c r="O31" s="155"/>
      <c r="P31" s="155"/>
    </row>
    <row r="32" spans="1:16" ht="18" customHeight="1" x14ac:dyDescent="0.25">
      <c r="A32" s="173">
        <v>27</v>
      </c>
      <c r="B32" s="174">
        <f t="shared" si="9"/>
        <v>2012.1666666666647</v>
      </c>
      <c r="C32" s="174">
        <v>212.8</v>
      </c>
      <c r="D32" s="196">
        <f t="shared" si="5"/>
        <v>153.43333333333331</v>
      </c>
      <c r="E32" s="197">
        <f t="shared" si="6"/>
        <v>163.88833333333332</v>
      </c>
      <c r="F32" s="191">
        <f t="shared" si="1"/>
        <v>158.00826197752588</v>
      </c>
      <c r="G32" s="192">
        <f t="shared" si="2"/>
        <v>163.21933333342895</v>
      </c>
      <c r="H32" s="191">
        <f t="shared" si="4"/>
        <v>2458.242507101631</v>
      </c>
      <c r="I32" s="191">
        <f t="shared" si="7"/>
        <v>3524.4011111111154</v>
      </c>
      <c r="J32" s="191">
        <f t="shared" si="8"/>
        <v>2392.3511361111132</v>
      </c>
      <c r="K32" s="191">
        <f t="shared" si="3"/>
        <v>3002.1345555234379</v>
      </c>
      <c r="L32" s="177"/>
      <c r="M32" s="177"/>
      <c r="N32" s="177"/>
      <c r="O32" s="155"/>
      <c r="P32" s="155"/>
    </row>
    <row r="33" spans="1:16" ht="18" customHeight="1" x14ac:dyDescent="0.25">
      <c r="A33" s="173">
        <v>28</v>
      </c>
      <c r="B33" s="174">
        <f t="shared" si="9"/>
        <v>2012.249999999998</v>
      </c>
      <c r="C33" s="174">
        <v>125.46</v>
      </c>
      <c r="D33" s="196">
        <f t="shared" si="5"/>
        <v>202.13</v>
      </c>
      <c r="E33" s="197">
        <f t="shared" si="6"/>
        <v>193.57166666666666</v>
      </c>
      <c r="F33" s="191">
        <f t="shared" si="1"/>
        <v>190.88330479101035</v>
      </c>
      <c r="G33" s="192">
        <f t="shared" si="2"/>
        <v>159.57700000009208</v>
      </c>
      <c r="H33" s="191">
        <f t="shared" si="4"/>
        <v>1163.9696890062837</v>
      </c>
      <c r="I33" s="191">
        <f t="shared" si="7"/>
        <v>5878.2889000000005</v>
      </c>
      <c r="J33" s="191">
        <f t="shared" si="8"/>
        <v>4639.1991361111104</v>
      </c>
      <c r="K33" s="191">
        <f t="shared" si="3"/>
        <v>4280.2088097774385</v>
      </c>
      <c r="L33" s="177"/>
      <c r="M33" s="177"/>
      <c r="N33" s="177"/>
      <c r="O33" s="155"/>
      <c r="P33" s="155"/>
    </row>
    <row r="34" spans="1:16" ht="18" customHeight="1" x14ac:dyDescent="0.25">
      <c r="A34" s="173">
        <v>29</v>
      </c>
      <c r="B34" s="174">
        <f t="shared" si="9"/>
        <v>2012.3333333333312</v>
      </c>
      <c r="C34" s="174">
        <v>248.76</v>
      </c>
      <c r="D34" s="196">
        <f t="shared" si="5"/>
        <v>155.9</v>
      </c>
      <c r="E34" s="197">
        <f t="shared" si="6"/>
        <v>155.23666666666665</v>
      </c>
      <c r="F34" s="191">
        <f t="shared" si="1"/>
        <v>151.62932191640414</v>
      </c>
      <c r="G34" s="192">
        <f t="shared" si="2"/>
        <v>155.93466666676977</v>
      </c>
      <c r="H34" s="191">
        <f t="shared" si="4"/>
        <v>8616.542508425302</v>
      </c>
      <c r="I34" s="191">
        <f t="shared" si="7"/>
        <v>8622.9795999999969</v>
      </c>
      <c r="J34" s="191">
        <f t="shared" si="8"/>
        <v>8746.6138777777796</v>
      </c>
      <c r="K34" s="191">
        <f t="shared" si="3"/>
        <v>9434.3686249791281</v>
      </c>
      <c r="L34" s="177"/>
      <c r="M34" s="177"/>
      <c r="N34" s="177"/>
      <c r="O34" s="155"/>
      <c r="P34" s="155"/>
    </row>
    <row r="35" spans="1:16" ht="18" customHeight="1" x14ac:dyDescent="0.25">
      <c r="A35" s="173">
        <v>30</v>
      </c>
      <c r="B35" s="174">
        <f t="shared" si="9"/>
        <v>2012.4166666666645</v>
      </c>
      <c r="C35" s="174">
        <v>163.49</v>
      </c>
      <c r="D35" s="196">
        <f t="shared" si="5"/>
        <v>195.67333333333332</v>
      </c>
      <c r="E35" s="197">
        <f t="shared" si="6"/>
        <v>201.66666666666666</v>
      </c>
      <c r="F35" s="191">
        <f t="shared" si="1"/>
        <v>209.90772876656166</v>
      </c>
      <c r="G35" s="192">
        <f t="shared" si="2"/>
        <v>152.29233333343291</v>
      </c>
      <c r="H35" s="191">
        <f t="shared" si="4"/>
        <v>125.38773877554799</v>
      </c>
      <c r="I35" s="191">
        <f t="shared" si="7"/>
        <v>1035.766944444443</v>
      </c>
      <c r="J35" s="191">
        <f t="shared" si="8"/>
        <v>1457.4578777777763</v>
      </c>
      <c r="K35" s="191">
        <f t="shared" si="3"/>
        <v>2154.6055438460853</v>
      </c>
      <c r="L35" s="177"/>
      <c r="M35" s="177"/>
      <c r="N35" s="177"/>
      <c r="O35" s="155"/>
      <c r="P35" s="155"/>
    </row>
    <row r="36" spans="1:16" ht="18" customHeight="1" x14ac:dyDescent="0.25">
      <c r="A36" s="173">
        <v>31</v>
      </c>
      <c r="B36" s="174">
        <f t="shared" si="9"/>
        <v>2012.4999999999977</v>
      </c>
      <c r="C36" s="174">
        <v>89.9</v>
      </c>
      <c r="D36" s="196">
        <f t="shared" si="5"/>
        <v>179.23666666666668</v>
      </c>
      <c r="E36" s="197">
        <f t="shared" si="6"/>
        <v>185.57499999999999</v>
      </c>
      <c r="F36" s="191">
        <f t="shared" si="1"/>
        <v>182.05709150662466</v>
      </c>
      <c r="G36" s="192">
        <f t="shared" si="2"/>
        <v>148.65000000009604</v>
      </c>
      <c r="H36" s="191">
        <f t="shared" si="4"/>
        <v>3451.5625000112846</v>
      </c>
      <c r="I36" s="191">
        <f t="shared" si="7"/>
        <v>7981.0400111111121</v>
      </c>
      <c r="J36" s="191">
        <f t="shared" si="8"/>
        <v>9153.7056249999969</v>
      </c>
      <c r="K36" s="191">
        <f t="shared" si="3"/>
        <v>8492.9295149603895</v>
      </c>
      <c r="L36" s="177"/>
      <c r="M36" s="177"/>
      <c r="N36" s="177"/>
      <c r="O36" s="155"/>
      <c r="P36" s="155"/>
    </row>
    <row r="37" spans="1:16" ht="18" customHeight="1" x14ac:dyDescent="0.25">
      <c r="A37" s="173">
        <v>32</v>
      </c>
      <c r="B37" s="174">
        <f t="shared" si="9"/>
        <v>2012.583333333331</v>
      </c>
      <c r="C37" s="174">
        <v>342.73</v>
      </c>
      <c r="D37" s="196">
        <f t="shared" si="5"/>
        <v>167.38333333333333</v>
      </c>
      <c r="E37" s="197">
        <f t="shared" si="6"/>
        <v>140.90666666666667</v>
      </c>
      <c r="F37" s="191">
        <f t="shared" si="1"/>
        <v>126.76283660264988</v>
      </c>
      <c r="G37" s="192">
        <f t="shared" si="2"/>
        <v>145.00766666677373</v>
      </c>
      <c r="H37" s="191">
        <f t="shared" si="4"/>
        <v>39094.12109873545</v>
      </c>
      <c r="I37" s="191">
        <f t="shared" si="7"/>
        <v>30746.453511111122</v>
      </c>
      <c r="J37" s="191">
        <f t="shared" si="8"/>
        <v>40732.657877777783</v>
      </c>
      <c r="K37" s="191">
        <f t="shared" si="3"/>
        <v>46641.815665897731</v>
      </c>
      <c r="L37" s="177"/>
      <c r="M37" s="177"/>
      <c r="N37" s="177"/>
      <c r="O37" s="155"/>
      <c r="P37" s="155"/>
    </row>
    <row r="38" spans="1:16" ht="18" customHeight="1" x14ac:dyDescent="0.25">
      <c r="A38" s="173">
        <v>33</v>
      </c>
      <c r="B38" s="174">
        <f t="shared" si="9"/>
        <v>2012.6666666666642</v>
      </c>
      <c r="C38" s="174">
        <v>111.59</v>
      </c>
      <c r="D38" s="196">
        <f t="shared" si="5"/>
        <v>198.70666666666668</v>
      </c>
      <c r="E38" s="197">
        <f t="shared" si="6"/>
        <v>228.58</v>
      </c>
      <c r="F38" s="191">
        <f t="shared" si="1"/>
        <v>256.34313464105998</v>
      </c>
      <c r="G38" s="192">
        <f t="shared" si="2"/>
        <v>141.36533333343687</v>
      </c>
      <c r="H38" s="191">
        <f t="shared" si="4"/>
        <v>886.57047511727626</v>
      </c>
      <c r="I38" s="191">
        <f t="shared" si="7"/>
        <v>7589.3136111111126</v>
      </c>
      <c r="J38" s="191">
        <f t="shared" si="8"/>
        <v>13686.660100000003</v>
      </c>
      <c r="K38" s="191">
        <f t="shared" si="3"/>
        <v>20953.469988412835</v>
      </c>
      <c r="L38" s="177"/>
      <c r="M38" s="177"/>
      <c r="N38" s="177"/>
      <c r="O38" s="155"/>
      <c r="P38" s="155"/>
    </row>
    <row r="39" spans="1:16" ht="18" customHeight="1" x14ac:dyDescent="0.25">
      <c r="A39" s="173">
        <v>34</v>
      </c>
      <c r="B39" s="174">
        <f t="shared" si="9"/>
        <v>2012.7499999999975</v>
      </c>
      <c r="C39" s="174">
        <v>34.020000000000003</v>
      </c>
      <c r="D39" s="196">
        <f t="shared" si="5"/>
        <v>181.40666666666667</v>
      </c>
      <c r="E39" s="197">
        <f t="shared" si="6"/>
        <v>185.0216666666667</v>
      </c>
      <c r="F39" s="191">
        <f t="shared" si="1"/>
        <v>169.49125385642401</v>
      </c>
      <c r="G39" s="192">
        <f t="shared" si="2"/>
        <v>137.72300000011455</v>
      </c>
      <c r="H39" s="191">
        <f t="shared" si="4"/>
        <v>10754.312209023758</v>
      </c>
      <c r="I39" s="191">
        <f t="shared" si="7"/>
        <v>21722.829511111107</v>
      </c>
      <c r="J39" s="191">
        <f t="shared" si="8"/>
        <v>22801.50333611112</v>
      </c>
      <c r="K39" s="191">
        <f t="shared" si="3"/>
        <v>18352.460621431674</v>
      </c>
      <c r="L39" s="177"/>
      <c r="M39" s="177"/>
      <c r="N39" s="177"/>
      <c r="O39" s="155"/>
      <c r="P39" s="155"/>
    </row>
    <row r="40" spans="1:16" ht="18" customHeight="1" x14ac:dyDescent="0.25">
      <c r="A40" s="173">
        <v>35</v>
      </c>
      <c r="B40" s="174">
        <f t="shared" si="9"/>
        <v>2012.8333333333308</v>
      </c>
      <c r="C40" s="174">
        <v>245.56</v>
      </c>
      <c r="D40" s="196">
        <f t="shared" si="5"/>
        <v>162.78</v>
      </c>
      <c r="E40" s="197">
        <f t="shared" si="6"/>
        <v>111.32833333333333</v>
      </c>
      <c r="F40" s="191">
        <f t="shared" si="1"/>
        <v>88.208501542569607</v>
      </c>
      <c r="G40" s="192">
        <f t="shared" si="2"/>
        <v>134.08066666677769</v>
      </c>
      <c r="H40" s="191">
        <f t="shared" si="4"/>
        <v>12427.641760419692</v>
      </c>
      <c r="I40" s="191">
        <f t="shared" si="7"/>
        <v>6852.5284000000001</v>
      </c>
      <c r="J40" s="191">
        <f t="shared" si="8"/>
        <v>18018.140336111115</v>
      </c>
      <c r="K40" s="191">
        <f t="shared" si="3"/>
        <v>24759.494066798725</v>
      </c>
      <c r="L40" s="177"/>
      <c r="M40" s="177"/>
      <c r="N40" s="177"/>
      <c r="O40" s="155"/>
      <c r="P40" s="155"/>
    </row>
    <row r="41" spans="1:16" ht="18" customHeight="1" x14ac:dyDescent="0.25">
      <c r="A41" s="173">
        <v>36</v>
      </c>
      <c r="B41" s="174">
        <f t="shared" si="9"/>
        <v>2012.916666666664</v>
      </c>
      <c r="C41" s="174">
        <v>239.71</v>
      </c>
      <c r="D41" s="196">
        <f t="shared" si="5"/>
        <v>130.39000000000001</v>
      </c>
      <c r="E41" s="197">
        <f t="shared" si="6"/>
        <v>152.71833333333333</v>
      </c>
      <c r="F41" s="191">
        <f t="shared" si="1"/>
        <v>182.61940061702782</v>
      </c>
      <c r="G41" s="192">
        <f t="shared" si="2"/>
        <v>130.43833333345538</v>
      </c>
      <c r="H41" s="191">
        <f t="shared" si="4"/>
        <v>11940.297136084442</v>
      </c>
      <c r="I41" s="191">
        <f t="shared" si="7"/>
        <v>11950.862399999998</v>
      </c>
      <c r="J41" s="191">
        <f t="shared" si="8"/>
        <v>7567.5500694444454</v>
      </c>
      <c r="K41" s="191">
        <f t="shared" si="3"/>
        <v>3259.3365379070242</v>
      </c>
      <c r="L41" s="177"/>
      <c r="M41" s="177"/>
      <c r="N41" s="177"/>
      <c r="O41" s="155"/>
      <c r="P41" s="155"/>
    </row>
    <row r="42" spans="1:16" ht="18" customHeight="1" x14ac:dyDescent="0.25">
      <c r="A42" s="173">
        <v>37</v>
      </c>
      <c r="B42" s="174">
        <f t="shared" si="9"/>
        <v>2012.9999999999973</v>
      </c>
      <c r="C42" s="174">
        <v>39.93</v>
      </c>
      <c r="D42" s="196">
        <f t="shared" si="5"/>
        <v>173.09666666666666</v>
      </c>
      <c r="E42" s="197">
        <f t="shared" si="6"/>
        <v>207.37833333333333</v>
      </c>
      <c r="F42" s="191">
        <f t="shared" si="1"/>
        <v>216.87376024681112</v>
      </c>
      <c r="G42" s="192">
        <f t="shared" si="2"/>
        <v>126.79600000011851</v>
      </c>
      <c r="H42" s="191">
        <f t="shared" si="4"/>
        <v>7545.7019560205881</v>
      </c>
      <c r="I42" s="191">
        <f t="shared" si="7"/>
        <v>17733.361111111109</v>
      </c>
      <c r="J42" s="191">
        <f t="shared" si="8"/>
        <v>28038.944336111108</v>
      </c>
      <c r="K42" s="191">
        <f t="shared" si="3"/>
        <v>31309.094290280973</v>
      </c>
      <c r="L42" s="177"/>
      <c r="M42" s="177"/>
      <c r="N42" s="177"/>
      <c r="O42" s="155"/>
      <c r="P42" s="155"/>
    </row>
    <row r="43" spans="1:16" ht="18" customHeight="1" x14ac:dyDescent="0.25">
      <c r="A43" s="173">
        <v>38</v>
      </c>
      <c r="B43" s="174">
        <f t="shared" si="9"/>
        <v>2013.0833333333305</v>
      </c>
      <c r="C43" s="174">
        <v>11.62</v>
      </c>
      <c r="D43" s="196">
        <f t="shared" si="5"/>
        <v>175.06666666666663</v>
      </c>
      <c r="E43" s="197">
        <f t="shared" si="6"/>
        <v>140.79499999999999</v>
      </c>
      <c r="F43" s="191">
        <f t="shared" si="1"/>
        <v>110.70750409872446</v>
      </c>
      <c r="G43" s="192">
        <f t="shared" si="2"/>
        <v>123.1536666667962</v>
      </c>
      <c r="H43" s="191">
        <f t="shared" si="4"/>
        <v>12439.758800140004</v>
      </c>
      <c r="I43" s="191">
        <f t="shared" si="7"/>
        <v>26714.812844444434</v>
      </c>
      <c r="J43" s="191">
        <f t="shared" si="8"/>
        <v>16686.180624999997</v>
      </c>
      <c r="K43" s="191">
        <f t="shared" si="3"/>
        <v>9818.3334685147347</v>
      </c>
      <c r="L43" s="177"/>
      <c r="M43" s="177"/>
      <c r="N43" s="177"/>
      <c r="O43" s="155"/>
      <c r="P43" s="155"/>
    </row>
    <row r="44" spans="1:16" ht="18" customHeight="1" x14ac:dyDescent="0.25">
      <c r="A44" s="173">
        <v>39</v>
      </c>
      <c r="B44" s="174">
        <f t="shared" si="9"/>
        <v>2013.1666666666638</v>
      </c>
      <c r="C44" s="174">
        <v>12.81</v>
      </c>
      <c r="D44" s="196">
        <f t="shared" si="5"/>
        <v>97.086666666666659</v>
      </c>
      <c r="E44" s="197">
        <f t="shared" si="6"/>
        <v>59.071666666666673</v>
      </c>
      <c r="F44" s="191">
        <f t="shared" si="1"/>
        <v>51.255001639489784</v>
      </c>
      <c r="G44" s="192">
        <f t="shared" si="2"/>
        <v>119.51133333345933</v>
      </c>
      <c r="H44" s="191">
        <f t="shared" si="4"/>
        <v>11385.174535138</v>
      </c>
      <c r="I44" s="191">
        <f t="shared" si="7"/>
        <v>7102.5565444444428</v>
      </c>
      <c r="J44" s="191">
        <f t="shared" si="8"/>
        <v>2140.1418027777781</v>
      </c>
      <c r="K44" s="191">
        <f t="shared" si="3"/>
        <v>1478.018151060372</v>
      </c>
      <c r="L44" s="177"/>
      <c r="M44" s="177"/>
      <c r="N44" s="177"/>
      <c r="O44" s="155"/>
      <c r="P44" s="155"/>
    </row>
    <row r="45" spans="1:16" ht="18" customHeight="1" x14ac:dyDescent="0.25">
      <c r="A45" s="173">
        <v>40</v>
      </c>
      <c r="B45" s="174">
        <f t="shared" si="9"/>
        <v>2013.249999999997</v>
      </c>
      <c r="C45" s="174">
        <v>11.06</v>
      </c>
      <c r="D45" s="196">
        <f t="shared" si="5"/>
        <v>21.453333333333333</v>
      </c>
      <c r="E45" s="197">
        <f t="shared" si="6"/>
        <v>16.933333333333334</v>
      </c>
      <c r="F45" s="191">
        <f t="shared" si="1"/>
        <v>28.188000655795914</v>
      </c>
      <c r="G45" s="192">
        <f t="shared" si="2"/>
        <v>115.86900000013702</v>
      </c>
      <c r="H45" s="191">
        <f t="shared" si="4"/>
        <v>10984.926481028722</v>
      </c>
      <c r="I45" s="191">
        <f t="shared" si="7"/>
        <v>108.02137777777776</v>
      </c>
      <c r="J45" s="191">
        <f t="shared" si="8"/>
        <v>34.496044444444443</v>
      </c>
      <c r="K45" s="191">
        <f t="shared" si="3"/>
        <v>293.36840646494534</v>
      </c>
      <c r="L45" s="177"/>
      <c r="M45" s="177"/>
      <c r="N45" s="177"/>
      <c r="O45" s="155"/>
      <c r="P45" s="155"/>
    </row>
    <row r="46" spans="1:16" ht="18" customHeight="1" x14ac:dyDescent="0.25">
      <c r="A46" s="173">
        <v>41</v>
      </c>
      <c r="B46" s="174">
        <f t="shared" si="9"/>
        <v>2013.3333333333303</v>
      </c>
      <c r="C46" s="174">
        <v>63.55</v>
      </c>
      <c r="D46" s="196">
        <f t="shared" si="5"/>
        <v>11.83</v>
      </c>
      <c r="E46" s="197">
        <f t="shared" si="6"/>
        <v>11.736666666666666</v>
      </c>
      <c r="F46" s="191">
        <f t="shared" si="1"/>
        <v>17.911200262318367</v>
      </c>
      <c r="G46" s="192">
        <f t="shared" si="2"/>
        <v>112.22666666680016</v>
      </c>
      <c r="H46" s="191">
        <f t="shared" si="4"/>
        <v>2369.4178777907737</v>
      </c>
      <c r="I46" s="191">
        <f t="shared" si="7"/>
        <v>2674.9584</v>
      </c>
      <c r="J46" s="191">
        <f t="shared" si="8"/>
        <v>2684.621511111111</v>
      </c>
      <c r="K46" s="191">
        <f t="shared" si="3"/>
        <v>2082.9000414962088</v>
      </c>
      <c r="L46" s="177"/>
      <c r="M46" s="177"/>
      <c r="N46" s="177"/>
      <c r="O46" s="155"/>
      <c r="P46" s="155"/>
    </row>
    <row r="47" spans="1:16" ht="18" customHeight="1" x14ac:dyDescent="0.25">
      <c r="A47" s="173">
        <v>42</v>
      </c>
      <c r="B47" s="174">
        <f t="shared" si="9"/>
        <v>2013.4166666666636</v>
      </c>
      <c r="C47" s="174">
        <v>11.29</v>
      </c>
      <c r="D47" s="196">
        <f t="shared" si="5"/>
        <v>29.14</v>
      </c>
      <c r="E47" s="197">
        <f t="shared" si="6"/>
        <v>37.596666666666664</v>
      </c>
      <c r="F47" s="191">
        <f t="shared" si="1"/>
        <v>45.294480104927345</v>
      </c>
      <c r="G47" s="192">
        <f t="shared" si="2"/>
        <v>108.58433333347784</v>
      </c>
      <c r="H47" s="191">
        <f t="shared" si="4"/>
        <v>9466.1872988058985</v>
      </c>
      <c r="I47" s="191">
        <f t="shared" si="7"/>
        <v>318.62250000000006</v>
      </c>
      <c r="J47" s="191">
        <f t="shared" si="8"/>
        <v>692.04071111111102</v>
      </c>
      <c r="K47" s="191">
        <f t="shared" si="3"/>
        <v>1156.3046672063997</v>
      </c>
      <c r="L47" s="177"/>
      <c r="M47" s="177"/>
      <c r="N47" s="177"/>
      <c r="O47" s="155"/>
      <c r="P47" s="155"/>
    </row>
    <row r="48" spans="1:16" ht="18" customHeight="1" x14ac:dyDescent="0.25">
      <c r="A48" s="173">
        <v>43</v>
      </c>
      <c r="B48" s="174">
        <f t="shared" si="9"/>
        <v>2013.4999999999968</v>
      </c>
      <c r="C48" s="174">
        <v>17.52</v>
      </c>
      <c r="D48" s="196">
        <f t="shared" si="5"/>
        <v>28.633333333333336</v>
      </c>
      <c r="E48" s="197">
        <f t="shared" si="6"/>
        <v>28.671666666666663</v>
      </c>
      <c r="F48" s="191">
        <f t="shared" si="1"/>
        <v>24.891792041970938</v>
      </c>
      <c r="G48" s="192">
        <f t="shared" si="2"/>
        <v>104.94200000014098</v>
      </c>
      <c r="H48" s="191">
        <f t="shared" si="4"/>
        <v>7642.60608402465</v>
      </c>
      <c r="I48" s="191">
        <f t="shared" si="7"/>
        <v>123.50617777777785</v>
      </c>
      <c r="J48" s="191">
        <f t="shared" si="8"/>
        <v>124.35966944444438</v>
      </c>
      <c r="K48" s="191">
        <f t="shared" si="3"/>
        <v>54.343317910066048</v>
      </c>
      <c r="L48" s="177"/>
      <c r="M48" s="177"/>
      <c r="N48" s="177"/>
      <c r="O48" s="155"/>
      <c r="P48" s="155"/>
    </row>
    <row r="49" spans="1:16" ht="18" customHeight="1" x14ac:dyDescent="0.25">
      <c r="A49" s="173">
        <v>44</v>
      </c>
      <c r="B49" s="174">
        <f t="shared" si="9"/>
        <v>2013.5833333333301</v>
      </c>
      <c r="C49" s="174">
        <v>50.13</v>
      </c>
      <c r="D49" s="196">
        <f t="shared" si="5"/>
        <v>30.786666666666665</v>
      </c>
      <c r="E49" s="197">
        <f t="shared" si="6"/>
        <v>23.114999999999995</v>
      </c>
      <c r="F49" s="191">
        <f t="shared" si="1"/>
        <v>20.468716816788373</v>
      </c>
      <c r="G49" s="192">
        <f t="shared" si="2"/>
        <v>101.29966666681867</v>
      </c>
      <c r="H49" s="191">
        <f t="shared" si="4"/>
        <v>2618.334786793333</v>
      </c>
      <c r="I49" s="191">
        <f t="shared" si="7"/>
        <v>374.16454444444457</v>
      </c>
      <c r="J49" s="191">
        <f t="shared" si="8"/>
        <v>729.8102250000004</v>
      </c>
      <c r="K49" s="191">
        <f t="shared" si="3"/>
        <v>879.79172007467309</v>
      </c>
      <c r="L49" s="177"/>
      <c r="M49" s="177"/>
      <c r="N49" s="177"/>
      <c r="O49" s="155"/>
      <c r="P49" s="155"/>
    </row>
    <row r="50" spans="1:16" ht="18" customHeight="1" x14ac:dyDescent="0.25">
      <c r="A50" s="173">
        <v>45</v>
      </c>
      <c r="B50" s="174">
        <f t="shared" si="9"/>
        <v>2013.6666666666633</v>
      </c>
      <c r="C50" s="174">
        <v>35.4</v>
      </c>
      <c r="D50" s="196">
        <f t="shared" si="5"/>
        <v>26.313333333333333</v>
      </c>
      <c r="E50" s="197">
        <f t="shared" si="6"/>
        <v>32.786666666666669</v>
      </c>
      <c r="F50" s="191">
        <f t="shared" si="1"/>
        <v>38.265486726715352</v>
      </c>
      <c r="G50" s="192">
        <f t="shared" si="2"/>
        <v>97.657333333481802</v>
      </c>
      <c r="H50" s="191">
        <f t="shared" si="4"/>
        <v>3875.9755537962646</v>
      </c>
      <c r="I50" s="191">
        <f t="shared" si="7"/>
        <v>82.567511111111102</v>
      </c>
      <c r="J50" s="191">
        <f t="shared" si="8"/>
        <v>6.829511111111092</v>
      </c>
      <c r="K50" s="191">
        <f t="shared" si="3"/>
        <v>8.21101418098187</v>
      </c>
      <c r="L50" s="177"/>
      <c r="M50" s="177"/>
      <c r="N50" s="177"/>
      <c r="O50" s="155"/>
      <c r="P50" s="155"/>
    </row>
    <row r="51" spans="1:16" ht="18" customHeight="1" x14ac:dyDescent="0.25">
      <c r="A51" s="173">
        <v>46</v>
      </c>
      <c r="B51" s="174">
        <f t="shared" si="9"/>
        <v>2013.7499999999966</v>
      </c>
      <c r="C51" s="174">
        <v>29.21</v>
      </c>
      <c r="D51" s="196">
        <f t="shared" si="5"/>
        <v>34.35</v>
      </c>
      <c r="E51" s="197">
        <f t="shared" si="6"/>
        <v>37.33</v>
      </c>
      <c r="F51" s="191">
        <f t="shared" si="1"/>
        <v>36.546194690686136</v>
      </c>
      <c r="G51" s="192">
        <f t="shared" si="2"/>
        <v>94.015000000159489</v>
      </c>
      <c r="H51" s="191">
        <f t="shared" si="4"/>
        <v>4199.6880250206705</v>
      </c>
      <c r="I51" s="191">
        <f t="shared" si="7"/>
        <v>26.419600000000006</v>
      </c>
      <c r="J51" s="191">
        <f t="shared" si="8"/>
        <v>65.934399999999954</v>
      </c>
      <c r="K51" s="191">
        <f t="shared" si="3"/>
        <v>53.819752539651432</v>
      </c>
      <c r="L51" s="177"/>
      <c r="M51" s="177"/>
      <c r="N51" s="177"/>
      <c r="O51" s="155"/>
      <c r="P51" s="155"/>
    </row>
    <row r="52" spans="1:16" ht="18" customHeight="1" x14ac:dyDescent="0.25">
      <c r="A52" s="173">
        <v>47</v>
      </c>
      <c r="B52" s="174">
        <f t="shared" si="9"/>
        <v>2013.8333333333298</v>
      </c>
      <c r="C52" s="174">
        <v>25.06</v>
      </c>
      <c r="D52" s="196">
        <f t="shared" si="5"/>
        <v>38.24666666666667</v>
      </c>
      <c r="E52" s="197">
        <f t="shared" si="6"/>
        <v>34.760000000000005</v>
      </c>
      <c r="F52" s="191">
        <f t="shared" si="1"/>
        <v>32.144477876274451</v>
      </c>
      <c r="G52" s="192">
        <f t="shared" si="2"/>
        <v>90.372666666822624</v>
      </c>
      <c r="H52" s="191">
        <f t="shared" si="4"/>
        <v>4265.7444271314826</v>
      </c>
      <c r="I52" s="191">
        <f t="shared" si="7"/>
        <v>173.88817777777788</v>
      </c>
      <c r="J52" s="191">
        <f t="shared" si="8"/>
        <v>94.090000000000117</v>
      </c>
      <c r="K52" s="191">
        <f t="shared" si="3"/>
        <v>50.18982677942217</v>
      </c>
      <c r="L52" s="177"/>
      <c r="M52" s="177"/>
      <c r="N52" s="177"/>
      <c r="O52" s="155"/>
      <c r="P52" s="155"/>
    </row>
    <row r="53" spans="1:16" ht="18" customHeight="1" x14ac:dyDescent="0.25">
      <c r="A53" s="173">
        <v>48</v>
      </c>
      <c r="B53" s="174">
        <f t="shared" si="9"/>
        <v>2013.9166666666631</v>
      </c>
      <c r="C53" s="174">
        <v>15.92</v>
      </c>
      <c r="D53" s="196">
        <f t="shared" si="5"/>
        <v>29.89</v>
      </c>
      <c r="E53" s="197">
        <f t="shared" si="6"/>
        <v>28.166666666666664</v>
      </c>
      <c r="F53" s="191">
        <f t="shared" si="1"/>
        <v>27.893791150509777</v>
      </c>
      <c r="G53" s="192">
        <f t="shared" si="2"/>
        <v>86.73033333348576</v>
      </c>
      <c r="H53" s="191">
        <f t="shared" si="4"/>
        <v>5014.103306799364</v>
      </c>
      <c r="I53" s="191">
        <f t="shared" si="7"/>
        <v>195.16090000000003</v>
      </c>
      <c r="J53" s="191">
        <f t="shared" si="8"/>
        <v>149.98084444444439</v>
      </c>
      <c r="K53" s="191">
        <f t="shared" si="3"/>
        <v>143.37167451602625</v>
      </c>
      <c r="L53" s="177"/>
      <c r="M53" s="177"/>
      <c r="N53" s="177"/>
      <c r="O53" s="155"/>
      <c r="P53" s="155"/>
    </row>
    <row r="54" spans="1:16" ht="18" customHeight="1" x14ac:dyDescent="0.25">
      <c r="A54" s="173">
        <v>49</v>
      </c>
      <c r="B54" s="174">
        <f t="shared" si="9"/>
        <v>2013.9999999999964</v>
      </c>
      <c r="C54" s="174">
        <v>82.96</v>
      </c>
      <c r="D54" s="196">
        <f t="shared" si="5"/>
        <v>23.396666666666665</v>
      </c>
      <c r="E54" s="197">
        <f t="shared" si="6"/>
        <v>21.181666666666665</v>
      </c>
      <c r="F54" s="191">
        <f t="shared" si="1"/>
        <v>20.709516460203911</v>
      </c>
      <c r="G54" s="192">
        <f t="shared" si="2"/>
        <v>83.088000000163447</v>
      </c>
      <c r="H54" s="191">
        <f t="shared" si="4"/>
        <v>1.6384000041844062E-2</v>
      </c>
      <c r="I54" s="191">
        <f t="shared" si="7"/>
        <v>3547.7906777777775</v>
      </c>
      <c r="J54" s="191">
        <f t="shared" si="8"/>
        <v>3816.5624694444441</v>
      </c>
      <c r="K54" s="191">
        <f t="shared" si="3"/>
        <v>3875.1227009384224</v>
      </c>
      <c r="L54" s="177"/>
      <c r="M54" s="177"/>
      <c r="N54" s="177"/>
      <c r="O54" s="155"/>
      <c r="P54" s="155"/>
    </row>
    <row r="55" spans="1:16" ht="18" customHeight="1" x14ac:dyDescent="0.25">
      <c r="A55" s="173">
        <v>50</v>
      </c>
      <c r="B55" s="174">
        <f t="shared" si="9"/>
        <v>2014.0833333333296</v>
      </c>
      <c r="C55" s="174">
        <v>34.06</v>
      </c>
      <c r="D55" s="196">
        <f t="shared" si="5"/>
        <v>41.313333333333333</v>
      </c>
      <c r="E55" s="197">
        <f t="shared" si="6"/>
        <v>50.963333333333331</v>
      </c>
      <c r="F55" s="191">
        <f t="shared" si="1"/>
        <v>58.059806584081564</v>
      </c>
      <c r="G55" s="192">
        <f t="shared" si="2"/>
        <v>79.445666666826583</v>
      </c>
      <c r="H55" s="191">
        <f t="shared" si="4"/>
        <v>2059.8587387922935</v>
      </c>
      <c r="I55" s="191">
        <f t="shared" si="7"/>
        <v>52.610844444444403</v>
      </c>
      <c r="J55" s="191">
        <f t="shared" si="8"/>
        <v>285.72267777777762</v>
      </c>
      <c r="K55" s="191">
        <f t="shared" si="3"/>
        <v>575.99071607332462</v>
      </c>
      <c r="L55" s="177"/>
      <c r="M55" s="177"/>
      <c r="N55" s="177"/>
      <c r="O55" s="155"/>
      <c r="P55" s="155"/>
    </row>
    <row r="56" spans="1:16" ht="18" customHeight="1" x14ac:dyDescent="0.25">
      <c r="A56" s="173">
        <v>51</v>
      </c>
      <c r="B56" s="174">
        <f t="shared" si="9"/>
        <v>2014.1666666666629</v>
      </c>
      <c r="C56" s="174">
        <v>23.32</v>
      </c>
      <c r="D56" s="196">
        <f t="shared" si="5"/>
        <v>44.313333333333333</v>
      </c>
      <c r="E56" s="197">
        <f t="shared" si="6"/>
        <v>47.336666666666659</v>
      </c>
      <c r="F56" s="191">
        <f t="shared" si="1"/>
        <v>43.659922633632625</v>
      </c>
      <c r="G56" s="192">
        <f t="shared" si="2"/>
        <v>75.80333333350427</v>
      </c>
      <c r="H56" s="191">
        <f t="shared" si="4"/>
        <v>2754.5002777957202</v>
      </c>
      <c r="I56" s="191">
        <f t="shared" si="7"/>
        <v>440.7200444444444</v>
      </c>
      <c r="J56" s="191">
        <f t="shared" si="8"/>
        <v>576.80027777777741</v>
      </c>
      <c r="K56" s="191">
        <f t="shared" si="3"/>
        <v>413.71245274216074</v>
      </c>
      <c r="L56" s="177"/>
      <c r="M56" s="177"/>
      <c r="N56" s="177"/>
      <c r="O56" s="155"/>
      <c r="P56" s="155"/>
    </row>
    <row r="57" spans="1:16" ht="18" customHeight="1" x14ac:dyDescent="0.25">
      <c r="A57" s="173">
        <v>52</v>
      </c>
      <c r="B57" s="174">
        <f t="shared" si="9"/>
        <v>2014.2499999999961</v>
      </c>
      <c r="C57" s="174">
        <v>8.8800000000000008</v>
      </c>
      <c r="D57" s="196">
        <f t="shared" si="5"/>
        <v>46.78</v>
      </c>
      <c r="E57" s="197">
        <f t="shared" si="6"/>
        <v>36.840000000000003</v>
      </c>
      <c r="F57" s="191">
        <f t="shared" si="1"/>
        <v>31.455969053453053</v>
      </c>
      <c r="G57" s="192">
        <f t="shared" si="2"/>
        <v>72.161000000167405</v>
      </c>
      <c r="H57" s="191">
        <f t="shared" si="4"/>
        <v>4004.4849610211868</v>
      </c>
      <c r="I57" s="191">
        <f t="shared" si="7"/>
        <v>1436.4099999999999</v>
      </c>
      <c r="J57" s="191">
        <f t="shared" si="8"/>
        <v>781.76160000000004</v>
      </c>
      <c r="K57" s="191">
        <f t="shared" si="3"/>
        <v>509.67437870246982</v>
      </c>
      <c r="L57" s="177"/>
      <c r="M57" s="177"/>
      <c r="N57" s="177"/>
      <c r="O57" s="155"/>
      <c r="P57" s="155"/>
    </row>
    <row r="58" spans="1:16" ht="18" customHeight="1" x14ac:dyDescent="0.25">
      <c r="A58" s="173">
        <v>53</v>
      </c>
      <c r="B58" s="174">
        <f t="shared" si="9"/>
        <v>2014.3333333333294</v>
      </c>
      <c r="C58" s="174">
        <v>14.8</v>
      </c>
      <c r="D58" s="196">
        <f t="shared" si="5"/>
        <v>22.08666666666667</v>
      </c>
      <c r="E58" s="197">
        <f t="shared" si="6"/>
        <v>17.89</v>
      </c>
      <c r="F58" s="191">
        <f t="shared" si="1"/>
        <v>17.910387621381222</v>
      </c>
      <c r="G58" s="192">
        <f t="shared" si="2"/>
        <v>68.518666666845093</v>
      </c>
      <c r="H58" s="191">
        <f t="shared" si="4"/>
        <v>2885.6951484636143</v>
      </c>
      <c r="I58" s="191">
        <f t="shared" si="7"/>
        <v>53.095511111111144</v>
      </c>
      <c r="J58" s="191">
        <f t="shared" si="8"/>
        <v>9.5480999999999998</v>
      </c>
      <c r="K58" s="191">
        <f t="shared" si="3"/>
        <v>9.6745111552415324</v>
      </c>
      <c r="L58" s="177"/>
      <c r="M58" s="177"/>
      <c r="N58" s="177"/>
      <c r="O58" s="155"/>
      <c r="P58" s="155"/>
    </row>
    <row r="59" spans="1:16" ht="18" customHeight="1" x14ac:dyDescent="0.25">
      <c r="A59" s="173">
        <v>54</v>
      </c>
      <c r="B59" s="174">
        <f t="shared" si="9"/>
        <v>2014.4166666666626</v>
      </c>
      <c r="C59" s="174">
        <v>29.26</v>
      </c>
      <c r="D59" s="196">
        <f t="shared" si="5"/>
        <v>15.666666666666666</v>
      </c>
      <c r="E59" s="197">
        <f t="shared" si="6"/>
        <v>14.246666666666666</v>
      </c>
      <c r="F59" s="191">
        <f t="shared" si="1"/>
        <v>16.04415504855249</v>
      </c>
      <c r="G59" s="192">
        <f t="shared" si="2"/>
        <v>64.876333333508228</v>
      </c>
      <c r="H59" s="191">
        <f t="shared" si="4"/>
        <v>1268.523200123569</v>
      </c>
      <c r="I59" s="191">
        <f t="shared" si="7"/>
        <v>184.77871111111116</v>
      </c>
      <c r="J59" s="191">
        <f t="shared" si="8"/>
        <v>225.40017777777783</v>
      </c>
      <c r="K59" s="191">
        <f t="shared" si="3"/>
        <v>174.65855778070068</v>
      </c>
      <c r="L59" s="177"/>
      <c r="M59" s="177"/>
      <c r="N59" s="177"/>
      <c r="O59" s="155"/>
      <c r="P59" s="155"/>
    </row>
    <row r="60" spans="1:16" ht="18" customHeight="1" x14ac:dyDescent="0.25">
      <c r="A60" s="173">
        <v>55</v>
      </c>
      <c r="B60" s="174">
        <f t="shared" si="9"/>
        <v>2014.4999999999959</v>
      </c>
      <c r="C60" s="174">
        <v>77.48</v>
      </c>
      <c r="D60" s="196">
        <f t="shared" si="5"/>
        <v>17.646666666666665</v>
      </c>
      <c r="E60" s="197">
        <f t="shared" si="6"/>
        <v>21.043333333333337</v>
      </c>
      <c r="F60" s="191">
        <f t="shared" si="1"/>
        <v>23.973662019420999</v>
      </c>
      <c r="G60" s="192">
        <f t="shared" si="2"/>
        <v>61.234000000185915</v>
      </c>
      <c r="H60" s="191">
        <f t="shared" si="4"/>
        <v>263.93251599395938</v>
      </c>
      <c r="I60" s="191">
        <f t="shared" si="7"/>
        <v>3580.0277777777787</v>
      </c>
      <c r="J60" s="191">
        <f t="shared" si="8"/>
        <v>3185.0973444444444</v>
      </c>
      <c r="K60" s="191">
        <f t="shared" si="3"/>
        <v>2862.9282040919516</v>
      </c>
      <c r="L60" s="177"/>
      <c r="M60" s="177"/>
      <c r="N60" s="177"/>
      <c r="O60" s="155"/>
      <c r="P60" s="155"/>
    </row>
    <row r="61" spans="1:16" ht="18" customHeight="1" x14ac:dyDescent="0.25">
      <c r="A61" s="173">
        <v>56</v>
      </c>
      <c r="B61" s="174">
        <f t="shared" si="9"/>
        <v>2014.5833333333292</v>
      </c>
      <c r="C61" s="174">
        <v>38.340000000000003</v>
      </c>
      <c r="D61" s="196">
        <f t="shared" si="5"/>
        <v>40.513333333333335</v>
      </c>
      <c r="E61" s="197">
        <f t="shared" si="6"/>
        <v>50.96</v>
      </c>
      <c r="F61" s="191">
        <f t="shared" si="1"/>
        <v>56.077464807768401</v>
      </c>
      <c r="G61" s="192">
        <f t="shared" si="2"/>
        <v>57.591666666849051</v>
      </c>
      <c r="H61" s="191">
        <f t="shared" si="4"/>
        <v>370.62666945146668</v>
      </c>
      <c r="I61" s="191">
        <f t="shared" si="7"/>
        <v>4.7233777777777721</v>
      </c>
      <c r="J61" s="191">
        <f t="shared" si="8"/>
        <v>159.26439999999994</v>
      </c>
      <c r="K61" s="191">
        <f t="shared" si="3"/>
        <v>314.61765780682236</v>
      </c>
      <c r="L61" s="177"/>
      <c r="M61" s="177"/>
      <c r="N61" s="177"/>
      <c r="O61" s="155"/>
      <c r="P61" s="155"/>
    </row>
    <row r="62" spans="1:16" ht="18" customHeight="1" x14ac:dyDescent="0.25">
      <c r="A62" s="173">
        <v>57</v>
      </c>
      <c r="B62" s="174">
        <f t="shared" si="9"/>
        <v>2014.6666666666624</v>
      </c>
      <c r="C62" s="174">
        <v>64.680000000000007</v>
      </c>
      <c r="D62" s="196">
        <f t="shared" si="5"/>
        <v>48.360000000000007</v>
      </c>
      <c r="E62" s="197">
        <f t="shared" si="6"/>
        <v>49.873333333333335</v>
      </c>
      <c r="F62" s="191">
        <f t="shared" si="1"/>
        <v>45.434985923107362</v>
      </c>
      <c r="G62" s="192">
        <f t="shared" si="2"/>
        <v>53.949333333526738</v>
      </c>
      <c r="H62" s="191">
        <f t="shared" si="4"/>
        <v>115.14720710696054</v>
      </c>
      <c r="I62" s="191">
        <f t="shared" si="7"/>
        <v>266.3424</v>
      </c>
      <c r="J62" s="191">
        <f t="shared" si="8"/>
        <v>219.23737777777794</v>
      </c>
      <c r="K62" s="191">
        <f t="shared" si="3"/>
        <v>370.37056681979607</v>
      </c>
      <c r="L62" s="177"/>
      <c r="M62" s="177"/>
      <c r="N62" s="177"/>
      <c r="O62" s="155"/>
      <c r="P62" s="155"/>
    </row>
    <row r="63" spans="1:16" ht="18" customHeight="1" x14ac:dyDescent="0.25">
      <c r="A63" s="173">
        <v>58</v>
      </c>
      <c r="B63" s="174">
        <f t="shared" si="9"/>
        <v>2014.7499999999957</v>
      </c>
      <c r="C63" s="174">
        <v>20.86</v>
      </c>
      <c r="D63" s="196">
        <f t="shared" si="5"/>
        <v>60.166666666666664</v>
      </c>
      <c r="E63" s="197">
        <f t="shared" si="6"/>
        <v>58.033333333333339</v>
      </c>
      <c r="F63" s="191">
        <f t="shared" si="1"/>
        <v>56.98199436924294</v>
      </c>
      <c r="G63" s="192">
        <f t="shared" si="2"/>
        <v>50.307000000189873</v>
      </c>
      <c r="H63" s="191">
        <f t="shared" si="4"/>
        <v>867.12580901118247</v>
      </c>
      <c r="I63" s="191">
        <f t="shared" si="7"/>
        <v>1545.0140444444444</v>
      </c>
      <c r="J63" s="191">
        <f t="shared" si="8"/>
        <v>1381.8567111111115</v>
      </c>
      <c r="K63" s="191">
        <f t="shared" si="3"/>
        <v>1304.7984772116188</v>
      </c>
      <c r="L63" s="177"/>
      <c r="M63" s="177"/>
      <c r="N63" s="177"/>
      <c r="O63" s="155"/>
      <c r="P63" s="155"/>
    </row>
    <row r="64" spans="1:16" ht="18" customHeight="1" x14ac:dyDescent="0.25">
      <c r="A64" s="173">
        <v>59</v>
      </c>
      <c r="B64" s="174">
        <f t="shared" si="9"/>
        <v>2014.8333333333289</v>
      </c>
      <c r="C64" s="174">
        <v>17.88</v>
      </c>
      <c r="D64" s="196">
        <f t="shared" si="5"/>
        <v>41.293333333333337</v>
      </c>
      <c r="E64" s="197">
        <f t="shared" si="6"/>
        <v>38.380000000000003</v>
      </c>
      <c r="F64" s="191">
        <f t="shared" si="1"/>
        <v>35.308797747697177</v>
      </c>
      <c r="G64" s="192">
        <f t="shared" si="2"/>
        <v>46.664666666867561</v>
      </c>
      <c r="H64" s="191">
        <f t="shared" si="4"/>
        <v>828.55703512267655</v>
      </c>
      <c r="I64" s="191">
        <f t="shared" si="7"/>
        <v>548.18417777777802</v>
      </c>
      <c r="J64" s="191">
        <f t="shared" si="8"/>
        <v>420.25000000000017</v>
      </c>
      <c r="K64" s="191">
        <f t="shared" si="3"/>
        <v>303.76299093013421</v>
      </c>
      <c r="L64" s="177"/>
      <c r="M64" s="177"/>
      <c r="N64" s="177"/>
      <c r="O64" s="155"/>
      <c r="P64" s="155"/>
    </row>
    <row r="65" spans="1:16" ht="18" customHeight="1" x14ac:dyDescent="0.25">
      <c r="A65" s="173">
        <v>60</v>
      </c>
      <c r="B65" s="174">
        <f t="shared" si="9"/>
        <v>2014.9166666666622</v>
      </c>
      <c r="C65" s="174">
        <v>0</v>
      </c>
      <c r="D65" s="196">
        <f t="shared" si="5"/>
        <v>34.473333333333336</v>
      </c>
      <c r="E65" s="197">
        <f t="shared" si="6"/>
        <v>26.673333333333332</v>
      </c>
      <c r="F65" s="191">
        <f t="shared" si="1"/>
        <v>24.851519099078871</v>
      </c>
      <c r="G65" s="192">
        <f t="shared" si="2"/>
        <v>43.022333333530696</v>
      </c>
      <c r="H65" s="191">
        <f t="shared" si="4"/>
        <v>1850.9211654614264</v>
      </c>
      <c r="I65" s="191">
        <f t="shared" si="7"/>
        <v>1188.4107111111114</v>
      </c>
      <c r="J65" s="191">
        <f t="shared" si="8"/>
        <v>711.46671111111107</v>
      </c>
      <c r="K65" s="191">
        <f t="shared" si="3"/>
        <v>617.59800153188189</v>
      </c>
      <c r="L65" s="177"/>
      <c r="M65" s="177"/>
      <c r="N65" s="177"/>
      <c r="O65" s="155"/>
      <c r="P65" s="155"/>
    </row>
    <row r="66" spans="1:16" ht="18" customHeight="1" x14ac:dyDescent="0.25">
      <c r="A66" s="173">
        <v>61</v>
      </c>
      <c r="B66" s="174">
        <f t="shared" si="9"/>
        <v>2014.9999999999955</v>
      </c>
      <c r="C66" s="174">
        <v>15.82</v>
      </c>
      <c r="D66" s="196">
        <f t="shared" si="5"/>
        <v>12.913333333333332</v>
      </c>
      <c r="E66" s="197">
        <f t="shared" si="6"/>
        <v>9.4366666666666656</v>
      </c>
      <c r="F66" s="191">
        <f t="shared" si="1"/>
        <v>9.9406076396315495</v>
      </c>
      <c r="G66" s="192">
        <f t="shared" si="2"/>
        <v>39.380000000208383</v>
      </c>
      <c r="H66" s="191">
        <f t="shared" si="4"/>
        <v>555.07360000981896</v>
      </c>
      <c r="I66" s="191">
        <f t="shared" si="7"/>
        <v>8.4487111111111197</v>
      </c>
      <c r="J66" s="191">
        <f t="shared" si="8"/>
        <v>40.746944444444459</v>
      </c>
      <c r="K66" s="191">
        <f t="shared" si="3"/>
        <v>34.567254527158902</v>
      </c>
      <c r="L66" s="177"/>
      <c r="M66" s="177"/>
      <c r="N66" s="177"/>
      <c r="O66" s="155"/>
      <c r="P66" s="155"/>
    </row>
    <row r="67" spans="1:16" ht="18" customHeight="1" x14ac:dyDescent="0.25">
      <c r="A67" s="173">
        <v>62</v>
      </c>
      <c r="B67" s="174">
        <f t="shared" si="9"/>
        <v>2015.0833333333287</v>
      </c>
      <c r="C67" s="174">
        <v>47.96</v>
      </c>
      <c r="D67" s="196">
        <f t="shared" si="5"/>
        <v>11.233333333333334</v>
      </c>
      <c r="E67" s="197">
        <f t="shared" si="6"/>
        <v>10.89</v>
      </c>
      <c r="F67" s="191">
        <f t="shared" si="1"/>
        <v>13.46824305585262</v>
      </c>
      <c r="G67" s="192">
        <f t="shared" si="2"/>
        <v>35.737666666871519</v>
      </c>
      <c r="H67" s="191">
        <f t="shared" si="4"/>
        <v>149.38543210610359</v>
      </c>
      <c r="I67" s="191">
        <f t="shared" si="7"/>
        <v>1348.8480444444444</v>
      </c>
      <c r="J67" s="191">
        <f t="shared" si="8"/>
        <v>1374.1849</v>
      </c>
      <c r="K67" s="191">
        <f t="shared" si="3"/>
        <v>1189.6812970941392</v>
      </c>
      <c r="L67" s="177"/>
      <c r="M67" s="177"/>
      <c r="N67" s="177"/>
      <c r="O67" s="155"/>
      <c r="P67" s="155"/>
    </row>
    <row r="68" spans="1:16" ht="18" customHeight="1" x14ac:dyDescent="0.25">
      <c r="A68" s="173">
        <v>63</v>
      </c>
      <c r="B68" s="174">
        <f t="shared" si="9"/>
        <v>2015.166666666662</v>
      </c>
      <c r="C68" s="174">
        <v>112.22</v>
      </c>
      <c r="D68" s="196">
        <f t="shared" si="5"/>
        <v>21.26</v>
      </c>
      <c r="E68" s="197">
        <f t="shared" si="6"/>
        <v>29.253333333333334</v>
      </c>
      <c r="F68" s="191">
        <f t="shared" si="1"/>
        <v>34.16329722234105</v>
      </c>
      <c r="G68" s="192">
        <f t="shared" si="2"/>
        <v>32.095333333534654</v>
      </c>
      <c r="H68" s="191">
        <f t="shared" si="4"/>
        <v>6419.9622084121829</v>
      </c>
      <c r="I68" s="191">
        <f t="shared" si="7"/>
        <v>8273.7215999999989</v>
      </c>
      <c r="J68" s="191">
        <f t="shared" si="8"/>
        <v>6883.4677777777779</v>
      </c>
      <c r="K68" s="191">
        <f t="shared" si="3"/>
        <v>6092.8488485197913</v>
      </c>
      <c r="L68" s="177"/>
      <c r="M68" s="177"/>
      <c r="N68" s="177"/>
      <c r="O68" s="155"/>
      <c r="P68" s="155"/>
    </row>
    <row r="69" spans="1:16" ht="18" customHeight="1" x14ac:dyDescent="0.25">
      <c r="A69" s="173">
        <v>64</v>
      </c>
      <c r="B69" s="174">
        <f t="shared" si="9"/>
        <v>2015.2499999999952</v>
      </c>
      <c r="C69" s="174">
        <v>7.36</v>
      </c>
      <c r="D69" s="196">
        <f t="shared" si="5"/>
        <v>58.666666666666664</v>
      </c>
      <c r="E69" s="197">
        <f t="shared" si="6"/>
        <v>74.733333333333334</v>
      </c>
      <c r="F69" s="191">
        <f t="shared" si="1"/>
        <v>80.99731888893642</v>
      </c>
      <c r="G69" s="192">
        <f t="shared" si="2"/>
        <v>28.453000000212342</v>
      </c>
      <c r="H69" s="191">
        <f t="shared" si="4"/>
        <v>444.91464900895784</v>
      </c>
      <c r="I69" s="191">
        <f t="shared" si="7"/>
        <v>2632.3740444444443</v>
      </c>
      <c r="J69" s="191">
        <f t="shared" si="8"/>
        <v>4539.1660444444442</v>
      </c>
      <c r="K69" s="191">
        <f t="shared" si="3"/>
        <v>5422.454733150912</v>
      </c>
      <c r="L69" s="177"/>
      <c r="M69" s="177"/>
      <c r="N69" s="177"/>
      <c r="O69" s="155"/>
      <c r="P69" s="155"/>
    </row>
    <row r="70" spans="1:16" ht="18" customHeight="1" x14ac:dyDescent="0.25">
      <c r="A70" s="173">
        <v>65</v>
      </c>
      <c r="B70" s="174">
        <f t="shared" si="9"/>
        <v>2015.3333333333285</v>
      </c>
      <c r="C70" s="174">
        <v>19.62</v>
      </c>
      <c r="D70" s="196">
        <f t="shared" si="5"/>
        <v>55.846666666666671</v>
      </c>
      <c r="E70" s="197">
        <f t="shared" si="6"/>
        <v>49.08</v>
      </c>
      <c r="F70" s="191">
        <f t="shared" si="1"/>
        <v>36.81492755557457</v>
      </c>
      <c r="G70" s="192">
        <f t="shared" si="2"/>
        <v>24.810666666875477</v>
      </c>
      <c r="H70" s="191">
        <f t="shared" si="4"/>
        <v>26.943020446612163</v>
      </c>
      <c r="I70" s="191">
        <f t="shared" si="7"/>
        <v>1312.3713777777782</v>
      </c>
      <c r="J70" s="191">
        <f t="shared" si="8"/>
        <v>867.89159999999981</v>
      </c>
      <c r="K70" s="191">
        <f t="shared" si="3"/>
        <v>295.66553364145761</v>
      </c>
      <c r="L70" s="177"/>
      <c r="M70" s="177"/>
      <c r="N70" s="177"/>
      <c r="O70" s="155"/>
      <c r="P70" s="155"/>
    </row>
    <row r="71" spans="1:16" ht="18" customHeight="1" x14ac:dyDescent="0.25">
      <c r="A71" s="173">
        <v>66</v>
      </c>
      <c r="B71" s="174">
        <f t="shared" si="9"/>
        <v>2015.4166666666617</v>
      </c>
      <c r="C71" s="174">
        <v>13.42</v>
      </c>
      <c r="D71" s="196">
        <f t="shared" si="5"/>
        <v>46.4</v>
      </c>
      <c r="E71" s="197">
        <f t="shared" si="6"/>
        <v>30.966666666666669</v>
      </c>
      <c r="F71" s="191">
        <f t="shared" si="1"/>
        <v>26.497971022229827</v>
      </c>
      <c r="G71" s="192">
        <f t="shared" si="2"/>
        <v>21.168333333553164</v>
      </c>
      <c r="H71" s="191">
        <f t="shared" si="4"/>
        <v>60.036669447851089</v>
      </c>
      <c r="I71" s="191">
        <f t="shared" si="7"/>
        <v>1087.6803999999997</v>
      </c>
      <c r="J71" s="191">
        <f t="shared" si="8"/>
        <v>307.8855111111111</v>
      </c>
      <c r="K71" s="191">
        <f t="shared" si="3"/>
        <v>171.03332605828305</v>
      </c>
      <c r="L71" s="177"/>
      <c r="M71" s="177"/>
      <c r="N71" s="177"/>
      <c r="O71" s="155"/>
      <c r="P71" s="155"/>
    </row>
    <row r="72" spans="1:16" ht="18" customHeight="1" x14ac:dyDescent="0.25">
      <c r="A72" s="173">
        <v>67</v>
      </c>
      <c r="B72" s="174">
        <f t="shared" si="9"/>
        <v>2015.499999999995</v>
      </c>
      <c r="C72" s="174">
        <v>8.5399999999999991</v>
      </c>
      <c r="D72" s="196">
        <f t="shared" si="5"/>
        <v>13.466666666666667</v>
      </c>
      <c r="E72" s="197">
        <f t="shared" si="6"/>
        <v>14.476666666666667</v>
      </c>
      <c r="F72" s="191">
        <f t="shared" ref="F72:F89" si="10">+(C71*$F$3)+(F71*0.4)</f>
        <v>18.651188408891933</v>
      </c>
      <c r="G72" s="192">
        <f t="shared" ref="G72:G89" si="11">+$E$96+$E$97*B72</f>
        <v>17.5260000002163</v>
      </c>
      <c r="H72" s="191">
        <f t="shared" si="4"/>
        <v>80.748196003887358</v>
      </c>
      <c r="I72" s="191">
        <f t="shared" si="7"/>
        <v>24.272044444444454</v>
      </c>
      <c r="J72" s="191">
        <f t="shared" si="8"/>
        <v>35.244011111111121</v>
      </c>
      <c r="K72" s="191">
        <f t="shared" si="3"/>
        <v>102.23613104011059</v>
      </c>
      <c r="L72" s="177"/>
      <c r="M72" s="177"/>
      <c r="N72" s="177"/>
      <c r="O72" s="155"/>
      <c r="P72" s="155"/>
    </row>
    <row r="73" spans="1:16" ht="18" customHeight="1" x14ac:dyDescent="0.25">
      <c r="A73" s="173">
        <v>68</v>
      </c>
      <c r="B73" s="174">
        <f t="shared" si="9"/>
        <v>2015.5833333333283</v>
      </c>
      <c r="C73" s="174">
        <v>8.4</v>
      </c>
      <c r="D73" s="196">
        <f t="shared" si="5"/>
        <v>13.86</v>
      </c>
      <c r="E73" s="197">
        <f t="shared" si="6"/>
        <v>12.013333333333332</v>
      </c>
      <c r="F73" s="191">
        <f t="shared" si="10"/>
        <v>12.584475363556773</v>
      </c>
      <c r="G73" s="192">
        <f t="shared" si="11"/>
        <v>13.883666666893987</v>
      </c>
      <c r="H73" s="191">
        <f t="shared" ref="H73:H88" si="12">+(C73-G73)^2</f>
        <v>30.070600113604204</v>
      </c>
      <c r="I73" s="191">
        <f t="shared" si="7"/>
        <v>29.811599999999991</v>
      </c>
      <c r="J73" s="191">
        <f t="shared" si="8"/>
        <v>13.056177777777764</v>
      </c>
      <c r="K73" s="191">
        <f t="shared" si="3"/>
        <v>17.509834068213589</v>
      </c>
      <c r="L73" s="177"/>
      <c r="M73" s="177"/>
      <c r="N73" s="177"/>
      <c r="O73" s="155"/>
      <c r="P73" s="155"/>
    </row>
    <row r="74" spans="1:16" ht="18" customHeight="1" x14ac:dyDescent="0.25">
      <c r="A74" s="173">
        <v>69</v>
      </c>
      <c r="B74" s="174">
        <f t="shared" si="9"/>
        <v>2015.6666666666615</v>
      </c>
      <c r="C74" s="174">
        <v>73.760000000000005</v>
      </c>
      <c r="D74" s="196">
        <f t="shared" ref="D74:D87" si="13">+AVERAGE(C71:C73)</f>
        <v>10.119999999999999</v>
      </c>
      <c r="E74" s="197">
        <f t="shared" ref="E74:E87" si="14">+SUMPRODUCT($N$2:$N$4,C71:C73)</f>
        <v>9.2833333333333314</v>
      </c>
      <c r="F74" s="191">
        <f t="shared" si="10"/>
        <v>10.073790145422709</v>
      </c>
      <c r="G74" s="192">
        <f t="shared" si="11"/>
        <v>10.241333333557122</v>
      </c>
      <c r="H74" s="191">
        <f t="shared" si="12"/>
        <v>4034.6210150826823</v>
      </c>
      <c r="I74" s="191">
        <f t="shared" ref="I74:I89" si="15">+(C74-D74)^2</f>
        <v>4050.0496000000012</v>
      </c>
      <c r="J74" s="191">
        <f t="shared" ref="J74:J89" si="16">+(C74-E74)^2</f>
        <v>4157.2405444444457</v>
      </c>
      <c r="K74" s="191">
        <f t="shared" si="3"/>
        <v>4055.9333256412588</v>
      </c>
      <c r="L74" s="177"/>
      <c r="M74" s="177"/>
      <c r="N74" s="177"/>
      <c r="O74" s="155"/>
      <c r="P74" s="155"/>
    </row>
    <row r="75" spans="1:16" ht="18" customHeight="1" x14ac:dyDescent="0.25">
      <c r="A75" s="173">
        <v>70</v>
      </c>
      <c r="B75" s="174">
        <f t="shared" si="9"/>
        <v>2015.7499999999948</v>
      </c>
      <c r="C75" s="174">
        <v>36.619999999999997</v>
      </c>
      <c r="D75" s="196">
        <f t="shared" si="13"/>
        <v>30.233333333333334</v>
      </c>
      <c r="E75" s="197">
        <f t="shared" si="14"/>
        <v>41.103333333333339</v>
      </c>
      <c r="F75" s="191">
        <f t="shared" si="10"/>
        <v>48.285516058169087</v>
      </c>
      <c r="G75" s="192">
        <f t="shared" si="11"/>
        <v>6.5990000002348097</v>
      </c>
      <c r="H75" s="191">
        <f t="shared" si="12"/>
        <v>901.26044098590137</v>
      </c>
      <c r="I75" s="191">
        <f t="shared" si="15"/>
        <v>40.789511111111068</v>
      </c>
      <c r="J75" s="191">
        <f t="shared" si="16"/>
        <v>20.100277777777851</v>
      </c>
      <c r="K75" s="191">
        <f t="shared" si="3"/>
        <v>136.08426490340088</v>
      </c>
      <c r="L75" s="177"/>
      <c r="M75" s="177"/>
      <c r="N75" s="177"/>
      <c r="O75" s="155"/>
      <c r="P75" s="155"/>
    </row>
    <row r="76" spans="1:16" ht="18" customHeight="1" x14ac:dyDescent="0.25">
      <c r="A76" s="173">
        <v>71</v>
      </c>
      <c r="B76" s="174">
        <f t="shared" si="9"/>
        <v>2015.833333333328</v>
      </c>
      <c r="C76" s="174">
        <v>5.0599999999999996</v>
      </c>
      <c r="D76" s="196">
        <f t="shared" si="13"/>
        <v>39.593333333333334</v>
      </c>
      <c r="E76" s="197">
        <f t="shared" si="14"/>
        <v>44.296666666666667</v>
      </c>
      <c r="F76" s="191">
        <f t="shared" si="10"/>
        <v>41.286206423267629</v>
      </c>
      <c r="G76" s="192">
        <f t="shared" si="11"/>
        <v>2.9566666668979451</v>
      </c>
      <c r="H76" s="191">
        <f t="shared" si="12"/>
        <v>4.4240111101381983</v>
      </c>
      <c r="I76" s="191">
        <f t="shared" si="15"/>
        <v>1192.5511111111109</v>
      </c>
      <c r="J76" s="191">
        <f t="shared" si="16"/>
        <v>1539.5160111111109</v>
      </c>
      <c r="K76" s="191">
        <f t="shared" si="3"/>
        <v>1312.3380318211966</v>
      </c>
      <c r="L76" s="177"/>
      <c r="M76" s="177"/>
      <c r="N76" s="177"/>
      <c r="O76" s="155"/>
      <c r="P76" s="155"/>
    </row>
    <row r="77" spans="1:16" ht="18" customHeight="1" x14ac:dyDescent="0.25">
      <c r="A77" s="173">
        <v>72</v>
      </c>
      <c r="B77" s="174">
        <f t="shared" si="9"/>
        <v>2015.9166666666613</v>
      </c>
      <c r="C77" s="174">
        <v>0</v>
      </c>
      <c r="D77" s="196">
        <f t="shared" si="13"/>
        <v>38.479999999999997</v>
      </c>
      <c r="E77" s="197">
        <f t="shared" si="14"/>
        <v>27.03</v>
      </c>
      <c r="F77" s="191">
        <f t="shared" si="10"/>
        <v>19.55048256930705</v>
      </c>
      <c r="G77" s="192">
        <f t="shared" si="11"/>
        <v>-0.68566666642436758</v>
      </c>
      <c r="H77" s="191">
        <f t="shared" si="12"/>
        <v>0.47013877744550497</v>
      </c>
      <c r="I77" s="191">
        <f t="shared" si="15"/>
        <v>1480.7103999999997</v>
      </c>
      <c r="J77" s="191">
        <f t="shared" si="16"/>
        <v>730.62090000000001</v>
      </c>
      <c r="K77" s="191">
        <f t="shared" si="3"/>
        <v>382.22136869277881</v>
      </c>
      <c r="L77" s="177"/>
      <c r="M77" s="177"/>
      <c r="N77" s="177"/>
      <c r="O77" s="155"/>
      <c r="P77" s="155"/>
    </row>
    <row r="78" spans="1:16" ht="18" customHeight="1" x14ac:dyDescent="0.25">
      <c r="A78" s="173">
        <v>73</v>
      </c>
      <c r="B78" s="174">
        <f t="shared" si="9"/>
        <v>2015.9999999999945</v>
      </c>
      <c r="C78" s="174">
        <v>17.28</v>
      </c>
      <c r="D78" s="196">
        <f t="shared" si="13"/>
        <v>13.893333333333333</v>
      </c>
      <c r="E78" s="197">
        <f t="shared" si="14"/>
        <v>7.7899999999999991</v>
      </c>
      <c r="F78" s="191">
        <f t="shared" si="10"/>
        <v>7.8201930277228202</v>
      </c>
      <c r="G78" s="192">
        <f t="shared" si="11"/>
        <v>-4.3279999997612322</v>
      </c>
      <c r="H78" s="191">
        <f t="shared" si="12"/>
        <v>466.90566398968144</v>
      </c>
      <c r="I78" s="191">
        <f t="shared" si="15"/>
        <v>11.469511111111123</v>
      </c>
      <c r="J78" s="191">
        <f t="shared" si="16"/>
        <v>90.060100000000034</v>
      </c>
      <c r="K78" s="191">
        <f t="shared" si="3"/>
        <v>89.48794795274398</v>
      </c>
      <c r="L78" s="177"/>
      <c r="M78" s="177"/>
      <c r="N78" s="177"/>
      <c r="O78" s="155"/>
      <c r="P78" s="155"/>
    </row>
    <row r="79" spans="1:16" ht="18" customHeight="1" x14ac:dyDescent="0.25">
      <c r="A79" s="173">
        <v>74</v>
      </c>
      <c r="B79" s="174">
        <f t="shared" si="9"/>
        <v>2016.0833333333278</v>
      </c>
      <c r="C79" s="174">
        <v>1.2</v>
      </c>
      <c r="D79" s="196">
        <f t="shared" si="13"/>
        <v>7.4466666666666663</v>
      </c>
      <c r="E79" s="197">
        <f t="shared" si="14"/>
        <v>9.4833333333333343</v>
      </c>
      <c r="F79" s="191">
        <f t="shared" si="10"/>
        <v>13.496077211089128</v>
      </c>
      <c r="G79" s="192">
        <f t="shared" si="11"/>
        <v>-7.9703333330835449</v>
      </c>
      <c r="H79" s="191">
        <f t="shared" si="12"/>
        <v>84.095013439863138</v>
      </c>
      <c r="I79" s="191">
        <f t="shared" si="15"/>
        <v>39.020844444444435</v>
      </c>
      <c r="J79" s="191">
        <f t="shared" si="16"/>
        <v>68.61361111111114</v>
      </c>
      <c r="K79" s="191">
        <f t="shared" si="3"/>
        <v>151.1935147810654</v>
      </c>
      <c r="L79" s="177"/>
      <c r="M79" s="177"/>
      <c r="N79" s="177"/>
      <c r="O79" s="155"/>
      <c r="P79" s="155"/>
    </row>
    <row r="80" spans="1:16" ht="18" customHeight="1" x14ac:dyDescent="0.25">
      <c r="A80" s="173">
        <v>75</v>
      </c>
      <c r="B80" s="174">
        <f t="shared" si="9"/>
        <v>2016.1666666666611</v>
      </c>
      <c r="C80" s="174">
        <v>23.62</v>
      </c>
      <c r="D80" s="196">
        <f t="shared" si="13"/>
        <v>6.16</v>
      </c>
      <c r="E80" s="197">
        <f t="shared" si="14"/>
        <v>6.3599999999999994</v>
      </c>
      <c r="F80" s="191">
        <f t="shared" si="10"/>
        <v>6.118430884435651</v>
      </c>
      <c r="G80" s="192">
        <f t="shared" si="11"/>
        <v>-11.612666666420409</v>
      </c>
      <c r="H80" s="191">
        <f t="shared" si="12"/>
        <v>1241.3408004270921</v>
      </c>
      <c r="I80" s="191">
        <f t="shared" si="15"/>
        <v>304.85160000000002</v>
      </c>
      <c r="J80" s="191">
        <f t="shared" si="16"/>
        <v>297.90760000000006</v>
      </c>
      <c r="K80" s="191">
        <f t="shared" si="3"/>
        <v>306.30492150687593</v>
      </c>
      <c r="L80" s="177"/>
      <c r="M80" s="177"/>
      <c r="N80" s="177"/>
      <c r="O80" s="155"/>
      <c r="P80" s="155"/>
    </row>
    <row r="81" spans="1:16" ht="18" customHeight="1" x14ac:dyDescent="0.25">
      <c r="A81" s="173">
        <v>76</v>
      </c>
      <c r="B81" s="174">
        <f t="shared" si="9"/>
        <v>2016.2499999999943</v>
      </c>
      <c r="C81" s="174">
        <v>9.1</v>
      </c>
      <c r="D81" s="196">
        <f t="shared" si="13"/>
        <v>14.033333333333333</v>
      </c>
      <c r="E81" s="197">
        <f t="shared" si="14"/>
        <v>15.09</v>
      </c>
      <c r="F81" s="191">
        <f t="shared" si="10"/>
        <v>16.61937235377426</v>
      </c>
      <c r="G81" s="192">
        <f t="shared" si="11"/>
        <v>-15.254999999742722</v>
      </c>
      <c r="H81" s="191">
        <f t="shared" si="12"/>
        <v>593.16602498746806</v>
      </c>
      <c r="I81" s="191">
        <f t="shared" si="15"/>
        <v>24.337777777777781</v>
      </c>
      <c r="J81" s="191">
        <f t="shared" si="16"/>
        <v>35.880100000000006</v>
      </c>
      <c r="K81" s="191">
        <f t="shared" si="3"/>
        <v>56.540960594704657</v>
      </c>
      <c r="L81" s="177"/>
      <c r="M81" s="177"/>
      <c r="N81" s="177"/>
      <c r="O81" s="155"/>
      <c r="P81" s="155"/>
    </row>
    <row r="82" spans="1:16" ht="18" customHeight="1" x14ac:dyDescent="0.25">
      <c r="A82" s="173">
        <v>77</v>
      </c>
      <c r="B82" s="174">
        <f t="shared" si="9"/>
        <v>2016.3333333333276</v>
      </c>
      <c r="C82" s="174">
        <v>10.24</v>
      </c>
      <c r="D82" s="196">
        <f t="shared" si="13"/>
        <v>11.306666666666667</v>
      </c>
      <c r="E82" s="197">
        <f t="shared" si="14"/>
        <v>12.623333333333331</v>
      </c>
      <c r="F82" s="191">
        <f t="shared" si="10"/>
        <v>12.107748941509705</v>
      </c>
      <c r="G82" s="192">
        <f t="shared" si="11"/>
        <v>-18.897333333079587</v>
      </c>
      <c r="H82" s="191">
        <f t="shared" si="12"/>
        <v>848.98419376299091</v>
      </c>
      <c r="I82" s="191">
        <f t="shared" si="15"/>
        <v>1.1377777777777773</v>
      </c>
      <c r="J82" s="191">
        <f t="shared" si="16"/>
        <v>5.6802777777777669</v>
      </c>
      <c r="K82" s="191">
        <f t="shared" si="3"/>
        <v>3.4884861085106218</v>
      </c>
      <c r="L82" s="177"/>
      <c r="M82" s="177"/>
      <c r="N82" s="177"/>
      <c r="O82" s="155"/>
      <c r="P82" s="155"/>
    </row>
    <row r="83" spans="1:16" ht="18" customHeight="1" x14ac:dyDescent="0.25">
      <c r="A83" s="173">
        <v>78</v>
      </c>
      <c r="B83" s="174">
        <f t="shared" ref="B83:B89" si="17">+B82+$H$3</f>
        <v>2016.4166666666608</v>
      </c>
      <c r="C83" s="174">
        <v>18.739999999999998</v>
      </c>
      <c r="D83" s="196">
        <f t="shared" si="13"/>
        <v>14.32</v>
      </c>
      <c r="E83" s="197">
        <f t="shared" si="14"/>
        <v>12.09</v>
      </c>
      <c r="F83" s="191">
        <f t="shared" si="10"/>
        <v>10.987099576603882</v>
      </c>
      <c r="G83" s="192">
        <f t="shared" si="11"/>
        <v>-22.539666666401899</v>
      </c>
      <c r="H83" s="191">
        <f t="shared" si="12"/>
        <v>1704.0108800892517</v>
      </c>
      <c r="I83" s="191">
        <f t="shared" si="15"/>
        <v>19.536399999999983</v>
      </c>
      <c r="J83" s="191">
        <f t="shared" si="16"/>
        <v>44.222499999999982</v>
      </c>
      <c r="K83" s="191">
        <f t="shared" si="3"/>
        <v>60.107464975095688</v>
      </c>
      <c r="L83" s="177"/>
      <c r="M83" s="177"/>
      <c r="N83" s="177"/>
      <c r="O83" s="155"/>
      <c r="P83" s="155"/>
    </row>
    <row r="84" spans="1:16" ht="18" customHeight="1" x14ac:dyDescent="0.25">
      <c r="A84" s="173">
        <v>79</v>
      </c>
      <c r="B84" s="174">
        <f t="shared" si="17"/>
        <v>2016.4999999999941</v>
      </c>
      <c r="C84" s="174">
        <v>17.28</v>
      </c>
      <c r="D84" s="196">
        <f t="shared" si="13"/>
        <v>12.693333333333333</v>
      </c>
      <c r="E84" s="197">
        <f t="shared" si="14"/>
        <v>14.299999999999999</v>
      </c>
      <c r="F84" s="191">
        <f t="shared" si="10"/>
        <v>15.638839830641551</v>
      </c>
      <c r="G84" s="192">
        <f t="shared" si="11"/>
        <v>-26.181999999738764</v>
      </c>
      <c r="H84" s="191">
        <f t="shared" si="12"/>
        <v>1888.9454439772924</v>
      </c>
      <c r="I84" s="191">
        <f t="shared" si="15"/>
        <v>21.037511111111122</v>
      </c>
      <c r="J84" s="191">
        <f t="shared" si="16"/>
        <v>8.8804000000000123</v>
      </c>
      <c r="K84" s="191">
        <f t="shared" si="3"/>
        <v>2.6934067014886565</v>
      </c>
      <c r="L84" s="177"/>
      <c r="M84" s="177"/>
      <c r="N84" s="177"/>
      <c r="O84" s="155"/>
      <c r="P84" s="155"/>
    </row>
    <row r="85" spans="1:16" ht="18" customHeight="1" x14ac:dyDescent="0.25">
      <c r="A85" s="173">
        <v>80</v>
      </c>
      <c r="B85" s="174">
        <f t="shared" si="17"/>
        <v>2016.5833333333273</v>
      </c>
      <c r="C85" s="174">
        <v>1.2</v>
      </c>
      <c r="D85" s="196">
        <f t="shared" si="13"/>
        <v>15.42</v>
      </c>
      <c r="E85" s="197">
        <f t="shared" si="14"/>
        <v>16.593333333333334</v>
      </c>
      <c r="F85" s="191">
        <f t="shared" si="10"/>
        <v>16.623535932256623</v>
      </c>
      <c r="G85" s="192">
        <f t="shared" si="11"/>
        <v>-29.824333333075629</v>
      </c>
      <c r="H85" s="191">
        <f t="shared" si="12"/>
        <v>962.50925876178746</v>
      </c>
      <c r="I85" s="191">
        <f t="shared" si="15"/>
        <v>202.20840000000001</v>
      </c>
      <c r="J85" s="191">
        <f t="shared" si="16"/>
        <v>236.95471111111115</v>
      </c>
      <c r="K85" s="191">
        <f t="shared" si="3"/>
        <v>237.88546065361118</v>
      </c>
      <c r="L85" s="177"/>
      <c r="M85" s="177"/>
      <c r="N85" s="177"/>
      <c r="O85" s="155"/>
      <c r="P85" s="155"/>
    </row>
    <row r="86" spans="1:16" ht="18" customHeight="1" x14ac:dyDescent="0.25">
      <c r="A86" s="173">
        <v>81</v>
      </c>
      <c r="B86" s="174">
        <f t="shared" si="17"/>
        <v>2016.6666666666606</v>
      </c>
      <c r="C86" s="174">
        <v>23.62</v>
      </c>
      <c r="D86" s="196">
        <f t="shared" si="13"/>
        <v>12.406666666666666</v>
      </c>
      <c r="E86" s="197">
        <f t="shared" si="14"/>
        <v>9.4833333333333325</v>
      </c>
      <c r="F86" s="191">
        <f t="shared" si="10"/>
        <v>7.3694143729026491</v>
      </c>
      <c r="G86" s="192">
        <f t="shared" si="11"/>
        <v>-33.466666666397941</v>
      </c>
      <c r="H86" s="191">
        <f t="shared" si="12"/>
        <v>3258.8875110804302</v>
      </c>
      <c r="I86" s="191">
        <f t="shared" si="15"/>
        <v>125.73884444444448</v>
      </c>
      <c r="J86" s="191">
        <f t="shared" si="16"/>
        <v>199.84534444444449</v>
      </c>
      <c r="K86" s="191">
        <f t="shared" si="3"/>
        <v>264.08153322362301</v>
      </c>
      <c r="L86" s="177"/>
      <c r="M86" s="177"/>
      <c r="N86" s="177"/>
      <c r="O86" s="155"/>
      <c r="P86" s="155"/>
    </row>
    <row r="87" spans="1:16" ht="18" customHeight="1" x14ac:dyDescent="0.25">
      <c r="A87" s="173">
        <v>82</v>
      </c>
      <c r="B87" s="174">
        <f t="shared" si="17"/>
        <v>2016.7499999999939</v>
      </c>
      <c r="C87" s="174">
        <v>9.1</v>
      </c>
      <c r="D87" s="196">
        <f t="shared" si="13"/>
        <v>14.033333333333333</v>
      </c>
      <c r="E87" s="197">
        <f t="shared" si="14"/>
        <v>15.09</v>
      </c>
      <c r="F87" s="191">
        <f t="shared" si="10"/>
        <v>17.119765749161061</v>
      </c>
      <c r="G87" s="192">
        <f t="shared" si="11"/>
        <v>-37.108999999734806</v>
      </c>
      <c r="H87" s="191">
        <f t="shared" si="12"/>
        <v>2135.2716809754916</v>
      </c>
      <c r="I87" s="191">
        <f t="shared" si="15"/>
        <v>24.337777777777781</v>
      </c>
      <c r="J87" s="191">
        <f t="shared" si="16"/>
        <v>35.880100000000006</v>
      </c>
      <c r="K87" s="191">
        <f t="shared" si="3"/>
        <v>64.316642671416886</v>
      </c>
      <c r="L87" s="177"/>
      <c r="M87" s="177"/>
      <c r="N87" s="177"/>
      <c r="O87" s="155"/>
      <c r="P87" s="155"/>
    </row>
    <row r="88" spans="1:16" ht="18" customHeight="1" x14ac:dyDescent="0.25">
      <c r="A88" s="173">
        <v>83</v>
      </c>
      <c r="B88" s="174">
        <f t="shared" si="17"/>
        <v>2016.8333333333271</v>
      </c>
      <c r="C88" s="174">
        <v>10.24</v>
      </c>
      <c r="D88" s="196">
        <f>+AVERAGE(C85:C87)</f>
        <v>11.306666666666667</v>
      </c>
      <c r="E88" s="197">
        <f>+SUMPRODUCT($N$2:$N$4,C85:C87)</f>
        <v>12.623333333333331</v>
      </c>
      <c r="F88" s="191">
        <f t="shared" si="10"/>
        <v>12.307906299664424</v>
      </c>
      <c r="G88" s="192">
        <f t="shared" si="11"/>
        <v>-40.751333333057119</v>
      </c>
      <c r="H88" s="191">
        <f t="shared" si="12"/>
        <v>2600.1160750829422</v>
      </c>
      <c r="I88" s="191">
        <f t="shared" si="15"/>
        <v>1.1377777777777773</v>
      </c>
      <c r="J88" s="191">
        <f t="shared" si="16"/>
        <v>5.6802777777777669</v>
      </c>
      <c r="K88" s="191">
        <f t="shared" si="3"/>
        <v>4.2762364641918094</v>
      </c>
      <c r="L88" s="177"/>
      <c r="M88" s="177"/>
      <c r="N88" s="177"/>
      <c r="O88" s="155"/>
      <c r="P88" s="155"/>
    </row>
    <row r="89" spans="1:16" ht="18" customHeight="1" x14ac:dyDescent="0.25">
      <c r="A89" s="173">
        <v>84</v>
      </c>
      <c r="B89" s="174">
        <f t="shared" si="17"/>
        <v>2016.9166666666604</v>
      </c>
      <c r="C89" s="174">
        <v>18.739999999999998</v>
      </c>
      <c r="D89" s="196">
        <f t="shared" ref="D89:D92" si="18">+AVERAGE(C86:C88)</f>
        <v>14.32</v>
      </c>
      <c r="E89" s="197">
        <f>+SUMPRODUCT($N$2:$N$4,C86:C88)</f>
        <v>12.09</v>
      </c>
      <c r="F89" s="191">
        <f t="shared" si="10"/>
        <v>11.06716251986577</v>
      </c>
      <c r="G89" s="192">
        <f t="shared" si="11"/>
        <v>-44.393666666393983</v>
      </c>
      <c r="H89" s="191">
        <f>+(C89-G89)^2</f>
        <v>3985.8598667433462</v>
      </c>
      <c r="I89" s="191">
        <f t="shared" si="15"/>
        <v>19.536399999999983</v>
      </c>
      <c r="J89" s="191">
        <f t="shared" si="16"/>
        <v>44.222499999999982</v>
      </c>
      <c r="K89" s="191">
        <f t="shared" si="3"/>
        <v>58.872434996552578</v>
      </c>
      <c r="L89" s="177"/>
      <c r="M89" s="177"/>
      <c r="N89" s="177"/>
      <c r="O89" s="155"/>
      <c r="P89" s="155"/>
    </row>
    <row r="90" spans="1:16" ht="20.100000000000001" customHeight="1" x14ac:dyDescent="0.25">
      <c r="A90" s="175"/>
      <c r="B90" s="174">
        <f>+B89+$H$3</f>
        <v>2016.9999999999936</v>
      </c>
      <c r="C90" s="206">
        <f>+D90</f>
        <v>12.693333333333333</v>
      </c>
      <c r="D90" s="196">
        <f t="shared" si="18"/>
        <v>12.693333333333333</v>
      </c>
      <c r="E90" s="191">
        <f>+SUMPRODUCT($N$2:$N$4,C87:C89)</f>
        <v>14.299999999999999</v>
      </c>
      <c r="F90" s="191">
        <f>+(C89*$F$3)+(F89*0.4)</f>
        <v>15.670865007946306</v>
      </c>
      <c r="G90" s="191">
        <f>+$E$96+$E$97*B90</f>
        <v>-48.035999999716296</v>
      </c>
      <c r="H90" s="183"/>
      <c r="I90" s="183"/>
      <c r="J90" s="183"/>
      <c r="K90" s="183"/>
      <c r="L90" s="177"/>
      <c r="M90" s="177"/>
      <c r="N90" s="177"/>
      <c r="O90" s="155"/>
      <c r="P90" s="155"/>
    </row>
    <row r="91" spans="1:16" ht="15" x14ac:dyDescent="0.25">
      <c r="A91" s="175"/>
      <c r="B91" s="174">
        <f t="shared" ref="B91:B93" si="19">+B90+$H$3</f>
        <v>2017.0833333333269</v>
      </c>
      <c r="C91" s="206">
        <f>+D91</f>
        <v>13.89111111111111</v>
      </c>
      <c r="D91" s="196">
        <f t="shared" si="18"/>
        <v>13.89111111111111</v>
      </c>
      <c r="E91" s="292"/>
      <c r="F91" s="183"/>
      <c r="G91" s="191">
        <f>+$E$96+$E$97*B91</f>
        <v>-51.67833333305316</v>
      </c>
      <c r="H91" s="177"/>
      <c r="I91" s="177"/>
      <c r="J91" s="177"/>
      <c r="K91" s="177"/>
      <c r="L91" s="177"/>
      <c r="M91" s="177"/>
      <c r="N91" s="177"/>
      <c r="O91" s="155"/>
      <c r="P91" s="155"/>
    </row>
    <row r="92" spans="1:16" ht="15" x14ac:dyDescent="0.25">
      <c r="A92" s="175"/>
      <c r="B92" s="174">
        <f t="shared" si="19"/>
        <v>2017.1666666666601</v>
      </c>
      <c r="C92" s="206">
        <f>+D92</f>
        <v>15.108148148148146</v>
      </c>
      <c r="D92" s="196">
        <f t="shared" si="18"/>
        <v>15.108148148148146</v>
      </c>
      <c r="E92" s="292"/>
      <c r="F92" s="183"/>
      <c r="G92" s="191">
        <f>+$E$96+$E$97*B92</f>
        <v>-55.320666666375473</v>
      </c>
      <c r="H92" s="177"/>
      <c r="I92" s="177"/>
      <c r="J92" s="177"/>
      <c r="K92" s="177"/>
      <c r="L92" s="177"/>
      <c r="M92" s="177"/>
      <c r="N92" s="177"/>
      <c r="O92" s="155"/>
      <c r="P92" s="155"/>
    </row>
    <row r="93" spans="1:16" ht="15" x14ac:dyDescent="0.25">
      <c r="A93" s="175"/>
      <c r="B93" s="174">
        <f t="shared" si="19"/>
        <v>2017.2499999999934</v>
      </c>
      <c r="C93" s="177"/>
      <c r="D93" s="292"/>
      <c r="E93" s="292"/>
      <c r="F93" s="183"/>
      <c r="G93" s="191">
        <f>+$E$96+$E$97*B93</f>
        <v>-58.962999999712338</v>
      </c>
      <c r="H93" s="177"/>
      <c r="I93" s="177"/>
      <c r="J93" s="177"/>
      <c r="K93" s="177"/>
      <c r="L93" s="177"/>
      <c r="M93" s="177"/>
      <c r="N93" s="177"/>
      <c r="O93" s="155"/>
      <c r="P93" s="155"/>
    </row>
    <row r="94" spans="1:16" ht="15.75" x14ac:dyDescent="0.25">
      <c r="B94" s="165"/>
      <c r="C94" s="155"/>
      <c r="D94" s="155"/>
      <c r="E94" s="155"/>
      <c r="F94" s="157"/>
      <c r="G94" s="157"/>
      <c r="H94" s="155"/>
      <c r="I94" s="155"/>
      <c r="J94" s="155"/>
      <c r="K94" s="155"/>
      <c r="L94" s="155"/>
      <c r="M94" s="155"/>
      <c r="N94" s="155"/>
      <c r="O94" s="155"/>
      <c r="P94" s="155"/>
    </row>
    <row r="95" spans="1:16" x14ac:dyDescent="0.2">
      <c r="B95" s="166"/>
      <c r="C95" s="155"/>
      <c r="D95" s="155"/>
      <c r="E95" s="155"/>
      <c r="F95" s="155" t="s">
        <v>408</v>
      </c>
      <c r="G95" s="155" t="s">
        <v>409</v>
      </c>
      <c r="H95" s="297">
        <f>+AVERAGE(H6:H89)</f>
        <v>5285.5373111457493</v>
      </c>
      <c r="I95" s="158">
        <f>+AVERAGE(I9:I89)</f>
        <v>6162.2460432098787</v>
      </c>
      <c r="J95" s="297">
        <f>+AVERAGE(J9:J89)</f>
        <v>6223.9018539437566</v>
      </c>
      <c r="K95" s="297">
        <f>+AVERAGE(K7:K89)</f>
        <v>6405.569810298618</v>
      </c>
      <c r="L95" s="155"/>
      <c r="M95" s="155"/>
      <c r="N95" s="155"/>
      <c r="O95" s="155"/>
      <c r="P95" s="155"/>
    </row>
    <row r="96" spans="1:16" ht="18" customHeight="1" x14ac:dyDescent="0.2">
      <c r="B96" s="472" t="s">
        <v>410</v>
      </c>
      <c r="C96" s="472"/>
      <c r="D96" s="159" t="s">
        <v>411</v>
      </c>
      <c r="E96" s="160">
        <v>88111</v>
      </c>
      <c r="F96" s="161"/>
      <c r="G96" s="473" t="s">
        <v>417</v>
      </c>
      <c r="H96" s="473"/>
      <c r="I96" s="155"/>
      <c r="J96" s="474"/>
      <c r="K96" s="474" t="s">
        <v>412</v>
      </c>
      <c r="L96" s="155"/>
      <c r="M96" s="155"/>
      <c r="N96" s="155"/>
      <c r="O96" s="155"/>
      <c r="P96" s="155"/>
    </row>
    <row r="97" spans="2:16" ht="18" customHeight="1" x14ac:dyDescent="0.2">
      <c r="B97" s="472"/>
      <c r="C97" s="472"/>
      <c r="D97" s="159" t="s">
        <v>413</v>
      </c>
      <c r="E97" s="160">
        <v>-43.707999999999998</v>
      </c>
      <c r="F97" s="161"/>
      <c r="G97" s="473"/>
      <c r="H97" s="473"/>
      <c r="I97" s="155"/>
      <c r="J97" s="475"/>
      <c r="K97" s="476"/>
      <c r="L97" s="155"/>
      <c r="M97" s="155"/>
      <c r="N97" s="155"/>
      <c r="O97" s="155"/>
      <c r="P97" s="155"/>
    </row>
    <row r="98" spans="2:16" x14ac:dyDescent="0.2">
      <c r="B98" s="166"/>
      <c r="C98" s="155"/>
      <c r="D98" s="155"/>
      <c r="E98" s="155"/>
      <c r="F98" s="155"/>
      <c r="G98" s="473"/>
      <c r="H98" s="473"/>
      <c r="I98" s="155"/>
      <c r="J98" s="155"/>
      <c r="K98" s="155"/>
      <c r="L98" s="155"/>
      <c r="M98" s="155"/>
      <c r="N98" s="155"/>
      <c r="O98" s="155"/>
      <c r="P98" s="155"/>
    </row>
    <row r="99" spans="2:16" x14ac:dyDescent="0.2">
      <c r="B99" s="166" t="s">
        <v>414</v>
      </c>
      <c r="C99" s="155"/>
      <c r="D99" s="155"/>
      <c r="E99" s="155"/>
      <c r="F99" s="155"/>
      <c r="G99" s="473"/>
      <c r="H99" s="473"/>
      <c r="I99" s="155"/>
      <c r="J99" s="155"/>
      <c r="K99" s="155"/>
      <c r="L99" s="155"/>
      <c r="M99" s="155"/>
      <c r="N99" s="155"/>
      <c r="O99" s="155"/>
      <c r="P99" s="155"/>
    </row>
    <row r="100" spans="2:16" ht="18.75" customHeight="1" x14ac:dyDescent="0.2">
      <c r="B100" s="166"/>
      <c r="C100" s="155"/>
      <c r="D100" s="155"/>
      <c r="E100" s="155"/>
      <c r="F100" s="155"/>
      <c r="G100" s="473"/>
      <c r="H100" s="473"/>
      <c r="I100" s="155"/>
      <c r="J100" s="155"/>
      <c r="K100" s="155"/>
      <c r="L100" s="155"/>
      <c r="M100" s="155"/>
      <c r="N100" s="155"/>
      <c r="O100" s="155"/>
      <c r="P100" s="155"/>
    </row>
    <row r="101" spans="2:16" x14ac:dyDescent="0.2">
      <c r="B101" s="166"/>
      <c r="C101" s="155"/>
      <c r="D101" s="155"/>
      <c r="E101" s="155"/>
      <c r="F101" s="155"/>
      <c r="G101" s="473"/>
      <c r="H101" s="473"/>
      <c r="I101" s="155"/>
      <c r="J101" s="155"/>
      <c r="K101" s="155"/>
      <c r="L101" s="155"/>
      <c r="M101" s="155"/>
      <c r="N101" s="155"/>
      <c r="O101" s="155"/>
      <c r="P101" s="155"/>
    </row>
    <row r="102" spans="2:16" x14ac:dyDescent="0.2">
      <c r="B102" s="166"/>
      <c r="C102" s="155"/>
      <c r="D102" s="155"/>
      <c r="E102" s="155"/>
      <c r="F102" s="155"/>
      <c r="G102" s="162"/>
      <c r="H102" s="162"/>
      <c r="I102" s="155"/>
      <c r="J102" s="155"/>
      <c r="K102" s="155"/>
      <c r="L102" s="155"/>
      <c r="M102" s="155"/>
      <c r="N102" s="155"/>
      <c r="O102" s="155"/>
      <c r="P102" s="155"/>
    </row>
    <row r="103" spans="2:16" x14ac:dyDescent="0.2">
      <c r="B103" s="166"/>
      <c r="C103" s="155"/>
      <c r="D103" s="155"/>
      <c r="E103" s="155"/>
      <c r="F103" s="155"/>
      <c r="G103" s="155"/>
      <c r="H103" s="155"/>
      <c r="I103" s="155"/>
      <c r="J103" s="155"/>
      <c r="K103" s="155"/>
      <c r="L103" s="155"/>
      <c r="M103" s="155"/>
      <c r="N103" s="155"/>
      <c r="O103" s="155"/>
      <c r="P103" s="155"/>
    </row>
    <row r="104" spans="2:16" x14ac:dyDescent="0.2">
      <c r="B104" s="166"/>
      <c r="C104" s="155"/>
      <c r="D104" s="155"/>
      <c r="E104" s="155"/>
      <c r="F104" s="155"/>
      <c r="G104" s="155"/>
      <c r="H104" s="155"/>
      <c r="I104" s="155"/>
      <c r="J104" s="155"/>
      <c r="K104" s="155"/>
      <c r="L104" s="155"/>
      <c r="M104" s="155"/>
      <c r="N104" s="155"/>
      <c r="O104" s="155"/>
      <c r="P104" s="155"/>
    </row>
    <row r="105" spans="2:16" x14ac:dyDescent="0.2">
      <c r="B105" s="166"/>
      <c r="C105" s="155"/>
      <c r="D105" s="155"/>
      <c r="E105" s="155"/>
      <c r="F105" s="155"/>
      <c r="G105" s="155"/>
      <c r="H105" s="155"/>
      <c r="I105" s="155"/>
      <c r="J105" s="155"/>
      <c r="K105" s="155"/>
      <c r="L105" s="155"/>
      <c r="M105" s="155"/>
      <c r="N105" s="155"/>
      <c r="O105" s="155"/>
      <c r="P105" s="155"/>
    </row>
    <row r="106" spans="2:16" x14ac:dyDescent="0.2">
      <c r="B106" s="166"/>
      <c r="C106" s="155"/>
      <c r="D106" s="155"/>
      <c r="E106" s="155"/>
      <c r="F106" s="155"/>
      <c r="G106" s="155"/>
      <c r="H106" s="155"/>
      <c r="I106" s="155"/>
      <c r="J106" s="155"/>
      <c r="K106" s="155"/>
      <c r="L106" s="155"/>
      <c r="M106" s="155"/>
      <c r="N106" s="155"/>
      <c r="O106" s="155"/>
      <c r="P106" s="155"/>
    </row>
    <row r="107" spans="2:16" x14ac:dyDescent="0.2">
      <c r="B107" s="166"/>
      <c r="C107" s="155"/>
      <c r="D107" s="155"/>
      <c r="E107" s="155"/>
      <c r="F107" s="155"/>
      <c r="G107" s="155"/>
      <c r="H107" s="155"/>
      <c r="I107" s="155"/>
      <c r="J107" s="155"/>
      <c r="K107" s="155"/>
      <c r="L107" s="155"/>
      <c r="M107" s="155"/>
      <c r="N107" s="155"/>
      <c r="O107" s="155"/>
      <c r="P107" s="155"/>
    </row>
    <row r="108" spans="2:16" x14ac:dyDescent="0.2">
      <c r="B108" s="166"/>
      <c r="C108" s="155"/>
      <c r="D108" s="155"/>
      <c r="E108" s="155"/>
      <c r="F108" s="155"/>
      <c r="G108" s="155"/>
      <c r="H108" s="155"/>
      <c r="I108" s="155"/>
      <c r="J108" s="155"/>
      <c r="K108" s="155"/>
      <c r="L108" s="155"/>
      <c r="M108" s="155"/>
      <c r="N108" s="155"/>
      <c r="O108" s="155"/>
      <c r="P108" s="155"/>
    </row>
    <row r="109" spans="2:16" x14ac:dyDescent="0.2">
      <c r="B109" s="166"/>
      <c r="C109" s="155"/>
      <c r="D109" s="155"/>
      <c r="E109" s="155"/>
      <c r="F109" s="155"/>
      <c r="G109" s="155"/>
      <c r="H109" s="155"/>
      <c r="I109" s="155"/>
      <c r="J109" s="155"/>
      <c r="K109" s="155"/>
      <c r="L109" s="155"/>
      <c r="M109" s="155"/>
      <c r="N109" s="155"/>
      <c r="O109" s="155"/>
      <c r="P109" s="155"/>
    </row>
    <row r="110" spans="2:16" x14ac:dyDescent="0.2">
      <c r="B110" s="166"/>
      <c r="C110" s="155"/>
      <c r="D110" s="155"/>
      <c r="E110" s="155"/>
      <c r="F110" s="155"/>
      <c r="G110" s="155"/>
      <c r="H110" s="155"/>
      <c r="I110" s="155"/>
      <c r="J110" s="155"/>
      <c r="K110" s="155"/>
      <c r="L110" s="155"/>
      <c r="M110" s="155"/>
      <c r="N110" s="155"/>
      <c r="O110" s="155"/>
      <c r="P110" s="155"/>
    </row>
    <row r="111" spans="2:16" x14ac:dyDescent="0.2">
      <c r="B111" s="166"/>
      <c r="C111" s="155"/>
      <c r="D111" s="155"/>
      <c r="E111" s="155"/>
      <c r="F111" s="155"/>
      <c r="G111" s="155"/>
      <c r="H111" s="155"/>
      <c r="I111" s="155"/>
      <c r="J111" s="155"/>
      <c r="K111" s="155"/>
      <c r="L111" s="155"/>
      <c r="M111" s="155"/>
      <c r="N111" s="155"/>
      <c r="O111" s="155"/>
      <c r="P111" s="155"/>
    </row>
    <row r="112" spans="2:16" x14ac:dyDescent="0.2">
      <c r="B112" s="166"/>
      <c r="C112" s="155"/>
      <c r="D112" s="155"/>
      <c r="E112" s="155"/>
      <c r="F112" s="155"/>
      <c r="G112" s="155"/>
      <c r="H112" s="155"/>
      <c r="I112" s="155"/>
      <c r="J112" s="155"/>
      <c r="K112" s="155"/>
      <c r="L112" s="155"/>
      <c r="M112" s="155"/>
      <c r="N112" s="155"/>
      <c r="O112" s="155"/>
      <c r="P112" s="155"/>
    </row>
    <row r="113" spans="1:12" x14ac:dyDescent="0.2">
      <c r="D113" s="155"/>
    </row>
    <row r="114" spans="1:12" x14ac:dyDescent="0.2">
      <c r="D114" s="155"/>
    </row>
    <row r="115" spans="1:12" x14ac:dyDescent="0.2">
      <c r="D115" s="155"/>
    </row>
    <row r="116" spans="1:12" x14ac:dyDescent="0.2">
      <c r="D116" s="155"/>
    </row>
    <row r="117" spans="1:12" x14ac:dyDescent="0.2">
      <c r="D117" s="155"/>
    </row>
    <row r="118" spans="1:12" x14ac:dyDescent="0.2">
      <c r="D118" s="155"/>
    </row>
    <row r="119" spans="1:12" x14ac:dyDescent="0.2">
      <c r="D119" s="155"/>
    </row>
    <row r="120" spans="1:12" x14ac:dyDescent="0.2">
      <c r="D120" s="155"/>
    </row>
    <row r="122" spans="1:12" ht="71.25" x14ac:dyDescent="0.2">
      <c r="A122" s="216" t="s">
        <v>487</v>
      </c>
      <c r="B122" s="199" t="s">
        <v>322</v>
      </c>
      <c r="C122" s="198" t="s">
        <v>426</v>
      </c>
      <c r="D122" s="198" t="s">
        <v>406</v>
      </c>
      <c r="E122" s="198" t="s">
        <v>407</v>
      </c>
      <c r="F122" s="198" t="s">
        <v>491</v>
      </c>
      <c r="G122" s="198" t="s">
        <v>488</v>
      </c>
      <c r="H122" s="198" t="s">
        <v>418</v>
      </c>
      <c r="I122" s="198" t="s">
        <v>423</v>
      </c>
      <c r="J122" s="198" t="s">
        <v>419</v>
      </c>
      <c r="K122" s="198" t="s">
        <v>420</v>
      </c>
      <c r="L122" s="329"/>
    </row>
    <row r="123" spans="1:12" x14ac:dyDescent="0.2">
      <c r="A123" s="301">
        <v>1</v>
      </c>
      <c r="B123" s="301" t="s">
        <v>204</v>
      </c>
      <c r="C123" s="301">
        <v>12.693333333333333</v>
      </c>
      <c r="D123" s="301">
        <v>12.693333333333333</v>
      </c>
      <c r="E123" s="301">
        <v>14.299999999999999</v>
      </c>
      <c r="F123" s="301">
        <v>15.670865007946306</v>
      </c>
      <c r="H123" s="456" t="s">
        <v>414</v>
      </c>
      <c r="I123" s="456"/>
      <c r="J123" s="456"/>
      <c r="K123" s="456"/>
      <c r="L123" s="348"/>
    </row>
    <row r="124" spans="1:12" x14ac:dyDescent="0.2">
      <c r="A124" s="301">
        <v>2</v>
      </c>
      <c r="B124" s="301" t="s">
        <v>205</v>
      </c>
      <c r="C124" s="301">
        <v>13.89111111111111</v>
      </c>
      <c r="D124" s="301">
        <v>13.89111111111111</v>
      </c>
      <c r="E124" s="323"/>
      <c r="F124" s="312"/>
      <c r="G124" s="347" t="s">
        <v>409</v>
      </c>
      <c r="H124" s="301">
        <v>5285.5373111457493</v>
      </c>
      <c r="I124" s="306">
        <v>6162.2460432098787</v>
      </c>
      <c r="J124" s="335">
        <v>6223.9018539437566</v>
      </c>
      <c r="K124" s="301">
        <v>6405.569810298618</v>
      </c>
      <c r="L124" s="348"/>
    </row>
    <row r="125" spans="1:12" x14ac:dyDescent="0.2">
      <c r="A125" s="301">
        <v>3</v>
      </c>
      <c r="B125" s="301" t="s">
        <v>206</v>
      </c>
      <c r="C125" s="301">
        <v>15.108148148148146</v>
      </c>
      <c r="D125" s="301">
        <v>15.108148148148146</v>
      </c>
      <c r="E125" s="344"/>
      <c r="F125" s="331"/>
      <c r="G125" s="317"/>
      <c r="H125" s="312"/>
      <c r="I125" s="330" t="s">
        <v>412</v>
      </c>
      <c r="J125" s="326"/>
      <c r="K125" s="312"/>
    </row>
    <row r="126" spans="1:12" x14ac:dyDescent="0.2">
      <c r="A126" s="326"/>
      <c r="B126" s="346"/>
      <c r="C126" s="312"/>
      <c r="D126" s="326"/>
      <c r="E126" s="345"/>
      <c r="F126" s="317"/>
      <c r="G126" s="331"/>
      <c r="H126" s="331"/>
      <c r="I126" s="317"/>
      <c r="J126" s="345"/>
      <c r="K126" s="331"/>
      <c r="L126" s="317"/>
    </row>
    <row r="127" spans="1:12" x14ac:dyDescent="0.2">
      <c r="A127" s="319"/>
      <c r="B127" s="325"/>
      <c r="C127" s="308"/>
      <c r="D127" s="315"/>
      <c r="E127" s="332"/>
      <c r="F127" s="332"/>
      <c r="G127" s="332"/>
      <c r="H127" s="332"/>
      <c r="I127" s="332"/>
      <c r="J127" s="319"/>
      <c r="K127" s="332"/>
      <c r="L127" s="308"/>
    </row>
    <row r="128" spans="1:12" ht="15.75" customHeight="1" x14ac:dyDescent="0.2">
      <c r="A128" s="470" t="s">
        <v>421</v>
      </c>
      <c r="B128" s="470"/>
      <c r="C128" s="470"/>
      <c r="D128" s="328"/>
      <c r="E128" s="317"/>
      <c r="F128" s="317"/>
      <c r="G128" s="327"/>
      <c r="H128" s="467" t="s">
        <v>483</v>
      </c>
      <c r="I128" s="467"/>
      <c r="J128" s="468" t="s">
        <v>482</v>
      </c>
      <c r="K128" s="469"/>
      <c r="L128" s="317"/>
    </row>
    <row r="129" spans="1:12" ht="15.75" customHeight="1" x14ac:dyDescent="0.2">
      <c r="A129" s="336" t="s">
        <v>480</v>
      </c>
      <c r="B129" s="205">
        <v>1</v>
      </c>
      <c r="C129" s="305">
        <f>+B129/B132</f>
        <v>0.16666666666666666</v>
      </c>
      <c r="D129" s="328"/>
      <c r="E129" s="317"/>
      <c r="F129" s="317"/>
      <c r="G129" s="327"/>
      <c r="H129" s="467"/>
      <c r="I129" s="467"/>
      <c r="J129" s="468"/>
      <c r="K129" s="469"/>
      <c r="L129" s="317"/>
    </row>
    <row r="130" spans="1:12" ht="15.75" customHeight="1" x14ac:dyDescent="0.2">
      <c r="A130" s="336" t="s">
        <v>486</v>
      </c>
      <c r="B130" s="205">
        <v>2</v>
      </c>
      <c r="C130" s="305">
        <f>+B130/$M$5</f>
        <v>0.33333333333333331</v>
      </c>
      <c r="D130" s="328"/>
      <c r="E130" s="317"/>
      <c r="F130" s="317"/>
      <c r="G130" s="327"/>
      <c r="H130" s="301" t="s">
        <v>489</v>
      </c>
      <c r="I130" s="301" t="s">
        <v>490</v>
      </c>
      <c r="J130" s="468"/>
      <c r="K130" s="469"/>
      <c r="L130" s="317"/>
    </row>
    <row r="131" spans="1:12" ht="15.75" customHeight="1" x14ac:dyDescent="0.2">
      <c r="A131" s="336" t="s">
        <v>478</v>
      </c>
      <c r="B131" s="205">
        <v>3</v>
      </c>
      <c r="C131" s="305">
        <f>+B131/$M$5</f>
        <v>0.5</v>
      </c>
      <c r="D131" s="328"/>
      <c r="E131" s="317"/>
      <c r="F131" s="317"/>
      <c r="G131" s="317"/>
      <c r="H131" s="331"/>
      <c r="I131" s="331"/>
      <c r="J131" s="469"/>
      <c r="K131" s="469"/>
      <c r="L131" s="317"/>
    </row>
    <row r="132" spans="1:12" ht="15.75" customHeight="1" x14ac:dyDescent="0.2">
      <c r="A132" s="303" t="s">
        <v>479</v>
      </c>
      <c r="B132" s="303">
        <f>+SUM(B129:B131)</f>
        <v>6</v>
      </c>
      <c r="C132" s="304">
        <f>+SUM(C129:C131)</f>
        <v>1</v>
      </c>
      <c r="D132" s="328"/>
      <c r="E132" s="317"/>
      <c r="F132" s="317"/>
      <c r="G132" s="317"/>
      <c r="H132" s="317"/>
      <c r="I132" s="317"/>
      <c r="J132" s="317"/>
      <c r="K132" s="317"/>
      <c r="L132" s="317"/>
    </row>
    <row r="133" spans="1:12" ht="15.75" customHeight="1" x14ac:dyDescent="0.2">
      <c r="A133" s="331"/>
      <c r="B133" s="355"/>
      <c r="C133" s="331"/>
      <c r="D133" s="315"/>
      <c r="E133" s="315"/>
      <c r="F133" s="317"/>
      <c r="G133" s="317"/>
      <c r="H133" s="317"/>
      <c r="I133" s="317"/>
      <c r="J133" s="317"/>
      <c r="K133" s="317"/>
      <c r="L133" s="317"/>
    </row>
    <row r="134" spans="1:12" ht="15" customHeight="1" x14ac:dyDescent="0.2">
      <c r="A134" s="317"/>
      <c r="B134" s="354"/>
      <c r="C134" s="317"/>
      <c r="D134" s="317"/>
      <c r="E134" s="317"/>
      <c r="F134" s="318"/>
      <c r="G134" s="328"/>
      <c r="H134" s="317"/>
      <c r="I134" s="317"/>
      <c r="J134" s="317"/>
      <c r="K134" s="317"/>
      <c r="L134" s="317"/>
    </row>
    <row r="135" spans="1:12" ht="15.75" customHeight="1" x14ac:dyDescent="0.2">
      <c r="A135" s="317"/>
      <c r="B135" s="354"/>
      <c r="C135" s="317"/>
      <c r="D135" s="317"/>
      <c r="E135" s="317"/>
    </row>
    <row r="138" spans="1:12" x14ac:dyDescent="0.2">
      <c r="J138" s="343"/>
    </row>
  </sheetData>
  <mergeCells count="10">
    <mergeCell ref="H123:K123"/>
    <mergeCell ref="H128:I129"/>
    <mergeCell ref="J128:K131"/>
    <mergeCell ref="A128:C128"/>
    <mergeCell ref="L1:M1"/>
    <mergeCell ref="G3:G4"/>
    <mergeCell ref="B96:C97"/>
    <mergeCell ref="G96:H101"/>
    <mergeCell ref="J96:J97"/>
    <mergeCell ref="K96:K97"/>
  </mergeCells>
  <printOptions headings="1" gridLines="1"/>
  <pageMargins left="0.70866141732283472" right="0.19685039370078741" top="0.74803149606299213" bottom="0.74803149606299213" header="0.31496062992125984" footer="0.31496062992125984"/>
  <pageSetup paperSize="9" scale="81" fitToHeight="0" orientation="landscape" horizontalDpi="4294967294"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36"/>
  <sheetViews>
    <sheetView topLeftCell="A98" zoomScale="130" zoomScaleNormal="130" workbookViewId="0">
      <selection activeCell="C5" sqref="C5"/>
    </sheetView>
  </sheetViews>
  <sheetFormatPr baseColWidth="10" defaultColWidth="9.140625" defaultRowHeight="12.75" x14ac:dyDescent="0.2"/>
  <cols>
    <col min="1" max="1" width="9.140625" style="156"/>
    <col min="2" max="2" width="7.7109375" style="164" customWidth="1"/>
    <col min="3" max="3" width="10" style="156" customWidth="1"/>
    <col min="4" max="4" width="10.7109375" style="156" customWidth="1"/>
    <col min="5" max="5" width="11.140625" style="156" customWidth="1"/>
    <col min="6" max="6" width="13.7109375" style="156" customWidth="1"/>
    <col min="7" max="7" width="11.28515625" style="156" customWidth="1"/>
    <col min="8" max="8" width="12.85546875" style="156" customWidth="1"/>
    <col min="9" max="9" width="11" style="156" customWidth="1"/>
    <col min="10" max="10" width="11.42578125" style="156" customWidth="1"/>
    <col min="11" max="11" width="12.140625" style="156" customWidth="1"/>
    <col min="12" max="12" width="16.7109375" style="156" customWidth="1"/>
    <col min="13" max="13" width="4" style="156" customWidth="1"/>
    <col min="14" max="16384" width="9.140625" style="156"/>
  </cols>
  <sheetData>
    <row r="1" spans="1:16" ht="15" x14ac:dyDescent="0.25">
      <c r="A1" s="175"/>
      <c r="B1" s="176" t="s">
        <v>415</v>
      </c>
      <c r="C1" s="177"/>
      <c r="D1" s="177"/>
      <c r="E1" s="177"/>
      <c r="F1" s="177"/>
      <c r="G1" s="177"/>
      <c r="H1" s="177"/>
      <c r="I1" s="177"/>
      <c r="J1" s="177"/>
      <c r="K1" s="177"/>
      <c r="L1" s="457" t="s">
        <v>421</v>
      </c>
      <c r="M1" s="471"/>
      <c r="N1" s="175"/>
      <c r="O1" s="155"/>
      <c r="P1" s="155"/>
    </row>
    <row r="2" spans="1:16" ht="42.75" x14ac:dyDescent="0.25">
      <c r="A2" s="175"/>
      <c r="B2" s="178"/>
      <c r="C2" s="177"/>
      <c r="D2" s="177"/>
      <c r="E2" s="177"/>
      <c r="F2" s="187" t="s">
        <v>401</v>
      </c>
      <c r="G2" s="177"/>
      <c r="H2" s="185" t="s">
        <v>422</v>
      </c>
      <c r="I2" s="177"/>
      <c r="J2" s="177"/>
      <c r="K2" s="177"/>
      <c r="L2" s="167" t="s">
        <v>402</v>
      </c>
      <c r="M2" s="168">
        <v>1</v>
      </c>
      <c r="N2" s="179">
        <f>+M2/M5</f>
        <v>0.16666666666666666</v>
      </c>
      <c r="O2" s="155"/>
      <c r="P2" s="155"/>
    </row>
    <row r="3" spans="1:16" ht="15" x14ac:dyDescent="0.25">
      <c r="A3" s="175"/>
      <c r="B3" s="169"/>
      <c r="C3" s="170"/>
      <c r="D3" s="170"/>
      <c r="E3" s="186"/>
      <c r="F3" s="188">
        <v>0.6</v>
      </c>
      <c r="G3" s="460" t="s">
        <v>403</v>
      </c>
      <c r="H3" s="184">
        <f>1/12</f>
        <v>8.3333333333333329E-2</v>
      </c>
      <c r="I3" s="177"/>
      <c r="J3" s="177"/>
      <c r="K3" s="177"/>
      <c r="L3" s="167" t="s">
        <v>404</v>
      </c>
      <c r="M3" s="168">
        <v>2</v>
      </c>
      <c r="N3" s="179">
        <f>+M3/$M$5</f>
        <v>0.33333333333333331</v>
      </c>
      <c r="O3" s="155"/>
      <c r="P3" s="155"/>
    </row>
    <row r="4" spans="1:16" ht="15" x14ac:dyDescent="0.25">
      <c r="A4" s="175"/>
      <c r="B4" s="171"/>
      <c r="C4" s="172"/>
      <c r="D4" s="180" t="s">
        <v>416</v>
      </c>
      <c r="E4" s="180" t="s">
        <v>416</v>
      </c>
      <c r="F4" s="177"/>
      <c r="G4" s="461"/>
      <c r="H4" s="177"/>
      <c r="I4" s="177"/>
      <c r="J4" s="177"/>
      <c r="K4" s="177"/>
      <c r="L4" s="167" t="s">
        <v>405</v>
      </c>
      <c r="M4" s="168">
        <v>3</v>
      </c>
      <c r="N4" s="179">
        <f>+M4/$M$5</f>
        <v>0.5</v>
      </c>
      <c r="O4" s="155"/>
      <c r="P4" s="155"/>
    </row>
    <row r="5" spans="1:16" ht="71.25" x14ac:dyDescent="0.25">
      <c r="A5" s="200" t="s">
        <v>329</v>
      </c>
      <c r="B5" s="199" t="s">
        <v>322</v>
      </c>
      <c r="C5" s="199" t="s">
        <v>425</v>
      </c>
      <c r="D5" s="198" t="s">
        <v>406</v>
      </c>
      <c r="E5" s="198" t="s">
        <v>407</v>
      </c>
      <c r="F5" s="198" t="s">
        <v>491</v>
      </c>
      <c r="G5" s="198" t="s">
        <v>424</v>
      </c>
      <c r="H5" s="198" t="s">
        <v>418</v>
      </c>
      <c r="I5" s="198" t="s">
        <v>423</v>
      </c>
      <c r="J5" s="198" t="s">
        <v>419</v>
      </c>
      <c r="K5" s="198" t="s">
        <v>420</v>
      </c>
      <c r="L5" s="177"/>
      <c r="M5" s="181">
        <f>+SUM(M2:M4)</f>
        <v>6</v>
      </c>
      <c r="N5" s="181">
        <f>+SUM(N2:N4)</f>
        <v>1</v>
      </c>
      <c r="O5" s="155"/>
      <c r="P5" s="155"/>
    </row>
    <row r="6" spans="1:16" ht="18" customHeight="1" x14ac:dyDescent="0.25">
      <c r="A6" s="173">
        <v>1</v>
      </c>
      <c r="B6" s="174">
        <v>2010</v>
      </c>
      <c r="C6" s="174">
        <v>34.68</v>
      </c>
      <c r="D6" s="189"/>
      <c r="E6" s="190"/>
      <c r="F6" s="191">
        <f>+C6</f>
        <v>34.68</v>
      </c>
      <c r="G6" s="192">
        <f>+$E$96+$E$97*B6</f>
        <v>98.170000000001892</v>
      </c>
      <c r="H6" s="191">
        <f>+(C6-G6)^2</f>
        <v>4030.9801000002403</v>
      </c>
      <c r="I6" s="183"/>
      <c r="J6" s="193"/>
      <c r="K6" s="194"/>
      <c r="L6" s="177"/>
      <c r="M6" s="177"/>
      <c r="N6" s="177"/>
      <c r="O6" s="155"/>
      <c r="P6" s="155"/>
    </row>
    <row r="7" spans="1:16" ht="18" customHeight="1" x14ac:dyDescent="0.25">
      <c r="A7" s="173">
        <v>2</v>
      </c>
      <c r="B7" s="174">
        <f>+B6+$H$3</f>
        <v>2010.0833333333333</v>
      </c>
      <c r="C7" s="174">
        <v>208.54</v>
      </c>
      <c r="D7" s="195"/>
      <c r="E7" s="190"/>
      <c r="F7" s="191">
        <f>+(C6*$F$3)+(F6*0.4)</f>
        <v>34.68</v>
      </c>
      <c r="G7" s="192">
        <f>+$E$96+$E$97*B7</f>
        <v>97.313083333334362</v>
      </c>
      <c r="H7" s="191">
        <f>+(C7-G7)^2</f>
        <v>12371.426991173381</v>
      </c>
      <c r="I7" s="183"/>
      <c r="J7" s="193"/>
      <c r="K7" s="191">
        <f>+(C7-F7)^2</f>
        <v>30227.299599999995</v>
      </c>
      <c r="L7" s="177"/>
      <c r="M7" s="177"/>
      <c r="N7" s="177"/>
      <c r="O7" s="155"/>
      <c r="P7" s="155"/>
    </row>
    <row r="8" spans="1:16" ht="18" customHeight="1" x14ac:dyDescent="0.25">
      <c r="A8" s="173">
        <v>3</v>
      </c>
      <c r="B8" s="174">
        <f t="shared" ref="B8:B17" si="0">+B7+$H$3</f>
        <v>2010.1666666666665</v>
      </c>
      <c r="C8" s="174">
        <v>69.290000000000006</v>
      </c>
      <c r="D8" s="195"/>
      <c r="E8" s="190"/>
      <c r="F8" s="191">
        <f t="shared" ref="F8:F71" si="1">+(C7*$F$3)+(F7*0.4)</f>
        <v>138.99599999999998</v>
      </c>
      <c r="G8" s="192">
        <f t="shared" ref="G8:G71" si="2">+$E$96+$E$97*B8</f>
        <v>96.45616666667047</v>
      </c>
      <c r="H8" s="191">
        <f>+(C8-G8)^2</f>
        <v>738.0006113613174</v>
      </c>
      <c r="I8" s="183"/>
      <c r="J8" s="193"/>
      <c r="K8" s="191">
        <f t="shared" ref="K8:K89" si="3">+(C8-F8)^2</f>
        <v>4858.9264359999961</v>
      </c>
      <c r="L8" s="175"/>
      <c r="M8" s="177"/>
      <c r="N8" s="177"/>
      <c r="O8" s="155"/>
      <c r="P8" s="155"/>
    </row>
    <row r="9" spans="1:16" ht="18" customHeight="1" x14ac:dyDescent="0.25">
      <c r="A9" s="173">
        <v>4</v>
      </c>
      <c r="B9" s="174">
        <f t="shared" si="0"/>
        <v>2010.2499999999998</v>
      </c>
      <c r="C9" s="174">
        <v>208.48</v>
      </c>
      <c r="D9" s="196">
        <f>+AVERAGE(C6:C8)</f>
        <v>104.17</v>
      </c>
      <c r="E9" s="197">
        <f>+SUMPRODUCT($N$2:$N$4,C6:C8)</f>
        <v>109.93833333333333</v>
      </c>
      <c r="F9" s="191">
        <f t="shared" si="1"/>
        <v>97.17240000000001</v>
      </c>
      <c r="G9" s="192">
        <f t="shared" si="2"/>
        <v>95.599250000002939</v>
      </c>
      <c r="H9" s="191">
        <f t="shared" ref="H9:H72" si="4">+(C9-G9)^2</f>
        <v>12742.063720561833</v>
      </c>
      <c r="I9" s="191">
        <f>+(C9-D9)^2</f>
        <v>10880.576099999998</v>
      </c>
      <c r="J9" s="191">
        <f>+(C9-E9)^2</f>
        <v>9710.4600694444434</v>
      </c>
      <c r="K9" s="191">
        <f t="shared" si="3"/>
        <v>12389.381817759995</v>
      </c>
      <c r="L9" s="182">
        <f>SUM(M2:M4)</f>
        <v>6</v>
      </c>
      <c r="M9" s="177"/>
      <c r="N9" s="177"/>
      <c r="O9" s="155"/>
      <c r="P9" s="155"/>
    </row>
    <row r="10" spans="1:16" ht="18" customHeight="1" x14ac:dyDescent="0.25">
      <c r="A10" s="173">
        <v>5</v>
      </c>
      <c r="B10" s="174">
        <f t="shared" si="0"/>
        <v>2010.333333333333</v>
      </c>
      <c r="C10" s="174">
        <v>74.7</v>
      </c>
      <c r="D10" s="196">
        <f t="shared" ref="D10:D73" si="5">+AVERAGE(C7:C9)</f>
        <v>162.10333333333332</v>
      </c>
      <c r="E10" s="197">
        <f t="shared" ref="E10:E73" si="6">+SUMPRODUCT($N$2:$N$4,C7:C9)</f>
        <v>162.09333333333331</v>
      </c>
      <c r="F10" s="191">
        <f t="shared" si="1"/>
        <v>163.95696000000001</v>
      </c>
      <c r="G10" s="192">
        <f t="shared" si="2"/>
        <v>94.742333333339047</v>
      </c>
      <c r="H10" s="191">
        <f t="shared" si="4"/>
        <v>401.69512544467335</v>
      </c>
      <c r="I10" s="191">
        <f t="shared" ref="I10:I73" si="7">+(C10-D10)^2</f>
        <v>7639.3426777777759</v>
      </c>
      <c r="J10" s="191">
        <f t="shared" ref="J10:J73" si="8">+(C10-E10)^2</f>
        <v>7637.5947111111054</v>
      </c>
      <c r="K10" s="191">
        <f t="shared" si="3"/>
        <v>7966.8049084416016</v>
      </c>
      <c r="L10" s="177"/>
      <c r="M10" s="177"/>
      <c r="N10" s="177"/>
      <c r="O10" s="155"/>
      <c r="P10" s="155"/>
    </row>
    <row r="11" spans="1:16" ht="18" customHeight="1" x14ac:dyDescent="0.25">
      <c r="A11" s="173">
        <v>6</v>
      </c>
      <c r="B11" s="174">
        <f t="shared" si="0"/>
        <v>2010.4166666666663</v>
      </c>
      <c r="C11" s="174">
        <v>175.68</v>
      </c>
      <c r="D11" s="196">
        <f t="shared" si="5"/>
        <v>117.49</v>
      </c>
      <c r="E11" s="197">
        <f t="shared" si="6"/>
        <v>118.39166666666665</v>
      </c>
      <c r="F11" s="191">
        <f t="shared" si="1"/>
        <v>110.402784</v>
      </c>
      <c r="G11" s="192">
        <f t="shared" si="2"/>
        <v>93.885416666671517</v>
      </c>
      <c r="H11" s="191">
        <f t="shared" si="4"/>
        <v>6690.3538626728187</v>
      </c>
      <c r="I11" s="191">
        <f t="shared" si="7"/>
        <v>3386.0761000000016</v>
      </c>
      <c r="J11" s="191">
        <f t="shared" si="8"/>
        <v>3281.9531361111135</v>
      </c>
      <c r="K11" s="191">
        <f t="shared" si="3"/>
        <v>4261.1149287106573</v>
      </c>
      <c r="L11" s="177"/>
      <c r="M11" s="177"/>
      <c r="N11" s="175"/>
      <c r="O11" s="155"/>
      <c r="P11" s="155"/>
    </row>
    <row r="12" spans="1:16" ht="18" customHeight="1" x14ac:dyDescent="0.25">
      <c r="A12" s="173">
        <v>7</v>
      </c>
      <c r="B12" s="174">
        <f t="shared" si="0"/>
        <v>2010.4999999999995</v>
      </c>
      <c r="C12" s="174">
        <v>376.42</v>
      </c>
      <c r="D12" s="196">
        <f t="shared" si="5"/>
        <v>152.95333333333335</v>
      </c>
      <c r="E12" s="197">
        <f t="shared" si="6"/>
        <v>147.48666666666668</v>
      </c>
      <c r="F12" s="191">
        <f t="shared" si="1"/>
        <v>149.56911360000001</v>
      </c>
      <c r="G12" s="192">
        <f t="shared" si="2"/>
        <v>93.028500000003987</v>
      </c>
      <c r="H12" s="191">
        <f t="shared" si="4"/>
        <v>80310.742272247749</v>
      </c>
      <c r="I12" s="191">
        <f t="shared" si="7"/>
        <v>49937.351111111115</v>
      </c>
      <c r="J12" s="191">
        <f t="shared" si="8"/>
        <v>52410.47111111111</v>
      </c>
      <c r="K12" s="191">
        <f>+(C12-F12)^2</f>
        <v>51461.324660465711</v>
      </c>
      <c r="L12" s="177"/>
      <c r="M12" s="177"/>
      <c r="N12" s="177"/>
      <c r="O12" s="155"/>
      <c r="P12" s="155"/>
    </row>
    <row r="13" spans="1:16" ht="18" customHeight="1" x14ac:dyDescent="0.25">
      <c r="A13" s="173">
        <v>8</v>
      </c>
      <c r="B13" s="174">
        <f t="shared" si="0"/>
        <v>2010.5833333333328</v>
      </c>
      <c r="C13" s="174">
        <v>36.36</v>
      </c>
      <c r="D13" s="196">
        <f t="shared" si="5"/>
        <v>208.93333333333331</v>
      </c>
      <c r="E13" s="197">
        <f t="shared" si="6"/>
        <v>259.22000000000003</v>
      </c>
      <c r="F13" s="191">
        <f t="shared" si="1"/>
        <v>285.67964544</v>
      </c>
      <c r="G13" s="192">
        <f t="shared" si="2"/>
        <v>92.171583333340095</v>
      </c>
      <c r="H13" s="191">
        <f t="shared" si="4"/>
        <v>3114.9328341743658</v>
      </c>
      <c r="I13" s="191">
        <f t="shared" si="7"/>
        <v>29781.555377777775</v>
      </c>
      <c r="J13" s="191">
        <f t="shared" si="8"/>
        <v>49666.579600000005</v>
      </c>
      <c r="K13" s="191">
        <f t="shared" si="3"/>
        <v>62160.285602327305</v>
      </c>
      <c r="L13" s="177"/>
      <c r="M13" s="177"/>
      <c r="N13" s="177"/>
      <c r="O13" s="155"/>
      <c r="P13" s="155"/>
    </row>
    <row r="14" spans="1:16" ht="18" customHeight="1" x14ac:dyDescent="0.25">
      <c r="A14" s="173">
        <v>9</v>
      </c>
      <c r="B14" s="174">
        <f t="shared" si="0"/>
        <v>2010.6666666666661</v>
      </c>
      <c r="C14" s="174">
        <v>57.52</v>
      </c>
      <c r="D14" s="196">
        <f t="shared" si="5"/>
        <v>196.15333333333334</v>
      </c>
      <c r="E14" s="197">
        <f t="shared" si="6"/>
        <v>172.93333333333334</v>
      </c>
      <c r="F14" s="191">
        <f t="shared" si="1"/>
        <v>136.087858176</v>
      </c>
      <c r="G14" s="192">
        <f t="shared" si="2"/>
        <v>91.314666666672565</v>
      </c>
      <c r="H14" s="191">
        <f t="shared" si="4"/>
        <v>1142.0794951115095</v>
      </c>
      <c r="I14" s="191">
        <f t="shared" si="7"/>
        <v>19219.20111111111</v>
      </c>
      <c r="J14" s="191">
        <f t="shared" si="8"/>
        <v>13320.237511111111</v>
      </c>
      <c r="K14" s="191">
        <f t="shared" si="3"/>
        <v>6172.9083383640482</v>
      </c>
      <c r="L14" s="177"/>
      <c r="M14" s="177"/>
      <c r="N14" s="177"/>
      <c r="O14" s="155"/>
      <c r="P14" s="155"/>
    </row>
    <row r="15" spans="1:16" ht="18" customHeight="1" x14ac:dyDescent="0.25">
      <c r="A15" s="173">
        <v>10</v>
      </c>
      <c r="B15" s="174">
        <f t="shared" si="0"/>
        <v>2010.7499999999993</v>
      </c>
      <c r="C15" s="174">
        <v>0</v>
      </c>
      <c r="D15" s="196">
        <f t="shared" si="5"/>
        <v>156.76666666666668</v>
      </c>
      <c r="E15" s="197">
        <f t="shared" si="6"/>
        <v>103.61666666666667</v>
      </c>
      <c r="F15" s="191">
        <f t="shared" si="1"/>
        <v>88.947143270400005</v>
      </c>
      <c r="G15" s="192">
        <f t="shared" si="2"/>
        <v>90.457750000008673</v>
      </c>
      <c r="H15" s="191">
        <f t="shared" si="4"/>
        <v>8182.6045350640688</v>
      </c>
      <c r="I15" s="191">
        <f t="shared" si="7"/>
        <v>24575.787777777783</v>
      </c>
      <c r="J15" s="191">
        <f t="shared" si="8"/>
        <v>10736.413611111113</v>
      </c>
      <c r="K15" s="191">
        <f t="shared" si="3"/>
        <v>7911.5942959650647</v>
      </c>
      <c r="L15" s="177"/>
      <c r="M15" s="177"/>
      <c r="N15" s="177"/>
      <c r="O15" s="155"/>
      <c r="P15" s="155"/>
    </row>
    <row r="16" spans="1:16" ht="18" customHeight="1" x14ac:dyDescent="0.25">
      <c r="A16" s="173">
        <v>11</v>
      </c>
      <c r="B16" s="174">
        <f t="shared" si="0"/>
        <v>2010.8333333333326</v>
      </c>
      <c r="C16" s="174">
        <v>71.02</v>
      </c>
      <c r="D16" s="196">
        <f t="shared" si="5"/>
        <v>31.293333333333333</v>
      </c>
      <c r="E16" s="197">
        <f t="shared" si="6"/>
        <v>25.233333333333331</v>
      </c>
      <c r="F16" s="191">
        <f t="shared" si="1"/>
        <v>35.578857308160003</v>
      </c>
      <c r="G16" s="192">
        <f t="shared" si="2"/>
        <v>89.600833333341143</v>
      </c>
      <c r="H16" s="191">
        <f t="shared" si="4"/>
        <v>345.24736736140147</v>
      </c>
      <c r="I16" s="191">
        <f t="shared" si="7"/>
        <v>1578.2080444444439</v>
      </c>
      <c r="J16" s="191">
        <f t="shared" si="8"/>
        <v>2096.4188444444439</v>
      </c>
      <c r="K16" s="191">
        <f t="shared" si="3"/>
        <v>1256.0745953033634</v>
      </c>
      <c r="L16" s="177"/>
      <c r="M16" s="177"/>
      <c r="N16" s="177"/>
      <c r="O16" s="155"/>
      <c r="P16" s="155"/>
    </row>
    <row r="17" spans="1:16" ht="18" customHeight="1" x14ac:dyDescent="0.25">
      <c r="A17" s="173">
        <v>12</v>
      </c>
      <c r="B17" s="174">
        <f t="shared" si="0"/>
        <v>2010.9166666666658</v>
      </c>
      <c r="C17" s="174">
        <v>221.9</v>
      </c>
      <c r="D17" s="196">
        <f t="shared" si="5"/>
        <v>42.846666666666664</v>
      </c>
      <c r="E17" s="197">
        <f t="shared" si="6"/>
        <v>45.096666666666664</v>
      </c>
      <c r="F17" s="191">
        <f t="shared" si="1"/>
        <v>56.843542923263996</v>
      </c>
      <c r="G17" s="192">
        <f t="shared" si="2"/>
        <v>88.743916666677251</v>
      </c>
      <c r="H17" s="191">
        <f t="shared" si="4"/>
        <v>17730.542528670794</v>
      </c>
      <c r="I17" s="191">
        <f t="shared" si="7"/>
        <v>32060.096177777781</v>
      </c>
      <c r="J17" s="191">
        <f t="shared" si="8"/>
        <v>31259.41867777778</v>
      </c>
      <c r="K17" s="191">
        <f t="shared" si="3"/>
        <v>27243.6340227244</v>
      </c>
      <c r="L17" s="177"/>
      <c r="M17" s="177"/>
      <c r="N17" s="177"/>
      <c r="O17" s="155"/>
      <c r="P17" s="155"/>
    </row>
    <row r="18" spans="1:16" ht="18" customHeight="1" x14ac:dyDescent="0.25">
      <c r="A18" s="173">
        <v>13</v>
      </c>
      <c r="B18" s="174">
        <f>+B17+$H$3</f>
        <v>2010.9999999999991</v>
      </c>
      <c r="C18" s="174">
        <v>50.95</v>
      </c>
      <c r="D18" s="196">
        <f t="shared" si="5"/>
        <v>97.64</v>
      </c>
      <c r="E18" s="197">
        <f t="shared" si="6"/>
        <v>134.62333333333333</v>
      </c>
      <c r="F18" s="191">
        <f t="shared" si="1"/>
        <v>155.8774171693056</v>
      </c>
      <c r="G18" s="192">
        <f t="shared" si="2"/>
        <v>87.887000000009721</v>
      </c>
      <c r="H18" s="191">
        <f t="shared" si="4"/>
        <v>1364.3419690007179</v>
      </c>
      <c r="I18" s="191">
        <f t="shared" si="7"/>
        <v>2179.9560999999999</v>
      </c>
      <c r="J18" s="191">
        <f t="shared" si="8"/>
        <v>7001.2267111111105</v>
      </c>
      <c r="K18" s="191">
        <f t="shared" si="3"/>
        <v>11009.762873821488</v>
      </c>
      <c r="L18" s="177"/>
      <c r="M18" s="177"/>
      <c r="N18" s="177"/>
      <c r="O18" s="155"/>
      <c r="P18" s="155"/>
    </row>
    <row r="19" spans="1:16" ht="18" customHeight="1" x14ac:dyDescent="0.25">
      <c r="A19" s="173">
        <v>14</v>
      </c>
      <c r="B19" s="174">
        <f t="shared" ref="B19:B82" si="9">+B18+$H$3</f>
        <v>2011.0833333333323</v>
      </c>
      <c r="C19" s="174">
        <v>0</v>
      </c>
      <c r="D19" s="196">
        <f t="shared" si="5"/>
        <v>114.62333333333333</v>
      </c>
      <c r="E19" s="197">
        <f t="shared" si="6"/>
        <v>111.27833333333334</v>
      </c>
      <c r="F19" s="191">
        <f t="shared" si="1"/>
        <v>92.920966867722242</v>
      </c>
      <c r="G19" s="192">
        <f t="shared" si="2"/>
        <v>87.030083333345829</v>
      </c>
      <c r="H19" s="191">
        <f t="shared" si="4"/>
        <v>7574.2354050091189</v>
      </c>
      <c r="I19" s="191">
        <f t="shared" si="7"/>
        <v>13138.508544444445</v>
      </c>
      <c r="J19" s="191">
        <f t="shared" si="8"/>
        <v>12382.867469444445</v>
      </c>
      <c r="K19" s="191">
        <f t="shared" si="3"/>
        <v>8634.3060836323348</v>
      </c>
      <c r="L19" s="177"/>
      <c r="M19" s="177"/>
      <c r="N19" s="177"/>
      <c r="O19" s="155"/>
      <c r="P19" s="155"/>
    </row>
    <row r="20" spans="1:16" ht="18" customHeight="1" x14ac:dyDescent="0.25">
      <c r="A20" s="173">
        <v>15</v>
      </c>
      <c r="B20" s="174">
        <f t="shared" si="9"/>
        <v>2011.1666666666656</v>
      </c>
      <c r="C20" s="174">
        <v>3.47</v>
      </c>
      <c r="D20" s="196">
        <f t="shared" si="5"/>
        <v>90.95</v>
      </c>
      <c r="E20" s="197">
        <f t="shared" si="6"/>
        <v>53.966666666666669</v>
      </c>
      <c r="F20" s="191">
        <f t="shared" si="1"/>
        <v>37.168386747088896</v>
      </c>
      <c r="G20" s="192">
        <f t="shared" si="2"/>
        <v>86.173166666678298</v>
      </c>
      <c r="H20" s="191">
        <f t="shared" si="4"/>
        <v>6839.8137766963682</v>
      </c>
      <c r="I20" s="191">
        <f t="shared" si="7"/>
        <v>7652.7504000000008</v>
      </c>
      <c r="J20" s="191">
        <f t="shared" si="8"/>
        <v>2549.9133444444446</v>
      </c>
      <c r="K20" s="191">
        <f t="shared" si="3"/>
        <v>1135.5812693563767</v>
      </c>
      <c r="L20" s="177"/>
      <c r="M20" s="177"/>
      <c r="N20" s="177"/>
      <c r="O20" s="155"/>
      <c r="P20" s="155"/>
    </row>
    <row r="21" spans="1:16" ht="18" customHeight="1" x14ac:dyDescent="0.25">
      <c r="A21" s="173">
        <v>16</v>
      </c>
      <c r="B21" s="174">
        <f t="shared" si="9"/>
        <v>2011.2499999999989</v>
      </c>
      <c r="C21" s="174">
        <v>156.34</v>
      </c>
      <c r="D21" s="196">
        <f t="shared" si="5"/>
        <v>18.14</v>
      </c>
      <c r="E21" s="197">
        <f t="shared" si="6"/>
        <v>10.226666666666667</v>
      </c>
      <c r="F21" s="191">
        <f t="shared" si="1"/>
        <v>16.94935469883556</v>
      </c>
      <c r="G21" s="192">
        <f t="shared" si="2"/>
        <v>85.316250000014406</v>
      </c>
      <c r="H21" s="191">
        <f t="shared" si="4"/>
        <v>5044.3730640604545</v>
      </c>
      <c r="I21" s="191">
        <f t="shared" si="7"/>
        <v>19099.239999999998</v>
      </c>
      <c r="J21" s="191">
        <f t="shared" si="8"/>
        <v>21349.10617777778</v>
      </c>
      <c r="K21" s="191">
        <f t="shared" si="3"/>
        <v>19429.751997475039</v>
      </c>
      <c r="L21" s="177"/>
      <c r="M21" s="177"/>
      <c r="N21" s="177"/>
      <c r="O21" s="155"/>
      <c r="P21" s="155"/>
    </row>
    <row r="22" spans="1:16" ht="18" customHeight="1" x14ac:dyDescent="0.25">
      <c r="A22" s="173">
        <v>17</v>
      </c>
      <c r="B22" s="174">
        <f t="shared" si="9"/>
        <v>2011.3333333333321</v>
      </c>
      <c r="C22" s="174">
        <v>263.94</v>
      </c>
      <c r="D22" s="196">
        <f t="shared" si="5"/>
        <v>53.27</v>
      </c>
      <c r="E22" s="197">
        <f t="shared" si="6"/>
        <v>79.326666666666668</v>
      </c>
      <c r="F22" s="191">
        <f t="shared" si="1"/>
        <v>100.58374187953423</v>
      </c>
      <c r="G22" s="192">
        <f t="shared" si="2"/>
        <v>84.459333333346876</v>
      </c>
      <c r="H22" s="191">
        <f t="shared" si="4"/>
        <v>32213.309707106248</v>
      </c>
      <c r="I22" s="191">
        <f t="shared" si="7"/>
        <v>44381.848899999997</v>
      </c>
      <c r="J22" s="191">
        <f t="shared" si="8"/>
        <v>34082.082844444449</v>
      </c>
      <c r="K22" s="191">
        <f t="shared" si="3"/>
        <v>26685.267067120243</v>
      </c>
      <c r="L22" s="177"/>
      <c r="M22" s="177"/>
      <c r="N22" s="177"/>
      <c r="O22" s="155"/>
      <c r="P22" s="155"/>
    </row>
    <row r="23" spans="1:16" ht="18" customHeight="1" x14ac:dyDescent="0.25">
      <c r="A23" s="173">
        <v>18</v>
      </c>
      <c r="B23" s="174">
        <f t="shared" si="9"/>
        <v>2011.4166666666654</v>
      </c>
      <c r="C23" s="174">
        <v>0</v>
      </c>
      <c r="D23" s="196">
        <f t="shared" si="5"/>
        <v>141.25</v>
      </c>
      <c r="E23" s="197">
        <f t="shared" si="6"/>
        <v>184.66166666666666</v>
      </c>
      <c r="F23" s="191">
        <f t="shared" si="1"/>
        <v>198.59749675181371</v>
      </c>
      <c r="G23" s="192">
        <f t="shared" si="2"/>
        <v>83.602416666679346</v>
      </c>
      <c r="H23" s="191">
        <f t="shared" si="4"/>
        <v>6989.3640725090645</v>
      </c>
      <c r="I23" s="191">
        <f t="shared" si="7"/>
        <v>19951.5625</v>
      </c>
      <c r="J23" s="191">
        <f t="shared" si="8"/>
        <v>34099.93113611111</v>
      </c>
      <c r="K23" s="191">
        <f t="shared" si="3"/>
        <v>39440.965716086655</v>
      </c>
      <c r="L23" s="177"/>
      <c r="M23" s="177"/>
      <c r="N23" s="177"/>
      <c r="O23" s="155"/>
      <c r="P23" s="155"/>
    </row>
    <row r="24" spans="1:16" ht="18" customHeight="1" x14ac:dyDescent="0.25">
      <c r="A24" s="173">
        <v>19</v>
      </c>
      <c r="B24" s="174">
        <f t="shared" si="9"/>
        <v>2011.4999999999986</v>
      </c>
      <c r="C24" s="174">
        <v>209.31</v>
      </c>
      <c r="D24" s="196">
        <f t="shared" si="5"/>
        <v>140.09333333333333</v>
      </c>
      <c r="E24" s="197">
        <f t="shared" si="6"/>
        <v>114.03666666666666</v>
      </c>
      <c r="F24" s="191">
        <f t="shared" si="1"/>
        <v>79.438998700725492</v>
      </c>
      <c r="G24" s="192">
        <f t="shared" si="2"/>
        <v>82.745500000015454</v>
      </c>
      <c r="H24" s="191">
        <f t="shared" si="4"/>
        <v>16018.572660246089</v>
      </c>
      <c r="I24" s="191">
        <f t="shared" si="7"/>
        <v>4790.9469444444449</v>
      </c>
      <c r="J24" s="191">
        <f t="shared" si="8"/>
        <v>9077.0080444444466</v>
      </c>
      <c r="K24" s="191">
        <f t="shared" si="3"/>
        <v>16866.476978476159</v>
      </c>
      <c r="L24" s="177"/>
      <c r="M24" s="177"/>
      <c r="N24" s="177"/>
      <c r="O24" s="155"/>
      <c r="P24" s="155"/>
    </row>
    <row r="25" spans="1:16" ht="18" customHeight="1" x14ac:dyDescent="0.25">
      <c r="A25" s="173">
        <v>20</v>
      </c>
      <c r="B25" s="174">
        <f t="shared" si="9"/>
        <v>2011.5833333333319</v>
      </c>
      <c r="C25" s="174">
        <v>14.7</v>
      </c>
      <c r="D25" s="196">
        <f t="shared" si="5"/>
        <v>157.75</v>
      </c>
      <c r="E25" s="197">
        <f t="shared" si="6"/>
        <v>148.64499999999998</v>
      </c>
      <c r="F25" s="191">
        <f t="shared" si="1"/>
        <v>157.36159948029018</v>
      </c>
      <c r="G25" s="192">
        <f t="shared" si="2"/>
        <v>81.888583333347924</v>
      </c>
      <c r="H25" s="191">
        <f t="shared" si="4"/>
        <v>4514.3057303422383</v>
      </c>
      <c r="I25" s="191">
        <f t="shared" si="7"/>
        <v>20463.302500000002</v>
      </c>
      <c r="J25" s="191">
        <f t="shared" si="8"/>
        <v>17941.263024999997</v>
      </c>
      <c r="K25" s="191">
        <f t="shared" si="3"/>
        <v>20352.331966274734</v>
      </c>
      <c r="L25" s="177"/>
      <c r="M25" s="177"/>
      <c r="N25" s="177"/>
      <c r="O25" s="155"/>
      <c r="P25" s="155"/>
    </row>
    <row r="26" spans="1:16" ht="18" customHeight="1" x14ac:dyDescent="0.25">
      <c r="A26" s="173">
        <v>21</v>
      </c>
      <c r="B26" s="174">
        <f t="shared" si="9"/>
        <v>2011.6666666666652</v>
      </c>
      <c r="C26" s="174">
        <v>0</v>
      </c>
      <c r="D26" s="196">
        <f t="shared" si="5"/>
        <v>74.67</v>
      </c>
      <c r="E26" s="197">
        <f t="shared" si="6"/>
        <v>77.11999999999999</v>
      </c>
      <c r="F26" s="191">
        <f t="shared" si="1"/>
        <v>71.764639792116071</v>
      </c>
      <c r="G26" s="192">
        <f t="shared" si="2"/>
        <v>81.031666666684032</v>
      </c>
      <c r="H26" s="191">
        <f t="shared" si="4"/>
        <v>6566.1310027805921</v>
      </c>
      <c r="I26" s="191">
        <f t="shared" si="7"/>
        <v>5575.6089000000002</v>
      </c>
      <c r="J26" s="191">
        <f t="shared" si="8"/>
        <v>5947.4943999999987</v>
      </c>
      <c r="K26" s="191">
        <f t="shared" si="3"/>
        <v>5150.163524492169</v>
      </c>
      <c r="L26" s="177"/>
      <c r="M26" s="177"/>
      <c r="N26" s="177"/>
      <c r="O26" s="155"/>
      <c r="P26" s="155"/>
    </row>
    <row r="27" spans="1:16" ht="18" customHeight="1" x14ac:dyDescent="0.25">
      <c r="A27" s="173">
        <v>22</v>
      </c>
      <c r="B27" s="174">
        <f t="shared" si="9"/>
        <v>2011.7499999999984</v>
      </c>
      <c r="C27" s="174">
        <v>44.65</v>
      </c>
      <c r="D27" s="196">
        <f t="shared" si="5"/>
        <v>74.67</v>
      </c>
      <c r="E27" s="197">
        <f t="shared" si="6"/>
        <v>39.784999999999997</v>
      </c>
      <c r="F27" s="191">
        <f t="shared" si="1"/>
        <v>28.705855916846431</v>
      </c>
      <c r="G27" s="192">
        <f t="shared" si="2"/>
        <v>80.174750000016502</v>
      </c>
      <c r="H27" s="191">
        <f t="shared" si="4"/>
        <v>1262.0078625636725</v>
      </c>
      <c r="I27" s="191">
        <f t="shared" si="7"/>
        <v>901.20040000000017</v>
      </c>
      <c r="J27" s="191">
        <f t="shared" si="8"/>
        <v>23.668225000000021</v>
      </c>
      <c r="K27" s="191">
        <f t="shared" si="3"/>
        <v>254.21573054436089</v>
      </c>
      <c r="L27" s="177"/>
      <c r="M27" s="177"/>
      <c r="N27" s="177"/>
      <c r="O27" s="155"/>
      <c r="P27" s="155"/>
    </row>
    <row r="28" spans="1:16" ht="18" customHeight="1" x14ac:dyDescent="0.25">
      <c r="A28" s="173">
        <v>23</v>
      </c>
      <c r="B28" s="174">
        <f t="shared" si="9"/>
        <v>2011.8333333333317</v>
      </c>
      <c r="C28" s="174">
        <v>182.81</v>
      </c>
      <c r="D28" s="196">
        <f t="shared" si="5"/>
        <v>19.783333333333331</v>
      </c>
      <c r="E28" s="197">
        <f t="shared" si="6"/>
        <v>24.774999999999999</v>
      </c>
      <c r="F28" s="191">
        <f t="shared" si="1"/>
        <v>38.27234236673857</v>
      </c>
      <c r="G28" s="192">
        <f t="shared" si="2"/>
        <v>79.31783333335261</v>
      </c>
      <c r="H28" s="191">
        <f t="shared" si="4"/>
        <v>10710.628561357122</v>
      </c>
      <c r="I28" s="191">
        <f t="shared" si="7"/>
        <v>26577.694044444444</v>
      </c>
      <c r="J28" s="191">
        <f t="shared" si="8"/>
        <v>24975.061224999998</v>
      </c>
      <c r="K28" s="191">
        <f t="shared" si="3"/>
        <v>20891.134474109898</v>
      </c>
      <c r="L28" s="177"/>
      <c r="M28" s="177"/>
      <c r="N28" s="177"/>
      <c r="O28" s="155"/>
      <c r="P28" s="155"/>
    </row>
    <row r="29" spans="1:16" ht="18" customHeight="1" x14ac:dyDescent="0.25">
      <c r="A29" s="173">
        <v>24</v>
      </c>
      <c r="B29" s="174">
        <f t="shared" si="9"/>
        <v>2011.9166666666649</v>
      </c>
      <c r="C29" s="174">
        <v>7.51</v>
      </c>
      <c r="D29" s="196">
        <f t="shared" si="5"/>
        <v>75.820000000000007</v>
      </c>
      <c r="E29" s="197">
        <f t="shared" si="6"/>
        <v>106.28833333333333</v>
      </c>
      <c r="F29" s="191">
        <f t="shared" si="1"/>
        <v>124.99493694669542</v>
      </c>
      <c r="G29" s="192">
        <f t="shared" si="2"/>
        <v>78.46091666668508</v>
      </c>
      <c r="H29" s="191">
        <f t="shared" si="4"/>
        <v>5034.0325758428899</v>
      </c>
      <c r="I29" s="191">
        <f t="shared" si="7"/>
        <v>4666.2561000000005</v>
      </c>
      <c r="J29" s="191">
        <f t="shared" si="8"/>
        <v>9757.1591361111095</v>
      </c>
      <c r="K29" s="191">
        <f t="shared" si="3"/>
        <v>13802.710409368998</v>
      </c>
      <c r="L29" s="177"/>
      <c r="M29" s="177"/>
      <c r="N29" s="177"/>
      <c r="O29" s="155"/>
      <c r="P29" s="155"/>
    </row>
    <row r="30" spans="1:16" ht="18" customHeight="1" x14ac:dyDescent="0.25">
      <c r="A30" s="173">
        <v>25</v>
      </c>
      <c r="B30" s="174">
        <f t="shared" si="9"/>
        <v>2011.9999999999982</v>
      </c>
      <c r="C30" s="174">
        <v>28.92</v>
      </c>
      <c r="D30" s="196">
        <f t="shared" si="5"/>
        <v>78.323333333333338</v>
      </c>
      <c r="E30" s="197">
        <f t="shared" si="6"/>
        <v>72.133333333333326</v>
      </c>
      <c r="F30" s="191">
        <f t="shared" si="1"/>
        <v>54.50397477867817</v>
      </c>
      <c r="G30" s="192">
        <f t="shared" si="2"/>
        <v>77.604000000021188</v>
      </c>
      <c r="H30" s="191">
        <f t="shared" si="4"/>
        <v>2370.1318560020627</v>
      </c>
      <c r="I30" s="191">
        <f t="shared" si="7"/>
        <v>2440.6893444444445</v>
      </c>
      <c r="J30" s="191">
        <f t="shared" si="8"/>
        <v>1867.3921777777771</v>
      </c>
      <c r="K30" s="191">
        <f t="shared" si="3"/>
        <v>654.53976547604066</v>
      </c>
      <c r="L30" s="177"/>
      <c r="M30" s="177"/>
      <c r="N30" s="177"/>
      <c r="O30" s="155"/>
      <c r="P30" s="155"/>
    </row>
    <row r="31" spans="1:16" ht="18" customHeight="1" x14ac:dyDescent="0.25">
      <c r="A31" s="173">
        <v>26</v>
      </c>
      <c r="B31" s="174">
        <f t="shared" si="9"/>
        <v>2012.0833333333314</v>
      </c>
      <c r="C31" s="174">
        <v>0</v>
      </c>
      <c r="D31" s="196">
        <f t="shared" si="5"/>
        <v>73.08</v>
      </c>
      <c r="E31" s="197">
        <f t="shared" si="6"/>
        <v>47.431666666666665</v>
      </c>
      <c r="F31" s="191">
        <f t="shared" si="1"/>
        <v>39.153589911471272</v>
      </c>
      <c r="G31" s="192">
        <f t="shared" si="2"/>
        <v>76.747083333353658</v>
      </c>
      <c r="H31" s="191">
        <f t="shared" si="4"/>
        <v>5890.1148001767306</v>
      </c>
      <c r="I31" s="191">
        <f t="shared" si="7"/>
        <v>5340.6863999999996</v>
      </c>
      <c r="J31" s="191">
        <f t="shared" si="8"/>
        <v>2249.7630027777777</v>
      </c>
      <c r="K31" s="191">
        <f t="shared" si="3"/>
        <v>1533.003602955665</v>
      </c>
      <c r="L31" s="177"/>
      <c r="M31" s="177"/>
      <c r="N31" s="177"/>
      <c r="O31" s="155"/>
      <c r="P31" s="155"/>
    </row>
    <row r="32" spans="1:16" ht="18" customHeight="1" x14ac:dyDescent="0.25">
      <c r="A32" s="173">
        <v>27</v>
      </c>
      <c r="B32" s="174">
        <f t="shared" si="9"/>
        <v>2012.1666666666647</v>
      </c>
      <c r="C32" s="174">
        <v>212.95</v>
      </c>
      <c r="D32" s="196">
        <f t="shared" si="5"/>
        <v>12.143333333333333</v>
      </c>
      <c r="E32" s="197">
        <f t="shared" si="6"/>
        <v>10.891666666666667</v>
      </c>
      <c r="F32" s="191">
        <f t="shared" si="1"/>
        <v>15.66143596458851</v>
      </c>
      <c r="G32" s="192">
        <f t="shared" si="2"/>
        <v>75.890166666689765</v>
      </c>
      <c r="H32" s="191">
        <f t="shared" si="4"/>
        <v>18785.397913354776</v>
      </c>
      <c r="I32" s="191">
        <f t="shared" si="7"/>
        <v>40323.31737777777</v>
      </c>
      <c r="J32" s="191">
        <f t="shared" si="8"/>
        <v>40827.570069444431</v>
      </c>
      <c r="K32" s="191">
        <f t="shared" si="3"/>
        <v>38922.777499154654</v>
      </c>
      <c r="L32" s="177"/>
      <c r="M32" s="177"/>
      <c r="N32" s="177"/>
      <c r="O32" s="155"/>
      <c r="P32" s="155"/>
    </row>
    <row r="33" spans="1:16" ht="18" customHeight="1" x14ac:dyDescent="0.25">
      <c r="A33" s="173">
        <v>28</v>
      </c>
      <c r="B33" s="174">
        <f t="shared" si="9"/>
        <v>2012.249999999998</v>
      </c>
      <c r="C33" s="174">
        <v>42.93</v>
      </c>
      <c r="D33" s="196">
        <f t="shared" si="5"/>
        <v>80.623333333333335</v>
      </c>
      <c r="E33" s="197">
        <f t="shared" si="6"/>
        <v>111.29499999999999</v>
      </c>
      <c r="F33" s="191">
        <f t="shared" si="1"/>
        <v>134.03457438583538</v>
      </c>
      <c r="G33" s="192">
        <f t="shared" si="2"/>
        <v>75.033250000022235</v>
      </c>
      <c r="H33" s="191">
        <f t="shared" si="4"/>
        <v>1030.6186605639277</v>
      </c>
      <c r="I33" s="191">
        <f t="shared" si="7"/>
        <v>1420.7873777777779</v>
      </c>
      <c r="J33" s="191">
        <f t="shared" si="8"/>
        <v>4673.7732249999972</v>
      </c>
      <c r="K33" s="191">
        <f t="shared" si="3"/>
        <v>8300.0434740242108</v>
      </c>
      <c r="L33" s="177"/>
      <c r="M33" s="177"/>
      <c r="N33" s="177"/>
      <c r="O33" s="155"/>
      <c r="P33" s="155"/>
    </row>
    <row r="34" spans="1:16" ht="18" customHeight="1" x14ac:dyDescent="0.25">
      <c r="A34" s="173">
        <v>29</v>
      </c>
      <c r="B34" s="174">
        <f t="shared" si="9"/>
        <v>2012.3333333333312</v>
      </c>
      <c r="C34" s="174">
        <v>91.42</v>
      </c>
      <c r="D34" s="196">
        <f t="shared" si="5"/>
        <v>85.293333333333337</v>
      </c>
      <c r="E34" s="197">
        <f t="shared" si="6"/>
        <v>92.448333333333323</v>
      </c>
      <c r="F34" s="191">
        <f t="shared" si="1"/>
        <v>79.371829754334158</v>
      </c>
      <c r="G34" s="192">
        <f t="shared" si="2"/>
        <v>74.176333333354705</v>
      </c>
      <c r="H34" s="191">
        <f t="shared" si="4"/>
        <v>297.34404011037412</v>
      </c>
      <c r="I34" s="191">
        <f t="shared" si="7"/>
        <v>37.536044444444428</v>
      </c>
      <c r="J34" s="191">
        <f t="shared" si="8"/>
        <v>1.0574694444444206</v>
      </c>
      <c r="K34" s="191">
        <f t="shared" si="3"/>
        <v>145.15840626854776</v>
      </c>
      <c r="L34" s="177"/>
      <c r="M34" s="177"/>
      <c r="N34" s="177"/>
      <c r="O34" s="155"/>
      <c r="P34" s="155"/>
    </row>
    <row r="35" spans="1:16" ht="18" customHeight="1" x14ac:dyDescent="0.25">
      <c r="A35" s="173">
        <v>30</v>
      </c>
      <c r="B35" s="174">
        <f t="shared" si="9"/>
        <v>2012.4166666666645</v>
      </c>
      <c r="C35" s="174">
        <v>58.32</v>
      </c>
      <c r="D35" s="196">
        <f t="shared" si="5"/>
        <v>115.76666666666667</v>
      </c>
      <c r="E35" s="197">
        <f t="shared" si="6"/>
        <v>95.511666666666656</v>
      </c>
      <c r="F35" s="191">
        <f t="shared" si="1"/>
        <v>86.600731901733667</v>
      </c>
      <c r="G35" s="192">
        <f t="shared" si="2"/>
        <v>73.319416666690813</v>
      </c>
      <c r="H35" s="191">
        <f t="shared" si="4"/>
        <v>224.98250034100212</v>
      </c>
      <c r="I35" s="191">
        <f t="shared" si="7"/>
        <v>3300.119511111111</v>
      </c>
      <c r="J35" s="191">
        <f t="shared" si="8"/>
        <v>1383.2200694444437</v>
      </c>
      <c r="K35" s="191">
        <f t="shared" si="3"/>
        <v>799.79979689773631</v>
      </c>
      <c r="L35" s="177"/>
      <c r="M35" s="177"/>
      <c r="N35" s="177"/>
      <c r="O35" s="155"/>
      <c r="P35" s="155"/>
    </row>
    <row r="36" spans="1:16" ht="18" customHeight="1" x14ac:dyDescent="0.25">
      <c r="A36" s="173">
        <v>31</v>
      </c>
      <c r="B36" s="174">
        <f t="shared" si="9"/>
        <v>2012.4999999999977</v>
      </c>
      <c r="C36" s="174">
        <v>0</v>
      </c>
      <c r="D36" s="196">
        <f t="shared" si="5"/>
        <v>64.223333333333329</v>
      </c>
      <c r="E36" s="197">
        <f t="shared" si="6"/>
        <v>66.788333333333327</v>
      </c>
      <c r="F36" s="191">
        <f t="shared" si="1"/>
        <v>69.632292760693474</v>
      </c>
      <c r="G36" s="192">
        <f t="shared" si="2"/>
        <v>72.462500000023283</v>
      </c>
      <c r="H36" s="191">
        <f t="shared" si="4"/>
        <v>5250.8139062533746</v>
      </c>
      <c r="I36" s="191">
        <f t="shared" si="7"/>
        <v>4124.6365444444436</v>
      </c>
      <c r="J36" s="191">
        <f t="shared" si="8"/>
        <v>4460.6814694444438</v>
      </c>
      <c r="K36" s="191">
        <f t="shared" si="3"/>
        <v>4848.6561951109252</v>
      </c>
      <c r="L36" s="177"/>
      <c r="M36" s="177"/>
      <c r="N36" s="177"/>
      <c r="O36" s="155"/>
      <c r="P36" s="155"/>
    </row>
    <row r="37" spans="1:16" ht="18" customHeight="1" x14ac:dyDescent="0.25">
      <c r="A37" s="173">
        <v>32</v>
      </c>
      <c r="B37" s="174">
        <f t="shared" si="9"/>
        <v>2012.583333333331</v>
      </c>
      <c r="C37" s="174">
        <v>92.11</v>
      </c>
      <c r="D37" s="196">
        <f t="shared" si="5"/>
        <v>49.913333333333334</v>
      </c>
      <c r="E37" s="197">
        <f t="shared" si="6"/>
        <v>34.676666666666662</v>
      </c>
      <c r="F37" s="191">
        <f t="shared" si="1"/>
        <v>27.852917104277392</v>
      </c>
      <c r="G37" s="192">
        <f t="shared" si="2"/>
        <v>71.605583333359391</v>
      </c>
      <c r="H37" s="191">
        <f t="shared" si="4"/>
        <v>420.43110283920919</v>
      </c>
      <c r="I37" s="191">
        <f t="shared" si="7"/>
        <v>1780.5586777777776</v>
      </c>
      <c r="J37" s="191">
        <f t="shared" si="8"/>
        <v>3298.5877777777782</v>
      </c>
      <c r="K37" s="191">
        <f t="shared" si="3"/>
        <v>4128.9727022677662</v>
      </c>
      <c r="L37" s="177"/>
      <c r="M37" s="177"/>
      <c r="N37" s="177"/>
      <c r="O37" s="155"/>
      <c r="P37" s="155"/>
    </row>
    <row r="38" spans="1:16" ht="18" customHeight="1" x14ac:dyDescent="0.25">
      <c r="A38" s="173">
        <v>33</v>
      </c>
      <c r="B38" s="174">
        <f t="shared" si="9"/>
        <v>2012.6666666666642</v>
      </c>
      <c r="C38" s="174">
        <v>4.4800000000000004</v>
      </c>
      <c r="D38" s="196">
        <f t="shared" si="5"/>
        <v>50.143333333333338</v>
      </c>
      <c r="E38" s="197">
        <f t="shared" si="6"/>
        <v>55.774999999999999</v>
      </c>
      <c r="F38" s="191">
        <f t="shared" si="1"/>
        <v>66.407166841710961</v>
      </c>
      <c r="G38" s="192">
        <f t="shared" si="2"/>
        <v>70.748666666691861</v>
      </c>
      <c r="H38" s="191">
        <f t="shared" si="4"/>
        <v>4391.5361817811163</v>
      </c>
      <c r="I38" s="191">
        <f t="shared" si="7"/>
        <v>2085.140011111112</v>
      </c>
      <c r="J38" s="191">
        <f t="shared" si="8"/>
        <v>2631.177025</v>
      </c>
      <c r="K38" s="191">
        <f t="shared" si="3"/>
        <v>3834.9739930411051</v>
      </c>
      <c r="L38" s="177"/>
      <c r="M38" s="177"/>
      <c r="N38" s="177"/>
      <c r="O38" s="155"/>
      <c r="P38" s="155"/>
    </row>
    <row r="39" spans="1:16" ht="18" customHeight="1" x14ac:dyDescent="0.25">
      <c r="A39" s="173">
        <v>34</v>
      </c>
      <c r="B39" s="174">
        <f t="shared" si="9"/>
        <v>2012.7499999999975</v>
      </c>
      <c r="C39" s="174">
        <v>63.06</v>
      </c>
      <c r="D39" s="196">
        <f t="shared" si="5"/>
        <v>32.196666666666665</v>
      </c>
      <c r="E39" s="197">
        <f t="shared" si="6"/>
        <v>32.943333333333335</v>
      </c>
      <c r="F39" s="191">
        <f t="shared" si="1"/>
        <v>29.250866736684383</v>
      </c>
      <c r="G39" s="192">
        <f t="shared" si="2"/>
        <v>69.891750000027969</v>
      </c>
      <c r="H39" s="191">
        <f t="shared" si="4"/>
        <v>46.672808062882119</v>
      </c>
      <c r="I39" s="191">
        <f t="shared" si="7"/>
        <v>952.54534444444471</v>
      </c>
      <c r="J39" s="191">
        <f t="shared" si="8"/>
        <v>907.01361111111112</v>
      </c>
      <c r="K39" s="191">
        <f t="shared" si="3"/>
        <v>1143.0574920166343</v>
      </c>
      <c r="L39" s="177"/>
      <c r="M39" s="177"/>
      <c r="N39" s="177"/>
      <c r="O39" s="155"/>
      <c r="P39" s="155"/>
    </row>
    <row r="40" spans="1:16" ht="18" customHeight="1" x14ac:dyDescent="0.25">
      <c r="A40" s="173">
        <v>35</v>
      </c>
      <c r="B40" s="174">
        <f t="shared" si="9"/>
        <v>2012.8333333333308</v>
      </c>
      <c r="C40" s="174">
        <v>5.54</v>
      </c>
      <c r="D40" s="196">
        <f t="shared" si="5"/>
        <v>53.216666666666669</v>
      </c>
      <c r="E40" s="197">
        <f t="shared" si="6"/>
        <v>48.375</v>
      </c>
      <c r="F40" s="191">
        <f t="shared" si="1"/>
        <v>49.536346694673753</v>
      </c>
      <c r="G40" s="192">
        <f t="shared" si="2"/>
        <v>69.034833333360439</v>
      </c>
      <c r="H40" s="191">
        <f t="shared" si="4"/>
        <v>4031.5938600312202</v>
      </c>
      <c r="I40" s="191">
        <f t="shared" si="7"/>
        <v>2273.0645444444449</v>
      </c>
      <c r="J40" s="191">
        <f t="shared" si="8"/>
        <v>1834.837225</v>
      </c>
      <c r="K40" s="191">
        <f t="shared" si="3"/>
        <v>1935.6785224779301</v>
      </c>
      <c r="L40" s="177"/>
      <c r="M40" s="177"/>
      <c r="N40" s="177"/>
      <c r="O40" s="155"/>
      <c r="P40" s="155"/>
    </row>
    <row r="41" spans="1:16" ht="18" customHeight="1" x14ac:dyDescent="0.25">
      <c r="A41" s="173">
        <v>36</v>
      </c>
      <c r="B41" s="174">
        <f t="shared" si="9"/>
        <v>2012.916666666664</v>
      </c>
      <c r="C41" s="174">
        <v>0</v>
      </c>
      <c r="D41" s="196">
        <f t="shared" si="5"/>
        <v>24.360000000000003</v>
      </c>
      <c r="E41" s="197">
        <f t="shared" si="6"/>
        <v>24.536666666666665</v>
      </c>
      <c r="F41" s="191">
        <f t="shared" si="1"/>
        <v>23.138538677869505</v>
      </c>
      <c r="G41" s="192">
        <f t="shared" si="2"/>
        <v>68.177916666696547</v>
      </c>
      <c r="H41" s="191">
        <f t="shared" si="4"/>
        <v>4648.228321011019</v>
      </c>
      <c r="I41" s="191">
        <f t="shared" si="7"/>
        <v>593.40960000000018</v>
      </c>
      <c r="J41" s="191">
        <f t="shared" si="8"/>
        <v>602.04801111111101</v>
      </c>
      <c r="K41" s="191">
        <f t="shared" si="3"/>
        <v>535.39197214726312</v>
      </c>
      <c r="L41" s="177"/>
      <c r="M41" s="177"/>
      <c r="N41" s="177"/>
      <c r="O41" s="155"/>
      <c r="P41" s="155"/>
    </row>
    <row r="42" spans="1:16" ht="18" customHeight="1" x14ac:dyDescent="0.25">
      <c r="A42" s="173">
        <v>37</v>
      </c>
      <c r="B42" s="174">
        <f t="shared" si="9"/>
        <v>2012.9999999999973</v>
      </c>
      <c r="C42" s="174">
        <v>43.7</v>
      </c>
      <c r="D42" s="196">
        <f t="shared" si="5"/>
        <v>22.866666666666671</v>
      </c>
      <c r="E42" s="197">
        <f t="shared" si="6"/>
        <v>12.356666666666666</v>
      </c>
      <c r="F42" s="191">
        <f t="shared" si="1"/>
        <v>9.2554154711478027</v>
      </c>
      <c r="G42" s="192">
        <f t="shared" si="2"/>
        <v>67.321000000029017</v>
      </c>
      <c r="H42" s="191">
        <f t="shared" si="4"/>
        <v>557.95164100137072</v>
      </c>
      <c r="I42" s="191">
        <f t="shared" si="7"/>
        <v>434.02777777777771</v>
      </c>
      <c r="J42" s="191">
        <f t="shared" si="8"/>
        <v>982.4045444444447</v>
      </c>
      <c r="K42" s="191">
        <f t="shared" si="3"/>
        <v>1186.4294033652445</v>
      </c>
      <c r="L42" s="177"/>
      <c r="M42" s="177"/>
      <c r="N42" s="177"/>
      <c r="O42" s="155"/>
      <c r="P42" s="155"/>
    </row>
    <row r="43" spans="1:16" ht="18" customHeight="1" x14ac:dyDescent="0.25">
      <c r="A43" s="173">
        <v>38</v>
      </c>
      <c r="B43" s="174">
        <f t="shared" si="9"/>
        <v>2013.0833333333305</v>
      </c>
      <c r="C43" s="174">
        <v>53.28</v>
      </c>
      <c r="D43" s="196">
        <f t="shared" si="5"/>
        <v>16.413333333333334</v>
      </c>
      <c r="E43" s="197">
        <f t="shared" si="6"/>
        <v>22.773333333333333</v>
      </c>
      <c r="F43" s="191">
        <f t="shared" si="1"/>
        <v>29.922166188459123</v>
      </c>
      <c r="G43" s="192">
        <f t="shared" si="2"/>
        <v>66.464083333361486</v>
      </c>
      <c r="H43" s="191">
        <f t="shared" si="4"/>
        <v>173.8200533410201</v>
      </c>
      <c r="I43" s="191">
        <f t="shared" si="7"/>
        <v>1359.151111111111</v>
      </c>
      <c r="J43" s="191">
        <f t="shared" si="8"/>
        <v>930.65671111111112</v>
      </c>
      <c r="K43" s="191">
        <f t="shared" si="3"/>
        <v>545.58840036756226</v>
      </c>
      <c r="L43" s="177"/>
      <c r="M43" s="177"/>
      <c r="N43" s="177"/>
      <c r="O43" s="155"/>
      <c r="P43" s="155"/>
    </row>
    <row r="44" spans="1:16" ht="18" customHeight="1" x14ac:dyDescent="0.25">
      <c r="A44" s="173">
        <v>39</v>
      </c>
      <c r="B44" s="174">
        <f t="shared" si="9"/>
        <v>2013.1666666666638</v>
      </c>
      <c r="C44" s="174">
        <v>94.88</v>
      </c>
      <c r="D44" s="196">
        <f t="shared" si="5"/>
        <v>32.326666666666668</v>
      </c>
      <c r="E44" s="197">
        <f t="shared" si="6"/>
        <v>41.206666666666663</v>
      </c>
      <c r="F44" s="191">
        <f t="shared" si="1"/>
        <v>43.936866475383653</v>
      </c>
      <c r="G44" s="192">
        <f t="shared" si="2"/>
        <v>65.607166666697594</v>
      </c>
      <c r="H44" s="191">
        <f t="shared" si="4"/>
        <v>856.89877135930021</v>
      </c>
      <c r="I44" s="191">
        <f t="shared" si="7"/>
        <v>3912.9195111111103</v>
      </c>
      <c r="J44" s="191">
        <f t="shared" si="8"/>
        <v>2880.8267111111109</v>
      </c>
      <c r="K44" s="191">
        <f t="shared" si="3"/>
        <v>2595.2028533068897</v>
      </c>
      <c r="L44" s="177"/>
      <c r="M44" s="177"/>
      <c r="N44" s="177"/>
      <c r="O44" s="155"/>
      <c r="P44" s="155"/>
    </row>
    <row r="45" spans="1:16" ht="18" customHeight="1" x14ac:dyDescent="0.25">
      <c r="A45" s="173">
        <v>40</v>
      </c>
      <c r="B45" s="174">
        <f t="shared" si="9"/>
        <v>2013.249999999997</v>
      </c>
      <c r="C45" s="174">
        <v>27.63</v>
      </c>
      <c r="D45" s="196">
        <f t="shared" si="5"/>
        <v>63.95333333333334</v>
      </c>
      <c r="E45" s="197">
        <f t="shared" si="6"/>
        <v>72.48333333333332</v>
      </c>
      <c r="F45" s="191">
        <f t="shared" si="1"/>
        <v>74.502746590153464</v>
      </c>
      <c r="G45" s="192">
        <f t="shared" si="2"/>
        <v>64.750250000030064</v>
      </c>
      <c r="H45" s="191">
        <f t="shared" si="4"/>
        <v>1377.9129600647323</v>
      </c>
      <c r="I45" s="191">
        <f t="shared" si="7"/>
        <v>1319.3845444444448</v>
      </c>
      <c r="J45" s="191">
        <f t="shared" si="8"/>
        <v>2011.8215111111103</v>
      </c>
      <c r="K45" s="191">
        <f t="shared" si="3"/>
        <v>2197.0543729047436</v>
      </c>
      <c r="L45" s="177"/>
      <c r="M45" s="177"/>
      <c r="N45" s="177"/>
      <c r="O45" s="155"/>
      <c r="P45" s="155"/>
    </row>
    <row r="46" spans="1:16" ht="18" customHeight="1" x14ac:dyDescent="0.25">
      <c r="A46" s="173">
        <v>41</v>
      </c>
      <c r="B46" s="174">
        <f t="shared" si="9"/>
        <v>2013.3333333333303</v>
      </c>
      <c r="C46" s="174">
        <v>91.22</v>
      </c>
      <c r="D46" s="196">
        <f t="shared" si="5"/>
        <v>58.596666666666664</v>
      </c>
      <c r="E46" s="197">
        <f t="shared" si="6"/>
        <v>54.321666666666658</v>
      </c>
      <c r="F46" s="191">
        <f t="shared" si="1"/>
        <v>46.379098636061386</v>
      </c>
      <c r="G46" s="192">
        <f t="shared" si="2"/>
        <v>63.893333333366172</v>
      </c>
      <c r="H46" s="191">
        <f t="shared" si="4"/>
        <v>746.74671110931627</v>
      </c>
      <c r="I46" s="191">
        <f t="shared" si="7"/>
        <v>1064.2818777777779</v>
      </c>
      <c r="J46" s="191">
        <f t="shared" si="8"/>
        <v>1361.4870027777783</v>
      </c>
      <c r="K46" s="191">
        <f t="shared" si="3"/>
        <v>2010.7064351304718</v>
      </c>
      <c r="L46" s="177"/>
      <c r="M46" s="177"/>
      <c r="N46" s="177"/>
      <c r="O46" s="155"/>
      <c r="P46" s="155"/>
    </row>
    <row r="47" spans="1:16" ht="18" customHeight="1" x14ac:dyDescent="0.25">
      <c r="A47" s="173">
        <v>42</v>
      </c>
      <c r="B47" s="174">
        <f t="shared" si="9"/>
        <v>2013.4166666666636</v>
      </c>
      <c r="C47" s="174">
        <v>0</v>
      </c>
      <c r="D47" s="196">
        <f t="shared" si="5"/>
        <v>71.243333333333325</v>
      </c>
      <c r="E47" s="197">
        <f t="shared" si="6"/>
        <v>70.633333333333326</v>
      </c>
      <c r="F47" s="191">
        <f t="shared" si="1"/>
        <v>73.283639454424559</v>
      </c>
      <c r="G47" s="192">
        <f t="shared" si="2"/>
        <v>63.036416666698642</v>
      </c>
      <c r="H47" s="191">
        <f t="shared" si="4"/>
        <v>3973.5898261776424</v>
      </c>
      <c r="I47" s="191">
        <f t="shared" si="7"/>
        <v>5075.6125444444433</v>
      </c>
      <c r="J47" s="191">
        <f t="shared" si="8"/>
        <v>4989.0677777777764</v>
      </c>
      <c r="K47" s="191">
        <f t="shared" si="3"/>
        <v>5370.4918116860918</v>
      </c>
      <c r="L47" s="177"/>
      <c r="M47" s="177"/>
      <c r="N47" s="177"/>
      <c r="O47" s="155"/>
      <c r="P47" s="155"/>
    </row>
    <row r="48" spans="1:16" ht="18" customHeight="1" x14ac:dyDescent="0.25">
      <c r="A48" s="173">
        <v>43</v>
      </c>
      <c r="B48" s="174">
        <f t="shared" si="9"/>
        <v>2013.4999999999968</v>
      </c>
      <c r="C48" s="174">
        <v>6.97</v>
      </c>
      <c r="D48" s="196">
        <f t="shared" si="5"/>
        <v>39.616666666666667</v>
      </c>
      <c r="E48" s="197">
        <f t="shared" si="6"/>
        <v>35.011666666666663</v>
      </c>
      <c r="F48" s="191">
        <f t="shared" si="1"/>
        <v>29.313455781769825</v>
      </c>
      <c r="G48" s="192">
        <f t="shared" si="2"/>
        <v>62.17950000003475</v>
      </c>
      <c r="H48" s="191">
        <f t="shared" si="4"/>
        <v>3048.0888902538372</v>
      </c>
      <c r="I48" s="191">
        <f t="shared" si="7"/>
        <v>1065.8048444444446</v>
      </c>
      <c r="J48" s="191">
        <f t="shared" si="8"/>
        <v>786.33506944444434</v>
      </c>
      <c r="K48" s="191">
        <f t="shared" si="3"/>
        <v>499.23001627190348</v>
      </c>
      <c r="L48" s="177"/>
      <c r="M48" s="177"/>
      <c r="N48" s="177"/>
      <c r="O48" s="155"/>
      <c r="P48" s="155"/>
    </row>
    <row r="49" spans="1:16" ht="18" customHeight="1" x14ac:dyDescent="0.25">
      <c r="A49" s="173">
        <v>44</v>
      </c>
      <c r="B49" s="174">
        <f t="shared" si="9"/>
        <v>2013.5833333333301</v>
      </c>
      <c r="C49" s="174">
        <v>105.47</v>
      </c>
      <c r="D49" s="196">
        <f t="shared" si="5"/>
        <v>32.729999999999997</v>
      </c>
      <c r="E49" s="197">
        <f t="shared" si="6"/>
        <v>18.688333333333333</v>
      </c>
      <c r="F49" s="191">
        <f t="shared" si="1"/>
        <v>15.907382312707931</v>
      </c>
      <c r="G49" s="192">
        <f t="shared" si="2"/>
        <v>61.32258333336722</v>
      </c>
      <c r="H49" s="191">
        <f t="shared" si="4"/>
        <v>1948.9943983372857</v>
      </c>
      <c r="I49" s="191">
        <f t="shared" si="7"/>
        <v>5291.1076000000012</v>
      </c>
      <c r="J49" s="191">
        <f t="shared" si="8"/>
        <v>7531.0576694444444</v>
      </c>
      <c r="K49" s="191">
        <f t="shared" si="3"/>
        <v>8021.4624870000407</v>
      </c>
      <c r="L49" s="177"/>
      <c r="M49" s="177"/>
      <c r="N49" s="177"/>
      <c r="O49" s="155"/>
      <c r="P49" s="155"/>
    </row>
    <row r="50" spans="1:16" ht="18" customHeight="1" x14ac:dyDescent="0.25">
      <c r="A50" s="173">
        <v>45</v>
      </c>
      <c r="B50" s="174">
        <f t="shared" si="9"/>
        <v>2013.6666666666633</v>
      </c>
      <c r="C50" s="174">
        <v>203.73</v>
      </c>
      <c r="D50" s="196">
        <f t="shared" si="5"/>
        <v>37.479999999999997</v>
      </c>
      <c r="E50" s="197">
        <f t="shared" si="6"/>
        <v>55.05833333333333</v>
      </c>
      <c r="F50" s="191">
        <f t="shared" si="1"/>
        <v>69.644952925083174</v>
      </c>
      <c r="G50" s="192">
        <f t="shared" si="2"/>
        <v>60.465666666703328</v>
      </c>
      <c r="H50" s="191">
        <f t="shared" si="4"/>
        <v>20524.669205433936</v>
      </c>
      <c r="I50" s="191">
        <f t="shared" si="7"/>
        <v>27639.0625</v>
      </c>
      <c r="J50" s="191">
        <f t="shared" si="8"/>
        <v>22103.264469444439</v>
      </c>
      <c r="K50" s="191">
        <f t="shared" si="3"/>
        <v>17978.799849082658</v>
      </c>
      <c r="L50" s="177"/>
      <c r="M50" s="177"/>
      <c r="N50" s="177"/>
      <c r="O50" s="155"/>
      <c r="P50" s="155"/>
    </row>
    <row r="51" spans="1:16" ht="18" customHeight="1" x14ac:dyDescent="0.25">
      <c r="A51" s="173">
        <v>46</v>
      </c>
      <c r="B51" s="174">
        <f t="shared" si="9"/>
        <v>2013.7499999999966</v>
      </c>
      <c r="C51" s="174">
        <v>24.1</v>
      </c>
      <c r="D51" s="196">
        <f t="shared" si="5"/>
        <v>105.38999999999999</v>
      </c>
      <c r="E51" s="197">
        <f t="shared" si="6"/>
        <v>138.18333333333334</v>
      </c>
      <c r="F51" s="191">
        <f t="shared" si="1"/>
        <v>150.09598117003327</v>
      </c>
      <c r="G51" s="192">
        <f t="shared" si="2"/>
        <v>59.608750000035798</v>
      </c>
      <c r="H51" s="191">
        <f t="shared" si="4"/>
        <v>1260.8713265650422</v>
      </c>
      <c r="I51" s="191">
        <f t="shared" si="7"/>
        <v>6608.0640999999987</v>
      </c>
      <c r="J51" s="191">
        <f t="shared" si="8"/>
        <v>13015.006944444447</v>
      </c>
      <c r="K51" s="191">
        <f t="shared" si="3"/>
        <v>15874.98727099938</v>
      </c>
      <c r="L51" s="177"/>
      <c r="M51" s="177"/>
      <c r="N51" s="177"/>
      <c r="O51" s="155"/>
      <c r="P51" s="155"/>
    </row>
    <row r="52" spans="1:16" ht="18" customHeight="1" x14ac:dyDescent="0.25">
      <c r="A52" s="173">
        <v>47</v>
      </c>
      <c r="B52" s="174">
        <f t="shared" si="9"/>
        <v>2013.8333333333298</v>
      </c>
      <c r="C52" s="174">
        <v>0</v>
      </c>
      <c r="D52" s="196">
        <f t="shared" si="5"/>
        <v>111.10000000000001</v>
      </c>
      <c r="E52" s="197">
        <f t="shared" si="6"/>
        <v>97.538333333333327</v>
      </c>
      <c r="F52" s="191">
        <f t="shared" si="1"/>
        <v>74.498392468013321</v>
      </c>
      <c r="G52" s="192">
        <f t="shared" si="2"/>
        <v>58.751833333371906</v>
      </c>
      <c r="H52" s="191">
        <f t="shared" si="4"/>
        <v>3451.7779200323102</v>
      </c>
      <c r="I52" s="191">
        <f t="shared" si="7"/>
        <v>12343.210000000003</v>
      </c>
      <c r="J52" s="191">
        <f t="shared" si="8"/>
        <v>9513.7264694444439</v>
      </c>
      <c r="K52" s="191">
        <f t="shared" si="3"/>
        <v>5550.0104803181439</v>
      </c>
      <c r="L52" s="177"/>
      <c r="M52" s="177"/>
      <c r="N52" s="177"/>
      <c r="O52" s="155"/>
      <c r="P52" s="155"/>
    </row>
    <row r="53" spans="1:16" ht="18" customHeight="1" x14ac:dyDescent="0.25">
      <c r="A53" s="173">
        <v>48</v>
      </c>
      <c r="B53" s="174">
        <f t="shared" si="9"/>
        <v>2013.9166666666631</v>
      </c>
      <c r="C53" s="174">
        <v>0</v>
      </c>
      <c r="D53" s="196">
        <f t="shared" si="5"/>
        <v>75.943333333333328</v>
      </c>
      <c r="E53" s="197">
        <f t="shared" si="6"/>
        <v>41.98833333333333</v>
      </c>
      <c r="F53" s="191">
        <f t="shared" si="1"/>
        <v>29.799356987205329</v>
      </c>
      <c r="G53" s="192">
        <f t="shared" si="2"/>
        <v>57.894916666704376</v>
      </c>
      <c r="H53" s="191">
        <f t="shared" si="4"/>
        <v>3351.8213758446441</v>
      </c>
      <c r="I53" s="191">
        <f t="shared" si="7"/>
        <v>5767.3898777777767</v>
      </c>
      <c r="J53" s="191">
        <f t="shared" si="8"/>
        <v>1763.0201361111108</v>
      </c>
      <c r="K53" s="191">
        <f t="shared" si="3"/>
        <v>888.00167685090298</v>
      </c>
      <c r="L53" s="177"/>
      <c r="M53" s="177"/>
      <c r="N53" s="177"/>
      <c r="O53" s="155"/>
      <c r="P53" s="155"/>
    </row>
    <row r="54" spans="1:16" ht="18" customHeight="1" x14ac:dyDescent="0.25">
      <c r="A54" s="173">
        <v>49</v>
      </c>
      <c r="B54" s="174">
        <f t="shared" si="9"/>
        <v>2013.9999999999964</v>
      </c>
      <c r="C54" s="174">
        <v>96.45</v>
      </c>
      <c r="D54" s="196">
        <f t="shared" si="5"/>
        <v>8.0333333333333332</v>
      </c>
      <c r="E54" s="197">
        <f t="shared" si="6"/>
        <v>4.0166666666666666</v>
      </c>
      <c r="F54" s="191">
        <f t="shared" si="1"/>
        <v>11.919742794882133</v>
      </c>
      <c r="G54" s="192">
        <f t="shared" si="2"/>
        <v>57.038000000036845</v>
      </c>
      <c r="H54" s="191">
        <f t="shared" si="4"/>
        <v>1553.305743997096</v>
      </c>
      <c r="I54" s="191">
        <f t="shared" si="7"/>
        <v>7817.5069444444453</v>
      </c>
      <c r="J54" s="191">
        <f t="shared" si="8"/>
        <v>8543.9211111111126</v>
      </c>
      <c r="K54" s="191">
        <f t="shared" si="3"/>
        <v>7145.3643831633808</v>
      </c>
      <c r="L54" s="177"/>
      <c r="M54" s="177"/>
      <c r="N54" s="177"/>
      <c r="O54" s="155"/>
      <c r="P54" s="155"/>
    </row>
    <row r="55" spans="1:16" ht="18" customHeight="1" x14ac:dyDescent="0.25">
      <c r="A55" s="173">
        <v>50</v>
      </c>
      <c r="B55" s="174">
        <f t="shared" si="9"/>
        <v>2014.0833333333296</v>
      </c>
      <c r="C55" s="174">
        <v>0</v>
      </c>
      <c r="D55" s="196">
        <f t="shared" si="5"/>
        <v>32.15</v>
      </c>
      <c r="E55" s="197">
        <f t="shared" si="6"/>
        <v>48.225000000000001</v>
      </c>
      <c r="F55" s="191">
        <f t="shared" si="1"/>
        <v>62.637897117952853</v>
      </c>
      <c r="G55" s="192">
        <f t="shared" si="2"/>
        <v>56.181083333372953</v>
      </c>
      <c r="H55" s="191">
        <f t="shared" si="4"/>
        <v>3156.3141245113961</v>
      </c>
      <c r="I55" s="191">
        <f t="shared" si="7"/>
        <v>1033.6224999999999</v>
      </c>
      <c r="J55" s="191">
        <f t="shared" si="8"/>
        <v>2325.6506250000002</v>
      </c>
      <c r="K55" s="191">
        <f t="shared" si="3"/>
        <v>3923.5061553592463</v>
      </c>
      <c r="L55" s="177"/>
      <c r="M55" s="177"/>
      <c r="N55" s="177"/>
      <c r="O55" s="155"/>
      <c r="P55" s="155"/>
    </row>
    <row r="56" spans="1:16" ht="18" customHeight="1" x14ac:dyDescent="0.25">
      <c r="A56" s="173">
        <v>51</v>
      </c>
      <c r="B56" s="174">
        <f t="shared" si="9"/>
        <v>2014.1666666666629</v>
      </c>
      <c r="C56" s="174">
        <v>248.81</v>
      </c>
      <c r="D56" s="196">
        <f t="shared" si="5"/>
        <v>32.15</v>
      </c>
      <c r="E56" s="197">
        <f t="shared" si="6"/>
        <v>32.15</v>
      </c>
      <c r="F56" s="191">
        <f t="shared" si="1"/>
        <v>25.055158847181143</v>
      </c>
      <c r="G56" s="192">
        <f t="shared" si="2"/>
        <v>55.324166666705423</v>
      </c>
      <c r="H56" s="191">
        <f t="shared" si="4"/>
        <v>37436.767700679447</v>
      </c>
      <c r="I56" s="191">
        <f t="shared" si="7"/>
        <v>46941.5556</v>
      </c>
      <c r="J56" s="191">
        <f t="shared" si="8"/>
        <v>46941.5556</v>
      </c>
      <c r="K56" s="191">
        <f t="shared" si="3"/>
        <v>50066.228939323206</v>
      </c>
      <c r="L56" s="177"/>
      <c r="M56" s="177"/>
      <c r="N56" s="177"/>
      <c r="O56" s="155"/>
      <c r="P56" s="155"/>
    </row>
    <row r="57" spans="1:16" ht="18" customHeight="1" x14ac:dyDescent="0.25">
      <c r="A57" s="173">
        <v>52</v>
      </c>
      <c r="B57" s="174">
        <f t="shared" si="9"/>
        <v>2014.2499999999961</v>
      </c>
      <c r="C57" s="174">
        <v>0</v>
      </c>
      <c r="D57" s="196">
        <f t="shared" si="5"/>
        <v>115.08666666666666</v>
      </c>
      <c r="E57" s="197">
        <f t="shared" si="6"/>
        <v>140.47999999999999</v>
      </c>
      <c r="F57" s="191">
        <f t="shared" si="1"/>
        <v>159.30806353887246</v>
      </c>
      <c r="G57" s="192">
        <f t="shared" si="2"/>
        <v>54.467250000041531</v>
      </c>
      <c r="H57" s="191">
        <f t="shared" si="4"/>
        <v>2966.6813225670244</v>
      </c>
      <c r="I57" s="191">
        <f t="shared" si="7"/>
        <v>13244.940844444443</v>
      </c>
      <c r="J57" s="191">
        <f t="shared" si="8"/>
        <v>19734.630399999998</v>
      </c>
      <c r="K57" s="191">
        <f t="shared" si="3"/>
        <v>25379.059108505426</v>
      </c>
      <c r="L57" s="177"/>
      <c r="M57" s="177"/>
      <c r="N57" s="177"/>
      <c r="O57" s="155"/>
      <c r="P57" s="155"/>
    </row>
    <row r="58" spans="1:16" ht="18" customHeight="1" x14ac:dyDescent="0.25">
      <c r="A58" s="173">
        <v>53</v>
      </c>
      <c r="B58" s="174">
        <f t="shared" si="9"/>
        <v>2014.3333333333294</v>
      </c>
      <c r="C58" s="174">
        <v>5.14</v>
      </c>
      <c r="D58" s="196">
        <f t="shared" si="5"/>
        <v>82.936666666666667</v>
      </c>
      <c r="E58" s="197">
        <f t="shared" si="6"/>
        <v>82.936666666666667</v>
      </c>
      <c r="F58" s="191">
        <f t="shared" si="1"/>
        <v>63.723225415548988</v>
      </c>
      <c r="G58" s="192">
        <f t="shared" si="2"/>
        <v>53.610333333374001</v>
      </c>
      <c r="H58" s="191">
        <f t="shared" si="4"/>
        <v>2349.3732134483867</v>
      </c>
      <c r="I58" s="191">
        <f t="shared" si="7"/>
        <v>6052.3213444444445</v>
      </c>
      <c r="J58" s="191">
        <f t="shared" si="8"/>
        <v>6052.3213444444445</v>
      </c>
      <c r="K58" s="191">
        <f t="shared" si="3"/>
        <v>3431.9943000890248</v>
      </c>
      <c r="L58" s="177"/>
      <c r="M58" s="177"/>
      <c r="N58" s="177"/>
      <c r="O58" s="155"/>
      <c r="P58" s="155"/>
    </row>
    <row r="59" spans="1:16" ht="18" customHeight="1" x14ac:dyDescent="0.25">
      <c r="A59" s="173">
        <v>54</v>
      </c>
      <c r="B59" s="174">
        <f t="shared" si="9"/>
        <v>2014.4166666666626</v>
      </c>
      <c r="C59" s="174">
        <v>0</v>
      </c>
      <c r="D59" s="196">
        <f t="shared" si="5"/>
        <v>84.649999999999991</v>
      </c>
      <c r="E59" s="197">
        <f t="shared" si="6"/>
        <v>44.038333333333334</v>
      </c>
      <c r="F59" s="191">
        <f t="shared" si="1"/>
        <v>28.573290166219596</v>
      </c>
      <c r="G59" s="192">
        <f t="shared" si="2"/>
        <v>52.753416666710109</v>
      </c>
      <c r="H59" s="191">
        <f t="shared" si="4"/>
        <v>2782.9229700115279</v>
      </c>
      <c r="I59" s="191">
        <f t="shared" si="7"/>
        <v>7165.6224999999986</v>
      </c>
      <c r="J59" s="191">
        <f t="shared" si="8"/>
        <v>1939.3748027777779</v>
      </c>
      <c r="K59" s="191">
        <f t="shared" si="3"/>
        <v>816.43291092298148</v>
      </c>
      <c r="L59" s="177"/>
      <c r="M59" s="177"/>
      <c r="N59" s="177"/>
      <c r="O59" s="155"/>
      <c r="P59" s="155"/>
    </row>
    <row r="60" spans="1:16" ht="18" customHeight="1" x14ac:dyDescent="0.25">
      <c r="A60" s="173">
        <v>55</v>
      </c>
      <c r="B60" s="174">
        <f t="shared" si="9"/>
        <v>2014.4999999999959</v>
      </c>
      <c r="C60" s="174">
        <v>0</v>
      </c>
      <c r="D60" s="196">
        <f t="shared" si="5"/>
        <v>1.7133333333333332</v>
      </c>
      <c r="E60" s="197">
        <f t="shared" si="6"/>
        <v>1.7133333333333332</v>
      </c>
      <c r="F60" s="191">
        <f t="shared" si="1"/>
        <v>11.429316066487839</v>
      </c>
      <c r="G60" s="192">
        <f t="shared" si="2"/>
        <v>51.896500000042579</v>
      </c>
      <c r="H60" s="191">
        <f t="shared" si="4"/>
        <v>2693.2467122544194</v>
      </c>
      <c r="I60" s="191">
        <f t="shared" si="7"/>
        <v>2.9355111111111105</v>
      </c>
      <c r="J60" s="191">
        <f t="shared" si="8"/>
        <v>2.9355111111111105</v>
      </c>
      <c r="K60" s="191">
        <f t="shared" si="3"/>
        <v>130.62926574767707</v>
      </c>
      <c r="L60" s="177"/>
      <c r="M60" s="177"/>
      <c r="N60" s="177"/>
      <c r="O60" s="155"/>
      <c r="P60" s="155"/>
    </row>
    <row r="61" spans="1:16" ht="18" customHeight="1" x14ac:dyDescent="0.25">
      <c r="A61" s="173">
        <v>56</v>
      </c>
      <c r="B61" s="174">
        <f t="shared" si="9"/>
        <v>2014.5833333333292</v>
      </c>
      <c r="C61" s="174">
        <v>0</v>
      </c>
      <c r="D61" s="196">
        <f t="shared" si="5"/>
        <v>1.7133333333333332</v>
      </c>
      <c r="E61" s="197">
        <f t="shared" si="6"/>
        <v>0.85666666666666658</v>
      </c>
      <c r="F61" s="191">
        <f t="shared" si="1"/>
        <v>4.5717264265951361</v>
      </c>
      <c r="G61" s="192">
        <f t="shared" si="2"/>
        <v>51.039583333378687</v>
      </c>
      <c r="H61" s="191">
        <f t="shared" si="4"/>
        <v>2605.0390668449072</v>
      </c>
      <c r="I61" s="191">
        <f t="shared" si="7"/>
        <v>2.9355111111111105</v>
      </c>
      <c r="J61" s="191">
        <f t="shared" si="8"/>
        <v>0.73387777777777763</v>
      </c>
      <c r="K61" s="191">
        <f t="shared" si="3"/>
        <v>20.900682519628333</v>
      </c>
      <c r="L61" s="177"/>
      <c r="M61" s="177"/>
      <c r="N61" s="177"/>
      <c r="O61" s="155"/>
      <c r="P61" s="155"/>
    </row>
    <row r="62" spans="1:16" ht="18" customHeight="1" x14ac:dyDescent="0.25">
      <c r="A62" s="173">
        <v>57</v>
      </c>
      <c r="B62" s="174">
        <f t="shared" si="9"/>
        <v>2014.6666666666624</v>
      </c>
      <c r="C62" s="174">
        <v>81.92</v>
      </c>
      <c r="D62" s="196">
        <f t="shared" si="5"/>
        <v>0</v>
      </c>
      <c r="E62" s="197">
        <f t="shared" si="6"/>
        <v>0</v>
      </c>
      <c r="F62" s="191">
        <f t="shared" si="1"/>
        <v>1.8286905706380545</v>
      </c>
      <c r="G62" s="192">
        <f t="shared" si="2"/>
        <v>50.182666666711157</v>
      </c>
      <c r="H62" s="191">
        <f t="shared" si="4"/>
        <v>1007.2583271082872</v>
      </c>
      <c r="I62" s="191">
        <f t="shared" si="7"/>
        <v>6710.8864000000003</v>
      </c>
      <c r="J62" s="191">
        <f t="shared" si="8"/>
        <v>6710.8864000000003</v>
      </c>
      <c r="K62" s="191">
        <f t="shared" si="3"/>
        <v>6414.6178461098016</v>
      </c>
      <c r="L62" s="177"/>
      <c r="M62" s="177"/>
      <c r="N62" s="177"/>
      <c r="O62" s="155"/>
      <c r="P62" s="155"/>
    </row>
    <row r="63" spans="1:16" ht="18" customHeight="1" x14ac:dyDescent="0.25">
      <c r="A63" s="173">
        <v>58</v>
      </c>
      <c r="B63" s="174">
        <f t="shared" si="9"/>
        <v>2014.7499999999957</v>
      </c>
      <c r="C63" s="174">
        <v>123.12</v>
      </c>
      <c r="D63" s="196">
        <f t="shared" si="5"/>
        <v>27.306666666666668</v>
      </c>
      <c r="E63" s="197">
        <f t="shared" si="6"/>
        <v>40.96</v>
      </c>
      <c r="F63" s="191">
        <f t="shared" si="1"/>
        <v>49.883476228255226</v>
      </c>
      <c r="G63" s="192">
        <f t="shared" si="2"/>
        <v>49.325750000047265</v>
      </c>
      <c r="H63" s="191">
        <f t="shared" si="4"/>
        <v>5445.591333055525</v>
      </c>
      <c r="I63" s="191">
        <f t="shared" si="7"/>
        <v>9180.1948444444442</v>
      </c>
      <c r="J63" s="191">
        <f t="shared" si="8"/>
        <v>6750.2655999999997</v>
      </c>
      <c r="K63" s="191">
        <f t="shared" si="3"/>
        <v>5363.5884141693368</v>
      </c>
      <c r="L63" s="177"/>
      <c r="M63" s="177"/>
      <c r="N63" s="177"/>
      <c r="O63" s="155"/>
      <c r="P63" s="155"/>
    </row>
    <row r="64" spans="1:16" ht="18" customHeight="1" x14ac:dyDescent="0.25">
      <c r="A64" s="173">
        <v>59</v>
      </c>
      <c r="B64" s="174">
        <f t="shared" si="9"/>
        <v>2014.8333333333289</v>
      </c>
      <c r="C64" s="174">
        <v>0</v>
      </c>
      <c r="D64" s="196">
        <f t="shared" si="5"/>
        <v>68.346666666666678</v>
      </c>
      <c r="E64" s="197">
        <f t="shared" si="6"/>
        <v>88.866666666666674</v>
      </c>
      <c r="F64" s="191">
        <f t="shared" si="1"/>
        <v>93.825390491302088</v>
      </c>
      <c r="G64" s="192">
        <f t="shared" si="2"/>
        <v>48.468833333379735</v>
      </c>
      <c r="H64" s="191">
        <f t="shared" si="4"/>
        <v>2349.2278046989427</v>
      </c>
      <c r="I64" s="191">
        <f t="shared" si="7"/>
        <v>4671.2668444444462</v>
      </c>
      <c r="J64" s="191">
        <f t="shared" si="8"/>
        <v>7897.2844444444454</v>
      </c>
      <c r="K64" s="191">
        <f t="shared" si="3"/>
        <v>8803.2039008453194</v>
      </c>
      <c r="L64" s="177"/>
      <c r="M64" s="177"/>
      <c r="N64" s="177"/>
      <c r="O64" s="155"/>
      <c r="P64" s="155"/>
    </row>
    <row r="65" spans="1:16" ht="18" customHeight="1" x14ac:dyDescent="0.25">
      <c r="A65" s="173">
        <v>60</v>
      </c>
      <c r="B65" s="174">
        <f t="shared" si="9"/>
        <v>2014.9166666666622</v>
      </c>
      <c r="C65" s="174">
        <v>0</v>
      </c>
      <c r="D65" s="196">
        <f t="shared" si="5"/>
        <v>68.346666666666678</v>
      </c>
      <c r="E65" s="197">
        <f t="shared" si="6"/>
        <v>54.693333333333328</v>
      </c>
      <c r="F65" s="191">
        <f t="shared" si="1"/>
        <v>37.530156196520835</v>
      </c>
      <c r="G65" s="192">
        <f t="shared" si="2"/>
        <v>47.611916666712204</v>
      </c>
      <c r="H65" s="191">
        <f t="shared" si="4"/>
        <v>2266.8946086779474</v>
      </c>
      <c r="I65" s="191">
        <f t="shared" si="7"/>
        <v>4671.2668444444462</v>
      </c>
      <c r="J65" s="191">
        <f t="shared" si="8"/>
        <v>2991.3607111111105</v>
      </c>
      <c r="K65" s="191">
        <f t="shared" si="3"/>
        <v>1408.5126241352511</v>
      </c>
      <c r="L65" s="177"/>
      <c r="M65" s="177"/>
      <c r="N65" s="177"/>
      <c r="O65" s="155"/>
      <c r="P65" s="155"/>
    </row>
    <row r="66" spans="1:16" ht="18" customHeight="1" x14ac:dyDescent="0.25">
      <c r="A66" s="173">
        <v>61</v>
      </c>
      <c r="B66" s="174">
        <f t="shared" si="9"/>
        <v>2014.9999999999955</v>
      </c>
      <c r="C66" s="174">
        <v>57.48</v>
      </c>
      <c r="D66" s="196">
        <f t="shared" si="5"/>
        <v>41.04</v>
      </c>
      <c r="E66" s="197">
        <f t="shared" si="6"/>
        <v>20.52</v>
      </c>
      <c r="F66" s="191">
        <f t="shared" si="1"/>
        <v>15.012062478608335</v>
      </c>
      <c r="G66" s="192">
        <f t="shared" si="2"/>
        <v>46.755000000048312</v>
      </c>
      <c r="H66" s="191">
        <f t="shared" si="4"/>
        <v>115.02562499896364</v>
      </c>
      <c r="I66" s="191">
        <f t="shared" si="7"/>
        <v>270.27359999999993</v>
      </c>
      <c r="J66" s="191">
        <f t="shared" si="8"/>
        <v>1366.0415999999996</v>
      </c>
      <c r="K66" s="191">
        <f t="shared" si="3"/>
        <v>1803.5257173208258</v>
      </c>
      <c r="L66" s="177"/>
      <c r="M66" s="177"/>
      <c r="N66" s="177"/>
      <c r="O66" s="155"/>
      <c r="P66" s="155"/>
    </row>
    <row r="67" spans="1:16" ht="18" customHeight="1" x14ac:dyDescent="0.25">
      <c r="A67" s="173">
        <v>62</v>
      </c>
      <c r="B67" s="174">
        <f t="shared" si="9"/>
        <v>2015.0833333333287</v>
      </c>
      <c r="C67" s="174">
        <v>0</v>
      </c>
      <c r="D67" s="196">
        <f t="shared" si="5"/>
        <v>19.16</v>
      </c>
      <c r="E67" s="197">
        <f t="shared" si="6"/>
        <v>28.74</v>
      </c>
      <c r="F67" s="191">
        <f t="shared" si="1"/>
        <v>40.492824991443335</v>
      </c>
      <c r="G67" s="192">
        <f t="shared" si="2"/>
        <v>45.898083333380782</v>
      </c>
      <c r="H67" s="191">
        <f t="shared" si="4"/>
        <v>2106.6340536779667</v>
      </c>
      <c r="I67" s="191">
        <f t="shared" si="7"/>
        <v>367.10559999999998</v>
      </c>
      <c r="J67" s="191">
        <f t="shared" si="8"/>
        <v>825.98759999999993</v>
      </c>
      <c r="K67" s="191">
        <f t="shared" si="3"/>
        <v>1639.668875787658</v>
      </c>
      <c r="L67" s="177"/>
      <c r="M67" s="177"/>
      <c r="N67" s="177"/>
      <c r="O67" s="155"/>
      <c r="P67" s="155"/>
    </row>
    <row r="68" spans="1:16" ht="18" customHeight="1" x14ac:dyDescent="0.25">
      <c r="A68" s="173">
        <v>63</v>
      </c>
      <c r="B68" s="174">
        <f t="shared" si="9"/>
        <v>2015.166666666662</v>
      </c>
      <c r="C68" s="174">
        <v>28.75</v>
      </c>
      <c r="D68" s="196">
        <f t="shared" si="5"/>
        <v>19.16</v>
      </c>
      <c r="E68" s="197">
        <f t="shared" si="6"/>
        <v>19.159999999999997</v>
      </c>
      <c r="F68" s="191">
        <f t="shared" si="1"/>
        <v>16.197129996577335</v>
      </c>
      <c r="G68" s="192">
        <f t="shared" si="2"/>
        <v>45.04116666671689</v>
      </c>
      <c r="H68" s="191">
        <f t="shared" si="4"/>
        <v>265.40211136274752</v>
      </c>
      <c r="I68" s="191">
        <f t="shared" si="7"/>
        <v>91.968099999999993</v>
      </c>
      <c r="J68" s="191">
        <f t="shared" si="8"/>
        <v>91.968100000000064</v>
      </c>
      <c r="K68" s="191">
        <f t="shared" si="3"/>
        <v>157.57454532282856</v>
      </c>
      <c r="L68" s="177"/>
      <c r="M68" s="177"/>
      <c r="N68" s="177"/>
      <c r="O68" s="155"/>
      <c r="P68" s="155"/>
    </row>
    <row r="69" spans="1:16" ht="18" customHeight="1" x14ac:dyDescent="0.25">
      <c r="A69" s="173">
        <v>64</v>
      </c>
      <c r="B69" s="174">
        <f t="shared" si="9"/>
        <v>2015.2499999999952</v>
      </c>
      <c r="C69" s="174">
        <v>0</v>
      </c>
      <c r="D69" s="196">
        <f t="shared" si="5"/>
        <v>28.743333333333329</v>
      </c>
      <c r="E69" s="197">
        <f t="shared" si="6"/>
        <v>23.954999999999998</v>
      </c>
      <c r="F69" s="191">
        <f t="shared" si="1"/>
        <v>23.728851998630933</v>
      </c>
      <c r="G69" s="192">
        <f t="shared" si="2"/>
        <v>44.18425000004936</v>
      </c>
      <c r="H69" s="191">
        <f t="shared" si="4"/>
        <v>1952.2479480668619</v>
      </c>
      <c r="I69" s="191">
        <f t="shared" si="7"/>
        <v>826.17921111111082</v>
      </c>
      <c r="J69" s="191">
        <f t="shared" si="8"/>
        <v>573.84202499999992</v>
      </c>
      <c r="K69" s="191">
        <f t="shared" si="3"/>
        <v>563.05841717293129</v>
      </c>
      <c r="L69" s="177"/>
      <c r="M69" s="177"/>
      <c r="N69" s="177"/>
      <c r="O69" s="155"/>
      <c r="P69" s="155"/>
    </row>
    <row r="70" spans="1:16" ht="18" customHeight="1" x14ac:dyDescent="0.25">
      <c r="A70" s="173">
        <v>65</v>
      </c>
      <c r="B70" s="174">
        <f t="shared" si="9"/>
        <v>2015.3333333333285</v>
      </c>
      <c r="C70" s="174">
        <v>0</v>
      </c>
      <c r="D70" s="196">
        <f t="shared" si="5"/>
        <v>9.5833333333333339</v>
      </c>
      <c r="E70" s="197">
        <f t="shared" si="6"/>
        <v>9.5833333333333321</v>
      </c>
      <c r="F70" s="191">
        <f t="shared" si="1"/>
        <v>9.4915407994523733</v>
      </c>
      <c r="G70" s="192">
        <f t="shared" si="2"/>
        <v>43.327333333385468</v>
      </c>
      <c r="H70" s="191">
        <f t="shared" si="4"/>
        <v>1877.2578137822954</v>
      </c>
      <c r="I70" s="191">
        <f t="shared" si="7"/>
        <v>91.840277777777786</v>
      </c>
      <c r="J70" s="191">
        <f t="shared" si="8"/>
        <v>91.840277777777757</v>
      </c>
      <c r="K70" s="191">
        <f t="shared" si="3"/>
        <v>90.089346747668998</v>
      </c>
      <c r="L70" s="177"/>
      <c r="M70" s="177"/>
      <c r="N70" s="177"/>
      <c r="O70" s="155"/>
      <c r="P70" s="155"/>
    </row>
    <row r="71" spans="1:16" ht="18" customHeight="1" x14ac:dyDescent="0.25">
      <c r="A71" s="173">
        <v>66</v>
      </c>
      <c r="B71" s="174">
        <f t="shared" si="9"/>
        <v>2015.4166666666617</v>
      </c>
      <c r="C71" s="174">
        <v>5.78</v>
      </c>
      <c r="D71" s="196">
        <f t="shared" si="5"/>
        <v>9.5833333333333339</v>
      </c>
      <c r="E71" s="197">
        <f t="shared" si="6"/>
        <v>4.7916666666666661</v>
      </c>
      <c r="F71" s="191">
        <f t="shared" si="1"/>
        <v>3.7966163197809495</v>
      </c>
      <c r="G71" s="192">
        <f t="shared" si="2"/>
        <v>42.470416666717938</v>
      </c>
      <c r="H71" s="191">
        <f t="shared" si="4"/>
        <v>1346.1866751773734</v>
      </c>
      <c r="I71" s="191">
        <f t="shared" si="7"/>
        <v>14.465344444444447</v>
      </c>
      <c r="J71" s="191">
        <f t="shared" si="8"/>
        <v>0.97680277777777946</v>
      </c>
      <c r="K71" s="191">
        <f t="shared" si="3"/>
        <v>3.9338108229592659</v>
      </c>
      <c r="L71" s="177"/>
      <c r="M71" s="177"/>
      <c r="N71" s="177"/>
      <c r="O71" s="155"/>
      <c r="P71" s="155"/>
    </row>
    <row r="72" spans="1:16" ht="18" customHeight="1" x14ac:dyDescent="0.25">
      <c r="A72" s="173">
        <v>67</v>
      </c>
      <c r="B72" s="174">
        <f t="shared" si="9"/>
        <v>2015.499999999995</v>
      </c>
      <c r="C72" s="174">
        <v>60.08</v>
      </c>
      <c r="D72" s="196">
        <f t="shared" si="5"/>
        <v>1.9266666666666667</v>
      </c>
      <c r="E72" s="197">
        <f t="shared" si="6"/>
        <v>2.89</v>
      </c>
      <c r="F72" s="191">
        <f t="shared" ref="F72:F89" si="10">+(C71*$F$3)+(F71*0.4)</f>
        <v>4.9866465279123799</v>
      </c>
      <c r="G72" s="192">
        <f t="shared" ref="G72:G89" si="11">+$E$96+$E$97*B72</f>
        <v>41.613500000054046</v>
      </c>
      <c r="H72" s="191">
        <f t="shared" si="4"/>
        <v>341.01162224800385</v>
      </c>
      <c r="I72" s="191">
        <f t="shared" si="7"/>
        <v>3381.8101777777774</v>
      </c>
      <c r="J72" s="191">
        <f t="shared" si="8"/>
        <v>3270.6960999999997</v>
      </c>
      <c r="K72" s="191">
        <f t="shared" si="3"/>
        <v>3035.2775968003893</v>
      </c>
      <c r="L72" s="177"/>
      <c r="M72" s="177"/>
      <c r="N72" s="177"/>
      <c r="O72" s="155"/>
      <c r="P72" s="155"/>
    </row>
    <row r="73" spans="1:16" ht="18" customHeight="1" x14ac:dyDescent="0.25">
      <c r="A73" s="173">
        <v>68</v>
      </c>
      <c r="B73" s="174">
        <f t="shared" si="9"/>
        <v>2015.5833333333283</v>
      </c>
      <c r="C73" s="174">
        <v>0</v>
      </c>
      <c r="D73" s="196">
        <f t="shared" si="5"/>
        <v>21.953333333333333</v>
      </c>
      <c r="E73" s="197">
        <f t="shared" si="6"/>
        <v>31.966666666666665</v>
      </c>
      <c r="F73" s="191">
        <f t="shared" si="10"/>
        <v>38.042658611164946</v>
      </c>
      <c r="G73" s="192">
        <f t="shared" si="11"/>
        <v>40.756583333386516</v>
      </c>
      <c r="H73" s="191">
        <f t="shared" ref="H73:H88" si="12">+(C73-G73)^2</f>
        <v>1661.0990850112796</v>
      </c>
      <c r="I73" s="191">
        <f t="shared" si="7"/>
        <v>481.94884444444443</v>
      </c>
      <c r="J73" s="191">
        <f t="shared" si="8"/>
        <v>1021.8677777777776</v>
      </c>
      <c r="K73" s="191">
        <f t="shared" si="3"/>
        <v>1447.2438742056424</v>
      </c>
      <c r="L73" s="177"/>
      <c r="M73" s="177"/>
      <c r="N73" s="177"/>
      <c r="O73" s="155"/>
      <c r="P73" s="155"/>
    </row>
    <row r="74" spans="1:16" ht="18" customHeight="1" x14ac:dyDescent="0.25">
      <c r="A74" s="173">
        <v>69</v>
      </c>
      <c r="B74" s="174">
        <f t="shared" si="9"/>
        <v>2015.6666666666615</v>
      </c>
      <c r="C74" s="174">
        <v>69.08</v>
      </c>
      <c r="D74" s="196">
        <f t="shared" ref="D74:D87" si="13">+AVERAGE(C71:C73)</f>
        <v>21.953333333333333</v>
      </c>
      <c r="E74" s="197">
        <f t="shared" ref="E74:E87" si="14">+SUMPRODUCT($N$2:$N$4,C71:C73)</f>
        <v>20.99</v>
      </c>
      <c r="F74" s="191">
        <f t="shared" si="10"/>
        <v>15.217063444465978</v>
      </c>
      <c r="G74" s="192">
        <f t="shared" si="11"/>
        <v>39.899666666718986</v>
      </c>
      <c r="H74" s="191">
        <f t="shared" si="12"/>
        <v>851.49185344139096</v>
      </c>
      <c r="I74" s="191">
        <f t="shared" ref="I74:I89" si="15">+(C74-D74)^2</f>
        <v>2220.9227111111109</v>
      </c>
      <c r="J74" s="191">
        <f t="shared" ref="J74:J89" si="16">+(C74-E74)^2</f>
        <v>2312.6481000000003</v>
      </c>
      <c r="K74" s="191">
        <f t="shared" si="3"/>
        <v>2901.2159343854833</v>
      </c>
      <c r="L74" s="177"/>
      <c r="M74" s="177"/>
      <c r="N74" s="177"/>
      <c r="O74" s="155"/>
      <c r="P74" s="155"/>
    </row>
    <row r="75" spans="1:16" ht="18" customHeight="1" x14ac:dyDescent="0.25">
      <c r="A75" s="173">
        <v>70</v>
      </c>
      <c r="B75" s="174">
        <f t="shared" si="9"/>
        <v>2015.7499999999948</v>
      </c>
      <c r="C75" s="174">
        <v>4.8600000000000003</v>
      </c>
      <c r="D75" s="196">
        <f t="shared" si="13"/>
        <v>43.053333333333335</v>
      </c>
      <c r="E75" s="197">
        <f t="shared" si="14"/>
        <v>44.553333333333327</v>
      </c>
      <c r="F75" s="191">
        <f t="shared" si="10"/>
        <v>47.53482537778639</v>
      </c>
      <c r="G75" s="192">
        <f t="shared" si="11"/>
        <v>39.042750000055094</v>
      </c>
      <c r="H75" s="191">
        <f t="shared" si="12"/>
        <v>1168.4603975662665</v>
      </c>
      <c r="I75" s="191">
        <f t="shared" si="15"/>
        <v>1458.7307111111113</v>
      </c>
      <c r="J75" s="191">
        <f t="shared" si="16"/>
        <v>1575.5607111111108</v>
      </c>
      <c r="K75" s="191">
        <f t="shared" si="3"/>
        <v>1821.1407210245613</v>
      </c>
      <c r="L75" s="177"/>
      <c r="M75" s="177"/>
      <c r="N75" s="177"/>
      <c r="O75" s="155"/>
      <c r="P75" s="155"/>
    </row>
    <row r="76" spans="1:16" ht="18" customHeight="1" x14ac:dyDescent="0.25">
      <c r="A76" s="173">
        <v>71</v>
      </c>
      <c r="B76" s="174">
        <f t="shared" si="9"/>
        <v>2015.833333333328</v>
      </c>
      <c r="C76" s="174">
        <v>0</v>
      </c>
      <c r="D76" s="196">
        <f t="shared" si="13"/>
        <v>24.646666666666665</v>
      </c>
      <c r="E76" s="197">
        <f t="shared" si="14"/>
        <v>25.456666666666663</v>
      </c>
      <c r="F76" s="191">
        <f t="shared" si="10"/>
        <v>21.929930151114558</v>
      </c>
      <c r="G76" s="192">
        <f t="shared" si="11"/>
        <v>38.185833333387563</v>
      </c>
      <c r="H76" s="191">
        <f t="shared" si="12"/>
        <v>1458.1578673652527</v>
      </c>
      <c r="I76" s="191">
        <f t="shared" si="15"/>
        <v>607.45817777777768</v>
      </c>
      <c r="J76" s="191">
        <f t="shared" si="16"/>
        <v>648.04187777777759</v>
      </c>
      <c r="K76" s="191">
        <f t="shared" si="3"/>
        <v>480.92183643276337</v>
      </c>
      <c r="L76" s="177"/>
      <c r="M76" s="177"/>
      <c r="N76" s="177"/>
      <c r="O76" s="155"/>
      <c r="P76" s="155"/>
    </row>
    <row r="77" spans="1:16" ht="18" customHeight="1" x14ac:dyDescent="0.25">
      <c r="A77" s="173">
        <v>72</v>
      </c>
      <c r="B77" s="174">
        <f t="shared" si="9"/>
        <v>2015.9166666666613</v>
      </c>
      <c r="C77" s="174">
        <v>0</v>
      </c>
      <c r="D77" s="196">
        <f t="shared" si="13"/>
        <v>24.646666666666665</v>
      </c>
      <c r="E77" s="197">
        <f t="shared" si="14"/>
        <v>13.133333333333333</v>
      </c>
      <c r="F77" s="191">
        <f t="shared" si="10"/>
        <v>8.7719720604458242</v>
      </c>
      <c r="G77" s="192">
        <f t="shared" si="11"/>
        <v>37.328916666723671</v>
      </c>
      <c r="H77" s="191">
        <f t="shared" si="12"/>
        <v>1393.4480195112003</v>
      </c>
      <c r="I77" s="191">
        <f t="shared" si="15"/>
        <v>607.45817777777768</v>
      </c>
      <c r="J77" s="191">
        <f t="shared" si="16"/>
        <v>172.48444444444442</v>
      </c>
      <c r="K77" s="191">
        <f t="shared" si="3"/>
        <v>76.947493829242163</v>
      </c>
      <c r="L77" s="177"/>
      <c r="M77" s="177"/>
      <c r="N77" s="177"/>
      <c r="O77" s="155"/>
      <c r="P77" s="155"/>
    </row>
    <row r="78" spans="1:16" ht="18" customHeight="1" x14ac:dyDescent="0.25">
      <c r="A78" s="173">
        <v>73</v>
      </c>
      <c r="B78" s="174">
        <f t="shared" si="9"/>
        <v>2015.9999999999945</v>
      </c>
      <c r="C78" s="174">
        <v>11.65</v>
      </c>
      <c r="D78" s="196">
        <f t="shared" si="13"/>
        <v>1.62</v>
      </c>
      <c r="E78" s="197">
        <f t="shared" si="14"/>
        <v>0.81</v>
      </c>
      <c r="F78" s="191">
        <f t="shared" si="10"/>
        <v>3.50878882417833</v>
      </c>
      <c r="G78" s="192">
        <f t="shared" si="11"/>
        <v>36.472000000056141</v>
      </c>
      <c r="H78" s="191">
        <f t="shared" si="12"/>
        <v>616.1316840027871</v>
      </c>
      <c r="I78" s="191">
        <f t="shared" si="15"/>
        <v>100.60090000000002</v>
      </c>
      <c r="J78" s="191">
        <f t="shared" si="16"/>
        <v>117.5056</v>
      </c>
      <c r="K78" s="191">
        <f t="shared" si="3"/>
        <v>66.279319409323662</v>
      </c>
      <c r="L78" s="177"/>
      <c r="M78" s="177"/>
      <c r="N78" s="177"/>
      <c r="O78" s="155"/>
      <c r="P78" s="155"/>
    </row>
    <row r="79" spans="1:16" ht="18" customHeight="1" x14ac:dyDescent="0.25">
      <c r="A79" s="173">
        <v>74</v>
      </c>
      <c r="B79" s="174">
        <f t="shared" si="9"/>
        <v>2016.0833333333278</v>
      </c>
      <c r="C79" s="174">
        <v>0</v>
      </c>
      <c r="D79" s="196">
        <f t="shared" si="13"/>
        <v>3.8833333333333333</v>
      </c>
      <c r="E79" s="197">
        <f t="shared" si="14"/>
        <v>5.8250000000000002</v>
      </c>
      <c r="F79" s="191">
        <f t="shared" si="10"/>
        <v>8.3935155296713333</v>
      </c>
      <c r="G79" s="192">
        <f t="shared" si="11"/>
        <v>35.615083333392249</v>
      </c>
      <c r="H79" s="191">
        <f t="shared" si="12"/>
        <v>1268.4341608444743</v>
      </c>
      <c r="I79" s="191">
        <f t="shared" si="15"/>
        <v>15.080277777777777</v>
      </c>
      <c r="J79" s="191">
        <f t="shared" si="16"/>
        <v>33.930624999999999</v>
      </c>
      <c r="K79" s="191">
        <f t="shared" si="3"/>
        <v>70.451102946833842</v>
      </c>
      <c r="L79" s="177"/>
      <c r="M79" s="177"/>
      <c r="N79" s="177"/>
      <c r="O79" s="155"/>
      <c r="P79" s="155"/>
    </row>
    <row r="80" spans="1:16" ht="18" customHeight="1" x14ac:dyDescent="0.25">
      <c r="A80" s="173">
        <v>75</v>
      </c>
      <c r="B80" s="174">
        <f t="shared" si="9"/>
        <v>2016.1666666666611</v>
      </c>
      <c r="C80" s="174">
        <v>41.22</v>
      </c>
      <c r="D80" s="196">
        <f t="shared" si="13"/>
        <v>3.8833333333333333</v>
      </c>
      <c r="E80" s="197">
        <f t="shared" si="14"/>
        <v>3.8833333333333333</v>
      </c>
      <c r="F80" s="191">
        <f t="shared" si="10"/>
        <v>3.3574062118685335</v>
      </c>
      <c r="G80" s="192">
        <f t="shared" si="11"/>
        <v>34.758166666724719</v>
      </c>
      <c r="H80" s="191">
        <f t="shared" si="12"/>
        <v>41.755290027027513</v>
      </c>
      <c r="I80" s="191">
        <f t="shared" si="15"/>
        <v>1394.0266777777776</v>
      </c>
      <c r="J80" s="191">
        <f t="shared" si="16"/>
        <v>1394.0266777777776</v>
      </c>
      <c r="K80" s="191">
        <f t="shared" si="3"/>
        <v>1433.5760083650512</v>
      </c>
      <c r="L80" s="177"/>
      <c r="M80" s="177"/>
      <c r="N80" s="177"/>
      <c r="O80" s="155"/>
      <c r="P80" s="155"/>
    </row>
    <row r="81" spans="1:16" ht="18" customHeight="1" x14ac:dyDescent="0.25">
      <c r="A81" s="173">
        <v>76</v>
      </c>
      <c r="B81" s="174">
        <f t="shared" si="9"/>
        <v>2016.2499999999943</v>
      </c>
      <c r="C81" s="174">
        <v>0</v>
      </c>
      <c r="D81" s="196">
        <f t="shared" si="13"/>
        <v>17.623333333333331</v>
      </c>
      <c r="E81" s="197">
        <f t="shared" si="14"/>
        <v>22.551666666666666</v>
      </c>
      <c r="F81" s="191">
        <f t="shared" si="10"/>
        <v>26.074962484747413</v>
      </c>
      <c r="G81" s="192">
        <f t="shared" si="11"/>
        <v>33.901250000060827</v>
      </c>
      <c r="H81" s="191">
        <f t="shared" si="12"/>
        <v>1149.2947515666242</v>
      </c>
      <c r="I81" s="191">
        <f t="shared" si="15"/>
        <v>310.58187777777772</v>
      </c>
      <c r="J81" s="191">
        <f t="shared" si="16"/>
        <v>508.57766944444438</v>
      </c>
      <c r="K81" s="191">
        <f t="shared" si="3"/>
        <v>679.90366858098503</v>
      </c>
      <c r="L81" s="177"/>
      <c r="M81" s="177"/>
      <c r="N81" s="177"/>
      <c r="O81" s="155"/>
      <c r="P81" s="155"/>
    </row>
    <row r="82" spans="1:16" ht="18" customHeight="1" x14ac:dyDescent="0.25">
      <c r="A82" s="173">
        <v>77</v>
      </c>
      <c r="B82" s="174">
        <f t="shared" si="9"/>
        <v>2016.3333333333276</v>
      </c>
      <c r="C82" s="174">
        <v>0</v>
      </c>
      <c r="D82" s="196">
        <f t="shared" si="13"/>
        <v>13.74</v>
      </c>
      <c r="E82" s="197">
        <f t="shared" si="14"/>
        <v>13.739999999999998</v>
      </c>
      <c r="F82" s="191">
        <f t="shared" si="10"/>
        <v>10.429984993898966</v>
      </c>
      <c r="G82" s="192">
        <f t="shared" si="11"/>
        <v>33.044333333393297</v>
      </c>
      <c r="H82" s="191">
        <f t="shared" si="12"/>
        <v>1091.9279654484073</v>
      </c>
      <c r="I82" s="191">
        <f t="shared" si="15"/>
        <v>188.7876</v>
      </c>
      <c r="J82" s="191">
        <f t="shared" si="16"/>
        <v>188.78759999999997</v>
      </c>
      <c r="K82" s="191">
        <f t="shared" si="3"/>
        <v>108.78458697295761</v>
      </c>
      <c r="L82" s="177"/>
      <c r="M82" s="177"/>
      <c r="N82" s="177"/>
      <c r="O82" s="155"/>
      <c r="P82" s="155"/>
    </row>
    <row r="83" spans="1:16" ht="18" customHeight="1" x14ac:dyDescent="0.25">
      <c r="A83" s="173">
        <v>78</v>
      </c>
      <c r="B83" s="174">
        <f t="shared" ref="B83:B89" si="17">+B82+$H$3</f>
        <v>2016.4166666666608</v>
      </c>
      <c r="C83" s="174">
        <v>41.22</v>
      </c>
      <c r="D83" s="196">
        <f t="shared" si="13"/>
        <v>13.74</v>
      </c>
      <c r="E83" s="197">
        <f t="shared" si="14"/>
        <v>6.8699999999999992</v>
      </c>
      <c r="F83" s="191">
        <f t="shared" si="10"/>
        <v>4.1719939975595866</v>
      </c>
      <c r="G83" s="192">
        <f t="shared" si="11"/>
        <v>32.187416666729405</v>
      </c>
      <c r="H83" s="191">
        <f t="shared" si="12"/>
        <v>81.587561672477719</v>
      </c>
      <c r="I83" s="191">
        <f t="shared" si="15"/>
        <v>755.15039999999988</v>
      </c>
      <c r="J83" s="191">
        <f t="shared" si="16"/>
        <v>1179.9225000000001</v>
      </c>
      <c r="K83" s="191">
        <f t="shared" si="3"/>
        <v>1372.5547487568606</v>
      </c>
      <c r="L83" s="177"/>
      <c r="M83" s="177"/>
      <c r="N83" s="177"/>
      <c r="O83" s="155"/>
      <c r="P83" s="155"/>
    </row>
    <row r="84" spans="1:16" ht="18" customHeight="1" x14ac:dyDescent="0.25">
      <c r="A84" s="173">
        <v>79</v>
      </c>
      <c r="B84" s="174">
        <f t="shared" si="17"/>
        <v>2016.4999999999941</v>
      </c>
      <c r="C84" s="174">
        <v>376.42</v>
      </c>
      <c r="D84" s="196">
        <f t="shared" si="13"/>
        <v>13.74</v>
      </c>
      <c r="E84" s="197">
        <f t="shared" si="14"/>
        <v>20.61</v>
      </c>
      <c r="F84" s="191">
        <f t="shared" si="10"/>
        <v>26.400797599023832</v>
      </c>
      <c r="G84" s="192">
        <f t="shared" si="11"/>
        <v>31.330500000061875</v>
      </c>
      <c r="H84" s="191">
        <f t="shared" si="12"/>
        <v>119086.7630102073</v>
      </c>
      <c r="I84" s="191">
        <f t="shared" si="15"/>
        <v>131536.7824</v>
      </c>
      <c r="J84" s="191">
        <f t="shared" si="16"/>
        <v>126600.7561</v>
      </c>
      <c r="K84" s="191">
        <f t="shared" si="3"/>
        <v>122513.44204941551</v>
      </c>
      <c r="L84" s="177"/>
      <c r="M84" s="177"/>
      <c r="N84" s="177"/>
      <c r="O84" s="155"/>
      <c r="P84" s="155"/>
    </row>
    <row r="85" spans="1:16" ht="18" customHeight="1" x14ac:dyDescent="0.25">
      <c r="A85" s="173">
        <v>80</v>
      </c>
      <c r="B85" s="174">
        <f t="shared" si="17"/>
        <v>2016.5833333333273</v>
      </c>
      <c r="C85" s="174">
        <v>36.36</v>
      </c>
      <c r="D85" s="196">
        <f t="shared" si="13"/>
        <v>139.21333333333334</v>
      </c>
      <c r="E85" s="197">
        <f t="shared" si="14"/>
        <v>201.95000000000002</v>
      </c>
      <c r="F85" s="191">
        <f t="shared" si="10"/>
        <v>236.41231903960954</v>
      </c>
      <c r="G85" s="192">
        <f t="shared" si="11"/>
        <v>30.473583333394345</v>
      </c>
      <c r="H85" s="191">
        <f t="shared" si="12"/>
        <v>34.649901172892825</v>
      </c>
      <c r="I85" s="191">
        <f t="shared" si="15"/>
        <v>10578.808177777779</v>
      </c>
      <c r="J85" s="191">
        <f t="shared" si="16"/>
        <v>27420.048100000011</v>
      </c>
      <c r="K85" s="191">
        <f t="shared" si="3"/>
        <v>40020.930353125717</v>
      </c>
      <c r="L85" s="177"/>
      <c r="M85" s="177"/>
      <c r="N85" s="177"/>
      <c r="O85" s="155"/>
      <c r="P85" s="155"/>
    </row>
    <row r="86" spans="1:16" ht="18" customHeight="1" x14ac:dyDescent="0.25">
      <c r="A86" s="173">
        <v>81</v>
      </c>
      <c r="B86" s="174">
        <f t="shared" si="17"/>
        <v>2016.6666666666606</v>
      </c>
      <c r="C86" s="174">
        <v>57.52</v>
      </c>
      <c r="D86" s="196">
        <f t="shared" si="13"/>
        <v>151.33333333333334</v>
      </c>
      <c r="E86" s="197">
        <f t="shared" si="14"/>
        <v>150.52333333333334</v>
      </c>
      <c r="F86" s="191">
        <f t="shared" si="10"/>
        <v>116.38092761584383</v>
      </c>
      <c r="G86" s="192">
        <f t="shared" si="11"/>
        <v>29.616666666730453</v>
      </c>
      <c r="H86" s="191">
        <f t="shared" si="12"/>
        <v>778.59601110755159</v>
      </c>
      <c r="I86" s="191">
        <f t="shared" si="15"/>
        <v>8800.9415111111102</v>
      </c>
      <c r="J86" s="191">
        <f t="shared" si="16"/>
        <v>8649.6200111111102</v>
      </c>
      <c r="K86" s="191">
        <f t="shared" si="3"/>
        <v>3464.6087997976065</v>
      </c>
      <c r="L86" s="177"/>
      <c r="M86" s="177"/>
      <c r="N86" s="177"/>
      <c r="O86" s="155"/>
      <c r="P86" s="155"/>
    </row>
    <row r="87" spans="1:16" ht="18" customHeight="1" x14ac:dyDescent="0.25">
      <c r="A87" s="173">
        <v>82</v>
      </c>
      <c r="B87" s="174">
        <f t="shared" si="17"/>
        <v>2016.7499999999939</v>
      </c>
      <c r="C87" s="174">
        <v>0</v>
      </c>
      <c r="D87" s="196">
        <f t="shared" si="13"/>
        <v>156.76666666666668</v>
      </c>
      <c r="E87" s="197">
        <f t="shared" si="14"/>
        <v>103.61666666666667</v>
      </c>
      <c r="F87" s="191">
        <f t="shared" si="10"/>
        <v>81.064371046337527</v>
      </c>
      <c r="G87" s="192">
        <f t="shared" si="11"/>
        <v>28.759750000062922</v>
      </c>
      <c r="H87" s="191">
        <f t="shared" si="12"/>
        <v>827.1232200661193</v>
      </c>
      <c r="I87" s="191">
        <f t="shared" si="15"/>
        <v>24575.787777777783</v>
      </c>
      <c r="J87" s="191">
        <f t="shared" si="16"/>
        <v>10736.413611111113</v>
      </c>
      <c r="K87" s="191">
        <f t="shared" si="3"/>
        <v>6571.4322531382859</v>
      </c>
      <c r="L87" s="177"/>
      <c r="M87" s="177"/>
      <c r="N87" s="177"/>
      <c r="O87" s="155"/>
      <c r="P87" s="155"/>
    </row>
    <row r="88" spans="1:16" ht="18" customHeight="1" x14ac:dyDescent="0.25">
      <c r="A88" s="173">
        <v>83</v>
      </c>
      <c r="B88" s="174">
        <f t="shared" si="17"/>
        <v>2016.8333333333271</v>
      </c>
      <c r="C88" s="174">
        <v>71.02</v>
      </c>
      <c r="D88" s="196">
        <f>+AVERAGE(C85:C87)</f>
        <v>31.293333333333333</v>
      </c>
      <c r="E88" s="197">
        <f>+SUMPRODUCT($N$2:$N$4,C85:C87)</f>
        <v>25.233333333333331</v>
      </c>
      <c r="F88" s="191">
        <f t="shared" si="10"/>
        <v>32.425748418535015</v>
      </c>
      <c r="G88" s="192">
        <f t="shared" si="11"/>
        <v>27.90283333339903</v>
      </c>
      <c r="H88" s="191">
        <f t="shared" si="12"/>
        <v>1859.0900613554454</v>
      </c>
      <c r="I88" s="191">
        <f t="shared" si="15"/>
        <v>1578.2080444444439</v>
      </c>
      <c r="J88" s="191">
        <f t="shared" si="16"/>
        <v>2096.4188444444439</v>
      </c>
      <c r="K88" s="191">
        <f t="shared" si="3"/>
        <v>1489.5162551334122</v>
      </c>
      <c r="L88" s="177"/>
      <c r="M88" s="177"/>
      <c r="N88" s="177"/>
      <c r="O88" s="155"/>
      <c r="P88" s="155"/>
    </row>
    <row r="89" spans="1:16" ht="18" customHeight="1" x14ac:dyDescent="0.25">
      <c r="A89" s="173">
        <v>84</v>
      </c>
      <c r="B89" s="174">
        <f t="shared" si="17"/>
        <v>2016.9166666666604</v>
      </c>
      <c r="C89" s="174">
        <v>221.9</v>
      </c>
      <c r="D89" s="196">
        <f t="shared" ref="D89:D90" si="18">+AVERAGE(C86:C88)</f>
        <v>42.846666666666664</v>
      </c>
      <c r="E89" s="197">
        <f>+SUMPRODUCT($N$2:$N$4,C86:C88)</f>
        <v>45.096666666666664</v>
      </c>
      <c r="F89" s="191">
        <f t="shared" si="10"/>
        <v>55.582299367414002</v>
      </c>
      <c r="G89" s="192">
        <f t="shared" si="11"/>
        <v>27.0459166667315</v>
      </c>
      <c r="H89" s="191">
        <f>+(C89-G89)^2</f>
        <v>37968.113791648349</v>
      </c>
      <c r="I89" s="191">
        <f t="shared" si="15"/>
        <v>32060.096177777781</v>
      </c>
      <c r="J89" s="191">
        <f t="shared" si="16"/>
        <v>31259.41867777778</v>
      </c>
      <c r="K89" s="191">
        <f t="shared" si="3"/>
        <v>27661.577543710497</v>
      </c>
      <c r="L89" s="177"/>
      <c r="M89" s="177"/>
      <c r="N89" s="177"/>
      <c r="O89" s="155"/>
      <c r="P89" s="155"/>
    </row>
    <row r="90" spans="1:16" ht="20.100000000000001" customHeight="1" x14ac:dyDescent="0.25">
      <c r="A90" s="175"/>
      <c r="B90" s="174">
        <f>+B89+$H$3</f>
        <v>2016.9999999999936</v>
      </c>
      <c r="C90" s="206">
        <f>+D90</f>
        <v>97.64</v>
      </c>
      <c r="D90" s="196">
        <f t="shared" si="18"/>
        <v>97.64</v>
      </c>
      <c r="E90" s="191">
        <f>+SUMPRODUCT($N$2:$N$4,C87:C89)</f>
        <v>134.62333333333333</v>
      </c>
      <c r="F90" s="191">
        <f>+(C89*$F$3)+(F89*0.4)</f>
        <v>155.37291974696558</v>
      </c>
      <c r="G90" s="191">
        <f>+$E$96+$E$97*B90</f>
        <v>26.189000000067608</v>
      </c>
      <c r="H90" s="183"/>
      <c r="I90" s="183"/>
      <c r="J90" s="183"/>
      <c r="K90" s="183"/>
      <c r="L90" s="177"/>
      <c r="M90" s="177"/>
      <c r="N90" s="177"/>
      <c r="O90" s="155"/>
      <c r="P90" s="155"/>
    </row>
    <row r="91" spans="1:16" ht="15" x14ac:dyDescent="0.25">
      <c r="A91" s="175"/>
      <c r="B91" s="174">
        <f t="shared" ref="B91:B93" si="19">+B90+$H$3</f>
        <v>2017.0833333333269</v>
      </c>
      <c r="C91" s="206">
        <f t="shared" ref="C91:C92" si="20">+D91</f>
        <v>130.18666666666667</v>
      </c>
      <c r="D91" s="196">
        <f>+AVERAGE(C88:C90)</f>
        <v>130.18666666666667</v>
      </c>
      <c r="E91" s="292"/>
      <c r="F91" s="183"/>
      <c r="G91" s="191">
        <f>+$E$96+$E$97*B91</f>
        <v>25.332083333400078</v>
      </c>
      <c r="H91" s="177"/>
      <c r="I91" s="177"/>
      <c r="J91" s="177"/>
      <c r="K91" s="177"/>
      <c r="L91" s="177"/>
      <c r="M91" s="177"/>
      <c r="N91" s="177"/>
      <c r="O91" s="155"/>
      <c r="P91" s="155"/>
    </row>
    <row r="92" spans="1:16" ht="15" x14ac:dyDescent="0.25">
      <c r="A92" s="175"/>
      <c r="B92" s="174">
        <f t="shared" si="19"/>
        <v>2017.1666666666601</v>
      </c>
      <c r="C92" s="206">
        <f t="shared" si="20"/>
        <v>149.9088888888889</v>
      </c>
      <c r="D92" s="196">
        <f>+AVERAGE(C89:C91)</f>
        <v>149.9088888888889</v>
      </c>
      <c r="E92" s="292"/>
      <c r="F92" s="183"/>
      <c r="G92" s="191">
        <f>+$E$96+$E$97*B92</f>
        <v>24.475166666736186</v>
      </c>
      <c r="H92" s="177"/>
      <c r="I92" s="334"/>
      <c r="J92" s="177"/>
      <c r="K92" s="177"/>
      <c r="L92" s="177"/>
      <c r="M92" s="177"/>
      <c r="N92" s="177"/>
      <c r="O92" s="155"/>
      <c r="P92" s="155"/>
    </row>
    <row r="93" spans="1:16" ht="15" x14ac:dyDescent="0.25">
      <c r="A93" s="175"/>
      <c r="B93" s="174">
        <f t="shared" si="19"/>
        <v>2017.2499999999934</v>
      </c>
      <c r="C93" s="177"/>
      <c r="D93" s="292"/>
      <c r="E93" s="292"/>
      <c r="F93" s="183"/>
      <c r="G93" s="191">
        <f>+$E$96+$E$97*B93</f>
        <v>23.618250000068656</v>
      </c>
      <c r="H93" s="177"/>
      <c r="I93" s="177"/>
      <c r="J93" s="177"/>
      <c r="K93" s="177"/>
      <c r="L93" s="177"/>
      <c r="M93" s="177"/>
      <c r="N93" s="177"/>
      <c r="O93" s="155"/>
      <c r="P93" s="155"/>
    </row>
    <row r="94" spans="1:16" ht="15.75" x14ac:dyDescent="0.25">
      <c r="B94" s="165"/>
      <c r="C94" s="155"/>
      <c r="D94" s="155"/>
      <c r="E94" s="155"/>
      <c r="F94" s="157"/>
      <c r="G94" s="157"/>
      <c r="H94" s="155"/>
      <c r="I94" s="155"/>
      <c r="J94" s="155"/>
      <c r="K94" s="155"/>
      <c r="L94" s="155"/>
      <c r="M94" s="155"/>
      <c r="N94" s="155"/>
      <c r="O94" s="155"/>
      <c r="P94" s="155"/>
    </row>
    <row r="95" spans="1:16" x14ac:dyDescent="0.2">
      <c r="B95" s="166"/>
      <c r="C95" s="155"/>
      <c r="D95" s="155"/>
      <c r="E95" s="155"/>
      <c r="F95" s="155" t="s">
        <v>408</v>
      </c>
      <c r="G95" s="155" t="s">
        <v>409</v>
      </c>
      <c r="H95" s="297">
        <f>+AVERAGE(H6:H89)</f>
        <v>6982.6822413165546</v>
      </c>
      <c r="I95" s="297">
        <f>+AVERAGE(I9:I89)</f>
        <v>10059.254880521265</v>
      </c>
      <c r="J95" s="297">
        <f>+AVERAGE(J9:J89)</f>
        <v>10172.104037311386</v>
      </c>
      <c r="K95" s="297">
        <f>+AVERAGE(K7:K89)</f>
        <v>10378.791917663126</v>
      </c>
      <c r="L95" s="155"/>
      <c r="M95" s="155"/>
      <c r="N95" s="155"/>
      <c r="O95" s="155"/>
      <c r="P95" s="155"/>
    </row>
    <row r="96" spans="1:16" ht="18" customHeight="1" x14ac:dyDescent="0.2">
      <c r="B96" s="472" t="s">
        <v>410</v>
      </c>
      <c r="C96" s="472"/>
      <c r="D96" s="159" t="s">
        <v>411</v>
      </c>
      <c r="E96" s="160">
        <v>20767</v>
      </c>
      <c r="F96" s="161"/>
      <c r="G96" s="473" t="s">
        <v>417</v>
      </c>
      <c r="H96" s="473"/>
      <c r="I96" s="155"/>
      <c r="J96" s="474"/>
      <c r="K96" s="474" t="s">
        <v>412</v>
      </c>
      <c r="L96" s="155"/>
      <c r="M96" s="155"/>
      <c r="N96" s="155"/>
      <c r="O96" s="155"/>
      <c r="P96" s="155"/>
    </row>
    <row r="97" spans="2:16" ht="18" customHeight="1" x14ac:dyDescent="0.2">
      <c r="B97" s="472"/>
      <c r="C97" s="472"/>
      <c r="D97" s="159" t="s">
        <v>413</v>
      </c>
      <c r="E97" s="160">
        <v>-10.282999999999999</v>
      </c>
      <c r="F97" s="161"/>
      <c r="G97" s="473"/>
      <c r="H97" s="473"/>
      <c r="I97" s="155"/>
      <c r="J97" s="475"/>
      <c r="K97" s="476"/>
      <c r="L97" s="155"/>
      <c r="M97" s="155"/>
      <c r="N97" s="155"/>
      <c r="O97" s="155"/>
      <c r="P97" s="155"/>
    </row>
    <row r="98" spans="2:16" x14ac:dyDescent="0.2">
      <c r="B98" s="166"/>
      <c r="C98" s="155"/>
      <c r="D98" s="155"/>
      <c r="E98" s="155"/>
      <c r="F98" s="155"/>
      <c r="G98" s="473"/>
      <c r="H98" s="473"/>
      <c r="I98" s="155"/>
      <c r="J98" s="155"/>
      <c r="K98" s="155"/>
      <c r="L98" s="155"/>
      <c r="M98" s="155"/>
      <c r="N98" s="155"/>
      <c r="O98" s="155"/>
      <c r="P98" s="155"/>
    </row>
    <row r="99" spans="2:16" x14ac:dyDescent="0.2">
      <c r="B99" s="166" t="s">
        <v>414</v>
      </c>
      <c r="C99" s="155"/>
      <c r="D99" s="155"/>
      <c r="E99" s="155"/>
      <c r="F99" s="155"/>
      <c r="G99" s="473"/>
      <c r="H99" s="473"/>
      <c r="I99" s="155"/>
      <c r="J99" s="155"/>
      <c r="K99" s="155"/>
      <c r="L99" s="155"/>
      <c r="M99" s="155"/>
      <c r="N99" s="155"/>
      <c r="O99" s="155"/>
      <c r="P99" s="155"/>
    </row>
    <row r="100" spans="2:16" ht="18.75" customHeight="1" x14ac:dyDescent="0.2">
      <c r="B100" s="166"/>
      <c r="C100" s="155"/>
      <c r="D100" s="155"/>
      <c r="E100" s="155"/>
      <c r="F100" s="155"/>
      <c r="G100" s="473"/>
      <c r="H100" s="473"/>
      <c r="I100" s="155"/>
      <c r="J100" s="155"/>
      <c r="K100" s="155"/>
      <c r="L100" s="155"/>
      <c r="M100" s="155"/>
      <c r="N100" s="155"/>
      <c r="O100" s="155"/>
      <c r="P100" s="155"/>
    </row>
    <row r="101" spans="2:16" x14ac:dyDescent="0.2">
      <c r="B101" s="166"/>
      <c r="C101" s="155"/>
      <c r="D101" s="155"/>
      <c r="E101" s="155"/>
      <c r="F101" s="155"/>
      <c r="G101" s="473"/>
      <c r="H101" s="473"/>
      <c r="I101" s="155"/>
      <c r="J101" s="155"/>
      <c r="K101" s="155"/>
      <c r="L101" s="155"/>
      <c r="M101" s="155"/>
      <c r="N101" s="155"/>
      <c r="O101" s="155"/>
      <c r="P101" s="155"/>
    </row>
    <row r="102" spans="2:16" x14ac:dyDescent="0.2">
      <c r="B102" s="166"/>
      <c r="C102" s="155"/>
      <c r="D102" s="155"/>
      <c r="E102" s="155"/>
      <c r="F102" s="155"/>
      <c r="G102" s="162"/>
      <c r="H102" s="162"/>
      <c r="I102" s="155"/>
      <c r="J102" s="155"/>
      <c r="K102" s="155"/>
      <c r="L102" s="155"/>
      <c r="M102" s="155"/>
      <c r="N102" s="155"/>
      <c r="O102" s="155"/>
      <c r="P102" s="155"/>
    </row>
    <row r="103" spans="2:16" x14ac:dyDescent="0.2">
      <c r="B103" s="166"/>
      <c r="C103" s="155"/>
      <c r="D103" s="155"/>
      <c r="E103" s="155"/>
      <c r="F103" s="155"/>
      <c r="G103" s="155"/>
      <c r="H103" s="155"/>
      <c r="I103" s="155"/>
      <c r="J103" s="155"/>
      <c r="K103" s="155"/>
      <c r="L103" s="155"/>
      <c r="M103" s="155"/>
      <c r="N103" s="155"/>
      <c r="O103" s="155"/>
      <c r="P103" s="155"/>
    </row>
    <row r="104" spans="2:16" x14ac:dyDescent="0.2">
      <c r="B104" s="166"/>
      <c r="C104" s="155"/>
      <c r="D104" s="155"/>
      <c r="E104" s="155"/>
      <c r="F104" s="155"/>
      <c r="G104" s="155"/>
      <c r="H104" s="155"/>
      <c r="I104" s="155"/>
      <c r="J104" s="155"/>
      <c r="K104" s="155"/>
      <c r="L104" s="155"/>
      <c r="M104" s="155"/>
      <c r="N104" s="155"/>
      <c r="O104" s="155"/>
      <c r="P104" s="155"/>
    </row>
    <row r="105" spans="2:16" x14ac:dyDescent="0.2">
      <c r="B105" s="166"/>
      <c r="C105" s="155"/>
      <c r="D105" s="155"/>
      <c r="E105" s="155"/>
      <c r="F105" s="155"/>
      <c r="G105" s="155"/>
      <c r="H105" s="155"/>
      <c r="I105" s="155"/>
      <c r="J105" s="155"/>
      <c r="K105" s="155"/>
      <c r="L105" s="155"/>
      <c r="M105" s="155"/>
      <c r="N105" s="155"/>
      <c r="O105" s="155"/>
      <c r="P105" s="155"/>
    </row>
    <row r="106" spans="2:16" x14ac:dyDescent="0.2">
      <c r="B106" s="166"/>
      <c r="C106" s="155"/>
      <c r="D106" s="155"/>
      <c r="E106" s="155"/>
      <c r="F106" s="155"/>
      <c r="G106" s="155"/>
      <c r="H106" s="155"/>
      <c r="I106" s="155"/>
      <c r="J106" s="155"/>
      <c r="K106" s="155"/>
      <c r="L106" s="155"/>
      <c r="M106" s="155"/>
      <c r="N106" s="155"/>
      <c r="O106" s="155"/>
      <c r="P106" s="155"/>
    </row>
    <row r="107" spans="2:16" x14ac:dyDescent="0.2">
      <c r="B107" s="166"/>
      <c r="C107" s="155"/>
      <c r="D107" s="155"/>
      <c r="E107" s="155"/>
      <c r="F107" s="155"/>
      <c r="G107" s="155"/>
      <c r="H107" s="155"/>
      <c r="I107" s="155"/>
      <c r="J107" s="155"/>
      <c r="K107" s="155"/>
      <c r="L107" s="155"/>
      <c r="M107" s="155"/>
      <c r="N107" s="155"/>
      <c r="O107" s="155"/>
      <c r="P107" s="155"/>
    </row>
    <row r="108" spans="2:16" x14ac:dyDescent="0.2">
      <c r="B108" s="166"/>
      <c r="C108" s="155"/>
      <c r="D108" s="155"/>
      <c r="E108" s="155"/>
      <c r="F108" s="155"/>
      <c r="G108" s="155"/>
      <c r="H108" s="155"/>
      <c r="I108" s="155"/>
      <c r="J108" s="155"/>
      <c r="K108" s="155"/>
      <c r="L108" s="155"/>
      <c r="M108" s="155"/>
      <c r="N108" s="155"/>
      <c r="O108" s="155"/>
      <c r="P108" s="155"/>
    </row>
    <row r="109" spans="2:16" x14ac:dyDescent="0.2">
      <c r="B109" s="166"/>
      <c r="C109" s="155"/>
      <c r="D109" s="155"/>
      <c r="E109" s="155"/>
      <c r="F109" s="155"/>
      <c r="G109" s="155"/>
      <c r="H109" s="155"/>
      <c r="I109" s="155"/>
      <c r="J109" s="155"/>
      <c r="K109" s="155"/>
      <c r="L109" s="155"/>
      <c r="M109" s="155"/>
      <c r="N109" s="155"/>
      <c r="O109" s="155"/>
      <c r="P109" s="155"/>
    </row>
    <row r="110" spans="2:16" x14ac:dyDescent="0.2">
      <c r="B110" s="166"/>
      <c r="C110" s="155"/>
      <c r="D110" s="155"/>
      <c r="E110" s="155"/>
      <c r="F110" s="155"/>
      <c r="G110" s="155"/>
      <c r="H110" s="155"/>
      <c r="I110" s="155"/>
      <c r="J110" s="155"/>
      <c r="K110" s="155"/>
      <c r="L110" s="155"/>
      <c r="M110" s="155"/>
      <c r="N110" s="155"/>
      <c r="O110" s="155"/>
      <c r="P110" s="155"/>
    </row>
    <row r="111" spans="2:16" x14ac:dyDescent="0.2">
      <c r="B111" s="166"/>
      <c r="C111" s="155"/>
      <c r="D111" s="155"/>
      <c r="E111" s="155"/>
      <c r="F111" s="155"/>
      <c r="G111" s="155"/>
      <c r="H111" s="155"/>
      <c r="I111" s="155"/>
      <c r="J111" s="155"/>
      <c r="K111" s="155"/>
      <c r="L111" s="155"/>
      <c r="M111" s="155"/>
      <c r="N111" s="155"/>
      <c r="O111" s="155"/>
      <c r="P111" s="155"/>
    </row>
    <row r="112" spans="2:16" x14ac:dyDescent="0.2">
      <c r="B112" s="166"/>
      <c r="C112" s="155"/>
      <c r="D112" s="155"/>
      <c r="E112" s="155"/>
      <c r="F112" s="155"/>
      <c r="G112" s="155"/>
      <c r="H112" s="155"/>
      <c r="I112" s="155"/>
      <c r="J112" s="155"/>
      <c r="K112" s="155"/>
      <c r="L112" s="155"/>
      <c r="M112" s="155"/>
      <c r="N112" s="155"/>
      <c r="O112" s="155"/>
      <c r="P112" s="155"/>
    </row>
    <row r="113" spans="1:12" x14ac:dyDescent="0.2">
      <c r="D113" s="155"/>
    </row>
    <row r="114" spans="1:12" x14ac:dyDescent="0.2">
      <c r="D114" s="155"/>
    </row>
    <row r="115" spans="1:12" x14ac:dyDescent="0.2">
      <c r="D115" s="155"/>
    </row>
    <row r="116" spans="1:12" x14ac:dyDescent="0.2">
      <c r="D116" s="155"/>
    </row>
    <row r="117" spans="1:12" x14ac:dyDescent="0.2">
      <c r="D117" s="155"/>
    </row>
    <row r="118" spans="1:12" x14ac:dyDescent="0.2">
      <c r="D118" s="155"/>
    </row>
    <row r="119" spans="1:12" x14ac:dyDescent="0.2">
      <c r="D119" s="155"/>
    </row>
    <row r="120" spans="1:12" x14ac:dyDescent="0.2">
      <c r="D120" s="155"/>
    </row>
    <row r="122" spans="1:12" ht="71.25" x14ac:dyDescent="0.2">
      <c r="A122" s="216" t="s">
        <v>487</v>
      </c>
      <c r="B122" s="199" t="s">
        <v>322</v>
      </c>
      <c r="C122" s="199" t="s">
        <v>425</v>
      </c>
      <c r="D122" s="198" t="s">
        <v>406</v>
      </c>
      <c r="E122" s="198" t="s">
        <v>407</v>
      </c>
      <c r="F122" s="198" t="s">
        <v>491</v>
      </c>
      <c r="G122" s="198" t="s">
        <v>488</v>
      </c>
      <c r="H122" s="198" t="s">
        <v>418</v>
      </c>
      <c r="I122" s="198" t="s">
        <v>423</v>
      </c>
      <c r="J122" s="198" t="s">
        <v>419</v>
      </c>
      <c r="K122" s="198" t="s">
        <v>420</v>
      </c>
    </row>
    <row r="123" spans="1:12" x14ac:dyDescent="0.2">
      <c r="A123" s="301">
        <v>1</v>
      </c>
      <c r="B123" s="301" t="s">
        <v>204</v>
      </c>
      <c r="C123" s="321">
        <v>97.64</v>
      </c>
      <c r="D123" s="301">
        <v>97.64</v>
      </c>
      <c r="E123" s="301">
        <v>134.62333333333333</v>
      </c>
      <c r="F123" s="301">
        <v>155.37291974696558</v>
      </c>
      <c r="H123" s="456" t="s">
        <v>414</v>
      </c>
      <c r="I123" s="456"/>
      <c r="J123" s="456"/>
      <c r="K123" s="456"/>
    </row>
    <row r="124" spans="1:12" x14ac:dyDescent="0.2">
      <c r="A124" s="301">
        <v>2</v>
      </c>
      <c r="B124" s="301" t="s">
        <v>205</v>
      </c>
      <c r="C124" s="321">
        <v>130.18666666666667</v>
      </c>
      <c r="D124" s="301">
        <v>130.18666666666667</v>
      </c>
      <c r="E124" s="323"/>
      <c r="F124" s="312"/>
      <c r="G124" s="318" t="s">
        <v>409</v>
      </c>
      <c r="H124" s="301">
        <v>6982.6822413165546</v>
      </c>
      <c r="I124" s="306">
        <v>10059.254880521265</v>
      </c>
      <c r="J124" s="307">
        <v>10172.104037311386</v>
      </c>
      <c r="K124" s="301">
        <v>10378.791917663126</v>
      </c>
    </row>
    <row r="125" spans="1:12" x14ac:dyDescent="0.2">
      <c r="A125" s="301">
        <v>3</v>
      </c>
      <c r="B125" s="301" t="s">
        <v>206</v>
      </c>
      <c r="C125" s="321">
        <v>149.9088888888889</v>
      </c>
      <c r="D125" s="301">
        <v>149.9088888888889</v>
      </c>
      <c r="E125" s="322"/>
      <c r="F125" s="317"/>
      <c r="G125" s="317"/>
      <c r="H125" s="312"/>
      <c r="I125" s="333" t="s">
        <v>481</v>
      </c>
      <c r="J125" s="312"/>
      <c r="K125" s="312"/>
      <c r="L125" s="317"/>
    </row>
    <row r="126" spans="1:12" x14ac:dyDescent="0.2">
      <c r="A126" s="326"/>
      <c r="B126" s="324"/>
      <c r="D126" s="320"/>
      <c r="E126" s="315"/>
      <c r="F126" s="316"/>
      <c r="G126" s="332"/>
      <c r="H126" s="332"/>
      <c r="I126" s="332"/>
      <c r="J126" s="332"/>
      <c r="K126" s="332"/>
    </row>
    <row r="127" spans="1:12" x14ac:dyDescent="0.2">
      <c r="A127" s="319"/>
      <c r="B127" s="325"/>
      <c r="C127" s="310"/>
      <c r="D127" s="317"/>
      <c r="E127" s="317"/>
      <c r="F127" s="317"/>
      <c r="G127" s="317"/>
      <c r="H127" s="315"/>
      <c r="I127" s="315"/>
      <c r="J127" s="317"/>
      <c r="K127" s="317"/>
      <c r="L127" s="317"/>
    </row>
    <row r="128" spans="1:12" ht="15.75" customHeight="1" x14ac:dyDescent="0.2">
      <c r="A128" s="470" t="s">
        <v>421</v>
      </c>
      <c r="B128" s="470"/>
      <c r="C128" s="470"/>
      <c r="D128" s="328"/>
      <c r="E128" s="317"/>
      <c r="F128" s="317"/>
      <c r="G128" s="327"/>
      <c r="H128" s="459" t="s">
        <v>483</v>
      </c>
      <c r="I128" s="459"/>
      <c r="J128" s="468" t="s">
        <v>482</v>
      </c>
      <c r="K128" s="469"/>
      <c r="L128" s="317"/>
    </row>
    <row r="129" spans="1:12" ht="15.75" customHeight="1" x14ac:dyDescent="0.2">
      <c r="A129" s="336" t="s">
        <v>480</v>
      </c>
      <c r="B129" s="205">
        <v>1</v>
      </c>
      <c r="C129" s="305">
        <f>+B129/B132</f>
        <v>0.16666666666666666</v>
      </c>
      <c r="D129" s="328"/>
      <c r="E129" s="317"/>
      <c r="F129" s="317"/>
      <c r="G129" s="327"/>
      <c r="H129" s="459"/>
      <c r="I129" s="459"/>
      <c r="J129" s="468"/>
      <c r="K129" s="469"/>
      <c r="L129" s="317"/>
    </row>
    <row r="130" spans="1:12" ht="15.75" customHeight="1" x14ac:dyDescent="0.2">
      <c r="A130" s="336" t="s">
        <v>486</v>
      </c>
      <c r="B130" s="205">
        <v>2</v>
      </c>
      <c r="C130" s="305">
        <f>+B130/$M$5</f>
        <v>0.33333333333333331</v>
      </c>
      <c r="D130" s="328"/>
      <c r="E130" s="317"/>
      <c r="F130" s="317"/>
      <c r="G130" s="327"/>
      <c r="H130" s="301" t="s">
        <v>492</v>
      </c>
      <c r="I130" s="301" t="s">
        <v>493</v>
      </c>
      <c r="J130" s="468"/>
      <c r="K130" s="469"/>
      <c r="L130" s="317"/>
    </row>
    <row r="131" spans="1:12" ht="15.75" customHeight="1" x14ac:dyDescent="0.2">
      <c r="A131" s="336" t="s">
        <v>478</v>
      </c>
      <c r="B131" s="205">
        <v>3</v>
      </c>
      <c r="C131" s="305">
        <f>+B131/$M$5</f>
        <v>0.5</v>
      </c>
      <c r="D131" s="328"/>
      <c r="E131" s="317"/>
      <c r="F131" s="317"/>
      <c r="G131" s="317"/>
      <c r="H131" s="331"/>
      <c r="I131" s="331"/>
      <c r="J131" s="469"/>
      <c r="K131" s="469"/>
      <c r="L131" s="317"/>
    </row>
    <row r="132" spans="1:12" ht="15.75" customHeight="1" x14ac:dyDescent="0.2">
      <c r="A132" s="303" t="s">
        <v>479</v>
      </c>
      <c r="B132" s="303">
        <f>+SUM(B129:B131)</f>
        <v>6</v>
      </c>
      <c r="C132" s="304">
        <f>+SUM(C129:C131)</f>
        <v>1</v>
      </c>
      <c r="D132" s="328"/>
      <c r="E132" s="317"/>
      <c r="F132" s="317"/>
      <c r="G132" s="317"/>
      <c r="H132" s="317"/>
      <c r="I132" s="317"/>
      <c r="J132" s="317"/>
      <c r="K132" s="317"/>
      <c r="L132" s="317"/>
    </row>
    <row r="133" spans="1:12" ht="15.75" customHeight="1" x14ac:dyDescent="0.2">
      <c r="A133" s="331"/>
      <c r="B133" s="355"/>
      <c r="C133" s="331"/>
      <c r="D133" s="315"/>
      <c r="E133" s="317"/>
      <c r="F133" s="317"/>
      <c r="G133" s="317"/>
      <c r="H133" s="317"/>
      <c r="I133" s="317"/>
      <c r="J133" s="317"/>
      <c r="K133" s="317"/>
      <c r="L133" s="317"/>
    </row>
    <row r="134" spans="1:12" ht="15.75" customHeight="1" x14ac:dyDescent="0.2">
      <c r="A134" s="317"/>
      <c r="B134" s="354"/>
      <c r="C134" s="317"/>
      <c r="D134" s="317"/>
      <c r="E134" s="317"/>
      <c r="F134" s="317"/>
      <c r="G134" s="317"/>
      <c r="H134" s="317"/>
      <c r="I134" s="317"/>
      <c r="J134" s="317"/>
      <c r="K134" s="317"/>
      <c r="L134" s="317"/>
    </row>
    <row r="135" spans="1:12" x14ac:dyDescent="0.2">
      <c r="A135" s="317"/>
      <c r="B135" s="354"/>
      <c r="C135" s="317"/>
      <c r="D135" s="317"/>
      <c r="E135" s="317"/>
      <c r="F135" s="317"/>
      <c r="G135" s="317"/>
      <c r="H135" s="317"/>
      <c r="I135" s="317"/>
      <c r="J135" s="317"/>
      <c r="K135" s="317"/>
      <c r="L135" s="317"/>
    </row>
    <row r="136" spans="1:12" x14ac:dyDescent="0.2">
      <c r="D136" s="331"/>
      <c r="E136" s="317"/>
      <c r="F136" s="317"/>
      <c r="G136" s="317"/>
      <c r="H136" s="317"/>
      <c r="I136" s="317"/>
      <c r="J136" s="317"/>
      <c r="K136" s="317"/>
      <c r="L136" s="317"/>
    </row>
  </sheetData>
  <mergeCells count="10">
    <mergeCell ref="H123:K123"/>
    <mergeCell ref="H128:I129"/>
    <mergeCell ref="J128:K131"/>
    <mergeCell ref="A128:C128"/>
    <mergeCell ref="L1:M1"/>
    <mergeCell ref="G3:G4"/>
    <mergeCell ref="B96:C97"/>
    <mergeCell ref="G96:H101"/>
    <mergeCell ref="J96:J97"/>
    <mergeCell ref="K96:K97"/>
  </mergeCells>
  <printOptions headings="1" gridLines="1"/>
  <pageMargins left="0.70866141732283472" right="0.19685039370078741" top="0.74803149606299213" bottom="0.74803149606299213" header="0.31496062992125984" footer="0.31496062992125984"/>
  <pageSetup paperSize="9" scale="81" fitToHeight="0" orientation="landscape" horizontalDpi="4294967294"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workbookViewId="0">
      <selection activeCell="E17" sqref="E17"/>
    </sheetView>
  </sheetViews>
  <sheetFormatPr baseColWidth="10" defaultRowHeight="15" x14ac:dyDescent="0.25"/>
  <cols>
    <col min="2" max="2" width="12.85546875" customWidth="1"/>
    <col min="3" max="3" width="13" customWidth="1"/>
  </cols>
  <sheetData>
    <row r="1" spans="1:8" x14ac:dyDescent="0.25">
      <c r="A1" s="218"/>
      <c r="B1" s="220"/>
      <c r="D1" s="341"/>
      <c r="E1" s="341"/>
      <c r="F1" s="225"/>
    </row>
    <row r="2" spans="1:8" ht="30" customHeight="1" x14ac:dyDescent="0.25">
      <c r="A2" s="223"/>
      <c r="B2" s="339"/>
      <c r="C2" s="477" t="s">
        <v>429</v>
      </c>
      <c r="D2" s="477"/>
      <c r="E2" s="477"/>
      <c r="F2" s="342"/>
    </row>
    <row r="3" spans="1:8" x14ac:dyDescent="0.25">
      <c r="A3" s="340"/>
      <c r="B3" s="208" t="s">
        <v>430</v>
      </c>
      <c r="C3" s="209">
        <v>42736</v>
      </c>
      <c r="D3" s="209">
        <v>42767</v>
      </c>
      <c r="E3" s="209">
        <v>42795</v>
      </c>
    </row>
    <row r="4" spans="1:8" ht="45" x14ac:dyDescent="0.25">
      <c r="B4" s="204" t="s">
        <v>337</v>
      </c>
      <c r="C4" s="337">
        <v>1783.1266666666666</v>
      </c>
      <c r="D4" s="338">
        <v>1816.7416666666666</v>
      </c>
      <c r="E4" s="337">
        <v>1770.9963888888888</v>
      </c>
    </row>
    <row r="5" spans="1:8" ht="45" x14ac:dyDescent="0.25">
      <c r="B5" s="205" t="s">
        <v>426</v>
      </c>
      <c r="C5" s="337">
        <v>12.693333333333333</v>
      </c>
      <c r="D5" s="337">
        <v>13.89111111111111</v>
      </c>
      <c r="E5" s="337">
        <v>15.108148148148146</v>
      </c>
      <c r="H5" s="228"/>
    </row>
    <row r="6" spans="1:8" ht="45" x14ac:dyDescent="0.25">
      <c r="B6" s="204" t="s">
        <v>425</v>
      </c>
      <c r="C6" s="210">
        <v>97.64</v>
      </c>
      <c r="D6" s="210">
        <v>130.18666666666667</v>
      </c>
      <c r="E6" s="210">
        <v>149.9088888888889</v>
      </c>
    </row>
    <row r="10" spans="1:8" x14ac:dyDescent="0.25">
      <c r="H10" s="206"/>
    </row>
    <row r="11" spans="1:8" x14ac:dyDescent="0.25">
      <c r="H11" s="206"/>
    </row>
    <row r="12" spans="1:8" x14ac:dyDescent="0.25">
      <c r="H12" s="206"/>
    </row>
    <row r="13" spans="1:8" x14ac:dyDescent="0.25">
      <c r="C13" s="343"/>
      <c r="D13" s="235"/>
      <c r="E13" s="343"/>
      <c r="F13" s="235"/>
      <c r="G13" s="343"/>
    </row>
    <row r="14" spans="1:8" x14ac:dyDescent="0.25">
      <c r="C14" s="308"/>
      <c r="D14" s="6"/>
      <c r="E14" s="308"/>
      <c r="F14" s="6"/>
      <c r="G14" s="308"/>
    </row>
    <row r="15" spans="1:8" x14ac:dyDescent="0.25">
      <c r="C15" s="308"/>
      <c r="D15" s="6"/>
      <c r="E15" s="308"/>
      <c r="F15" s="6"/>
      <c r="G15" s="308"/>
    </row>
    <row r="16" spans="1:8" x14ac:dyDescent="0.25">
      <c r="C16" s="6"/>
      <c r="D16" s="6"/>
      <c r="E16" s="6"/>
      <c r="F16" s="6"/>
      <c r="G16" s="6"/>
    </row>
  </sheetData>
  <mergeCells count="1">
    <mergeCell ref="C2:E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112"/>
  <sheetViews>
    <sheetView workbookViewId="0">
      <selection activeCell="L23" sqref="L23"/>
    </sheetView>
  </sheetViews>
  <sheetFormatPr baseColWidth="10" defaultRowHeight="15" x14ac:dyDescent="0.25"/>
  <cols>
    <col min="2" max="2" width="11.5703125" customWidth="1"/>
    <col min="3" max="3" width="13.140625" bestFit="1" customWidth="1"/>
    <col min="4" max="4" width="13.28515625" customWidth="1"/>
    <col min="9" max="9" width="12.42578125" bestFit="1" customWidth="1"/>
    <col min="10" max="10" width="11.5703125" bestFit="1" customWidth="1"/>
  </cols>
  <sheetData>
    <row r="1" spans="1:10" x14ac:dyDescent="0.25">
      <c r="B1" t="s">
        <v>398</v>
      </c>
    </row>
    <row r="3" spans="1:10" ht="45" x14ac:dyDescent="0.25">
      <c r="A3" t="s">
        <v>388</v>
      </c>
      <c r="B3" s="95" t="s">
        <v>386</v>
      </c>
      <c r="C3" s="95" t="s">
        <v>391</v>
      </c>
      <c r="D3" s="95" t="s">
        <v>390</v>
      </c>
      <c r="E3" s="95" t="s">
        <v>389</v>
      </c>
      <c r="F3" s="95" t="s">
        <v>382</v>
      </c>
      <c r="G3" s="95" t="s">
        <v>383</v>
      </c>
      <c r="H3" s="95" t="s">
        <v>387</v>
      </c>
      <c r="I3" s="95" t="s">
        <v>384</v>
      </c>
      <c r="J3" s="95" t="s">
        <v>385</v>
      </c>
    </row>
    <row r="4" spans="1:10" x14ac:dyDescent="0.25">
      <c r="A4">
        <v>1</v>
      </c>
      <c r="B4" s="132">
        <v>35</v>
      </c>
      <c r="C4" s="126">
        <f>+B4-$B$89</f>
        <v>1.3690476190476204</v>
      </c>
      <c r="D4" s="126">
        <f>+C4^2</f>
        <v>1.8742913832199584</v>
      </c>
      <c r="E4" s="132">
        <v>50</v>
      </c>
      <c r="F4" s="126">
        <f>+E4-$E$89</f>
        <v>-3.3452380952380949</v>
      </c>
      <c r="G4" s="126">
        <f>+F4^2</f>
        <v>11.190617913832197</v>
      </c>
      <c r="H4" s="132">
        <v>53</v>
      </c>
      <c r="I4" s="126">
        <f>+H4-$H$89</f>
        <v>-0.2261904761904745</v>
      </c>
      <c r="J4" s="126">
        <f>+I4^2</f>
        <v>5.116213151927361E-2</v>
      </c>
    </row>
    <row r="5" spans="1:10" x14ac:dyDescent="0.25">
      <c r="A5">
        <v>2</v>
      </c>
      <c r="B5" s="132">
        <v>32</v>
      </c>
      <c r="C5" s="126">
        <f t="shared" ref="C5:C68" si="0">+B5-$B$89</f>
        <v>-1.6309523809523796</v>
      </c>
      <c r="D5" s="126">
        <f t="shared" ref="D5:D68" si="1">+C5^2</f>
        <v>2.660005668934236</v>
      </c>
      <c r="E5" s="132">
        <v>32</v>
      </c>
      <c r="F5" s="126">
        <f t="shared" ref="F5:F68" si="2">+E5-$E$89</f>
        <v>-21.345238095238095</v>
      </c>
      <c r="G5" s="126">
        <f t="shared" ref="G5:G68" si="3">+F5^2</f>
        <v>455.61918934240362</v>
      </c>
      <c r="H5" s="132">
        <v>56</v>
      </c>
      <c r="I5" s="126">
        <f t="shared" ref="I5:I68" si="4">+H5-$H$89</f>
        <v>2.7738095238095255</v>
      </c>
      <c r="J5" s="126">
        <f t="shared" ref="J5:J68" si="5">+I5^2</f>
        <v>7.6940192743764264</v>
      </c>
    </row>
    <row r="6" spans="1:10" x14ac:dyDescent="0.25">
      <c r="A6">
        <v>3</v>
      </c>
      <c r="B6" s="132">
        <v>42</v>
      </c>
      <c r="C6" s="126">
        <f t="shared" si="0"/>
        <v>8.3690476190476204</v>
      </c>
      <c r="D6" s="126">
        <f t="shared" si="1"/>
        <v>70.04095804988664</v>
      </c>
      <c r="E6" s="132">
        <v>53</v>
      </c>
      <c r="F6" s="126">
        <f t="shared" si="2"/>
        <v>-0.3452380952380949</v>
      </c>
      <c r="G6" s="126">
        <f t="shared" si="3"/>
        <v>0.11918934240362788</v>
      </c>
      <c r="H6" s="132">
        <v>52</v>
      </c>
      <c r="I6" s="126">
        <f t="shared" si="4"/>
        <v>-1.2261904761904745</v>
      </c>
      <c r="J6" s="126">
        <f t="shared" si="5"/>
        <v>1.5035430839002226</v>
      </c>
    </row>
    <row r="7" spans="1:10" x14ac:dyDescent="0.25">
      <c r="A7">
        <v>4</v>
      </c>
      <c r="B7" s="132">
        <v>31</v>
      </c>
      <c r="C7" s="126">
        <f t="shared" si="0"/>
        <v>-2.6309523809523796</v>
      </c>
      <c r="D7" s="126">
        <f t="shared" si="1"/>
        <v>6.9219104308389952</v>
      </c>
      <c r="E7" s="132">
        <v>56</v>
      </c>
      <c r="F7" s="126">
        <f t="shared" si="2"/>
        <v>2.6547619047619051</v>
      </c>
      <c r="G7" s="126">
        <f t="shared" si="3"/>
        <v>7.0477607709750583</v>
      </c>
      <c r="H7" s="132">
        <v>51</v>
      </c>
      <c r="I7" s="126">
        <f t="shared" si="4"/>
        <v>-2.2261904761904745</v>
      </c>
      <c r="J7" s="126">
        <f t="shared" si="5"/>
        <v>4.9559240362811714</v>
      </c>
    </row>
    <row r="8" spans="1:10" x14ac:dyDescent="0.25">
      <c r="A8">
        <v>5</v>
      </c>
      <c r="B8" s="132">
        <v>36</v>
      </c>
      <c r="C8" s="126">
        <f t="shared" si="0"/>
        <v>2.3690476190476204</v>
      </c>
      <c r="D8" s="126">
        <f t="shared" si="1"/>
        <v>5.6123866213151992</v>
      </c>
      <c r="E8" s="132">
        <v>52</v>
      </c>
      <c r="F8" s="126">
        <f t="shared" si="2"/>
        <v>-1.3452380952380949</v>
      </c>
      <c r="G8" s="126">
        <f t="shared" si="3"/>
        <v>1.8096655328798177</v>
      </c>
      <c r="H8" s="132">
        <v>51</v>
      </c>
      <c r="I8" s="126">
        <f t="shared" si="4"/>
        <v>-2.2261904761904745</v>
      </c>
      <c r="J8" s="126">
        <f t="shared" si="5"/>
        <v>4.9559240362811714</v>
      </c>
    </row>
    <row r="9" spans="1:10" x14ac:dyDescent="0.25">
      <c r="A9">
        <v>6</v>
      </c>
      <c r="B9" s="132">
        <v>35</v>
      </c>
      <c r="C9" s="126">
        <f t="shared" si="0"/>
        <v>1.3690476190476204</v>
      </c>
      <c r="D9" s="126">
        <f t="shared" si="1"/>
        <v>1.8742913832199584</v>
      </c>
      <c r="E9" s="132">
        <v>52</v>
      </c>
      <c r="F9" s="126">
        <f t="shared" si="2"/>
        <v>-1.3452380952380949</v>
      </c>
      <c r="G9" s="126">
        <f t="shared" si="3"/>
        <v>1.8096655328798177</v>
      </c>
      <c r="H9" s="132">
        <v>51</v>
      </c>
      <c r="I9" s="126">
        <f t="shared" si="4"/>
        <v>-2.2261904761904745</v>
      </c>
      <c r="J9" s="126">
        <f t="shared" si="5"/>
        <v>4.9559240362811714</v>
      </c>
    </row>
    <row r="10" spans="1:10" x14ac:dyDescent="0.25">
      <c r="A10">
        <v>7</v>
      </c>
      <c r="B10" s="132">
        <v>35</v>
      </c>
      <c r="C10" s="126">
        <f t="shared" si="0"/>
        <v>1.3690476190476204</v>
      </c>
      <c r="D10" s="126">
        <f t="shared" si="1"/>
        <v>1.8742913832199584</v>
      </c>
      <c r="E10" s="132">
        <v>51</v>
      </c>
      <c r="F10" s="126">
        <f t="shared" si="2"/>
        <v>-2.3452380952380949</v>
      </c>
      <c r="G10" s="126">
        <f t="shared" si="3"/>
        <v>5.5001417233560073</v>
      </c>
      <c r="H10" s="132">
        <v>53</v>
      </c>
      <c r="I10" s="126">
        <f t="shared" si="4"/>
        <v>-0.2261904761904745</v>
      </c>
      <c r="J10" s="126">
        <f t="shared" si="5"/>
        <v>5.116213151927361E-2</v>
      </c>
    </row>
    <row r="11" spans="1:10" x14ac:dyDescent="0.25">
      <c r="A11">
        <v>8</v>
      </c>
      <c r="B11" s="132">
        <v>20</v>
      </c>
      <c r="C11" s="126">
        <f t="shared" si="0"/>
        <v>-13.63095238095238</v>
      </c>
      <c r="D11" s="126">
        <f t="shared" si="1"/>
        <v>185.80286281179136</v>
      </c>
      <c r="E11" s="132">
        <v>54</v>
      </c>
      <c r="F11" s="126">
        <f t="shared" si="2"/>
        <v>0.6547619047619051</v>
      </c>
      <c r="G11" s="126">
        <f t="shared" si="3"/>
        <v>0.42871315192743809</v>
      </c>
      <c r="H11" s="132">
        <v>52</v>
      </c>
      <c r="I11" s="126">
        <f t="shared" si="4"/>
        <v>-1.2261904761904745</v>
      </c>
      <c r="J11" s="126">
        <f t="shared" si="5"/>
        <v>1.5035430839002226</v>
      </c>
    </row>
    <row r="12" spans="1:10" x14ac:dyDescent="0.25">
      <c r="A12">
        <v>9</v>
      </c>
      <c r="B12" s="132">
        <v>36</v>
      </c>
      <c r="C12" s="126">
        <f t="shared" si="0"/>
        <v>2.3690476190476204</v>
      </c>
      <c r="D12" s="126">
        <f t="shared" si="1"/>
        <v>5.6123866213151992</v>
      </c>
      <c r="E12" s="132">
        <v>54</v>
      </c>
      <c r="F12" s="126">
        <f t="shared" si="2"/>
        <v>0.6547619047619051</v>
      </c>
      <c r="G12" s="126">
        <f t="shared" si="3"/>
        <v>0.42871315192743809</v>
      </c>
      <c r="H12" s="132">
        <v>56</v>
      </c>
      <c r="I12" s="126">
        <f t="shared" si="4"/>
        <v>2.7738095238095255</v>
      </c>
      <c r="J12" s="126">
        <f t="shared" si="5"/>
        <v>7.6940192743764264</v>
      </c>
    </row>
    <row r="13" spans="1:10" x14ac:dyDescent="0.25">
      <c r="A13">
        <v>10</v>
      </c>
      <c r="B13" s="132">
        <v>34</v>
      </c>
      <c r="C13" s="126">
        <f t="shared" si="0"/>
        <v>0.3690476190476204</v>
      </c>
      <c r="D13" s="126">
        <f t="shared" si="1"/>
        <v>0.13619614512471756</v>
      </c>
      <c r="E13" s="132">
        <v>54</v>
      </c>
      <c r="F13" s="126">
        <f t="shared" si="2"/>
        <v>0.6547619047619051</v>
      </c>
      <c r="G13" s="126">
        <f t="shared" si="3"/>
        <v>0.42871315192743809</v>
      </c>
      <c r="H13" s="132">
        <v>59</v>
      </c>
      <c r="I13" s="126">
        <f t="shared" si="4"/>
        <v>5.7738095238095255</v>
      </c>
      <c r="J13" s="126">
        <f t="shared" si="5"/>
        <v>33.336876417233583</v>
      </c>
    </row>
    <row r="14" spans="1:10" x14ac:dyDescent="0.25">
      <c r="A14">
        <v>11</v>
      </c>
      <c r="B14" s="132">
        <v>30</v>
      </c>
      <c r="C14" s="126">
        <f t="shared" si="0"/>
        <v>-3.6309523809523796</v>
      </c>
      <c r="D14" s="126">
        <f t="shared" si="1"/>
        <v>13.183815192743754</v>
      </c>
      <c r="E14" s="132">
        <v>56</v>
      </c>
      <c r="F14" s="126">
        <f t="shared" si="2"/>
        <v>2.6547619047619051</v>
      </c>
      <c r="G14" s="126">
        <f t="shared" si="3"/>
        <v>7.0477607709750583</v>
      </c>
      <c r="H14" s="132">
        <v>56</v>
      </c>
      <c r="I14" s="126">
        <f t="shared" si="4"/>
        <v>2.7738095238095255</v>
      </c>
      <c r="J14" s="126">
        <f t="shared" si="5"/>
        <v>7.6940192743764264</v>
      </c>
    </row>
    <row r="15" spans="1:10" x14ac:dyDescent="0.25">
      <c r="A15">
        <v>12</v>
      </c>
      <c r="B15" s="132">
        <v>35</v>
      </c>
      <c r="C15" s="126">
        <f t="shared" si="0"/>
        <v>1.3690476190476204</v>
      </c>
      <c r="D15" s="126">
        <f t="shared" si="1"/>
        <v>1.8742913832199584</v>
      </c>
      <c r="E15" s="132">
        <v>59</v>
      </c>
      <c r="F15" s="126">
        <f t="shared" si="2"/>
        <v>5.6547619047619051</v>
      </c>
      <c r="G15" s="126">
        <f t="shared" si="3"/>
        <v>31.976332199546491</v>
      </c>
      <c r="H15" s="132">
        <v>52</v>
      </c>
      <c r="I15" s="126">
        <f t="shared" si="4"/>
        <v>-1.2261904761904745</v>
      </c>
      <c r="J15" s="126">
        <f t="shared" si="5"/>
        <v>1.5035430839002226</v>
      </c>
    </row>
    <row r="16" spans="1:10" x14ac:dyDescent="0.25">
      <c r="A16">
        <v>13</v>
      </c>
      <c r="B16" s="132">
        <v>38</v>
      </c>
      <c r="C16" s="126">
        <f t="shared" si="0"/>
        <v>4.3690476190476204</v>
      </c>
      <c r="D16" s="126">
        <f t="shared" si="1"/>
        <v>19.088577097505681</v>
      </c>
      <c r="E16" s="132">
        <v>62</v>
      </c>
      <c r="F16" s="126">
        <f t="shared" si="2"/>
        <v>8.6547619047619051</v>
      </c>
      <c r="G16" s="126">
        <f t="shared" si="3"/>
        <v>74.904903628117921</v>
      </c>
      <c r="H16" s="132">
        <v>51</v>
      </c>
      <c r="I16" s="126">
        <f t="shared" si="4"/>
        <v>-2.2261904761904745</v>
      </c>
      <c r="J16" s="126">
        <f t="shared" si="5"/>
        <v>4.9559240362811714</v>
      </c>
    </row>
    <row r="17" spans="1:10" x14ac:dyDescent="0.25">
      <c r="A17">
        <v>14</v>
      </c>
      <c r="B17" s="132">
        <v>45</v>
      </c>
      <c r="C17" s="126">
        <f t="shared" si="0"/>
        <v>11.36904761904762</v>
      </c>
      <c r="D17" s="126">
        <f t="shared" si="1"/>
        <v>129.25524376417238</v>
      </c>
      <c r="E17" s="132">
        <v>57</v>
      </c>
      <c r="F17" s="126">
        <f t="shared" si="2"/>
        <v>3.6547619047619051</v>
      </c>
      <c r="G17" s="126">
        <f t="shared" si="3"/>
        <v>13.357284580498868</v>
      </c>
      <c r="H17" s="132">
        <v>30</v>
      </c>
      <c r="I17" s="126">
        <f t="shared" si="4"/>
        <v>-23.226190476190474</v>
      </c>
      <c r="J17" s="126">
        <f t="shared" si="5"/>
        <v>539.45592403628109</v>
      </c>
    </row>
    <row r="18" spans="1:10" x14ac:dyDescent="0.25">
      <c r="A18">
        <v>15</v>
      </c>
      <c r="B18" s="132">
        <v>32</v>
      </c>
      <c r="C18" s="126">
        <f t="shared" si="0"/>
        <v>-1.6309523809523796</v>
      </c>
      <c r="D18" s="126">
        <f t="shared" si="1"/>
        <v>2.660005668934236</v>
      </c>
      <c r="E18" s="132">
        <v>51</v>
      </c>
      <c r="F18" s="126">
        <f t="shared" si="2"/>
        <v>-2.3452380952380949</v>
      </c>
      <c r="G18" s="126">
        <f t="shared" si="3"/>
        <v>5.5001417233560073</v>
      </c>
      <c r="H18" s="132">
        <v>54</v>
      </c>
      <c r="I18" s="126">
        <f t="shared" si="4"/>
        <v>0.7738095238095255</v>
      </c>
      <c r="J18" s="126">
        <f t="shared" si="5"/>
        <v>0.59878117913832463</v>
      </c>
    </row>
    <row r="19" spans="1:10" x14ac:dyDescent="0.25">
      <c r="A19">
        <v>16</v>
      </c>
      <c r="B19" s="132">
        <v>30</v>
      </c>
      <c r="C19" s="126">
        <f t="shared" si="0"/>
        <v>-3.6309523809523796</v>
      </c>
      <c r="D19" s="126">
        <f t="shared" si="1"/>
        <v>13.183815192743754</v>
      </c>
      <c r="E19" s="132">
        <v>51</v>
      </c>
      <c r="F19" s="126">
        <f t="shared" si="2"/>
        <v>-2.3452380952380949</v>
      </c>
      <c r="G19" s="126">
        <f t="shared" si="3"/>
        <v>5.5001417233560073</v>
      </c>
      <c r="H19" s="132">
        <v>51</v>
      </c>
      <c r="I19" s="126">
        <f t="shared" si="4"/>
        <v>-2.2261904761904745</v>
      </c>
      <c r="J19" s="126">
        <f t="shared" si="5"/>
        <v>4.9559240362811714</v>
      </c>
    </row>
    <row r="20" spans="1:10" x14ac:dyDescent="0.25">
      <c r="A20">
        <v>17</v>
      </c>
      <c r="B20" s="132">
        <v>31</v>
      </c>
      <c r="C20" s="126">
        <f t="shared" si="0"/>
        <v>-2.6309523809523796</v>
      </c>
      <c r="D20" s="126">
        <f t="shared" si="1"/>
        <v>6.9219104308389952</v>
      </c>
      <c r="E20" s="132">
        <v>51</v>
      </c>
      <c r="F20" s="126">
        <f t="shared" si="2"/>
        <v>-2.3452380952380949</v>
      </c>
      <c r="G20" s="126">
        <f t="shared" si="3"/>
        <v>5.5001417233560073</v>
      </c>
      <c r="H20" s="132">
        <v>52</v>
      </c>
      <c r="I20" s="126">
        <f t="shared" si="4"/>
        <v>-1.2261904761904745</v>
      </c>
      <c r="J20" s="126">
        <f t="shared" si="5"/>
        <v>1.5035430839002226</v>
      </c>
    </row>
    <row r="21" spans="1:10" x14ac:dyDescent="0.25">
      <c r="A21">
        <v>18</v>
      </c>
      <c r="B21" s="132">
        <v>31</v>
      </c>
      <c r="C21" s="126">
        <f t="shared" si="0"/>
        <v>-2.6309523809523796</v>
      </c>
      <c r="D21" s="126">
        <f t="shared" si="1"/>
        <v>6.9219104308389952</v>
      </c>
      <c r="E21" s="132">
        <v>50</v>
      </c>
      <c r="F21" s="126">
        <f t="shared" si="2"/>
        <v>-3.3452380952380949</v>
      </c>
      <c r="G21" s="126">
        <f t="shared" si="3"/>
        <v>11.190617913832197</v>
      </c>
      <c r="H21" s="132">
        <v>56</v>
      </c>
      <c r="I21" s="126">
        <f t="shared" si="4"/>
        <v>2.7738095238095255</v>
      </c>
      <c r="J21" s="126">
        <f t="shared" si="5"/>
        <v>7.6940192743764264</v>
      </c>
    </row>
    <row r="22" spans="1:10" x14ac:dyDescent="0.25">
      <c r="A22">
        <v>19</v>
      </c>
      <c r="B22" s="132">
        <v>36</v>
      </c>
      <c r="C22" s="126">
        <f t="shared" si="0"/>
        <v>2.3690476190476204</v>
      </c>
      <c r="D22" s="126">
        <f t="shared" si="1"/>
        <v>5.6123866213151992</v>
      </c>
      <c r="E22" s="132">
        <v>58</v>
      </c>
      <c r="F22" s="126">
        <f t="shared" si="2"/>
        <v>4.6547619047619051</v>
      </c>
      <c r="G22" s="126">
        <f t="shared" si="3"/>
        <v>21.66680839002268</v>
      </c>
      <c r="H22" s="132">
        <v>54</v>
      </c>
      <c r="I22" s="126">
        <f t="shared" si="4"/>
        <v>0.7738095238095255</v>
      </c>
      <c r="J22" s="126">
        <f t="shared" si="5"/>
        <v>0.59878117913832463</v>
      </c>
    </row>
    <row r="23" spans="1:10" x14ac:dyDescent="0.25">
      <c r="A23">
        <v>20</v>
      </c>
      <c r="B23" s="132">
        <v>35</v>
      </c>
      <c r="C23" s="126">
        <f t="shared" si="0"/>
        <v>1.3690476190476204</v>
      </c>
      <c r="D23" s="126">
        <f t="shared" si="1"/>
        <v>1.8742913832199584</v>
      </c>
      <c r="E23" s="132">
        <v>56</v>
      </c>
      <c r="F23" s="126">
        <f t="shared" si="2"/>
        <v>2.6547619047619051</v>
      </c>
      <c r="G23" s="126">
        <f t="shared" si="3"/>
        <v>7.0477607709750583</v>
      </c>
      <c r="H23" s="132">
        <v>51</v>
      </c>
      <c r="I23" s="126">
        <f t="shared" si="4"/>
        <v>-2.2261904761904745</v>
      </c>
      <c r="J23" s="126">
        <f t="shared" si="5"/>
        <v>4.9559240362811714</v>
      </c>
    </row>
    <row r="24" spans="1:10" x14ac:dyDescent="0.25">
      <c r="A24">
        <v>21</v>
      </c>
      <c r="B24" s="132">
        <v>32</v>
      </c>
      <c r="C24" s="126">
        <f t="shared" si="0"/>
        <v>-1.6309523809523796</v>
      </c>
      <c r="D24" s="126">
        <f t="shared" si="1"/>
        <v>2.660005668934236</v>
      </c>
      <c r="E24" s="132">
        <v>59</v>
      </c>
      <c r="F24" s="126">
        <f t="shared" si="2"/>
        <v>5.6547619047619051</v>
      </c>
      <c r="G24" s="126">
        <f t="shared" si="3"/>
        <v>31.976332199546491</v>
      </c>
      <c r="H24" s="132">
        <v>52</v>
      </c>
      <c r="I24" s="126">
        <f t="shared" si="4"/>
        <v>-1.2261904761904745</v>
      </c>
      <c r="J24" s="126">
        <f t="shared" si="5"/>
        <v>1.5035430839002226</v>
      </c>
    </row>
    <row r="25" spans="1:10" x14ac:dyDescent="0.25">
      <c r="A25">
        <v>22</v>
      </c>
      <c r="B25" s="132">
        <v>39</v>
      </c>
      <c r="C25" s="126">
        <f t="shared" si="0"/>
        <v>5.3690476190476204</v>
      </c>
      <c r="D25" s="126">
        <f t="shared" si="1"/>
        <v>28.826672335600922</v>
      </c>
      <c r="E25" s="132">
        <v>58</v>
      </c>
      <c r="F25" s="126">
        <f t="shared" si="2"/>
        <v>4.6547619047619051</v>
      </c>
      <c r="G25" s="126">
        <f t="shared" si="3"/>
        <v>21.66680839002268</v>
      </c>
      <c r="H25" s="132">
        <v>54</v>
      </c>
      <c r="I25" s="126">
        <f t="shared" si="4"/>
        <v>0.7738095238095255</v>
      </c>
      <c r="J25" s="126">
        <f t="shared" si="5"/>
        <v>0.59878117913832463</v>
      </c>
    </row>
    <row r="26" spans="1:10" x14ac:dyDescent="0.25">
      <c r="A26">
        <v>23</v>
      </c>
      <c r="B26" s="132">
        <v>34</v>
      </c>
      <c r="C26" s="126">
        <f t="shared" si="0"/>
        <v>0.3690476190476204</v>
      </c>
      <c r="D26" s="126">
        <f t="shared" si="1"/>
        <v>0.13619614512471756</v>
      </c>
      <c r="E26" s="132">
        <v>57</v>
      </c>
      <c r="F26" s="126">
        <f t="shared" si="2"/>
        <v>3.6547619047619051</v>
      </c>
      <c r="G26" s="126">
        <f t="shared" si="3"/>
        <v>13.357284580498868</v>
      </c>
      <c r="H26" s="132">
        <v>51</v>
      </c>
      <c r="I26" s="126">
        <f t="shared" si="4"/>
        <v>-2.2261904761904745</v>
      </c>
      <c r="J26" s="126">
        <f t="shared" si="5"/>
        <v>4.9559240362811714</v>
      </c>
    </row>
    <row r="27" spans="1:10" x14ac:dyDescent="0.25">
      <c r="A27">
        <v>24</v>
      </c>
      <c r="B27" s="132">
        <v>36</v>
      </c>
      <c r="C27" s="126">
        <f t="shared" si="0"/>
        <v>2.3690476190476204</v>
      </c>
      <c r="D27" s="126">
        <f t="shared" si="1"/>
        <v>5.6123866213151992</v>
      </c>
      <c r="E27" s="132">
        <v>58</v>
      </c>
      <c r="F27" s="126">
        <f t="shared" si="2"/>
        <v>4.6547619047619051</v>
      </c>
      <c r="G27" s="126">
        <f t="shared" si="3"/>
        <v>21.66680839002268</v>
      </c>
      <c r="H27" s="132">
        <v>58</v>
      </c>
      <c r="I27" s="126">
        <f t="shared" si="4"/>
        <v>4.7738095238095255</v>
      </c>
      <c r="J27" s="126">
        <f t="shared" si="5"/>
        <v>22.789257369614528</v>
      </c>
    </row>
    <row r="28" spans="1:10" x14ac:dyDescent="0.25">
      <c r="A28">
        <v>25</v>
      </c>
      <c r="B28" s="132">
        <v>38</v>
      </c>
      <c r="C28" s="126">
        <f t="shared" si="0"/>
        <v>4.3690476190476204</v>
      </c>
      <c r="D28" s="126">
        <f t="shared" si="1"/>
        <v>19.088577097505681</v>
      </c>
      <c r="E28" s="132">
        <v>56</v>
      </c>
      <c r="F28" s="126">
        <f t="shared" si="2"/>
        <v>2.6547619047619051</v>
      </c>
      <c r="G28" s="126">
        <f t="shared" si="3"/>
        <v>7.0477607709750583</v>
      </c>
      <c r="H28" s="132">
        <v>59</v>
      </c>
      <c r="I28" s="126">
        <f t="shared" si="4"/>
        <v>5.7738095238095255</v>
      </c>
      <c r="J28" s="126">
        <f t="shared" si="5"/>
        <v>33.336876417233583</v>
      </c>
    </row>
    <row r="29" spans="1:10" x14ac:dyDescent="0.25">
      <c r="A29">
        <v>26</v>
      </c>
      <c r="B29" s="132">
        <v>32</v>
      </c>
      <c r="C29" s="126">
        <f t="shared" si="0"/>
        <v>-1.6309523809523796</v>
      </c>
      <c r="D29" s="126">
        <f t="shared" si="1"/>
        <v>2.660005668934236</v>
      </c>
      <c r="E29" s="132">
        <v>57</v>
      </c>
      <c r="F29" s="126">
        <f t="shared" si="2"/>
        <v>3.6547619047619051</v>
      </c>
      <c r="G29" s="126">
        <f t="shared" si="3"/>
        <v>13.357284580498868</v>
      </c>
      <c r="H29" s="132">
        <v>58</v>
      </c>
      <c r="I29" s="126">
        <f t="shared" si="4"/>
        <v>4.7738095238095255</v>
      </c>
      <c r="J29" s="126">
        <f t="shared" si="5"/>
        <v>22.789257369614528</v>
      </c>
    </row>
    <row r="30" spans="1:10" x14ac:dyDescent="0.25">
      <c r="A30">
        <v>27</v>
      </c>
      <c r="B30" s="132">
        <v>31</v>
      </c>
      <c r="C30" s="126">
        <f t="shared" si="0"/>
        <v>-2.6309523809523796</v>
      </c>
      <c r="D30" s="126">
        <f t="shared" si="1"/>
        <v>6.9219104308389952</v>
      </c>
      <c r="E30" s="132">
        <v>56</v>
      </c>
      <c r="F30" s="126">
        <f t="shared" si="2"/>
        <v>2.6547619047619051</v>
      </c>
      <c r="G30" s="126">
        <f t="shared" si="3"/>
        <v>7.0477607709750583</v>
      </c>
      <c r="H30" s="132">
        <v>51</v>
      </c>
      <c r="I30" s="126">
        <f t="shared" si="4"/>
        <v>-2.2261904761904745</v>
      </c>
      <c r="J30" s="126">
        <f t="shared" si="5"/>
        <v>4.9559240362811714</v>
      </c>
    </row>
    <row r="31" spans="1:10" x14ac:dyDescent="0.25">
      <c r="A31">
        <v>28</v>
      </c>
      <c r="B31" s="132">
        <v>37</v>
      </c>
      <c r="C31" s="126">
        <f t="shared" si="0"/>
        <v>3.3690476190476204</v>
      </c>
      <c r="D31" s="126">
        <f t="shared" si="1"/>
        <v>11.35048185941044</v>
      </c>
      <c r="E31" s="132">
        <v>56</v>
      </c>
      <c r="F31" s="126">
        <f t="shared" si="2"/>
        <v>2.6547619047619051</v>
      </c>
      <c r="G31" s="126">
        <f t="shared" si="3"/>
        <v>7.0477607709750583</v>
      </c>
      <c r="H31" s="132">
        <v>51</v>
      </c>
      <c r="I31" s="126">
        <f t="shared" si="4"/>
        <v>-2.2261904761904745</v>
      </c>
      <c r="J31" s="126">
        <f t="shared" si="5"/>
        <v>4.9559240362811714</v>
      </c>
    </row>
    <row r="32" spans="1:10" x14ac:dyDescent="0.25">
      <c r="A32">
        <v>29</v>
      </c>
      <c r="B32" s="132">
        <v>37</v>
      </c>
      <c r="C32" s="126">
        <f t="shared" si="0"/>
        <v>3.3690476190476204</v>
      </c>
      <c r="D32" s="126">
        <f t="shared" si="1"/>
        <v>11.35048185941044</v>
      </c>
      <c r="E32" s="132">
        <v>55</v>
      </c>
      <c r="F32" s="126">
        <f t="shared" si="2"/>
        <v>1.6547619047619051</v>
      </c>
      <c r="G32" s="126">
        <f t="shared" si="3"/>
        <v>2.7382369614512481</v>
      </c>
      <c r="H32" s="132">
        <v>52</v>
      </c>
      <c r="I32" s="126">
        <f t="shared" si="4"/>
        <v>-1.2261904761904745</v>
      </c>
      <c r="J32" s="126">
        <f t="shared" si="5"/>
        <v>1.5035430839002226</v>
      </c>
    </row>
    <row r="33" spans="1:10" x14ac:dyDescent="0.25">
      <c r="A33">
        <v>30</v>
      </c>
      <c r="B33" s="132">
        <v>39</v>
      </c>
      <c r="C33" s="126">
        <f t="shared" si="0"/>
        <v>5.3690476190476204</v>
      </c>
      <c r="D33" s="126">
        <f t="shared" si="1"/>
        <v>28.826672335600922</v>
      </c>
      <c r="E33" s="132">
        <v>55</v>
      </c>
      <c r="F33" s="126">
        <f t="shared" si="2"/>
        <v>1.6547619047619051</v>
      </c>
      <c r="G33" s="126">
        <f t="shared" si="3"/>
        <v>2.7382369614512481</v>
      </c>
      <c r="H33" s="132">
        <v>58</v>
      </c>
      <c r="I33" s="126">
        <f t="shared" si="4"/>
        <v>4.7738095238095255</v>
      </c>
      <c r="J33" s="126">
        <f t="shared" si="5"/>
        <v>22.789257369614528</v>
      </c>
    </row>
    <row r="34" spans="1:10" x14ac:dyDescent="0.25">
      <c r="A34">
        <v>31</v>
      </c>
      <c r="B34" s="132">
        <v>42</v>
      </c>
      <c r="C34" s="126">
        <f t="shared" si="0"/>
        <v>8.3690476190476204</v>
      </c>
      <c r="D34" s="126">
        <f t="shared" si="1"/>
        <v>70.04095804988664</v>
      </c>
      <c r="E34" s="132">
        <v>65</v>
      </c>
      <c r="F34" s="126">
        <f t="shared" si="2"/>
        <v>11.654761904761905</v>
      </c>
      <c r="G34" s="126">
        <f t="shared" si="3"/>
        <v>135.83347505668934</v>
      </c>
      <c r="H34" s="132">
        <v>57</v>
      </c>
      <c r="I34" s="126">
        <f t="shared" si="4"/>
        <v>3.7738095238095255</v>
      </c>
      <c r="J34" s="126">
        <f t="shared" si="5"/>
        <v>14.241638321995477</v>
      </c>
    </row>
    <row r="35" spans="1:10" x14ac:dyDescent="0.25">
      <c r="A35">
        <v>32</v>
      </c>
      <c r="B35" s="132">
        <v>31</v>
      </c>
      <c r="C35" s="126">
        <f t="shared" si="0"/>
        <v>-2.6309523809523796</v>
      </c>
      <c r="D35" s="126">
        <f t="shared" si="1"/>
        <v>6.9219104308389952</v>
      </c>
      <c r="E35" s="132">
        <v>55</v>
      </c>
      <c r="F35" s="126">
        <f t="shared" si="2"/>
        <v>1.6547619047619051</v>
      </c>
      <c r="G35" s="126">
        <f t="shared" si="3"/>
        <v>2.7382369614512481</v>
      </c>
      <c r="H35" s="132">
        <v>51</v>
      </c>
      <c r="I35" s="126">
        <f t="shared" si="4"/>
        <v>-2.2261904761904745</v>
      </c>
      <c r="J35" s="126">
        <f t="shared" si="5"/>
        <v>4.9559240362811714</v>
      </c>
    </row>
    <row r="36" spans="1:10" x14ac:dyDescent="0.25">
      <c r="A36">
        <v>33</v>
      </c>
      <c r="B36" s="132">
        <v>35</v>
      </c>
      <c r="C36" s="126">
        <f t="shared" si="0"/>
        <v>1.3690476190476204</v>
      </c>
      <c r="D36" s="126">
        <f t="shared" si="1"/>
        <v>1.8742913832199584</v>
      </c>
      <c r="E36" s="132">
        <v>55</v>
      </c>
      <c r="F36" s="126">
        <f t="shared" si="2"/>
        <v>1.6547619047619051</v>
      </c>
      <c r="G36" s="126">
        <f t="shared" si="3"/>
        <v>2.7382369614512481</v>
      </c>
      <c r="H36" s="132">
        <v>56</v>
      </c>
      <c r="I36" s="126">
        <f t="shared" si="4"/>
        <v>2.7738095238095255</v>
      </c>
      <c r="J36" s="126">
        <f t="shared" si="5"/>
        <v>7.6940192743764264</v>
      </c>
    </row>
    <row r="37" spans="1:10" x14ac:dyDescent="0.25">
      <c r="A37">
        <v>34</v>
      </c>
      <c r="B37" s="132">
        <v>34</v>
      </c>
      <c r="C37" s="126">
        <f t="shared" si="0"/>
        <v>0.3690476190476204</v>
      </c>
      <c r="D37" s="126">
        <f t="shared" si="1"/>
        <v>0.13619614512471756</v>
      </c>
      <c r="E37" s="132">
        <v>55</v>
      </c>
      <c r="F37" s="126">
        <f t="shared" si="2"/>
        <v>1.6547619047619051</v>
      </c>
      <c r="G37" s="126">
        <f t="shared" si="3"/>
        <v>2.7382369614512481</v>
      </c>
      <c r="H37" s="132">
        <v>52</v>
      </c>
      <c r="I37" s="126">
        <f t="shared" si="4"/>
        <v>-1.2261904761904745</v>
      </c>
      <c r="J37" s="126">
        <f t="shared" si="5"/>
        <v>1.5035430839002226</v>
      </c>
    </row>
    <row r="38" spans="1:10" x14ac:dyDescent="0.25">
      <c r="A38">
        <v>35</v>
      </c>
      <c r="B38" s="132">
        <v>34</v>
      </c>
      <c r="C38" s="126">
        <f t="shared" si="0"/>
        <v>0.3690476190476204</v>
      </c>
      <c r="D38" s="126">
        <f t="shared" si="1"/>
        <v>0.13619614512471756</v>
      </c>
      <c r="E38" s="132">
        <v>55</v>
      </c>
      <c r="F38" s="126">
        <f t="shared" si="2"/>
        <v>1.6547619047619051</v>
      </c>
      <c r="G38" s="126">
        <f t="shared" si="3"/>
        <v>2.7382369614512481</v>
      </c>
      <c r="H38" s="132">
        <v>52</v>
      </c>
      <c r="I38" s="126">
        <f t="shared" si="4"/>
        <v>-1.2261904761904745</v>
      </c>
      <c r="J38" s="126">
        <f t="shared" si="5"/>
        <v>1.5035430839002226</v>
      </c>
    </row>
    <row r="39" spans="1:10" x14ac:dyDescent="0.25">
      <c r="A39">
        <v>36</v>
      </c>
      <c r="B39" s="132">
        <v>3</v>
      </c>
      <c r="C39" s="126">
        <f t="shared" si="0"/>
        <v>-30.63095238095238</v>
      </c>
      <c r="D39" s="126">
        <f t="shared" si="1"/>
        <v>938.25524376417229</v>
      </c>
      <c r="E39" s="132">
        <v>53</v>
      </c>
      <c r="F39" s="126">
        <f t="shared" si="2"/>
        <v>-0.3452380952380949</v>
      </c>
      <c r="G39" s="126">
        <f t="shared" si="3"/>
        <v>0.11918934240362788</v>
      </c>
      <c r="H39" s="132">
        <v>52</v>
      </c>
      <c r="I39" s="126">
        <f t="shared" si="4"/>
        <v>-1.2261904761904745</v>
      </c>
      <c r="J39" s="126">
        <f t="shared" si="5"/>
        <v>1.5035430839002226</v>
      </c>
    </row>
    <row r="40" spans="1:10" x14ac:dyDescent="0.25">
      <c r="A40">
        <v>37</v>
      </c>
      <c r="B40" s="132">
        <v>41</v>
      </c>
      <c r="C40" s="126">
        <f t="shared" si="0"/>
        <v>7.3690476190476204</v>
      </c>
      <c r="D40" s="126">
        <f t="shared" si="1"/>
        <v>54.3028628117914</v>
      </c>
      <c r="E40" s="132">
        <v>50</v>
      </c>
      <c r="F40" s="126">
        <f t="shared" si="2"/>
        <v>-3.3452380952380949</v>
      </c>
      <c r="G40" s="126">
        <f t="shared" si="3"/>
        <v>11.190617913832197</v>
      </c>
      <c r="H40" s="132">
        <v>51</v>
      </c>
      <c r="I40" s="126">
        <f t="shared" si="4"/>
        <v>-2.2261904761904745</v>
      </c>
      <c r="J40" s="126">
        <f t="shared" si="5"/>
        <v>4.9559240362811714</v>
      </c>
    </row>
    <row r="41" spans="1:10" x14ac:dyDescent="0.25">
      <c r="A41">
        <v>38</v>
      </c>
      <c r="B41" s="132">
        <v>36</v>
      </c>
      <c r="C41" s="126">
        <f t="shared" si="0"/>
        <v>2.3690476190476204</v>
      </c>
      <c r="D41" s="126">
        <f t="shared" si="1"/>
        <v>5.6123866213151992</v>
      </c>
      <c r="E41" s="132">
        <v>50</v>
      </c>
      <c r="F41" s="126">
        <f t="shared" si="2"/>
        <v>-3.3452380952380949</v>
      </c>
      <c r="G41" s="126">
        <f t="shared" si="3"/>
        <v>11.190617913832197</v>
      </c>
      <c r="H41" s="132">
        <v>53</v>
      </c>
      <c r="I41" s="126">
        <f t="shared" si="4"/>
        <v>-0.2261904761904745</v>
      </c>
      <c r="J41" s="126">
        <f t="shared" si="5"/>
        <v>5.116213151927361E-2</v>
      </c>
    </row>
    <row r="42" spans="1:10" x14ac:dyDescent="0.25">
      <c r="A42">
        <v>39</v>
      </c>
      <c r="B42" s="132">
        <v>35</v>
      </c>
      <c r="C42" s="126">
        <f t="shared" si="0"/>
        <v>1.3690476190476204</v>
      </c>
      <c r="D42" s="126">
        <f t="shared" si="1"/>
        <v>1.8742913832199584</v>
      </c>
      <c r="E42" s="132">
        <v>54</v>
      </c>
      <c r="F42" s="126">
        <f t="shared" si="2"/>
        <v>0.6547619047619051</v>
      </c>
      <c r="G42" s="126">
        <f t="shared" si="3"/>
        <v>0.42871315192743809</v>
      </c>
      <c r="H42" s="132">
        <v>58</v>
      </c>
      <c r="I42" s="126">
        <f t="shared" si="4"/>
        <v>4.7738095238095255</v>
      </c>
      <c r="J42" s="126">
        <f t="shared" si="5"/>
        <v>22.789257369614528</v>
      </c>
    </row>
    <row r="43" spans="1:10" x14ac:dyDescent="0.25">
      <c r="A43">
        <v>40</v>
      </c>
      <c r="B43" s="132">
        <v>35</v>
      </c>
      <c r="C43" s="126">
        <f t="shared" si="0"/>
        <v>1.3690476190476204</v>
      </c>
      <c r="D43" s="126">
        <f t="shared" si="1"/>
        <v>1.8742913832199584</v>
      </c>
      <c r="E43" s="132">
        <v>51</v>
      </c>
      <c r="F43" s="126">
        <f t="shared" si="2"/>
        <v>-2.3452380952380949</v>
      </c>
      <c r="G43" s="126">
        <f t="shared" si="3"/>
        <v>5.5001417233560073</v>
      </c>
      <c r="H43" s="132">
        <v>56</v>
      </c>
      <c r="I43" s="126">
        <f t="shared" si="4"/>
        <v>2.7738095238095255</v>
      </c>
      <c r="J43" s="126">
        <f t="shared" si="5"/>
        <v>7.6940192743764264</v>
      </c>
    </row>
    <row r="44" spans="1:10" x14ac:dyDescent="0.25">
      <c r="A44">
        <v>41</v>
      </c>
      <c r="B44" s="132">
        <v>34</v>
      </c>
      <c r="C44" s="126">
        <f t="shared" si="0"/>
        <v>0.3690476190476204</v>
      </c>
      <c r="D44" s="126">
        <f t="shared" si="1"/>
        <v>0.13619614512471756</v>
      </c>
      <c r="E44" s="132">
        <v>51</v>
      </c>
      <c r="F44" s="126">
        <f t="shared" si="2"/>
        <v>-2.3452380952380949</v>
      </c>
      <c r="G44" s="126">
        <f t="shared" si="3"/>
        <v>5.5001417233560073</v>
      </c>
      <c r="H44" s="132">
        <v>56</v>
      </c>
      <c r="I44" s="126">
        <f t="shared" si="4"/>
        <v>2.7738095238095255</v>
      </c>
      <c r="J44" s="126">
        <f t="shared" si="5"/>
        <v>7.6940192743764264</v>
      </c>
    </row>
    <row r="45" spans="1:10" x14ac:dyDescent="0.25">
      <c r="A45">
        <v>42</v>
      </c>
      <c r="B45" s="132">
        <v>3</v>
      </c>
      <c r="C45" s="126">
        <f t="shared" si="0"/>
        <v>-30.63095238095238</v>
      </c>
      <c r="D45" s="126">
        <f t="shared" si="1"/>
        <v>938.25524376417229</v>
      </c>
      <c r="E45" s="132">
        <v>52</v>
      </c>
      <c r="F45" s="126">
        <f t="shared" si="2"/>
        <v>-1.3452380952380949</v>
      </c>
      <c r="G45" s="126">
        <f t="shared" si="3"/>
        <v>1.8096655328798177</v>
      </c>
      <c r="H45" s="132">
        <v>52</v>
      </c>
      <c r="I45" s="126">
        <f t="shared" si="4"/>
        <v>-1.2261904761904745</v>
      </c>
      <c r="J45" s="126">
        <f t="shared" si="5"/>
        <v>1.5035430839002226</v>
      </c>
    </row>
    <row r="46" spans="1:10" x14ac:dyDescent="0.25">
      <c r="A46">
        <v>43</v>
      </c>
      <c r="B46" s="132">
        <v>7</v>
      </c>
      <c r="C46" s="126">
        <f t="shared" si="0"/>
        <v>-26.63095238095238</v>
      </c>
      <c r="D46" s="126">
        <f t="shared" si="1"/>
        <v>709.20762471655325</v>
      </c>
      <c r="E46" s="132">
        <v>50</v>
      </c>
      <c r="F46" s="126">
        <f t="shared" si="2"/>
        <v>-3.3452380952380949</v>
      </c>
      <c r="G46" s="126">
        <f t="shared" si="3"/>
        <v>11.190617913832197</v>
      </c>
      <c r="H46" s="132">
        <v>53</v>
      </c>
      <c r="I46" s="126">
        <f t="shared" si="4"/>
        <v>-0.2261904761904745</v>
      </c>
      <c r="J46" s="126">
        <f t="shared" si="5"/>
        <v>5.116213151927361E-2</v>
      </c>
    </row>
    <row r="47" spans="1:10" x14ac:dyDescent="0.25">
      <c r="A47">
        <v>44</v>
      </c>
      <c r="B47" s="132">
        <v>35</v>
      </c>
      <c r="C47" s="126">
        <f t="shared" si="0"/>
        <v>1.3690476190476204</v>
      </c>
      <c r="D47" s="126">
        <f t="shared" si="1"/>
        <v>1.8742913832199584</v>
      </c>
      <c r="E47" s="132">
        <v>51</v>
      </c>
      <c r="F47" s="126">
        <f t="shared" si="2"/>
        <v>-2.3452380952380949</v>
      </c>
      <c r="G47" s="126">
        <f t="shared" si="3"/>
        <v>5.5001417233560073</v>
      </c>
      <c r="H47" s="132">
        <v>40</v>
      </c>
      <c r="I47" s="126">
        <f t="shared" si="4"/>
        <v>-13.226190476190474</v>
      </c>
      <c r="J47" s="126">
        <f t="shared" si="5"/>
        <v>174.9321145124716</v>
      </c>
    </row>
    <row r="48" spans="1:10" x14ac:dyDescent="0.25">
      <c r="A48">
        <v>45</v>
      </c>
      <c r="B48" s="132">
        <v>32</v>
      </c>
      <c r="C48" s="126">
        <f t="shared" si="0"/>
        <v>-1.6309523809523796</v>
      </c>
      <c r="D48" s="126">
        <f t="shared" si="1"/>
        <v>2.660005668934236</v>
      </c>
      <c r="E48" s="132">
        <v>51</v>
      </c>
      <c r="F48" s="126">
        <f t="shared" si="2"/>
        <v>-2.3452380952380949</v>
      </c>
      <c r="G48" s="126">
        <f t="shared" si="3"/>
        <v>5.5001417233560073</v>
      </c>
      <c r="H48" s="132">
        <v>56</v>
      </c>
      <c r="I48" s="126">
        <f t="shared" si="4"/>
        <v>2.7738095238095255</v>
      </c>
      <c r="J48" s="126">
        <f t="shared" si="5"/>
        <v>7.6940192743764264</v>
      </c>
    </row>
    <row r="49" spans="1:10" x14ac:dyDescent="0.25">
      <c r="A49">
        <v>46</v>
      </c>
      <c r="B49" s="132">
        <v>33</v>
      </c>
      <c r="C49" s="126">
        <f t="shared" si="0"/>
        <v>-0.6309523809523796</v>
      </c>
      <c r="D49" s="126">
        <f t="shared" si="1"/>
        <v>0.39810090702947676</v>
      </c>
      <c r="E49" s="132">
        <v>52</v>
      </c>
      <c r="F49" s="126">
        <f t="shared" si="2"/>
        <v>-1.3452380952380949</v>
      </c>
      <c r="G49" s="126">
        <f t="shared" si="3"/>
        <v>1.8096655328798177</v>
      </c>
      <c r="H49" s="132">
        <v>56</v>
      </c>
      <c r="I49" s="126">
        <f t="shared" si="4"/>
        <v>2.7738095238095255</v>
      </c>
      <c r="J49" s="126">
        <f t="shared" si="5"/>
        <v>7.6940192743764264</v>
      </c>
    </row>
    <row r="50" spans="1:10" x14ac:dyDescent="0.25">
      <c r="A50">
        <v>47</v>
      </c>
      <c r="B50" s="132">
        <v>39</v>
      </c>
      <c r="C50" s="126">
        <f t="shared" si="0"/>
        <v>5.3690476190476204</v>
      </c>
      <c r="D50" s="126">
        <f t="shared" si="1"/>
        <v>28.826672335600922</v>
      </c>
      <c r="E50" s="132">
        <v>52</v>
      </c>
      <c r="F50" s="126">
        <f t="shared" si="2"/>
        <v>-1.3452380952380949</v>
      </c>
      <c r="G50" s="126">
        <f t="shared" si="3"/>
        <v>1.8096655328798177</v>
      </c>
      <c r="H50" s="132">
        <v>68</v>
      </c>
      <c r="I50" s="126">
        <f t="shared" si="4"/>
        <v>14.773809523809526</v>
      </c>
      <c r="J50" s="126">
        <f t="shared" si="5"/>
        <v>218.26544784580503</v>
      </c>
    </row>
    <row r="51" spans="1:10" x14ac:dyDescent="0.25">
      <c r="A51">
        <v>48</v>
      </c>
      <c r="B51" s="132">
        <v>36</v>
      </c>
      <c r="C51" s="126">
        <f t="shared" si="0"/>
        <v>2.3690476190476204</v>
      </c>
      <c r="D51" s="126">
        <f t="shared" si="1"/>
        <v>5.6123866213151992</v>
      </c>
      <c r="E51" s="132">
        <v>52</v>
      </c>
      <c r="F51" s="126">
        <f t="shared" si="2"/>
        <v>-1.3452380952380949</v>
      </c>
      <c r="G51" s="126">
        <f t="shared" si="3"/>
        <v>1.8096655328798177</v>
      </c>
      <c r="H51" s="132">
        <v>52</v>
      </c>
      <c r="I51" s="126">
        <f t="shared" si="4"/>
        <v>-1.2261904761904745</v>
      </c>
      <c r="J51" s="126">
        <f t="shared" si="5"/>
        <v>1.5035430839002226</v>
      </c>
    </row>
    <row r="52" spans="1:10" x14ac:dyDescent="0.25">
      <c r="A52">
        <v>49</v>
      </c>
      <c r="B52" s="132">
        <v>35</v>
      </c>
      <c r="C52" s="126">
        <f t="shared" si="0"/>
        <v>1.3690476190476204</v>
      </c>
      <c r="D52" s="126">
        <f t="shared" si="1"/>
        <v>1.8742913832199584</v>
      </c>
      <c r="E52" s="132">
        <v>52</v>
      </c>
      <c r="F52" s="126">
        <f t="shared" si="2"/>
        <v>-1.3452380952380949</v>
      </c>
      <c r="G52" s="126">
        <f t="shared" si="3"/>
        <v>1.8096655328798177</v>
      </c>
      <c r="H52" s="132">
        <v>51</v>
      </c>
      <c r="I52" s="126">
        <f t="shared" si="4"/>
        <v>-2.2261904761904745</v>
      </c>
      <c r="J52" s="126">
        <f t="shared" si="5"/>
        <v>4.9559240362811714</v>
      </c>
    </row>
    <row r="53" spans="1:10" x14ac:dyDescent="0.25">
      <c r="A53">
        <v>50</v>
      </c>
      <c r="B53" s="132">
        <v>38</v>
      </c>
      <c r="C53" s="126">
        <f t="shared" si="0"/>
        <v>4.3690476190476204</v>
      </c>
      <c r="D53" s="126">
        <f t="shared" si="1"/>
        <v>19.088577097505681</v>
      </c>
      <c r="E53" s="132">
        <v>58</v>
      </c>
      <c r="F53" s="126">
        <f t="shared" si="2"/>
        <v>4.6547619047619051</v>
      </c>
      <c r="G53" s="126">
        <f t="shared" si="3"/>
        <v>21.66680839002268</v>
      </c>
      <c r="H53" s="132">
        <v>50</v>
      </c>
      <c r="I53" s="126">
        <f t="shared" si="4"/>
        <v>-3.2261904761904745</v>
      </c>
      <c r="J53" s="126">
        <f t="shared" si="5"/>
        <v>10.40830498866212</v>
      </c>
    </row>
    <row r="54" spans="1:10" x14ac:dyDescent="0.25">
      <c r="A54">
        <v>51</v>
      </c>
      <c r="B54" s="132">
        <v>34</v>
      </c>
      <c r="C54" s="126">
        <f t="shared" si="0"/>
        <v>0.3690476190476204</v>
      </c>
      <c r="D54" s="126">
        <f t="shared" si="1"/>
        <v>0.13619614512471756</v>
      </c>
      <c r="E54" s="132">
        <v>58</v>
      </c>
      <c r="F54" s="126">
        <f t="shared" si="2"/>
        <v>4.6547619047619051</v>
      </c>
      <c r="G54" s="126">
        <f t="shared" si="3"/>
        <v>21.66680839002268</v>
      </c>
      <c r="H54" s="132">
        <v>50</v>
      </c>
      <c r="I54" s="126">
        <f t="shared" si="4"/>
        <v>-3.2261904761904745</v>
      </c>
      <c r="J54" s="126">
        <f t="shared" si="5"/>
        <v>10.40830498866212</v>
      </c>
    </row>
    <row r="55" spans="1:10" x14ac:dyDescent="0.25">
      <c r="A55">
        <v>52</v>
      </c>
      <c r="B55" s="132">
        <v>32</v>
      </c>
      <c r="C55" s="126">
        <f t="shared" si="0"/>
        <v>-1.6309523809523796</v>
      </c>
      <c r="D55" s="126">
        <f t="shared" si="1"/>
        <v>2.660005668934236</v>
      </c>
      <c r="E55" s="132">
        <v>56</v>
      </c>
      <c r="F55" s="126">
        <f t="shared" si="2"/>
        <v>2.6547619047619051</v>
      </c>
      <c r="G55" s="126">
        <f t="shared" si="3"/>
        <v>7.0477607709750583</v>
      </c>
      <c r="H55" s="132">
        <v>51</v>
      </c>
      <c r="I55" s="126">
        <f t="shared" si="4"/>
        <v>-2.2261904761904745</v>
      </c>
      <c r="J55" s="126">
        <f t="shared" si="5"/>
        <v>4.9559240362811714</v>
      </c>
    </row>
    <row r="56" spans="1:10" x14ac:dyDescent="0.25">
      <c r="A56">
        <v>53</v>
      </c>
      <c r="B56" s="132">
        <v>37</v>
      </c>
      <c r="C56" s="126">
        <f t="shared" si="0"/>
        <v>3.3690476190476204</v>
      </c>
      <c r="D56" s="126">
        <f t="shared" si="1"/>
        <v>11.35048185941044</v>
      </c>
      <c r="E56" s="132">
        <v>52</v>
      </c>
      <c r="F56" s="126">
        <f t="shared" si="2"/>
        <v>-1.3452380952380949</v>
      </c>
      <c r="G56" s="126">
        <f t="shared" si="3"/>
        <v>1.8096655328798177</v>
      </c>
      <c r="H56" s="132">
        <v>50</v>
      </c>
      <c r="I56" s="126">
        <f t="shared" si="4"/>
        <v>-3.2261904761904745</v>
      </c>
      <c r="J56" s="126">
        <f t="shared" si="5"/>
        <v>10.40830498866212</v>
      </c>
    </row>
    <row r="57" spans="1:10" x14ac:dyDescent="0.25">
      <c r="A57">
        <v>54</v>
      </c>
      <c r="B57" s="132">
        <v>34</v>
      </c>
      <c r="C57" s="126">
        <f t="shared" si="0"/>
        <v>0.3690476190476204</v>
      </c>
      <c r="D57" s="126">
        <f t="shared" si="1"/>
        <v>0.13619614512471756</v>
      </c>
      <c r="E57" s="132">
        <v>52</v>
      </c>
      <c r="F57" s="126">
        <f t="shared" si="2"/>
        <v>-1.3452380952380949</v>
      </c>
      <c r="G57" s="126">
        <f t="shared" si="3"/>
        <v>1.8096655328798177</v>
      </c>
      <c r="H57" s="132">
        <v>50</v>
      </c>
      <c r="I57" s="126">
        <f t="shared" si="4"/>
        <v>-3.2261904761904745</v>
      </c>
      <c r="J57" s="126">
        <f t="shared" si="5"/>
        <v>10.40830498866212</v>
      </c>
    </row>
    <row r="58" spans="1:10" x14ac:dyDescent="0.25">
      <c r="A58">
        <v>55</v>
      </c>
      <c r="B58" s="132">
        <v>31</v>
      </c>
      <c r="C58" s="126">
        <f t="shared" si="0"/>
        <v>-2.6309523809523796</v>
      </c>
      <c r="D58" s="126">
        <f t="shared" si="1"/>
        <v>6.9219104308389952</v>
      </c>
      <c r="E58" s="132">
        <v>56</v>
      </c>
      <c r="F58" s="126">
        <f t="shared" si="2"/>
        <v>2.6547619047619051</v>
      </c>
      <c r="G58" s="126">
        <f t="shared" si="3"/>
        <v>7.0477607709750583</v>
      </c>
      <c r="H58" s="132">
        <v>50</v>
      </c>
      <c r="I58" s="126">
        <f t="shared" si="4"/>
        <v>-3.2261904761904745</v>
      </c>
      <c r="J58" s="126">
        <f t="shared" si="5"/>
        <v>10.40830498866212</v>
      </c>
    </row>
    <row r="59" spans="1:10" x14ac:dyDescent="0.25">
      <c r="A59">
        <v>56</v>
      </c>
      <c r="B59" s="132">
        <v>36</v>
      </c>
      <c r="C59" s="126">
        <f t="shared" si="0"/>
        <v>2.3690476190476204</v>
      </c>
      <c r="D59" s="126">
        <f t="shared" si="1"/>
        <v>5.6123866213151992</v>
      </c>
      <c r="E59" s="132">
        <v>53</v>
      </c>
      <c r="F59" s="126">
        <f t="shared" si="2"/>
        <v>-0.3452380952380949</v>
      </c>
      <c r="G59" s="126">
        <f t="shared" si="3"/>
        <v>0.11918934240362788</v>
      </c>
      <c r="H59" s="132">
        <v>50</v>
      </c>
      <c r="I59" s="126">
        <f t="shared" si="4"/>
        <v>-3.2261904761904745</v>
      </c>
      <c r="J59" s="126">
        <f t="shared" si="5"/>
        <v>10.40830498866212</v>
      </c>
    </row>
    <row r="60" spans="1:10" x14ac:dyDescent="0.25">
      <c r="A60">
        <v>57</v>
      </c>
      <c r="B60" s="132">
        <v>34</v>
      </c>
      <c r="C60" s="126">
        <f t="shared" si="0"/>
        <v>0.3690476190476204</v>
      </c>
      <c r="D60" s="126">
        <f t="shared" si="1"/>
        <v>0.13619614512471756</v>
      </c>
      <c r="E60" s="132">
        <v>53</v>
      </c>
      <c r="F60" s="126">
        <f t="shared" si="2"/>
        <v>-0.3452380952380949</v>
      </c>
      <c r="G60" s="126">
        <f t="shared" si="3"/>
        <v>0.11918934240362788</v>
      </c>
      <c r="H60" s="132">
        <v>50</v>
      </c>
      <c r="I60" s="126">
        <f t="shared" si="4"/>
        <v>-3.2261904761904745</v>
      </c>
      <c r="J60" s="126">
        <f t="shared" si="5"/>
        <v>10.40830498866212</v>
      </c>
    </row>
    <row r="61" spans="1:10" x14ac:dyDescent="0.25">
      <c r="A61">
        <v>58</v>
      </c>
      <c r="B61" s="132">
        <v>38</v>
      </c>
      <c r="C61" s="126">
        <f t="shared" si="0"/>
        <v>4.3690476190476204</v>
      </c>
      <c r="D61" s="126">
        <f t="shared" si="1"/>
        <v>19.088577097505681</v>
      </c>
      <c r="E61" s="132">
        <v>52</v>
      </c>
      <c r="F61" s="126">
        <f t="shared" si="2"/>
        <v>-1.3452380952380949</v>
      </c>
      <c r="G61" s="126">
        <f t="shared" si="3"/>
        <v>1.8096655328798177</v>
      </c>
      <c r="H61" s="132">
        <v>54</v>
      </c>
      <c r="I61" s="126">
        <f t="shared" si="4"/>
        <v>0.7738095238095255</v>
      </c>
      <c r="J61" s="126">
        <f t="shared" si="5"/>
        <v>0.59878117913832463</v>
      </c>
    </row>
    <row r="62" spans="1:10" x14ac:dyDescent="0.25">
      <c r="A62">
        <v>59</v>
      </c>
      <c r="B62" s="132">
        <v>32</v>
      </c>
      <c r="C62" s="126">
        <f t="shared" si="0"/>
        <v>-1.6309523809523796</v>
      </c>
      <c r="D62" s="126">
        <f t="shared" si="1"/>
        <v>2.660005668934236</v>
      </c>
      <c r="E62" s="132">
        <v>50</v>
      </c>
      <c r="F62" s="126">
        <f t="shared" si="2"/>
        <v>-3.3452380952380949</v>
      </c>
      <c r="G62" s="126">
        <f t="shared" si="3"/>
        <v>11.190617913832197</v>
      </c>
      <c r="H62" s="132">
        <v>54</v>
      </c>
      <c r="I62" s="126">
        <f t="shared" si="4"/>
        <v>0.7738095238095255</v>
      </c>
      <c r="J62" s="126">
        <f t="shared" si="5"/>
        <v>0.59878117913832463</v>
      </c>
    </row>
    <row r="63" spans="1:10" x14ac:dyDescent="0.25">
      <c r="A63">
        <v>60</v>
      </c>
      <c r="B63" s="132">
        <v>40</v>
      </c>
      <c r="C63" s="126">
        <f t="shared" si="0"/>
        <v>6.3690476190476204</v>
      </c>
      <c r="D63" s="126">
        <f t="shared" si="1"/>
        <v>40.564767573696159</v>
      </c>
      <c r="E63" s="132">
        <v>50</v>
      </c>
      <c r="F63" s="126">
        <f t="shared" si="2"/>
        <v>-3.3452380952380949</v>
      </c>
      <c r="G63" s="126">
        <f t="shared" si="3"/>
        <v>11.190617913832197</v>
      </c>
      <c r="H63" s="132">
        <v>58</v>
      </c>
      <c r="I63" s="126">
        <f t="shared" si="4"/>
        <v>4.7738095238095255</v>
      </c>
      <c r="J63" s="126">
        <f t="shared" si="5"/>
        <v>22.789257369614528</v>
      </c>
    </row>
    <row r="64" spans="1:10" x14ac:dyDescent="0.25">
      <c r="A64">
        <v>61</v>
      </c>
      <c r="B64" s="132">
        <v>31</v>
      </c>
      <c r="C64" s="126">
        <f t="shared" si="0"/>
        <v>-2.6309523809523796</v>
      </c>
      <c r="D64" s="126">
        <f t="shared" si="1"/>
        <v>6.9219104308389952</v>
      </c>
      <c r="E64" s="132">
        <v>50</v>
      </c>
      <c r="F64" s="126">
        <f t="shared" si="2"/>
        <v>-3.3452380952380949</v>
      </c>
      <c r="G64" s="126">
        <f t="shared" si="3"/>
        <v>11.190617913832197</v>
      </c>
      <c r="H64" s="132">
        <v>56</v>
      </c>
      <c r="I64" s="126">
        <f t="shared" si="4"/>
        <v>2.7738095238095255</v>
      </c>
      <c r="J64" s="126">
        <f t="shared" si="5"/>
        <v>7.6940192743764264</v>
      </c>
    </row>
    <row r="65" spans="1:10" x14ac:dyDescent="0.25">
      <c r="A65">
        <v>62</v>
      </c>
      <c r="B65" s="132">
        <v>35</v>
      </c>
      <c r="C65" s="126">
        <f t="shared" si="0"/>
        <v>1.3690476190476204</v>
      </c>
      <c r="D65" s="126">
        <f t="shared" si="1"/>
        <v>1.8742913832199584</v>
      </c>
      <c r="E65" s="132">
        <v>50</v>
      </c>
      <c r="F65" s="126">
        <f t="shared" si="2"/>
        <v>-3.3452380952380949</v>
      </c>
      <c r="G65" s="126">
        <f t="shared" si="3"/>
        <v>11.190617913832197</v>
      </c>
      <c r="H65" s="132">
        <v>53</v>
      </c>
      <c r="I65" s="126">
        <f t="shared" si="4"/>
        <v>-0.2261904761904745</v>
      </c>
      <c r="J65" s="126">
        <f t="shared" si="5"/>
        <v>5.116213151927361E-2</v>
      </c>
    </row>
    <row r="66" spans="1:10" x14ac:dyDescent="0.25">
      <c r="A66">
        <v>63</v>
      </c>
      <c r="B66" s="132">
        <v>36</v>
      </c>
      <c r="C66" s="126">
        <f t="shared" si="0"/>
        <v>2.3690476190476204</v>
      </c>
      <c r="D66" s="126">
        <f t="shared" si="1"/>
        <v>5.6123866213151992</v>
      </c>
      <c r="E66" s="132">
        <v>50</v>
      </c>
      <c r="F66" s="126">
        <f t="shared" si="2"/>
        <v>-3.3452380952380949</v>
      </c>
      <c r="G66" s="126">
        <f t="shared" si="3"/>
        <v>11.190617913832197</v>
      </c>
      <c r="H66" s="132">
        <v>52</v>
      </c>
      <c r="I66" s="126">
        <f t="shared" si="4"/>
        <v>-1.2261904761904745</v>
      </c>
      <c r="J66" s="126">
        <f t="shared" si="5"/>
        <v>1.5035430839002226</v>
      </c>
    </row>
    <row r="67" spans="1:10" x14ac:dyDescent="0.25">
      <c r="A67">
        <v>64</v>
      </c>
      <c r="B67" s="132">
        <v>34</v>
      </c>
      <c r="C67" s="126">
        <f t="shared" si="0"/>
        <v>0.3690476190476204</v>
      </c>
      <c r="D67" s="126">
        <f t="shared" si="1"/>
        <v>0.13619614512471756</v>
      </c>
      <c r="E67" s="132">
        <v>56</v>
      </c>
      <c r="F67" s="126">
        <f t="shared" si="2"/>
        <v>2.6547619047619051</v>
      </c>
      <c r="G67" s="126">
        <f t="shared" si="3"/>
        <v>7.0477607709750583</v>
      </c>
      <c r="H67" s="132">
        <v>52</v>
      </c>
      <c r="I67" s="126">
        <f t="shared" si="4"/>
        <v>-1.2261904761904745</v>
      </c>
      <c r="J67" s="126">
        <f t="shared" si="5"/>
        <v>1.5035430839002226</v>
      </c>
    </row>
    <row r="68" spans="1:10" x14ac:dyDescent="0.25">
      <c r="A68">
        <v>65</v>
      </c>
      <c r="B68" s="132">
        <v>32</v>
      </c>
      <c r="C68" s="126">
        <f t="shared" si="0"/>
        <v>-1.6309523809523796</v>
      </c>
      <c r="D68" s="126">
        <f t="shared" si="1"/>
        <v>2.660005668934236</v>
      </c>
      <c r="E68" s="132">
        <v>59</v>
      </c>
      <c r="F68" s="126">
        <f t="shared" si="2"/>
        <v>5.6547619047619051</v>
      </c>
      <c r="G68" s="126">
        <f t="shared" si="3"/>
        <v>31.976332199546491</v>
      </c>
      <c r="H68" s="132">
        <v>51</v>
      </c>
      <c r="I68" s="126">
        <f t="shared" si="4"/>
        <v>-2.2261904761904745</v>
      </c>
      <c r="J68" s="126">
        <f t="shared" si="5"/>
        <v>4.9559240362811714</v>
      </c>
    </row>
    <row r="69" spans="1:10" x14ac:dyDescent="0.25">
      <c r="A69">
        <v>66</v>
      </c>
      <c r="B69" s="132">
        <v>38</v>
      </c>
      <c r="C69" s="126">
        <f t="shared" ref="C69:C87" si="6">+B69-$B$89</f>
        <v>4.3690476190476204</v>
      </c>
      <c r="D69" s="126">
        <f t="shared" ref="D69:D87" si="7">+C69^2</f>
        <v>19.088577097505681</v>
      </c>
      <c r="E69" s="132">
        <v>59</v>
      </c>
      <c r="F69" s="126">
        <f t="shared" ref="F69:F87" si="8">+E69-$E$89</f>
        <v>5.6547619047619051</v>
      </c>
      <c r="G69" s="126">
        <f t="shared" ref="G69:G87" si="9">+F69^2</f>
        <v>31.976332199546491</v>
      </c>
      <c r="H69" s="132">
        <v>50</v>
      </c>
      <c r="I69" s="126">
        <f t="shared" ref="I69:I87" si="10">+H69-$H$89</f>
        <v>-3.2261904761904745</v>
      </c>
      <c r="J69" s="126">
        <f t="shared" ref="J69:J87" si="11">+I69^2</f>
        <v>10.40830498866212</v>
      </c>
    </row>
    <row r="70" spans="1:10" x14ac:dyDescent="0.25">
      <c r="A70">
        <v>67</v>
      </c>
      <c r="B70" s="132">
        <v>39</v>
      </c>
      <c r="C70" s="126">
        <f t="shared" si="6"/>
        <v>5.3690476190476204</v>
      </c>
      <c r="D70" s="126">
        <f t="shared" si="7"/>
        <v>28.826672335600922</v>
      </c>
      <c r="E70" s="132">
        <v>58</v>
      </c>
      <c r="F70" s="126">
        <f t="shared" si="8"/>
        <v>4.6547619047619051</v>
      </c>
      <c r="G70" s="126">
        <f t="shared" si="9"/>
        <v>21.66680839002268</v>
      </c>
      <c r="H70" s="132">
        <v>54</v>
      </c>
      <c r="I70" s="126">
        <f t="shared" si="10"/>
        <v>0.7738095238095255</v>
      </c>
      <c r="J70" s="126">
        <f t="shared" si="11"/>
        <v>0.59878117913832463</v>
      </c>
    </row>
    <row r="71" spans="1:10" x14ac:dyDescent="0.25">
      <c r="A71">
        <v>68</v>
      </c>
      <c r="B71" s="132">
        <v>31</v>
      </c>
      <c r="C71" s="126">
        <f t="shared" si="6"/>
        <v>-2.6309523809523796</v>
      </c>
      <c r="D71" s="126">
        <f t="shared" si="7"/>
        <v>6.9219104308389952</v>
      </c>
      <c r="E71" s="132">
        <v>51</v>
      </c>
      <c r="F71" s="126">
        <f t="shared" si="8"/>
        <v>-2.3452380952380949</v>
      </c>
      <c r="G71" s="126">
        <f t="shared" si="9"/>
        <v>5.5001417233560073</v>
      </c>
      <c r="H71" s="132">
        <v>57</v>
      </c>
      <c r="I71" s="126">
        <f t="shared" si="10"/>
        <v>3.7738095238095255</v>
      </c>
      <c r="J71" s="126">
        <f t="shared" si="11"/>
        <v>14.241638321995477</v>
      </c>
    </row>
    <row r="72" spans="1:10" x14ac:dyDescent="0.25">
      <c r="A72">
        <v>69</v>
      </c>
      <c r="B72" s="132">
        <v>36</v>
      </c>
      <c r="C72" s="126">
        <f t="shared" si="6"/>
        <v>2.3690476190476204</v>
      </c>
      <c r="D72" s="126">
        <f t="shared" si="7"/>
        <v>5.6123866213151992</v>
      </c>
      <c r="E72" s="132">
        <v>52</v>
      </c>
      <c r="F72" s="126">
        <f t="shared" si="8"/>
        <v>-1.3452380952380949</v>
      </c>
      <c r="G72" s="126">
        <f t="shared" si="9"/>
        <v>1.8096655328798177</v>
      </c>
      <c r="H72" s="132">
        <v>59</v>
      </c>
      <c r="I72" s="126">
        <f t="shared" si="10"/>
        <v>5.7738095238095255</v>
      </c>
      <c r="J72" s="126">
        <f t="shared" si="11"/>
        <v>33.336876417233583</v>
      </c>
    </row>
    <row r="73" spans="1:10" x14ac:dyDescent="0.25">
      <c r="A73">
        <v>70</v>
      </c>
      <c r="B73" s="132">
        <v>32</v>
      </c>
      <c r="C73" s="126">
        <f t="shared" si="6"/>
        <v>-1.6309523809523796</v>
      </c>
      <c r="D73" s="126">
        <f t="shared" si="7"/>
        <v>2.660005668934236</v>
      </c>
      <c r="E73" s="132">
        <v>52</v>
      </c>
      <c r="F73" s="126">
        <f t="shared" si="8"/>
        <v>-1.3452380952380949</v>
      </c>
      <c r="G73" s="126">
        <f t="shared" si="9"/>
        <v>1.8096655328798177</v>
      </c>
      <c r="H73" s="132">
        <v>56</v>
      </c>
      <c r="I73" s="126">
        <f t="shared" si="10"/>
        <v>2.7738095238095255</v>
      </c>
      <c r="J73" s="126">
        <f t="shared" si="11"/>
        <v>7.6940192743764264</v>
      </c>
    </row>
    <row r="74" spans="1:10" x14ac:dyDescent="0.25">
      <c r="A74">
        <v>71</v>
      </c>
      <c r="B74" s="132">
        <v>32</v>
      </c>
      <c r="C74" s="126">
        <f t="shared" si="6"/>
        <v>-1.6309523809523796</v>
      </c>
      <c r="D74" s="126">
        <f t="shared" si="7"/>
        <v>2.660005668934236</v>
      </c>
      <c r="E74" s="132">
        <v>51</v>
      </c>
      <c r="F74" s="126">
        <f t="shared" si="8"/>
        <v>-2.3452380952380949</v>
      </c>
      <c r="G74" s="126">
        <f t="shared" si="9"/>
        <v>5.5001417233560073</v>
      </c>
      <c r="H74" s="132">
        <v>56</v>
      </c>
      <c r="I74" s="126">
        <f t="shared" si="10"/>
        <v>2.7738095238095255</v>
      </c>
      <c r="J74" s="126">
        <f t="shared" si="11"/>
        <v>7.6940192743764264</v>
      </c>
    </row>
    <row r="75" spans="1:10" x14ac:dyDescent="0.25">
      <c r="A75">
        <v>72</v>
      </c>
      <c r="B75" s="132">
        <v>32</v>
      </c>
      <c r="C75" s="126">
        <f t="shared" si="6"/>
        <v>-1.6309523809523796</v>
      </c>
      <c r="D75" s="126">
        <f t="shared" si="7"/>
        <v>2.660005668934236</v>
      </c>
      <c r="E75" s="132">
        <v>52</v>
      </c>
      <c r="F75" s="126">
        <f t="shared" si="8"/>
        <v>-1.3452380952380949</v>
      </c>
      <c r="G75" s="126">
        <f t="shared" si="9"/>
        <v>1.8096655328798177</v>
      </c>
      <c r="H75" s="132">
        <v>52</v>
      </c>
      <c r="I75" s="126">
        <f t="shared" si="10"/>
        <v>-1.2261904761904745</v>
      </c>
      <c r="J75" s="126">
        <f t="shared" si="11"/>
        <v>1.5035430839002226</v>
      </c>
    </row>
    <row r="76" spans="1:10" x14ac:dyDescent="0.25">
      <c r="A76">
        <v>73</v>
      </c>
      <c r="B76" s="132">
        <v>35</v>
      </c>
      <c r="C76" s="126">
        <f t="shared" si="6"/>
        <v>1.3690476190476204</v>
      </c>
      <c r="D76" s="126">
        <f t="shared" si="7"/>
        <v>1.8742913832199584</v>
      </c>
      <c r="E76" s="132">
        <v>50</v>
      </c>
      <c r="F76" s="126">
        <f t="shared" si="8"/>
        <v>-3.3452380952380949</v>
      </c>
      <c r="G76" s="126">
        <f t="shared" si="9"/>
        <v>11.190617913832197</v>
      </c>
      <c r="H76" s="132">
        <v>50</v>
      </c>
      <c r="I76" s="126">
        <f t="shared" si="10"/>
        <v>-3.2261904761904745</v>
      </c>
      <c r="J76" s="126">
        <f t="shared" si="11"/>
        <v>10.40830498866212</v>
      </c>
    </row>
    <row r="77" spans="1:10" x14ac:dyDescent="0.25">
      <c r="A77">
        <v>74</v>
      </c>
      <c r="B77" s="132">
        <v>32</v>
      </c>
      <c r="C77" s="126">
        <f t="shared" si="6"/>
        <v>-1.6309523809523796</v>
      </c>
      <c r="D77" s="126">
        <f t="shared" si="7"/>
        <v>2.660005668934236</v>
      </c>
      <c r="E77" s="132">
        <v>50</v>
      </c>
      <c r="F77" s="126">
        <f t="shared" si="8"/>
        <v>-3.3452380952380949</v>
      </c>
      <c r="G77" s="126">
        <f t="shared" si="9"/>
        <v>11.190617913832197</v>
      </c>
      <c r="H77" s="132">
        <v>54</v>
      </c>
      <c r="I77" s="126">
        <f t="shared" si="10"/>
        <v>0.7738095238095255</v>
      </c>
      <c r="J77" s="126">
        <f t="shared" si="11"/>
        <v>0.59878117913832463</v>
      </c>
    </row>
    <row r="78" spans="1:10" x14ac:dyDescent="0.25">
      <c r="A78">
        <v>75</v>
      </c>
      <c r="B78" s="132">
        <v>32</v>
      </c>
      <c r="C78" s="126">
        <f t="shared" si="6"/>
        <v>-1.6309523809523796</v>
      </c>
      <c r="D78" s="126">
        <f t="shared" si="7"/>
        <v>2.660005668934236</v>
      </c>
      <c r="E78" s="132">
        <v>50</v>
      </c>
      <c r="F78" s="126">
        <f t="shared" si="8"/>
        <v>-3.3452380952380949</v>
      </c>
      <c r="G78" s="126">
        <f t="shared" si="9"/>
        <v>11.190617913832197</v>
      </c>
      <c r="H78" s="132">
        <v>50</v>
      </c>
      <c r="I78" s="126">
        <f t="shared" si="10"/>
        <v>-3.2261904761904745</v>
      </c>
      <c r="J78" s="126">
        <f t="shared" si="11"/>
        <v>10.40830498866212</v>
      </c>
    </row>
    <row r="79" spans="1:10" x14ac:dyDescent="0.25">
      <c r="A79">
        <v>76</v>
      </c>
      <c r="B79" s="132">
        <v>35</v>
      </c>
      <c r="C79" s="126">
        <f t="shared" si="6"/>
        <v>1.3690476190476204</v>
      </c>
      <c r="D79" s="126">
        <f t="shared" si="7"/>
        <v>1.8742913832199584</v>
      </c>
      <c r="E79" s="132">
        <v>46</v>
      </c>
      <c r="F79" s="126">
        <f t="shared" si="8"/>
        <v>-7.3452380952380949</v>
      </c>
      <c r="G79" s="126">
        <f t="shared" si="9"/>
        <v>53.952522675736958</v>
      </c>
      <c r="H79" s="132">
        <v>56</v>
      </c>
      <c r="I79" s="126">
        <f t="shared" si="10"/>
        <v>2.7738095238095255</v>
      </c>
      <c r="J79" s="126">
        <f t="shared" si="11"/>
        <v>7.6940192743764264</v>
      </c>
    </row>
    <row r="80" spans="1:10" x14ac:dyDescent="0.25">
      <c r="A80">
        <v>77</v>
      </c>
      <c r="B80" s="132">
        <v>38</v>
      </c>
      <c r="C80" s="126">
        <f t="shared" si="6"/>
        <v>4.3690476190476204</v>
      </c>
      <c r="D80" s="126">
        <f>+C80^2</f>
        <v>19.088577097505681</v>
      </c>
      <c r="E80" s="132">
        <v>52</v>
      </c>
      <c r="F80" s="126">
        <f t="shared" si="8"/>
        <v>-1.3452380952380949</v>
      </c>
      <c r="G80" s="126">
        <f>+F80^2</f>
        <v>1.8096655328798177</v>
      </c>
      <c r="H80" s="132">
        <v>59</v>
      </c>
      <c r="I80" s="126">
        <f t="shared" si="10"/>
        <v>5.7738095238095255</v>
      </c>
      <c r="J80" s="126">
        <f>+I80^2</f>
        <v>33.336876417233583</v>
      </c>
    </row>
    <row r="81" spans="1:11" x14ac:dyDescent="0.25">
      <c r="A81">
        <v>78</v>
      </c>
      <c r="B81" s="132">
        <v>35</v>
      </c>
      <c r="C81" s="126">
        <f t="shared" si="6"/>
        <v>1.3690476190476204</v>
      </c>
      <c r="D81" s="126">
        <f t="shared" si="7"/>
        <v>1.8742913832199584</v>
      </c>
      <c r="E81" s="132">
        <v>52</v>
      </c>
      <c r="F81" s="126">
        <f t="shared" si="8"/>
        <v>-1.3452380952380949</v>
      </c>
      <c r="G81" s="126">
        <f t="shared" si="9"/>
        <v>1.8096655328798177</v>
      </c>
      <c r="H81" s="132">
        <v>58</v>
      </c>
      <c r="I81" s="126">
        <f t="shared" si="10"/>
        <v>4.7738095238095255</v>
      </c>
      <c r="J81" s="126">
        <f t="shared" si="11"/>
        <v>22.789257369614528</v>
      </c>
    </row>
    <row r="82" spans="1:11" x14ac:dyDescent="0.25">
      <c r="A82">
        <v>79</v>
      </c>
      <c r="B82" s="132">
        <v>35</v>
      </c>
      <c r="C82" s="126">
        <f t="shared" si="6"/>
        <v>1.3690476190476204</v>
      </c>
      <c r="D82" s="126">
        <f t="shared" si="7"/>
        <v>1.8742913832199584</v>
      </c>
      <c r="E82" s="132">
        <v>52</v>
      </c>
      <c r="F82" s="126">
        <f t="shared" si="8"/>
        <v>-1.3452380952380949</v>
      </c>
      <c r="G82" s="126">
        <f t="shared" si="9"/>
        <v>1.8096655328798177</v>
      </c>
      <c r="H82" s="132">
        <v>54</v>
      </c>
      <c r="I82" s="126">
        <f t="shared" si="10"/>
        <v>0.7738095238095255</v>
      </c>
      <c r="J82" s="126">
        <f t="shared" si="11"/>
        <v>0.59878117913832463</v>
      </c>
    </row>
    <row r="83" spans="1:11" x14ac:dyDescent="0.25">
      <c r="A83">
        <v>80</v>
      </c>
      <c r="B83" s="132">
        <v>36</v>
      </c>
      <c r="C83" s="126">
        <f t="shared" si="6"/>
        <v>2.3690476190476204</v>
      </c>
      <c r="D83" s="126">
        <f t="shared" si="7"/>
        <v>5.6123866213151992</v>
      </c>
      <c r="E83" s="132">
        <v>53</v>
      </c>
      <c r="F83" s="126">
        <f t="shared" si="8"/>
        <v>-0.3452380952380949</v>
      </c>
      <c r="G83" s="126">
        <f t="shared" si="9"/>
        <v>0.11918934240362788</v>
      </c>
      <c r="H83" s="132">
        <v>58</v>
      </c>
      <c r="I83" s="126">
        <f t="shared" si="10"/>
        <v>4.7738095238095255</v>
      </c>
      <c r="J83" s="126">
        <f t="shared" si="11"/>
        <v>22.789257369614528</v>
      </c>
    </row>
    <row r="84" spans="1:11" x14ac:dyDescent="0.25">
      <c r="A84">
        <v>81</v>
      </c>
      <c r="B84" s="132">
        <v>35</v>
      </c>
      <c r="C84" s="126">
        <f t="shared" si="6"/>
        <v>1.3690476190476204</v>
      </c>
      <c r="D84" s="126">
        <f t="shared" si="7"/>
        <v>1.8742913832199584</v>
      </c>
      <c r="E84" s="132">
        <v>53</v>
      </c>
      <c r="F84" s="126">
        <f t="shared" si="8"/>
        <v>-0.3452380952380949</v>
      </c>
      <c r="G84" s="126">
        <f t="shared" si="9"/>
        <v>0.11918934240362788</v>
      </c>
      <c r="H84" s="132">
        <v>45</v>
      </c>
      <c r="I84" s="126">
        <f t="shared" si="10"/>
        <v>-8.2261904761904745</v>
      </c>
      <c r="J84" s="126">
        <f t="shared" si="11"/>
        <v>67.670209750566869</v>
      </c>
    </row>
    <row r="85" spans="1:11" x14ac:dyDescent="0.25">
      <c r="A85">
        <v>82</v>
      </c>
      <c r="B85" s="132">
        <v>34</v>
      </c>
      <c r="C85" s="126">
        <f t="shared" si="6"/>
        <v>0.3690476190476204</v>
      </c>
      <c r="D85" s="126">
        <f t="shared" si="7"/>
        <v>0.13619614512471756</v>
      </c>
      <c r="E85" s="132">
        <v>52</v>
      </c>
      <c r="F85" s="126">
        <f t="shared" si="8"/>
        <v>-1.3452380952380949</v>
      </c>
      <c r="G85" s="126">
        <f t="shared" si="9"/>
        <v>1.8096655328798177</v>
      </c>
      <c r="H85" s="132">
        <v>57</v>
      </c>
      <c r="I85" s="126">
        <f t="shared" si="10"/>
        <v>3.7738095238095255</v>
      </c>
      <c r="J85" s="126">
        <f t="shared" si="11"/>
        <v>14.241638321995477</v>
      </c>
    </row>
    <row r="86" spans="1:11" x14ac:dyDescent="0.25">
      <c r="A86">
        <v>83</v>
      </c>
      <c r="B86" s="132">
        <v>35</v>
      </c>
      <c r="C86" s="126">
        <f t="shared" si="6"/>
        <v>1.3690476190476204</v>
      </c>
      <c r="D86" s="126">
        <f t="shared" si="7"/>
        <v>1.8742913832199584</v>
      </c>
      <c r="E86" s="132">
        <v>50</v>
      </c>
      <c r="F86" s="126">
        <f t="shared" si="8"/>
        <v>-3.3452380952380949</v>
      </c>
      <c r="G86" s="126">
        <f t="shared" si="9"/>
        <v>11.190617913832197</v>
      </c>
      <c r="H86" s="132">
        <v>54</v>
      </c>
      <c r="I86" s="126">
        <f t="shared" si="10"/>
        <v>0.7738095238095255</v>
      </c>
      <c r="J86" s="126">
        <f t="shared" si="11"/>
        <v>0.59878117913832463</v>
      </c>
    </row>
    <row r="87" spans="1:11" x14ac:dyDescent="0.25">
      <c r="A87">
        <v>84</v>
      </c>
      <c r="B87" s="132">
        <v>35</v>
      </c>
      <c r="C87" s="126">
        <f t="shared" si="6"/>
        <v>1.3690476190476204</v>
      </c>
      <c r="D87" s="126">
        <f t="shared" si="7"/>
        <v>1.8742913832199584</v>
      </c>
      <c r="E87" s="132">
        <v>59</v>
      </c>
      <c r="F87" s="126">
        <f t="shared" si="8"/>
        <v>5.6547619047619051</v>
      </c>
      <c r="G87" s="126">
        <f t="shared" si="9"/>
        <v>31.976332199546491</v>
      </c>
      <c r="H87" s="132">
        <v>54</v>
      </c>
      <c r="I87" s="126">
        <f t="shared" si="10"/>
        <v>0.7738095238095255</v>
      </c>
      <c r="J87" s="126">
        <f t="shared" si="11"/>
        <v>0.59878117913832463</v>
      </c>
    </row>
    <row r="88" spans="1:11" x14ac:dyDescent="0.25">
      <c r="B88" s="124"/>
      <c r="C88" s="126"/>
      <c r="D88" s="126"/>
      <c r="E88" s="124"/>
      <c r="F88" s="126"/>
      <c r="G88" s="126"/>
      <c r="H88" s="124"/>
      <c r="I88" s="126"/>
      <c r="J88" s="126"/>
    </row>
    <row r="89" spans="1:11" x14ac:dyDescent="0.25">
      <c r="B89" s="124">
        <f t="shared" ref="B89:H89" si="12">+AVERAGE(B4:B87)</f>
        <v>33.63095238095238</v>
      </c>
      <c r="C89" s="125">
        <f t="shared" si="12"/>
        <v>1.3534147347811431E-15</v>
      </c>
      <c r="D89" s="125">
        <f t="shared" si="12"/>
        <v>42.947137188208615</v>
      </c>
      <c r="E89" s="124">
        <f t="shared" si="12"/>
        <v>53.345238095238095</v>
      </c>
      <c r="F89" s="125">
        <f t="shared" si="12"/>
        <v>3.3835368369528578E-16</v>
      </c>
      <c r="G89" s="125">
        <f t="shared" si="12"/>
        <v>16.368905895691597</v>
      </c>
      <c r="H89" s="124">
        <f t="shared" si="12"/>
        <v>53.226190476190474</v>
      </c>
      <c r="I89" s="125">
        <f t="shared" ref="I89:J89" si="13">+AVERAGE(I4:I87)</f>
        <v>1.6917684184764289E-15</v>
      </c>
      <c r="J89" s="125">
        <f t="shared" si="13"/>
        <v>19.484552154195011</v>
      </c>
    </row>
    <row r="90" spans="1:11" x14ac:dyDescent="0.25">
      <c r="B90" s="91"/>
      <c r="C90" s="91"/>
      <c r="D90" s="91"/>
      <c r="E90" s="91"/>
      <c r="F90" s="91"/>
      <c r="G90" s="91"/>
      <c r="H90" s="91"/>
      <c r="I90" s="91"/>
      <c r="J90" s="91"/>
    </row>
    <row r="91" spans="1:11" x14ac:dyDescent="0.25">
      <c r="B91" s="91"/>
      <c r="C91" s="91" t="s">
        <v>393</v>
      </c>
      <c r="D91" s="91">
        <f>+SQRT(D89)</f>
        <v>6.5534065331099836</v>
      </c>
      <c r="E91" s="91"/>
      <c r="F91" s="91" t="s">
        <v>393</v>
      </c>
      <c r="G91" s="91">
        <f>+SQRT(G89)</f>
        <v>4.0458504539455724</v>
      </c>
      <c r="H91" s="91"/>
      <c r="I91" s="91" t="s">
        <v>393</v>
      </c>
      <c r="J91" s="91">
        <f>+SQRT(J89)</f>
        <v>4.4141309625106286</v>
      </c>
    </row>
    <row r="92" spans="1:11" x14ac:dyDescent="0.25">
      <c r="B92" s="131"/>
      <c r="C92" s="131"/>
      <c r="D92" s="131"/>
    </row>
    <row r="96" spans="1:11" ht="90" x14ac:dyDescent="0.25">
      <c r="B96" s="95" t="s">
        <v>330</v>
      </c>
      <c r="E96" s="95" t="s">
        <v>333</v>
      </c>
      <c r="H96" s="95" t="s">
        <v>332</v>
      </c>
      <c r="K96" s="95" t="s">
        <v>331</v>
      </c>
    </row>
    <row r="97" spans="1:13" x14ac:dyDescent="0.25">
      <c r="A97">
        <v>2010</v>
      </c>
      <c r="B97">
        <v>38159.379999999997</v>
      </c>
      <c r="C97">
        <f>365/$B$89</f>
        <v>10.853097345132744</v>
      </c>
      <c r="D97">
        <f>+B97/C97</f>
        <v>3515.9898401826481</v>
      </c>
      <c r="E97">
        <v>3346.0500000000006</v>
      </c>
      <c r="F97">
        <f>365/$E$89</f>
        <v>6.8422227181432715</v>
      </c>
      <c r="G97">
        <f>+E97/F97</f>
        <v>489.0296819960862</v>
      </c>
      <c r="H97">
        <v>1534.5900000000001</v>
      </c>
      <c r="I97">
        <f>365/$H$89</f>
        <v>6.8575262804741675</v>
      </c>
      <c r="J97">
        <f>+H97/I97</f>
        <v>223.78186203522506</v>
      </c>
      <c r="K97">
        <v>43040.020000000004</v>
      </c>
      <c r="L97" s="138">
        <v>500</v>
      </c>
      <c r="M97" s="138"/>
    </row>
    <row r="98" spans="1:13" x14ac:dyDescent="0.25">
      <c r="A98">
        <v>2011</v>
      </c>
      <c r="B98">
        <v>23480.590000000004</v>
      </c>
      <c r="C98">
        <f t="shared" ref="C98:C103" si="14">365/$B$89</f>
        <v>10.853097345132744</v>
      </c>
      <c r="D98">
        <f t="shared" ref="D98:D103" si="15">+B98/C98</f>
        <v>2163.4920662100458</v>
      </c>
      <c r="E98">
        <v>2083.19</v>
      </c>
      <c r="F98">
        <f t="shared" ref="F98:F103" si="16">365/$E$89</f>
        <v>6.8422227181432715</v>
      </c>
      <c r="G98">
        <f t="shared" ref="G98:G103" si="17">+E98/F98</f>
        <v>304.4610042400522</v>
      </c>
      <c r="H98">
        <v>933.68000000000006</v>
      </c>
      <c r="I98">
        <f t="shared" ref="I98:I103" si="18">365/$H$89</f>
        <v>6.8575262804741675</v>
      </c>
      <c r="J98">
        <f t="shared" ref="J98:J103" si="19">+H98/I98</f>
        <v>136.15405348988909</v>
      </c>
      <c r="K98">
        <v>26497.46</v>
      </c>
      <c r="L98" s="138">
        <f>+L97-J97+M97</f>
        <v>276.21813796477494</v>
      </c>
      <c r="M98" s="138"/>
    </row>
    <row r="99" spans="1:13" x14ac:dyDescent="0.25">
      <c r="A99">
        <v>2012</v>
      </c>
      <c r="B99">
        <v>39136.47</v>
      </c>
      <c r="C99">
        <f t="shared" si="14"/>
        <v>10.853097345132744</v>
      </c>
      <c r="D99">
        <f t="shared" si="15"/>
        <v>3606.0185176125246</v>
      </c>
      <c r="E99">
        <v>2207.6099999999997</v>
      </c>
      <c r="F99">
        <f t="shared" si="16"/>
        <v>6.8422227181432715</v>
      </c>
      <c r="G99">
        <f t="shared" si="17"/>
        <v>322.64515362035223</v>
      </c>
      <c r="H99">
        <v>599.73</v>
      </c>
      <c r="I99">
        <f t="shared" si="18"/>
        <v>6.8575262804741675</v>
      </c>
      <c r="J99">
        <f t="shared" si="19"/>
        <v>87.455734833659491</v>
      </c>
      <c r="K99">
        <v>41943.81</v>
      </c>
      <c r="L99" s="138">
        <f t="shared" ref="L99:L103" si="20">+L98-J98+M98</f>
        <v>140.06408447488585</v>
      </c>
      <c r="M99" s="138"/>
    </row>
    <row r="100" spans="1:13" x14ac:dyDescent="0.25">
      <c r="A100">
        <v>2013</v>
      </c>
      <c r="B100">
        <v>53000.090000000004</v>
      </c>
      <c r="C100">
        <f t="shared" si="14"/>
        <v>10.853097345132744</v>
      </c>
      <c r="D100">
        <f t="shared" si="15"/>
        <v>4883.4068574690154</v>
      </c>
      <c r="E100">
        <v>323.5</v>
      </c>
      <c r="F100">
        <f t="shared" si="16"/>
        <v>6.8422227181432715</v>
      </c>
      <c r="G100">
        <f t="shared" si="17"/>
        <v>47.279957599478145</v>
      </c>
      <c r="H100">
        <v>650.98000000000013</v>
      </c>
      <c r="I100">
        <f t="shared" si="18"/>
        <v>6.8575262804741675</v>
      </c>
      <c r="J100">
        <f t="shared" si="19"/>
        <v>94.929275277234197</v>
      </c>
      <c r="K100">
        <v>53974.57</v>
      </c>
      <c r="L100" s="138">
        <f t="shared" si="20"/>
        <v>52.608349641226354</v>
      </c>
      <c r="M100" s="138"/>
    </row>
    <row r="101" spans="1:13" x14ac:dyDescent="0.25">
      <c r="A101">
        <v>2014</v>
      </c>
      <c r="B101" s="22">
        <v>32036.370000000003</v>
      </c>
      <c r="C101">
        <f t="shared" si="14"/>
        <v>10.853097345132744</v>
      </c>
      <c r="D101">
        <f t="shared" si="15"/>
        <v>2951.8181751467714</v>
      </c>
      <c r="E101">
        <v>412.52000000000004</v>
      </c>
      <c r="F101">
        <f t="shared" si="16"/>
        <v>6.8422227181432715</v>
      </c>
      <c r="G101">
        <f t="shared" si="17"/>
        <v>60.290349641226356</v>
      </c>
      <c r="H101">
        <v>555.44000000000005</v>
      </c>
      <c r="I101">
        <f t="shared" si="18"/>
        <v>6.8575262804741675</v>
      </c>
      <c r="J101">
        <f t="shared" si="19"/>
        <v>80.99713763861709</v>
      </c>
      <c r="K101">
        <v>1290.7200000000003</v>
      </c>
      <c r="L101" s="138">
        <f t="shared" si="20"/>
        <v>-42.320925636007843</v>
      </c>
      <c r="M101" s="138"/>
    </row>
    <row r="102" spans="1:13" x14ac:dyDescent="0.25">
      <c r="A102">
        <v>2015</v>
      </c>
      <c r="B102">
        <v>52188.54</v>
      </c>
      <c r="C102">
        <f t="shared" si="14"/>
        <v>10.853097345132744</v>
      </c>
      <c r="D102">
        <f t="shared" si="15"/>
        <v>4808.6309686888453</v>
      </c>
      <c r="E102">
        <v>348.78000000000003</v>
      </c>
      <c r="F102">
        <f t="shared" si="16"/>
        <v>6.8422227181432715</v>
      </c>
      <c r="G102">
        <f t="shared" si="17"/>
        <v>50.974663405088066</v>
      </c>
      <c r="H102">
        <v>226.02999999999997</v>
      </c>
      <c r="I102">
        <f t="shared" si="18"/>
        <v>6.8575262804741675</v>
      </c>
      <c r="J102">
        <f t="shared" si="19"/>
        <v>32.960865296803647</v>
      </c>
      <c r="K102">
        <v>52763.350000000013</v>
      </c>
      <c r="L102" s="138">
        <f t="shared" si="20"/>
        <v>-123.31806327462493</v>
      </c>
      <c r="M102" s="138"/>
    </row>
    <row r="103" spans="1:13" x14ac:dyDescent="0.25">
      <c r="A103">
        <v>2016</v>
      </c>
      <c r="B103">
        <v>26291.449999999997</v>
      </c>
      <c r="C103">
        <f t="shared" si="14"/>
        <v>10.853097345132744</v>
      </c>
      <c r="D103">
        <f t="shared" si="15"/>
        <v>2422.4835697977819</v>
      </c>
      <c r="E103">
        <v>160.36000000000004</v>
      </c>
      <c r="F103">
        <f t="shared" si="16"/>
        <v>6.8422227181432715</v>
      </c>
      <c r="G103">
        <f t="shared" si="17"/>
        <v>23.436828440965435</v>
      </c>
      <c r="H103">
        <v>857.31</v>
      </c>
      <c r="I103">
        <f t="shared" si="18"/>
        <v>6.8575262804741675</v>
      </c>
      <c r="J103">
        <f t="shared" si="19"/>
        <v>125.0173845401174</v>
      </c>
      <c r="K103">
        <v>27309.119999999995</v>
      </c>
      <c r="L103" s="138">
        <f t="shared" si="20"/>
        <v>-156.27892857142859</v>
      </c>
      <c r="M103" s="138"/>
    </row>
    <row r="105" spans="1:13" x14ac:dyDescent="0.25">
      <c r="B105" s="138"/>
      <c r="C105" s="138"/>
    </row>
    <row r="106" spans="1:13" x14ac:dyDescent="0.25">
      <c r="B106" s="138">
        <v>1850</v>
      </c>
      <c r="C106" s="138">
        <v>2500</v>
      </c>
      <c r="F106" s="138"/>
      <c r="G106" s="138"/>
    </row>
    <row r="107" spans="1:13" x14ac:dyDescent="0.25">
      <c r="B107" s="138">
        <f>+B106-D97+C106</f>
        <v>834.01015981735191</v>
      </c>
      <c r="C107" s="138">
        <v>5000</v>
      </c>
      <c r="F107" s="138"/>
      <c r="G107" s="138"/>
    </row>
    <row r="108" spans="1:13" x14ac:dyDescent="0.25">
      <c r="B108" s="138">
        <f t="shared" ref="B108:B112" si="21">+B107-D98+C107</f>
        <v>3670.5180936073061</v>
      </c>
      <c r="C108" s="138">
        <v>2500</v>
      </c>
      <c r="F108" s="138"/>
      <c r="G108" s="138"/>
    </row>
    <row r="109" spans="1:13" x14ac:dyDescent="0.25">
      <c r="B109" s="138">
        <f t="shared" si="21"/>
        <v>2564.4995759947815</v>
      </c>
      <c r="C109" s="138">
        <v>5000</v>
      </c>
      <c r="F109" s="138"/>
      <c r="G109" s="138"/>
    </row>
    <row r="110" spans="1:13" x14ac:dyDescent="0.25">
      <c r="B110" s="138">
        <f t="shared" si="21"/>
        <v>2681.092718525766</v>
      </c>
      <c r="C110" s="138">
        <v>2500</v>
      </c>
      <c r="F110" s="138"/>
      <c r="G110" s="138"/>
    </row>
    <row r="111" spans="1:13" x14ac:dyDescent="0.25">
      <c r="B111" s="138">
        <f t="shared" si="21"/>
        <v>2229.2745433789946</v>
      </c>
      <c r="C111" s="138">
        <v>5000</v>
      </c>
      <c r="F111" s="138"/>
      <c r="G111" s="138"/>
    </row>
    <row r="112" spans="1:13" x14ac:dyDescent="0.25">
      <c r="B112" s="138">
        <f t="shared" si="21"/>
        <v>2420.6435746901493</v>
      </c>
      <c r="C112" s="138">
        <v>2500</v>
      </c>
      <c r="F112" s="138"/>
      <c r="G112" s="138"/>
    </row>
  </sheetData>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H325"/>
  <sheetViews>
    <sheetView topLeftCell="T8" workbookViewId="0">
      <selection activeCell="AA29" sqref="AA29"/>
    </sheetView>
  </sheetViews>
  <sheetFormatPr baseColWidth="10" defaultRowHeight="15" x14ac:dyDescent="0.25"/>
  <cols>
    <col min="1" max="1" width="14.42578125" style="141" customWidth="1"/>
    <col min="2" max="2" width="26.28515625" style="141" customWidth="1"/>
    <col min="3" max="3" width="13.5703125" style="142" customWidth="1"/>
    <col min="4" max="4" width="13.28515625" style="142" customWidth="1"/>
    <col min="5" max="5" width="12.7109375" style="142" customWidth="1"/>
    <col min="6" max="6" width="13.140625" style="142" customWidth="1"/>
    <col min="7" max="7" width="13.85546875" style="142" customWidth="1"/>
    <col min="8" max="15" width="11.28515625" style="142" customWidth="1"/>
    <col min="16" max="16" width="11.7109375" style="142" customWidth="1"/>
    <col min="17" max="17" width="12.28515625" style="142" bestFit="1" customWidth="1"/>
    <col min="18" max="18" width="12.140625" style="147" customWidth="1"/>
    <col min="19" max="19" width="10.5703125" style="147" customWidth="1"/>
    <col min="20" max="20" width="12.7109375" style="149" customWidth="1"/>
    <col min="21" max="21" width="11.7109375" style="141" bestFit="1" customWidth="1"/>
    <col min="22" max="22" width="11.85546875" style="141" bestFit="1" customWidth="1"/>
    <col min="23" max="23" width="13.7109375" style="141" bestFit="1" customWidth="1"/>
    <col min="24" max="25" width="12.42578125" style="141" bestFit="1" customWidth="1"/>
    <col min="26" max="26" width="14.42578125" style="141" bestFit="1" customWidth="1"/>
    <col min="27" max="27" width="11.42578125" style="141" customWidth="1"/>
    <col min="28" max="28" width="12.5703125" style="141" customWidth="1"/>
    <col min="29" max="29" width="12.140625" style="141" customWidth="1"/>
    <col min="30" max="30" width="10.5703125" style="141" customWidth="1"/>
    <col min="31" max="31" width="10.85546875" style="141" customWidth="1"/>
    <col min="32" max="33" width="10.7109375" style="141" customWidth="1"/>
    <col min="34" max="34" width="18.42578125" style="141" bestFit="1" customWidth="1"/>
    <col min="35" max="16384" width="11.42578125" style="141"/>
  </cols>
  <sheetData>
    <row r="2" spans="1:34" s="133" customFormat="1" ht="30" customHeight="1" x14ac:dyDescent="0.25">
      <c r="C2" s="134"/>
      <c r="D2" s="478" t="s">
        <v>375</v>
      </c>
      <c r="E2" s="478"/>
      <c r="F2" s="478"/>
      <c r="G2" s="478"/>
      <c r="H2" s="478"/>
      <c r="I2" s="478"/>
      <c r="J2" s="478"/>
      <c r="K2" s="478"/>
      <c r="L2" s="478"/>
      <c r="M2" s="478"/>
      <c r="N2" s="478"/>
      <c r="O2" s="478"/>
      <c r="P2" s="134"/>
      <c r="Q2" s="135"/>
      <c r="R2" s="135"/>
      <c r="S2" s="135"/>
    </row>
    <row r="3" spans="1:34" s="133" customFormat="1" ht="30" customHeight="1" x14ac:dyDescent="0.25">
      <c r="C3" s="134"/>
      <c r="D3" s="136">
        <v>1</v>
      </c>
      <c r="E3" s="136">
        <v>2</v>
      </c>
      <c r="F3" s="136">
        <v>3</v>
      </c>
      <c r="G3" s="136">
        <v>4</v>
      </c>
      <c r="H3" s="136">
        <v>5</v>
      </c>
      <c r="I3" s="136">
        <v>6</v>
      </c>
      <c r="J3" s="136">
        <v>7</v>
      </c>
      <c r="K3" s="136">
        <v>8</v>
      </c>
      <c r="L3" s="136">
        <v>9</v>
      </c>
      <c r="M3" s="136">
        <v>10</v>
      </c>
      <c r="N3" s="136">
        <v>11</v>
      </c>
      <c r="O3" s="136">
        <v>12</v>
      </c>
      <c r="P3" s="134"/>
      <c r="Q3" s="135"/>
      <c r="R3" s="135"/>
      <c r="S3" s="135"/>
    </row>
    <row r="4" spans="1:34" s="138" customFormat="1" ht="71.25" x14ac:dyDescent="0.25">
      <c r="A4" s="202" t="s">
        <v>377</v>
      </c>
      <c r="B4" s="202" t="s">
        <v>378</v>
      </c>
      <c r="C4" s="201" t="s">
        <v>396</v>
      </c>
      <c r="D4" s="203" t="s">
        <v>355</v>
      </c>
      <c r="E4" s="203" t="s">
        <v>356</v>
      </c>
      <c r="F4" s="203" t="s">
        <v>357</v>
      </c>
      <c r="G4" s="203" t="s">
        <v>358</v>
      </c>
      <c r="H4" s="203" t="s">
        <v>359</v>
      </c>
      <c r="I4" s="203" t="s">
        <v>360</v>
      </c>
      <c r="J4" s="203" t="s">
        <v>361</v>
      </c>
      <c r="K4" s="203" t="s">
        <v>362</v>
      </c>
      <c r="L4" s="203" t="s">
        <v>363</v>
      </c>
      <c r="M4" s="203" t="s">
        <v>364</v>
      </c>
      <c r="N4" s="203" t="s">
        <v>365</v>
      </c>
      <c r="O4" s="203" t="s">
        <v>376</v>
      </c>
      <c r="P4" s="201" t="s">
        <v>366</v>
      </c>
      <c r="Q4" s="201" t="s">
        <v>367</v>
      </c>
      <c r="R4" s="201" t="s">
        <v>394</v>
      </c>
      <c r="S4" s="201" t="s">
        <v>395</v>
      </c>
      <c r="T4" s="201" t="s">
        <v>494</v>
      </c>
      <c r="U4" s="201" t="s">
        <v>399</v>
      </c>
      <c r="V4" s="201" t="s">
        <v>397</v>
      </c>
      <c r="W4" s="201" t="s">
        <v>368</v>
      </c>
      <c r="X4" s="201" t="s">
        <v>369</v>
      </c>
      <c r="Y4" s="201" t="s">
        <v>427</v>
      </c>
      <c r="Z4" s="201" t="s">
        <v>400</v>
      </c>
      <c r="AA4" s="201" t="s">
        <v>392</v>
      </c>
      <c r="AB4" s="201" t="s">
        <v>370</v>
      </c>
      <c r="AC4" s="201" t="s">
        <v>371</v>
      </c>
      <c r="AD4" s="201" t="s">
        <v>372</v>
      </c>
      <c r="AE4" s="201" t="s">
        <v>499</v>
      </c>
      <c r="AF4" s="201" t="s">
        <v>373</v>
      </c>
      <c r="AG4" s="201" t="s">
        <v>495</v>
      </c>
      <c r="AH4" s="201" t="s">
        <v>374</v>
      </c>
    </row>
    <row r="5" spans="1:34" ht="15" customHeight="1" x14ac:dyDescent="0.25">
      <c r="A5" s="150">
        <v>2010</v>
      </c>
      <c r="B5" s="150" t="s">
        <v>380</v>
      </c>
      <c r="C5" s="356">
        <v>3</v>
      </c>
      <c r="D5" s="152">
        <v>34.68</v>
      </c>
      <c r="E5" s="152">
        <v>208.54</v>
      </c>
      <c r="F5" s="152">
        <v>69.290000000000006</v>
      </c>
      <c r="G5" s="152">
        <v>208.48</v>
      </c>
      <c r="H5" s="152">
        <v>74.7</v>
      </c>
      <c r="I5" s="152">
        <v>175.68</v>
      </c>
      <c r="J5" s="152">
        <v>376.42</v>
      </c>
      <c r="K5" s="152">
        <v>36.36</v>
      </c>
      <c r="L5" s="152">
        <v>57.52</v>
      </c>
      <c r="M5" s="152">
        <v>0</v>
      </c>
      <c r="N5" s="152">
        <v>71.02</v>
      </c>
      <c r="O5" s="152">
        <v>221.9</v>
      </c>
      <c r="P5" s="357">
        <f>+'LEAD TIME'!H89</f>
        <v>53.226190476190474</v>
      </c>
      <c r="Q5" s="357">
        <f>+'LEAD TIME'!J91</f>
        <v>4.4141309625106286</v>
      </c>
      <c r="R5" s="357">
        <v>500</v>
      </c>
      <c r="S5" s="358">
        <v>0</v>
      </c>
      <c r="T5" s="140">
        <f>+(R5+S5)*C5</f>
        <v>1500</v>
      </c>
      <c r="U5" s="359">
        <f>COUNTIF(D5:O5,"&gt;0")</f>
        <v>11</v>
      </c>
      <c r="V5" s="361">
        <f>+U5/12</f>
        <v>0.91666666666666663</v>
      </c>
      <c r="W5" s="359" t="str">
        <f>IF(V5&lt;=0.5,"Baja",IF(AND(V5&gt;0.5,V5&lt;=0.75),"Media","Alta"))</f>
        <v>Alta</v>
      </c>
      <c r="X5" s="362">
        <f>AVERAGE(D5:O5)</f>
        <v>127.88250000000001</v>
      </c>
      <c r="Y5" s="363">
        <f>FORECAST(13,D5:O5,$D$3:$O$3)</f>
        <v>120.32863636363636</v>
      </c>
      <c r="Z5" s="364">
        <f>IF(U5&gt;0,RSQ(D5:O5,$D$3:$O$3),0)</f>
        <v>1.4438576915886186E-3</v>
      </c>
      <c r="AA5" s="365">
        <f>IF(Z5&gt;0.2,Y5,X5)</f>
        <v>127.88250000000001</v>
      </c>
      <c r="AB5" s="362">
        <f>STDEV(D5:O5)*P5/30</f>
        <v>195.64528853735854</v>
      </c>
      <c r="AC5" s="365">
        <f>Q5/30*AA5</f>
        <v>18.816336760442184</v>
      </c>
      <c r="AD5" s="363">
        <f>IF(W5="Alta",(AB5+AC5),IF(W5="Media",MAX(AB5:AC5),IF(W5="Baja",MIN(AB5:AC5))))</f>
        <v>214.46162529780071</v>
      </c>
      <c r="AE5" s="363">
        <f>+AD5+AA5</f>
        <v>342.3441252978007</v>
      </c>
      <c r="AF5" s="365">
        <f>+R5+S5-AD5-AA5</f>
        <v>157.6558747021993</v>
      </c>
      <c r="AG5" s="367">
        <f>+AE5*C5</f>
        <v>1027.0323758934021</v>
      </c>
      <c r="AH5" s="366">
        <f>+AF5*C5</f>
        <v>472.9676241065979</v>
      </c>
    </row>
    <row r="6" spans="1:34" ht="15" customHeight="1" x14ac:dyDescent="0.25">
      <c r="A6" s="150">
        <v>2011</v>
      </c>
      <c r="B6" s="150" t="s">
        <v>380</v>
      </c>
      <c r="C6" s="356">
        <v>3.1</v>
      </c>
      <c r="D6" s="152">
        <v>50.95</v>
      </c>
      <c r="E6" s="152">
        <v>0</v>
      </c>
      <c r="F6" s="152">
        <v>3.47</v>
      </c>
      <c r="G6" s="152">
        <v>156.34</v>
      </c>
      <c r="H6" s="152">
        <v>263.94</v>
      </c>
      <c r="I6" s="152">
        <v>0</v>
      </c>
      <c r="J6" s="152">
        <v>209.31</v>
      </c>
      <c r="K6" s="152">
        <v>14.7</v>
      </c>
      <c r="L6" s="152">
        <v>0</v>
      </c>
      <c r="M6" s="152">
        <v>44.65</v>
      </c>
      <c r="N6" s="152">
        <v>182.81</v>
      </c>
      <c r="O6" s="152">
        <v>7.51</v>
      </c>
      <c r="P6" s="357">
        <f>+P5</f>
        <v>53.226190476190474</v>
      </c>
      <c r="Q6" s="357">
        <f>+Q5</f>
        <v>4.4141309625106286</v>
      </c>
      <c r="R6" s="357">
        <f>+R5-P5+S5</f>
        <v>446.77380952380952</v>
      </c>
      <c r="S6" s="358">
        <v>200</v>
      </c>
      <c r="T6" s="140">
        <f t="shared" ref="T6:T25" si="0">+(R6+S6)*C6</f>
        <v>2004.9988095238095</v>
      </c>
      <c r="U6" s="359">
        <f>COUNTIF(D6:O6,"&gt;0")</f>
        <v>9</v>
      </c>
      <c r="V6" s="361">
        <f t="shared" ref="V6:V25" si="1">+U6/12</f>
        <v>0.75</v>
      </c>
      <c r="W6" s="359" t="str">
        <f t="shared" ref="W6:W25" si="2">IF(V6&lt;=0.5,"Baja",IF(AND(V6&gt;0.5,V6&lt;=0.75),"Media","Alta"))</f>
        <v>Media</v>
      </c>
      <c r="X6" s="362">
        <f t="shared" ref="X6:X25" si="3">AVERAGE(D6:O6)</f>
        <v>77.806666666666672</v>
      </c>
      <c r="Y6" s="363">
        <f>FORECAST(13,D6:O6,$D$3:$O$3)</f>
        <v>80.888484848484865</v>
      </c>
      <c r="Z6" s="364">
        <f t="shared" ref="Z6:Z25" si="4">IF(U6&gt;0,RSQ(D6:O6,$D$3:$O$3),0)</f>
        <v>3.1039421353740171E-4</v>
      </c>
      <c r="AA6" s="365">
        <f t="shared" ref="AA6:AA25" si="5">IF(Z6&gt;0.2,Y6,X6)</f>
        <v>77.806666666666672</v>
      </c>
      <c r="AB6" s="362">
        <f t="shared" ref="AB6:AB25" si="6">STDEV(D6:O6)*P6/30</f>
        <v>172.15223026121654</v>
      </c>
      <c r="AC6" s="365">
        <f t="shared" ref="AC6:AC25" si="7">Q6/30*AA6</f>
        <v>11.448293880769233</v>
      </c>
      <c r="AD6" s="363">
        <f t="shared" ref="AD6:AD25" si="8">IF(W6="Alta",(AB6+AC6),IF(W6="Media",MAX(AB6:AC6),IF(W6="Baja",MIN(AB6:AC6))))</f>
        <v>172.15223026121654</v>
      </c>
      <c r="AE6" s="363">
        <f t="shared" ref="AE6:AE25" si="9">+AD6+AA6</f>
        <v>249.95889692788322</v>
      </c>
      <c r="AF6" s="365">
        <f>+R6+S6-AD6-AA6</f>
        <v>396.81491259592627</v>
      </c>
      <c r="AG6" s="367">
        <f t="shared" ref="AG6:AG25" si="10">+AE6*C6</f>
        <v>774.87258047643797</v>
      </c>
      <c r="AH6" s="366">
        <f t="shared" ref="AH6:AH25" si="11">+AF6*C6</f>
        <v>1230.1262290473715</v>
      </c>
    </row>
    <row r="7" spans="1:34" ht="15" customHeight="1" x14ac:dyDescent="0.25">
      <c r="A7" s="150">
        <v>2012</v>
      </c>
      <c r="B7" s="150" t="s">
        <v>380</v>
      </c>
      <c r="C7" s="356">
        <v>3.12</v>
      </c>
      <c r="D7" s="152">
        <v>28.92</v>
      </c>
      <c r="E7" s="152">
        <v>0</v>
      </c>
      <c r="F7" s="152">
        <v>212.95</v>
      </c>
      <c r="G7" s="152">
        <v>42.93</v>
      </c>
      <c r="H7" s="152">
        <v>91.42</v>
      </c>
      <c r="I7" s="152">
        <v>58.32</v>
      </c>
      <c r="J7" s="152">
        <v>0</v>
      </c>
      <c r="K7" s="152">
        <v>92.11</v>
      </c>
      <c r="L7" s="152">
        <v>4.4800000000000004</v>
      </c>
      <c r="M7" s="152">
        <v>63.06</v>
      </c>
      <c r="N7" s="152">
        <v>5.54</v>
      </c>
      <c r="O7" s="152">
        <v>0</v>
      </c>
      <c r="P7" s="357">
        <f t="shared" ref="P7:P11" si="12">+P6</f>
        <v>53.226190476190474</v>
      </c>
      <c r="Q7" s="357">
        <f t="shared" ref="Q7:Q11" si="13">+Q6</f>
        <v>4.4141309625106286</v>
      </c>
      <c r="R7" s="357">
        <f t="shared" ref="R7:R11" si="14">+R6-P6+S6</f>
        <v>593.54761904761904</v>
      </c>
      <c r="S7" s="358">
        <v>0</v>
      </c>
      <c r="T7" s="140">
        <f t="shared" si="0"/>
        <v>1851.8685714285714</v>
      </c>
      <c r="U7" s="359">
        <f t="shared" ref="U7:U25" si="15">COUNTIF(D7:O7,"&gt;0")</f>
        <v>9</v>
      </c>
      <c r="V7" s="361">
        <f t="shared" si="1"/>
        <v>0.75</v>
      </c>
      <c r="W7" s="359" t="str">
        <f t="shared" si="2"/>
        <v>Media</v>
      </c>
      <c r="X7" s="362">
        <f t="shared" si="3"/>
        <v>49.977499999999999</v>
      </c>
      <c r="Y7" s="363">
        <f t="shared" ref="Y7:Y25" si="16">FORECAST(13,D7:O7,$D$3:$O$3)</f>
        <v>14.386818181818185</v>
      </c>
      <c r="Z7" s="364">
        <f t="shared" si="4"/>
        <v>0.10129557426821112</v>
      </c>
      <c r="AA7" s="365">
        <f t="shared" si="5"/>
        <v>49.977499999999999</v>
      </c>
      <c r="AB7" s="362">
        <f t="shared" si="6"/>
        <v>110.05341441148201</v>
      </c>
      <c r="AC7" s="365">
        <f t="shared" si="7"/>
        <v>7.3535743392958315</v>
      </c>
      <c r="AD7" s="363">
        <f t="shared" si="8"/>
        <v>110.05341441148201</v>
      </c>
      <c r="AE7" s="363">
        <f t="shared" si="9"/>
        <v>160.030914411482</v>
      </c>
      <c r="AF7" s="365">
        <f t="shared" ref="AF7:AF25" si="17">+R7+S7-AD7-AA7</f>
        <v>433.51670463613704</v>
      </c>
      <c r="AG7" s="367">
        <f t="shared" si="10"/>
        <v>499.29645296382387</v>
      </c>
      <c r="AH7" s="366">
        <f t="shared" si="11"/>
        <v>1352.5721184647475</v>
      </c>
    </row>
    <row r="8" spans="1:34" ht="15" customHeight="1" x14ac:dyDescent="0.25">
      <c r="A8" s="150">
        <v>2013</v>
      </c>
      <c r="B8" s="150" t="s">
        <v>380</v>
      </c>
      <c r="C8" s="356">
        <v>3.15</v>
      </c>
      <c r="D8" s="152">
        <v>43.7</v>
      </c>
      <c r="E8" s="152">
        <v>53.28</v>
      </c>
      <c r="F8" s="152">
        <v>94.88</v>
      </c>
      <c r="G8" s="152">
        <v>27.63</v>
      </c>
      <c r="H8" s="152">
        <v>91.22</v>
      </c>
      <c r="I8" s="152">
        <v>0</v>
      </c>
      <c r="J8" s="152">
        <v>6.97</v>
      </c>
      <c r="K8" s="152">
        <v>105.47</v>
      </c>
      <c r="L8" s="152">
        <v>203.73</v>
      </c>
      <c r="M8" s="152">
        <v>24.1</v>
      </c>
      <c r="N8" s="152">
        <v>0</v>
      </c>
      <c r="O8" s="152">
        <v>0</v>
      </c>
      <c r="P8" s="357">
        <f t="shared" si="12"/>
        <v>53.226190476190474</v>
      </c>
      <c r="Q8" s="357">
        <f t="shared" si="13"/>
        <v>4.4141309625106286</v>
      </c>
      <c r="R8" s="357">
        <f t="shared" si="14"/>
        <v>540.32142857142856</v>
      </c>
      <c r="S8" s="358">
        <v>200</v>
      </c>
      <c r="T8" s="140">
        <f t="shared" si="0"/>
        <v>2332.0124999999998</v>
      </c>
      <c r="U8" s="359">
        <f t="shared" si="15"/>
        <v>9</v>
      </c>
      <c r="V8" s="361">
        <f t="shared" si="1"/>
        <v>0.75</v>
      </c>
      <c r="W8" s="359" t="str">
        <f t="shared" si="2"/>
        <v>Media</v>
      </c>
      <c r="X8" s="362">
        <f t="shared" si="3"/>
        <v>54.248333333333342</v>
      </c>
      <c r="Y8" s="363">
        <f t="shared" si="16"/>
        <v>42.306060606060612</v>
      </c>
      <c r="Z8" s="364">
        <f t="shared" si="4"/>
        <v>1.1836902400663478E-2</v>
      </c>
      <c r="AA8" s="365">
        <f t="shared" si="5"/>
        <v>54.248333333333342</v>
      </c>
      <c r="AB8" s="362">
        <f t="shared" si="6"/>
        <v>108.0265235865747</v>
      </c>
      <c r="AC8" s="365">
        <f t="shared" si="7"/>
        <v>7.9819749277088041</v>
      </c>
      <c r="AD8" s="363">
        <f t="shared" si="8"/>
        <v>108.0265235865747</v>
      </c>
      <c r="AE8" s="363">
        <f t="shared" si="9"/>
        <v>162.27485691990805</v>
      </c>
      <c r="AF8" s="365">
        <f t="shared" si="17"/>
        <v>578.04657165152048</v>
      </c>
      <c r="AG8" s="367">
        <f t="shared" si="10"/>
        <v>511.16579929771035</v>
      </c>
      <c r="AH8" s="366">
        <f t="shared" si="11"/>
        <v>1820.8467007022894</v>
      </c>
    </row>
    <row r="9" spans="1:34" ht="15" customHeight="1" x14ac:dyDescent="0.25">
      <c r="A9" s="150">
        <v>2014</v>
      </c>
      <c r="B9" s="150" t="s">
        <v>380</v>
      </c>
      <c r="C9" s="356">
        <v>3.4</v>
      </c>
      <c r="D9" s="152">
        <v>96.45</v>
      </c>
      <c r="E9" s="152">
        <v>0</v>
      </c>
      <c r="F9" s="152">
        <v>248.81</v>
      </c>
      <c r="G9" s="152">
        <v>0</v>
      </c>
      <c r="H9" s="152">
        <v>5.14</v>
      </c>
      <c r="I9" s="152">
        <v>0</v>
      </c>
      <c r="J9" s="152">
        <v>0</v>
      </c>
      <c r="K9" s="152">
        <v>0</v>
      </c>
      <c r="L9" s="152">
        <v>81.92</v>
      </c>
      <c r="M9" s="152">
        <v>123.12</v>
      </c>
      <c r="N9" s="152">
        <v>0</v>
      </c>
      <c r="O9" s="152">
        <v>0</v>
      </c>
      <c r="P9" s="357">
        <f t="shared" si="12"/>
        <v>53.226190476190474</v>
      </c>
      <c r="Q9" s="357">
        <f t="shared" si="13"/>
        <v>4.4141309625106286</v>
      </c>
      <c r="R9" s="357">
        <f t="shared" si="14"/>
        <v>687.09523809523807</v>
      </c>
      <c r="S9" s="358">
        <v>200</v>
      </c>
      <c r="T9" s="140">
        <f t="shared" si="0"/>
        <v>3016.1238095238095</v>
      </c>
      <c r="U9" s="359">
        <f t="shared" si="15"/>
        <v>5</v>
      </c>
      <c r="V9" s="361">
        <f t="shared" si="1"/>
        <v>0.41666666666666669</v>
      </c>
      <c r="W9" s="359" t="str">
        <f t="shared" si="2"/>
        <v>Baja</v>
      </c>
      <c r="X9" s="362">
        <f t="shared" si="3"/>
        <v>46.286666666666669</v>
      </c>
      <c r="Y9" s="363">
        <f t="shared" si="16"/>
        <v>11.136666666666656</v>
      </c>
      <c r="Z9" s="364">
        <f t="shared" si="4"/>
        <v>6.2048283772327996E-2</v>
      </c>
      <c r="AA9" s="365">
        <f t="shared" si="5"/>
        <v>46.286666666666669</v>
      </c>
      <c r="AB9" s="362">
        <f t="shared" si="6"/>
        <v>138.87462241391327</v>
      </c>
      <c r="AC9" s="365">
        <f t="shared" si="7"/>
        <v>6.8105136161580662</v>
      </c>
      <c r="AD9" s="363">
        <f t="shared" si="8"/>
        <v>6.8105136161580662</v>
      </c>
      <c r="AE9" s="363">
        <f t="shared" si="9"/>
        <v>53.097180282824738</v>
      </c>
      <c r="AF9" s="365">
        <f t="shared" si="17"/>
        <v>833.99805781241332</v>
      </c>
      <c r="AG9" s="367">
        <f t="shared" si="10"/>
        <v>180.5304129616041</v>
      </c>
      <c r="AH9" s="366">
        <f t="shared" si="11"/>
        <v>2835.5933965622053</v>
      </c>
    </row>
    <row r="10" spans="1:34" ht="15" customHeight="1" x14ac:dyDescent="0.25">
      <c r="A10" s="150">
        <v>2015</v>
      </c>
      <c r="B10" s="150" t="s">
        <v>380</v>
      </c>
      <c r="C10" s="356">
        <v>3.35</v>
      </c>
      <c r="D10" s="152">
        <v>57.48</v>
      </c>
      <c r="E10" s="152">
        <v>0</v>
      </c>
      <c r="F10" s="152">
        <v>28.75</v>
      </c>
      <c r="G10" s="152">
        <v>0</v>
      </c>
      <c r="H10" s="152">
        <v>0</v>
      </c>
      <c r="I10" s="152">
        <v>5.78</v>
      </c>
      <c r="J10" s="152">
        <v>60.08</v>
      </c>
      <c r="K10" s="152">
        <v>0</v>
      </c>
      <c r="L10" s="152">
        <v>69.08</v>
      </c>
      <c r="M10" s="152">
        <v>4.8600000000000003</v>
      </c>
      <c r="N10" s="152">
        <v>0</v>
      </c>
      <c r="O10" s="152">
        <v>0</v>
      </c>
      <c r="P10" s="357">
        <f t="shared" si="12"/>
        <v>53.226190476190474</v>
      </c>
      <c r="Q10" s="357">
        <f t="shared" si="13"/>
        <v>4.4141309625106286</v>
      </c>
      <c r="R10" s="357">
        <f t="shared" si="14"/>
        <v>833.86904761904759</v>
      </c>
      <c r="S10" s="358">
        <v>200</v>
      </c>
      <c r="T10" s="140">
        <f t="shared" si="0"/>
        <v>3463.4613095238101</v>
      </c>
      <c r="U10" s="359">
        <f t="shared" si="15"/>
        <v>6</v>
      </c>
      <c r="V10" s="361">
        <f t="shared" si="1"/>
        <v>0.5</v>
      </c>
      <c r="W10" s="359" t="str">
        <f t="shared" si="2"/>
        <v>Baja</v>
      </c>
      <c r="X10" s="362">
        <f t="shared" si="3"/>
        <v>18.83583333333333</v>
      </c>
      <c r="Y10" s="363">
        <f t="shared" si="16"/>
        <v>9.7492424242424214</v>
      </c>
      <c r="Z10" s="364">
        <f t="shared" si="4"/>
        <v>3.3621712779421456E-2</v>
      </c>
      <c r="AA10" s="365">
        <f t="shared" si="5"/>
        <v>18.83583333333333</v>
      </c>
      <c r="AB10" s="362">
        <f t="shared" si="6"/>
        <v>48.77008445508924</v>
      </c>
      <c r="AC10" s="365">
        <f t="shared" si="7"/>
        <v>2.771461170711881</v>
      </c>
      <c r="AD10" s="363">
        <f t="shared" si="8"/>
        <v>2.771461170711881</v>
      </c>
      <c r="AE10" s="363">
        <f t="shared" si="9"/>
        <v>21.60729450404521</v>
      </c>
      <c r="AF10" s="365">
        <f t="shared" si="17"/>
        <v>1012.2617531150024</v>
      </c>
      <c r="AG10" s="367">
        <f t="shared" si="10"/>
        <v>72.384436588551452</v>
      </c>
      <c r="AH10" s="366">
        <f t="shared" si="11"/>
        <v>3391.0768729352581</v>
      </c>
    </row>
    <row r="11" spans="1:34" ht="15" customHeight="1" x14ac:dyDescent="0.25">
      <c r="A11" s="150">
        <v>2016</v>
      </c>
      <c r="B11" s="150" t="s">
        <v>380</v>
      </c>
      <c r="C11" s="356">
        <v>2.7</v>
      </c>
      <c r="D11" s="152">
        <v>11.65</v>
      </c>
      <c r="E11" s="152">
        <v>0</v>
      </c>
      <c r="F11" s="152">
        <v>41.22</v>
      </c>
      <c r="G11" s="152">
        <v>0</v>
      </c>
      <c r="H11" s="152">
        <v>0</v>
      </c>
      <c r="I11" s="152">
        <v>41.22</v>
      </c>
      <c r="J11" s="152">
        <v>376.42</v>
      </c>
      <c r="K11" s="152">
        <v>36.36</v>
      </c>
      <c r="L11" s="152">
        <v>57.52</v>
      </c>
      <c r="M11" s="152">
        <v>0</v>
      </c>
      <c r="N11" s="152">
        <v>71.02</v>
      </c>
      <c r="O11" s="152">
        <v>221.9</v>
      </c>
      <c r="P11" s="357">
        <f t="shared" si="12"/>
        <v>53.226190476190474</v>
      </c>
      <c r="Q11" s="357">
        <f t="shared" si="13"/>
        <v>4.4141309625106286</v>
      </c>
      <c r="R11" s="357">
        <f t="shared" si="14"/>
        <v>980.64285714285711</v>
      </c>
      <c r="S11" s="358">
        <v>0</v>
      </c>
      <c r="T11" s="140">
        <f t="shared" si="0"/>
        <v>2647.7357142857145</v>
      </c>
      <c r="U11" s="359">
        <f t="shared" si="15"/>
        <v>8</v>
      </c>
      <c r="V11" s="361">
        <f t="shared" si="1"/>
        <v>0.66666666666666663</v>
      </c>
      <c r="W11" s="359" t="str">
        <f t="shared" si="2"/>
        <v>Media</v>
      </c>
      <c r="X11" s="362">
        <f t="shared" si="3"/>
        <v>71.442499999999995</v>
      </c>
      <c r="Y11" s="363">
        <f t="shared" si="16"/>
        <v>148.60772727272729</v>
      </c>
      <c r="Z11" s="364">
        <f t="shared" si="4"/>
        <v>0.14104117427646679</v>
      </c>
      <c r="AA11" s="365">
        <f t="shared" si="5"/>
        <v>71.442499999999995</v>
      </c>
      <c r="AB11" s="362">
        <f t="shared" si="6"/>
        <v>202.21395837727616</v>
      </c>
      <c r="AC11" s="365">
        <f t="shared" si="7"/>
        <v>10.511885042972185</v>
      </c>
      <c r="AD11" s="363">
        <f t="shared" si="8"/>
        <v>202.21395837727616</v>
      </c>
      <c r="AE11" s="363">
        <f t="shared" si="9"/>
        <v>273.65645837727618</v>
      </c>
      <c r="AF11" s="365">
        <f t="shared" si="17"/>
        <v>706.98639876558093</v>
      </c>
      <c r="AG11" s="367">
        <f t="shared" si="10"/>
        <v>738.87243761864579</v>
      </c>
      <c r="AH11" s="366">
        <f t="shared" si="11"/>
        <v>1908.8632766670687</v>
      </c>
    </row>
    <row r="12" spans="1:34" ht="15" customHeight="1" x14ac:dyDescent="0.25">
      <c r="A12" s="359">
        <v>2010</v>
      </c>
      <c r="B12" s="150" t="s">
        <v>218</v>
      </c>
      <c r="C12" s="356">
        <v>2.4</v>
      </c>
      <c r="D12" s="152">
        <v>1571.05</v>
      </c>
      <c r="E12" s="152">
        <v>3596.64</v>
      </c>
      <c r="F12" s="152">
        <v>4211.0200000000004</v>
      </c>
      <c r="G12" s="152">
        <v>5115.32</v>
      </c>
      <c r="H12" s="152">
        <v>1799.71</v>
      </c>
      <c r="I12" s="152">
        <v>2445.6</v>
      </c>
      <c r="J12" s="152">
        <v>1180.5999999999999</v>
      </c>
      <c r="K12" s="152">
        <v>3416.75</v>
      </c>
      <c r="L12" s="152">
        <v>3301.9</v>
      </c>
      <c r="M12" s="152">
        <v>3954.7</v>
      </c>
      <c r="N12" s="152">
        <v>3067.69</v>
      </c>
      <c r="O12" s="152">
        <v>4498.3999999999996</v>
      </c>
      <c r="P12" s="357">
        <f>+'LEAD TIME'!B89</f>
        <v>33.63095238095238</v>
      </c>
      <c r="Q12" s="357">
        <f>+'LEAD TIME'!D91</f>
        <v>6.5534065331099836</v>
      </c>
      <c r="R12" s="357">
        <v>1850</v>
      </c>
      <c r="S12" s="358">
        <v>2500</v>
      </c>
      <c r="T12" s="140">
        <f t="shared" si="0"/>
        <v>10440</v>
      </c>
      <c r="U12" s="359">
        <f t="shared" si="15"/>
        <v>12</v>
      </c>
      <c r="V12" s="361">
        <f t="shared" si="1"/>
        <v>1</v>
      </c>
      <c r="W12" s="359" t="str">
        <f t="shared" si="2"/>
        <v>Alta</v>
      </c>
      <c r="X12" s="362">
        <f t="shared" si="3"/>
        <v>3179.9483333333333</v>
      </c>
      <c r="Y12" s="363">
        <f t="shared" si="16"/>
        <v>3638.245606060606</v>
      </c>
      <c r="Z12" s="364">
        <f t="shared" si="4"/>
        <v>4.3255361058748158E-2</v>
      </c>
      <c r="AA12" s="365">
        <f t="shared" si="5"/>
        <v>3179.9483333333333</v>
      </c>
      <c r="AB12" s="362">
        <f t="shared" si="6"/>
        <v>1370.2617440720446</v>
      </c>
      <c r="AC12" s="365">
        <f t="shared" si="7"/>
        <v>694.64980608729559</v>
      </c>
      <c r="AD12" s="363">
        <f t="shared" si="8"/>
        <v>2064.9115501593401</v>
      </c>
      <c r="AE12" s="363">
        <f t="shared" si="9"/>
        <v>5244.8598834926734</v>
      </c>
      <c r="AF12" s="365">
        <f>+R12+S12-AD12-AA12</f>
        <v>-894.85988349267336</v>
      </c>
      <c r="AG12" s="367">
        <f t="shared" si="10"/>
        <v>12587.663720382416</v>
      </c>
      <c r="AH12" s="366">
        <f t="shared" si="11"/>
        <v>-2147.6637203824162</v>
      </c>
    </row>
    <row r="13" spans="1:34" ht="15" customHeight="1" x14ac:dyDescent="0.25">
      <c r="A13" s="359">
        <v>2011</v>
      </c>
      <c r="B13" s="150" t="s">
        <v>218</v>
      </c>
      <c r="C13" s="356">
        <v>2.4300000000000002</v>
      </c>
      <c r="D13" s="152">
        <v>1488</v>
      </c>
      <c r="E13" s="152">
        <v>2052.89</v>
      </c>
      <c r="F13" s="152">
        <v>2351.1</v>
      </c>
      <c r="G13" s="152">
        <v>280</v>
      </c>
      <c r="H13" s="152">
        <v>4585</v>
      </c>
      <c r="I13" s="152">
        <v>2415</v>
      </c>
      <c r="J13" s="152">
        <v>3445.4</v>
      </c>
      <c r="K13" s="152">
        <v>482.4</v>
      </c>
      <c r="L13" s="152">
        <v>2023.05</v>
      </c>
      <c r="M13" s="152">
        <v>934.15</v>
      </c>
      <c r="N13" s="152">
        <v>1885.95</v>
      </c>
      <c r="O13" s="152">
        <v>1537.65</v>
      </c>
      <c r="P13" s="357">
        <f>+P12</f>
        <v>33.63095238095238</v>
      </c>
      <c r="Q13" s="357">
        <f>+Q12</f>
        <v>6.5534065331099836</v>
      </c>
      <c r="R13" s="357">
        <v>834.01015981735191</v>
      </c>
      <c r="S13" s="358">
        <v>5000</v>
      </c>
      <c r="T13" s="140">
        <f t="shared" si="0"/>
        <v>14176.644688356166</v>
      </c>
      <c r="U13" s="359">
        <f t="shared" si="15"/>
        <v>12</v>
      </c>
      <c r="V13" s="361">
        <f t="shared" si="1"/>
        <v>1</v>
      </c>
      <c r="W13" s="359" t="str">
        <f t="shared" si="2"/>
        <v>Alta</v>
      </c>
      <c r="X13" s="362">
        <f t="shared" si="3"/>
        <v>1956.7158333333336</v>
      </c>
      <c r="Y13" s="363">
        <f t="shared" si="16"/>
        <v>1651.3269696969701</v>
      </c>
      <c r="Z13" s="364">
        <f t="shared" si="4"/>
        <v>1.9810027509743033E-2</v>
      </c>
      <c r="AA13" s="365">
        <f t="shared" si="5"/>
        <v>1956.7158333333336</v>
      </c>
      <c r="AB13" s="362">
        <f t="shared" si="6"/>
        <v>1349.2327910692832</v>
      </c>
      <c r="AC13" s="365">
        <f t="shared" si="7"/>
        <v>427.43847752021378</v>
      </c>
      <c r="AD13" s="363">
        <f t="shared" si="8"/>
        <v>1776.671268589497</v>
      </c>
      <c r="AE13" s="363">
        <f t="shared" si="9"/>
        <v>3733.3871019228309</v>
      </c>
      <c r="AF13" s="365">
        <f t="shared" si="17"/>
        <v>2100.6230578945206</v>
      </c>
      <c r="AG13" s="367">
        <f t="shared" si="10"/>
        <v>9072.1306576724801</v>
      </c>
      <c r="AH13" s="366">
        <f t="shared" si="11"/>
        <v>5104.5140306836856</v>
      </c>
    </row>
    <row r="14" spans="1:34" ht="15" customHeight="1" x14ac:dyDescent="0.25">
      <c r="A14" s="359">
        <v>2012</v>
      </c>
      <c r="B14" s="150" t="s">
        <v>218</v>
      </c>
      <c r="C14" s="356">
        <v>2.4900000000000002</v>
      </c>
      <c r="D14" s="152">
        <v>2661.57</v>
      </c>
      <c r="E14" s="152">
        <v>3943.05</v>
      </c>
      <c r="F14" s="152">
        <v>4363.2</v>
      </c>
      <c r="G14" s="152">
        <v>4232.3999999999996</v>
      </c>
      <c r="H14" s="152">
        <v>4796.3100000000004</v>
      </c>
      <c r="I14" s="152">
        <v>2675.09</v>
      </c>
      <c r="J14" s="152">
        <v>3660.95</v>
      </c>
      <c r="K14" s="152">
        <v>5117.01</v>
      </c>
      <c r="L14" s="152">
        <v>2539.1999999999998</v>
      </c>
      <c r="M14" s="152">
        <v>1206.1199999999999</v>
      </c>
      <c r="N14" s="152">
        <v>2332.0700000000002</v>
      </c>
      <c r="O14" s="152">
        <v>1609.5</v>
      </c>
      <c r="P14" s="357">
        <f t="shared" ref="P14:P18" si="18">+P13</f>
        <v>33.63095238095238</v>
      </c>
      <c r="Q14" s="357">
        <f t="shared" ref="Q14:Q18" si="19">+Q13</f>
        <v>6.5534065331099836</v>
      </c>
      <c r="R14" s="357">
        <v>3670.5180936073061</v>
      </c>
      <c r="S14" s="358">
        <v>2500</v>
      </c>
      <c r="T14" s="140">
        <f t="shared" si="0"/>
        <v>15364.590053082195</v>
      </c>
      <c r="U14" s="359">
        <f t="shared" si="15"/>
        <v>12</v>
      </c>
      <c r="V14" s="361">
        <f t="shared" si="1"/>
        <v>1</v>
      </c>
      <c r="W14" s="359" t="str">
        <f t="shared" si="2"/>
        <v>Alta</v>
      </c>
      <c r="X14" s="362">
        <f t="shared" si="3"/>
        <v>3261.3724999999999</v>
      </c>
      <c r="Y14" s="363">
        <f t="shared" si="16"/>
        <v>2018.4363636363637</v>
      </c>
      <c r="Z14" s="364">
        <f t="shared" si="4"/>
        <v>0.29672235620436749</v>
      </c>
      <c r="AA14" s="365">
        <f t="shared" si="5"/>
        <v>2018.4363636363637</v>
      </c>
      <c r="AB14" s="362">
        <f t="shared" si="6"/>
        <v>1418.8938653300704</v>
      </c>
      <c r="AC14" s="365">
        <f t="shared" si="7"/>
        <v>440.92113507071014</v>
      </c>
      <c r="AD14" s="363">
        <f t="shared" si="8"/>
        <v>1859.8150004007805</v>
      </c>
      <c r="AE14" s="363">
        <f t="shared" si="9"/>
        <v>3878.2513640371444</v>
      </c>
      <c r="AF14" s="365">
        <f t="shared" si="17"/>
        <v>2292.2667295701626</v>
      </c>
      <c r="AG14" s="367">
        <f t="shared" si="10"/>
        <v>9656.8458964524907</v>
      </c>
      <c r="AH14" s="366">
        <f t="shared" si="11"/>
        <v>5707.7441566297057</v>
      </c>
    </row>
    <row r="15" spans="1:34" ht="15" customHeight="1" x14ac:dyDescent="0.25">
      <c r="A15" s="359">
        <v>2013</v>
      </c>
      <c r="B15" s="150" t="s">
        <v>218</v>
      </c>
      <c r="C15" s="356">
        <v>2.68</v>
      </c>
      <c r="D15" s="152">
        <v>4035.2</v>
      </c>
      <c r="E15" s="152">
        <v>3396.18</v>
      </c>
      <c r="F15" s="152">
        <v>3038.77</v>
      </c>
      <c r="G15" s="152">
        <v>4477</v>
      </c>
      <c r="H15" s="152">
        <v>7972.56</v>
      </c>
      <c r="I15" s="152">
        <v>4515</v>
      </c>
      <c r="J15" s="152">
        <v>4581.38</v>
      </c>
      <c r="K15" s="152">
        <v>3815.32</v>
      </c>
      <c r="L15" s="152">
        <v>3541.34</v>
      </c>
      <c r="M15" s="152">
        <v>7559.5</v>
      </c>
      <c r="N15" s="152">
        <v>5140.12</v>
      </c>
      <c r="O15" s="152">
        <v>927.72</v>
      </c>
      <c r="P15" s="357">
        <f t="shared" si="18"/>
        <v>33.63095238095238</v>
      </c>
      <c r="Q15" s="357">
        <f t="shared" si="19"/>
        <v>6.5534065331099836</v>
      </c>
      <c r="R15" s="357">
        <v>2564.4995759947815</v>
      </c>
      <c r="S15" s="358">
        <v>5000</v>
      </c>
      <c r="T15" s="140">
        <f t="shared" si="0"/>
        <v>20272.858863666017</v>
      </c>
      <c r="U15" s="359">
        <f t="shared" si="15"/>
        <v>12</v>
      </c>
      <c r="V15" s="361">
        <f t="shared" si="1"/>
        <v>1</v>
      </c>
      <c r="W15" s="359" t="str">
        <f t="shared" si="2"/>
        <v>Alta</v>
      </c>
      <c r="X15" s="362">
        <f t="shared" si="3"/>
        <v>4416.6741666666667</v>
      </c>
      <c r="Y15" s="363">
        <f t="shared" si="16"/>
        <v>4327.4616666666661</v>
      </c>
      <c r="Z15" s="364">
        <f t="shared" si="4"/>
        <v>6.8245681674281358E-4</v>
      </c>
      <c r="AA15" s="365">
        <f t="shared" si="5"/>
        <v>4416.6741666666667</v>
      </c>
      <c r="AB15" s="362">
        <f t="shared" si="6"/>
        <v>2123.5591020477536</v>
      </c>
      <c r="AC15" s="365">
        <f t="shared" si="7"/>
        <v>964.80871128171418</v>
      </c>
      <c r="AD15" s="363">
        <f t="shared" si="8"/>
        <v>3088.3678133294679</v>
      </c>
      <c r="AE15" s="363">
        <f t="shared" si="9"/>
        <v>7505.0419799961346</v>
      </c>
      <c r="AF15" s="365">
        <f>+R15+S15-AD15-AA15</f>
        <v>59.457595998646866</v>
      </c>
      <c r="AG15" s="367">
        <f t="shared" si="10"/>
        <v>20113.512506389641</v>
      </c>
      <c r="AH15" s="366">
        <f t="shared" si="11"/>
        <v>159.34635727637362</v>
      </c>
    </row>
    <row r="16" spans="1:34" ht="15" customHeight="1" x14ac:dyDescent="0.25">
      <c r="A16" s="359">
        <v>2014</v>
      </c>
      <c r="B16" s="150" t="s">
        <v>218</v>
      </c>
      <c r="C16" s="356">
        <v>2.72</v>
      </c>
      <c r="D16" s="152">
        <v>1457</v>
      </c>
      <c r="E16" s="152">
        <v>2002.89</v>
      </c>
      <c r="F16" s="152">
        <v>2423.5</v>
      </c>
      <c r="G16" s="152">
        <v>450</v>
      </c>
      <c r="H16" s="152">
        <v>4002</v>
      </c>
      <c r="I16" s="152">
        <v>2400</v>
      </c>
      <c r="J16" s="152">
        <v>1250.5999999999999</v>
      </c>
      <c r="K16" s="152">
        <v>3332.23</v>
      </c>
      <c r="L16" s="152">
        <v>3250.9</v>
      </c>
      <c r="M16" s="152">
        <v>3960.2</v>
      </c>
      <c r="N16" s="152">
        <v>3005.69</v>
      </c>
      <c r="O16" s="152">
        <v>4501.3599999999997</v>
      </c>
      <c r="P16" s="357">
        <f t="shared" si="18"/>
        <v>33.63095238095238</v>
      </c>
      <c r="Q16" s="357">
        <f t="shared" si="19"/>
        <v>6.5534065331099836</v>
      </c>
      <c r="R16" s="357">
        <v>2681.092718525766</v>
      </c>
      <c r="S16" s="358">
        <v>2500</v>
      </c>
      <c r="T16" s="140">
        <f t="shared" si="0"/>
        <v>14092.572194390084</v>
      </c>
      <c r="U16" s="359">
        <f t="shared" si="15"/>
        <v>12</v>
      </c>
      <c r="V16" s="361">
        <f t="shared" si="1"/>
        <v>1</v>
      </c>
      <c r="W16" s="359" t="str">
        <f t="shared" si="2"/>
        <v>Alta</v>
      </c>
      <c r="X16" s="362">
        <f t="shared" si="3"/>
        <v>2669.6975000000002</v>
      </c>
      <c r="Y16" s="363">
        <f t="shared" si="16"/>
        <v>4126.8759090909089</v>
      </c>
      <c r="Z16" s="364">
        <f t="shared" si="4"/>
        <v>0.43100302764745457</v>
      </c>
      <c r="AA16" s="365">
        <f t="shared" si="5"/>
        <v>4126.8759090909089</v>
      </c>
      <c r="AB16" s="362">
        <f t="shared" si="6"/>
        <v>1380.221531470655</v>
      </c>
      <c r="AC16" s="365">
        <f t="shared" si="7"/>
        <v>901.50318479901875</v>
      </c>
      <c r="AD16" s="363">
        <f t="shared" si="8"/>
        <v>2281.724716269674</v>
      </c>
      <c r="AE16" s="363">
        <f t="shared" si="9"/>
        <v>6408.6006253605829</v>
      </c>
      <c r="AF16" s="365">
        <f t="shared" si="17"/>
        <v>-1227.5079068348168</v>
      </c>
      <c r="AG16" s="367">
        <f t="shared" si="10"/>
        <v>17431.393700980785</v>
      </c>
      <c r="AH16" s="366">
        <f t="shared" si="11"/>
        <v>-3338.821506590702</v>
      </c>
    </row>
    <row r="17" spans="1:34" ht="15" customHeight="1" x14ac:dyDescent="0.25">
      <c r="A17" s="359">
        <v>2015</v>
      </c>
      <c r="B17" s="150" t="s">
        <v>218</v>
      </c>
      <c r="C17" s="356">
        <v>2.75</v>
      </c>
      <c r="D17" s="152">
        <v>2081.4499999999998</v>
      </c>
      <c r="E17" s="152">
        <v>2791.73</v>
      </c>
      <c r="F17" s="152">
        <v>5392.23</v>
      </c>
      <c r="G17" s="152">
        <v>4557.95</v>
      </c>
      <c r="H17" s="152">
        <v>4299.97</v>
      </c>
      <c r="I17" s="152">
        <v>4079.11</v>
      </c>
      <c r="J17" s="152">
        <v>10018.6</v>
      </c>
      <c r="K17" s="152">
        <v>5570.9</v>
      </c>
      <c r="L17" s="152">
        <v>5157.7</v>
      </c>
      <c r="M17" s="152">
        <v>8171.8</v>
      </c>
      <c r="N17" s="152">
        <v>67.099999999999994</v>
      </c>
      <c r="O17" s="152">
        <v>0</v>
      </c>
      <c r="P17" s="357">
        <f t="shared" si="18"/>
        <v>33.63095238095238</v>
      </c>
      <c r="Q17" s="357">
        <f t="shared" si="19"/>
        <v>6.5534065331099836</v>
      </c>
      <c r="R17" s="357">
        <v>2229.2745433789946</v>
      </c>
      <c r="S17" s="358">
        <v>5000</v>
      </c>
      <c r="T17" s="140">
        <f t="shared" si="0"/>
        <v>19880.504994292238</v>
      </c>
      <c r="U17" s="359">
        <f t="shared" si="15"/>
        <v>11</v>
      </c>
      <c r="V17" s="361">
        <f t="shared" si="1"/>
        <v>0.91666666666666663</v>
      </c>
      <c r="W17" s="359" t="str">
        <f t="shared" si="2"/>
        <v>Alta</v>
      </c>
      <c r="X17" s="362">
        <f t="shared" si="3"/>
        <v>4349.0450000000001</v>
      </c>
      <c r="Y17" s="363">
        <f t="shared" si="16"/>
        <v>4003.3722727272734</v>
      </c>
      <c r="Z17" s="364">
        <f t="shared" si="4"/>
        <v>4.2603596061087648E-3</v>
      </c>
      <c r="AA17" s="365">
        <f t="shared" si="5"/>
        <v>4349.0450000000001</v>
      </c>
      <c r="AB17" s="362">
        <f t="shared" si="6"/>
        <v>3293.200842477826</v>
      </c>
      <c r="AC17" s="365">
        <f t="shared" si="7"/>
        <v>950.0353305263103</v>
      </c>
      <c r="AD17" s="363">
        <f t="shared" si="8"/>
        <v>4243.2361730041366</v>
      </c>
      <c r="AE17" s="363">
        <f t="shared" si="9"/>
        <v>8592.2811730041358</v>
      </c>
      <c r="AF17" s="365">
        <f t="shared" si="17"/>
        <v>-1363.0066296251416</v>
      </c>
      <c r="AG17" s="367">
        <f t="shared" si="10"/>
        <v>23628.773225761375</v>
      </c>
      <c r="AH17" s="366">
        <f t="shared" si="11"/>
        <v>-3748.2682314691392</v>
      </c>
    </row>
    <row r="18" spans="1:34" ht="15" customHeight="1" x14ac:dyDescent="0.25">
      <c r="A18" s="359">
        <v>2016</v>
      </c>
      <c r="B18" s="150" t="s">
        <v>218</v>
      </c>
      <c r="C18" s="356">
        <v>2.35</v>
      </c>
      <c r="D18" s="360">
        <v>2240</v>
      </c>
      <c r="E18" s="360">
        <v>0</v>
      </c>
      <c r="F18" s="360">
        <v>2433.1999999999998</v>
      </c>
      <c r="G18" s="360">
        <v>2354.8000000000002</v>
      </c>
      <c r="H18" s="360">
        <v>0</v>
      </c>
      <c r="I18" s="360">
        <v>2798.6</v>
      </c>
      <c r="J18" s="152">
        <v>3660.95</v>
      </c>
      <c r="K18" s="152">
        <v>5117.01</v>
      </c>
      <c r="L18" s="152">
        <v>2539.1999999999998</v>
      </c>
      <c r="M18" s="152">
        <v>1206.1199999999999</v>
      </c>
      <c r="N18" s="152">
        <v>2332.0700000000002</v>
      </c>
      <c r="O18" s="152">
        <v>1609.5</v>
      </c>
      <c r="P18" s="357">
        <f t="shared" si="18"/>
        <v>33.63095238095238</v>
      </c>
      <c r="Q18" s="357">
        <f t="shared" si="19"/>
        <v>6.5534065331099836</v>
      </c>
      <c r="R18" s="357">
        <v>2420.6435746901493</v>
      </c>
      <c r="S18" s="358">
        <v>2500</v>
      </c>
      <c r="T18" s="140">
        <f t="shared" si="0"/>
        <v>11563.512400521853</v>
      </c>
      <c r="U18" s="359">
        <f t="shared" si="15"/>
        <v>10</v>
      </c>
      <c r="V18" s="361">
        <f t="shared" si="1"/>
        <v>0.83333333333333337</v>
      </c>
      <c r="W18" s="359" t="str">
        <f t="shared" si="2"/>
        <v>Alta</v>
      </c>
      <c r="X18" s="362">
        <f t="shared" si="3"/>
        <v>2190.9541666666664</v>
      </c>
      <c r="Y18" s="363">
        <f t="shared" si="16"/>
        <v>2704.5666666666666</v>
      </c>
      <c r="Z18" s="364">
        <f t="shared" si="4"/>
        <v>4.0165109506949424E-2</v>
      </c>
      <c r="AA18" s="365">
        <f t="shared" si="5"/>
        <v>2190.9541666666664</v>
      </c>
      <c r="AB18" s="362">
        <f t="shared" si="6"/>
        <v>1593.6294175317676</v>
      </c>
      <c r="AC18" s="365">
        <f t="shared" si="7"/>
        <v>478.60711165259568</v>
      </c>
      <c r="AD18" s="363">
        <f t="shared" si="8"/>
        <v>2072.2365291843635</v>
      </c>
      <c r="AE18" s="363">
        <f t="shared" si="9"/>
        <v>4263.1906958510299</v>
      </c>
      <c r="AF18" s="365">
        <f t="shared" si="17"/>
        <v>657.45287883911988</v>
      </c>
      <c r="AG18" s="367">
        <f t="shared" si="10"/>
        <v>10018.49813524992</v>
      </c>
      <c r="AH18" s="366">
        <f t="shared" si="11"/>
        <v>1545.0142652719317</v>
      </c>
    </row>
    <row r="19" spans="1:34" ht="15" customHeight="1" x14ac:dyDescent="0.25">
      <c r="A19" s="150">
        <v>2010</v>
      </c>
      <c r="B19" s="150" t="s">
        <v>381</v>
      </c>
      <c r="C19" s="356">
        <v>3.05</v>
      </c>
      <c r="D19" s="152">
        <v>245.13</v>
      </c>
      <c r="E19" s="152">
        <v>409.04</v>
      </c>
      <c r="F19" s="152">
        <v>341.66</v>
      </c>
      <c r="G19" s="152">
        <v>165.68</v>
      </c>
      <c r="H19" s="152">
        <v>250.85</v>
      </c>
      <c r="I19" s="152">
        <v>99.22</v>
      </c>
      <c r="J19" s="152">
        <v>241.01</v>
      </c>
      <c r="K19" s="152">
        <v>427.57</v>
      </c>
      <c r="L19" s="152">
        <v>428.4</v>
      </c>
      <c r="M19" s="152">
        <v>336.26</v>
      </c>
      <c r="N19" s="152">
        <v>163.41</v>
      </c>
      <c r="O19" s="152">
        <v>237.82</v>
      </c>
      <c r="P19" s="357">
        <f>+'LEAD TIME'!E89</f>
        <v>53.345238095238095</v>
      </c>
      <c r="Q19" s="357">
        <f>+'LEAD TIME'!G91</f>
        <v>4.0458504539455724</v>
      </c>
      <c r="R19" s="357">
        <v>320</v>
      </c>
      <c r="S19" s="358">
        <v>500</v>
      </c>
      <c r="T19" s="140">
        <f t="shared" si="0"/>
        <v>2501</v>
      </c>
      <c r="U19" s="359">
        <f t="shared" si="15"/>
        <v>12</v>
      </c>
      <c r="V19" s="361">
        <f t="shared" si="1"/>
        <v>1</v>
      </c>
      <c r="W19" s="359" t="str">
        <f t="shared" si="2"/>
        <v>Alta</v>
      </c>
      <c r="X19" s="362">
        <f t="shared" si="3"/>
        <v>278.83750000000003</v>
      </c>
      <c r="Y19" s="363">
        <f t="shared" si="16"/>
        <v>271.03454545454548</v>
      </c>
      <c r="Z19" s="364">
        <f t="shared" si="4"/>
        <v>1.5598771383127858E-3</v>
      </c>
      <c r="AA19" s="365">
        <f t="shared" si="5"/>
        <v>278.83750000000003</v>
      </c>
      <c r="AB19" s="362">
        <f t="shared" si="6"/>
        <v>194.87072599794371</v>
      </c>
      <c r="AC19" s="365">
        <f t="shared" si="7"/>
        <v>37.604494198401625</v>
      </c>
      <c r="AD19" s="363">
        <f t="shared" si="8"/>
        <v>232.47522019634533</v>
      </c>
      <c r="AE19" s="363">
        <f t="shared" si="9"/>
        <v>511.31272019634537</v>
      </c>
      <c r="AF19" s="365">
        <f t="shared" si="17"/>
        <v>308.68727980365458</v>
      </c>
      <c r="AG19" s="367">
        <f t="shared" si="10"/>
        <v>1559.5037965988533</v>
      </c>
      <c r="AH19" s="366">
        <f t="shared" si="11"/>
        <v>941.49620340114643</v>
      </c>
    </row>
    <row r="20" spans="1:34" ht="15" customHeight="1" x14ac:dyDescent="0.25">
      <c r="A20" s="150">
        <v>2011</v>
      </c>
      <c r="B20" s="150" t="s">
        <v>381</v>
      </c>
      <c r="C20" s="356">
        <v>3.15</v>
      </c>
      <c r="D20" s="152">
        <v>219.61</v>
      </c>
      <c r="E20" s="152">
        <v>208.93</v>
      </c>
      <c r="F20" s="152">
        <v>130.34</v>
      </c>
      <c r="G20" s="152">
        <v>208.72</v>
      </c>
      <c r="H20" s="152">
        <v>113.34</v>
      </c>
      <c r="I20" s="152">
        <v>262.08999999999997</v>
      </c>
      <c r="J20" s="152">
        <v>247.22</v>
      </c>
      <c r="K20" s="152">
        <v>80.150000000000006</v>
      </c>
      <c r="L20" s="152">
        <v>271.20999999999998</v>
      </c>
      <c r="M20" s="152">
        <v>98.01</v>
      </c>
      <c r="N20" s="152">
        <v>176.86</v>
      </c>
      <c r="O20" s="152">
        <v>66.709999999999994</v>
      </c>
      <c r="P20" s="357">
        <f>+P19</f>
        <v>53.345238095238095</v>
      </c>
      <c r="Q20" s="357">
        <f>+Q19</f>
        <v>4.0458504539455724</v>
      </c>
      <c r="R20" s="357">
        <v>330.9703180039138</v>
      </c>
      <c r="S20" s="358">
        <v>500</v>
      </c>
      <c r="T20" s="140">
        <f t="shared" si="0"/>
        <v>2617.5565017123286</v>
      </c>
      <c r="U20" s="359">
        <f t="shared" si="15"/>
        <v>12</v>
      </c>
      <c r="V20" s="361">
        <f t="shared" si="1"/>
        <v>1</v>
      </c>
      <c r="W20" s="359" t="str">
        <f t="shared" si="2"/>
        <v>Alta</v>
      </c>
      <c r="X20" s="362">
        <f t="shared" si="3"/>
        <v>173.59916666666666</v>
      </c>
      <c r="Y20" s="363">
        <f t="shared" si="16"/>
        <v>128.17121212121211</v>
      </c>
      <c r="Z20" s="364">
        <f t="shared" si="4"/>
        <v>0.11886602769390772</v>
      </c>
      <c r="AA20" s="365">
        <f t="shared" si="5"/>
        <v>173.59916666666666</v>
      </c>
      <c r="AB20" s="362">
        <f t="shared" si="6"/>
        <v>129.96518533100118</v>
      </c>
      <c r="AC20" s="365">
        <f t="shared" si="7"/>
        <v>23.411875575430212</v>
      </c>
      <c r="AD20" s="363">
        <f t="shared" si="8"/>
        <v>153.37706090643138</v>
      </c>
      <c r="AE20" s="363">
        <f t="shared" si="9"/>
        <v>326.97622757309807</v>
      </c>
      <c r="AF20" s="365">
        <f t="shared" si="17"/>
        <v>503.99409043081573</v>
      </c>
      <c r="AG20" s="367">
        <f t="shared" si="10"/>
        <v>1029.9751168552589</v>
      </c>
      <c r="AH20" s="366">
        <f t="shared" si="11"/>
        <v>1587.5813848570695</v>
      </c>
    </row>
    <row r="21" spans="1:34" ht="15" customHeight="1" x14ac:dyDescent="0.25">
      <c r="A21" s="150">
        <v>2012</v>
      </c>
      <c r="B21" s="150" t="s">
        <v>381</v>
      </c>
      <c r="C21" s="356">
        <v>3.17</v>
      </c>
      <c r="D21" s="152">
        <v>264.14999999999998</v>
      </c>
      <c r="E21" s="152">
        <v>129.44</v>
      </c>
      <c r="F21" s="152">
        <v>212.8</v>
      </c>
      <c r="G21" s="152">
        <v>125.46</v>
      </c>
      <c r="H21" s="152">
        <v>248.76</v>
      </c>
      <c r="I21" s="152">
        <v>163.49</v>
      </c>
      <c r="J21" s="152">
        <v>89.9</v>
      </c>
      <c r="K21" s="152">
        <v>342.73</v>
      </c>
      <c r="L21" s="152">
        <v>111.59</v>
      </c>
      <c r="M21" s="152">
        <v>34.020000000000003</v>
      </c>
      <c r="N21" s="152">
        <v>245.56</v>
      </c>
      <c r="O21" s="152">
        <v>239.71</v>
      </c>
      <c r="P21" s="357">
        <f t="shared" ref="P21:P25" si="20">+P20</f>
        <v>53.345238095238095</v>
      </c>
      <c r="Q21" s="357">
        <f t="shared" ref="Q21:Q25" si="21">+Q20</f>
        <v>4.0458504539455724</v>
      </c>
      <c r="R21" s="357">
        <v>526.50931376386166</v>
      </c>
      <c r="S21" s="358">
        <v>0</v>
      </c>
      <c r="T21" s="140">
        <f t="shared" si="0"/>
        <v>1669.0345246314414</v>
      </c>
      <c r="U21" s="359">
        <f t="shared" si="15"/>
        <v>12</v>
      </c>
      <c r="V21" s="361">
        <f t="shared" si="1"/>
        <v>1</v>
      </c>
      <c r="W21" s="359" t="str">
        <f t="shared" si="2"/>
        <v>Alta</v>
      </c>
      <c r="X21" s="362">
        <f t="shared" si="3"/>
        <v>183.96749999999997</v>
      </c>
      <c r="Y21" s="363">
        <f t="shared" si="16"/>
        <v>176.32545454545453</v>
      </c>
      <c r="Z21" s="364">
        <f t="shared" si="4"/>
        <v>2.2732550954614448E-3</v>
      </c>
      <c r="AA21" s="365">
        <f t="shared" si="5"/>
        <v>183.96749999999997</v>
      </c>
      <c r="AB21" s="362">
        <f t="shared" si="6"/>
        <v>158.09504282515769</v>
      </c>
      <c r="AC21" s="365">
        <f t="shared" si="7"/>
        <v>24.810166446207734</v>
      </c>
      <c r="AD21" s="363">
        <f t="shared" si="8"/>
        <v>182.90520927136544</v>
      </c>
      <c r="AE21" s="363">
        <f t="shared" si="9"/>
        <v>366.87270927136541</v>
      </c>
      <c r="AF21" s="365">
        <f t="shared" si="17"/>
        <v>159.63660449249625</v>
      </c>
      <c r="AG21" s="367">
        <f t="shared" si="10"/>
        <v>1162.9864883902283</v>
      </c>
      <c r="AH21" s="366">
        <f t="shared" si="11"/>
        <v>506.04803624121308</v>
      </c>
    </row>
    <row r="22" spans="1:34" ht="15" customHeight="1" x14ac:dyDescent="0.25">
      <c r="A22" s="150">
        <v>2013</v>
      </c>
      <c r="B22" s="150" t="s">
        <v>381</v>
      </c>
      <c r="C22" s="356">
        <v>2.76</v>
      </c>
      <c r="D22" s="152">
        <v>39.93</v>
      </c>
      <c r="E22" s="152">
        <v>11.62</v>
      </c>
      <c r="F22" s="152">
        <v>12.81</v>
      </c>
      <c r="G22" s="152">
        <v>11.06</v>
      </c>
      <c r="H22" s="152">
        <v>63.55</v>
      </c>
      <c r="I22" s="152">
        <v>11.29</v>
      </c>
      <c r="J22" s="152">
        <v>17.52</v>
      </c>
      <c r="K22" s="152">
        <v>50.13</v>
      </c>
      <c r="L22" s="152">
        <v>35.4</v>
      </c>
      <c r="M22" s="152">
        <v>29.21</v>
      </c>
      <c r="N22" s="152">
        <v>25.06</v>
      </c>
      <c r="O22" s="152">
        <v>15.92</v>
      </c>
      <c r="P22" s="357">
        <f t="shared" si="20"/>
        <v>53.345238095238095</v>
      </c>
      <c r="Q22" s="357">
        <f t="shared" si="21"/>
        <v>4.0458504539455724</v>
      </c>
      <c r="R22" s="357">
        <v>203.86416014350942</v>
      </c>
      <c r="S22" s="358">
        <v>500</v>
      </c>
      <c r="T22" s="140">
        <f t="shared" si="0"/>
        <v>1942.665081996086</v>
      </c>
      <c r="U22" s="359">
        <f t="shared" si="15"/>
        <v>12</v>
      </c>
      <c r="V22" s="361">
        <f t="shared" si="1"/>
        <v>1</v>
      </c>
      <c r="W22" s="359" t="str">
        <f t="shared" si="2"/>
        <v>Alta</v>
      </c>
      <c r="X22" s="362">
        <f t="shared" si="3"/>
        <v>26.958333333333332</v>
      </c>
      <c r="Y22" s="363">
        <f t="shared" si="16"/>
        <v>28.306515151515153</v>
      </c>
      <c r="Z22" s="364">
        <f t="shared" si="4"/>
        <v>1.8820523624656299E-3</v>
      </c>
      <c r="AA22" s="365">
        <f t="shared" si="5"/>
        <v>26.958333333333332</v>
      </c>
      <c r="AB22" s="362">
        <f t="shared" si="6"/>
        <v>30.652460214662359</v>
      </c>
      <c r="AC22" s="365">
        <f t="shared" si="7"/>
        <v>3.635646171809424</v>
      </c>
      <c r="AD22" s="363">
        <f t="shared" si="8"/>
        <v>34.288106386471782</v>
      </c>
      <c r="AE22" s="363">
        <f t="shared" si="9"/>
        <v>61.24643971980511</v>
      </c>
      <c r="AF22" s="365">
        <f t="shared" si="17"/>
        <v>642.61772042370433</v>
      </c>
      <c r="AG22" s="367">
        <f t="shared" si="10"/>
        <v>169.0401736266621</v>
      </c>
      <c r="AH22" s="366">
        <f t="shared" si="11"/>
        <v>1773.6249083694238</v>
      </c>
    </row>
    <row r="23" spans="1:34" ht="15" customHeight="1" x14ac:dyDescent="0.25">
      <c r="A23" s="150">
        <v>2014</v>
      </c>
      <c r="B23" s="150" t="s">
        <v>381</v>
      </c>
      <c r="C23" s="356">
        <v>3.43</v>
      </c>
      <c r="D23" s="152">
        <v>82.96</v>
      </c>
      <c r="E23" s="152">
        <v>34.06</v>
      </c>
      <c r="F23" s="152">
        <v>23.32</v>
      </c>
      <c r="G23" s="152">
        <v>8.8800000000000008</v>
      </c>
      <c r="H23" s="152">
        <v>14.8</v>
      </c>
      <c r="I23" s="152">
        <v>29.26</v>
      </c>
      <c r="J23" s="152">
        <v>77.48</v>
      </c>
      <c r="K23" s="152">
        <v>38.340000000000003</v>
      </c>
      <c r="L23" s="152">
        <v>64.680000000000007</v>
      </c>
      <c r="M23" s="152">
        <v>20.86</v>
      </c>
      <c r="N23" s="152">
        <v>17.88</v>
      </c>
      <c r="O23" s="152">
        <v>0</v>
      </c>
      <c r="P23" s="357">
        <f t="shared" si="20"/>
        <v>53.345238095238095</v>
      </c>
      <c r="Q23" s="357">
        <f t="shared" si="21"/>
        <v>4.0458504539455724</v>
      </c>
      <c r="R23" s="357">
        <v>656.58420254403131</v>
      </c>
      <c r="S23" s="358">
        <v>0</v>
      </c>
      <c r="T23" s="140">
        <f t="shared" si="0"/>
        <v>2252.0838147260274</v>
      </c>
      <c r="U23" s="359">
        <f t="shared" si="15"/>
        <v>11</v>
      </c>
      <c r="V23" s="361">
        <f t="shared" si="1"/>
        <v>0.91666666666666663</v>
      </c>
      <c r="W23" s="359" t="str">
        <f t="shared" si="2"/>
        <v>Alta</v>
      </c>
      <c r="X23" s="362">
        <f t="shared" si="3"/>
        <v>34.376666666666672</v>
      </c>
      <c r="Y23" s="363">
        <f t="shared" si="16"/>
        <v>18.977575757575767</v>
      </c>
      <c r="Z23" s="364">
        <f t="shared" si="4"/>
        <v>0.10069400163414782</v>
      </c>
      <c r="AA23" s="365">
        <f t="shared" si="5"/>
        <v>34.376666666666672</v>
      </c>
      <c r="AB23" s="362">
        <f t="shared" si="6"/>
        <v>47.865875333121366</v>
      </c>
      <c r="AC23" s="365">
        <f t="shared" si="7"/>
        <v>4.6360950812822992</v>
      </c>
      <c r="AD23" s="363">
        <f t="shared" si="8"/>
        <v>52.501970414403665</v>
      </c>
      <c r="AE23" s="363">
        <f t="shared" si="9"/>
        <v>86.878637081070337</v>
      </c>
      <c r="AF23" s="365">
        <f t="shared" si="17"/>
        <v>569.70556546296098</v>
      </c>
      <c r="AG23" s="367">
        <f t="shared" si="10"/>
        <v>297.99372518807127</v>
      </c>
      <c r="AH23" s="366">
        <f t="shared" si="11"/>
        <v>1954.0900895379561</v>
      </c>
    </row>
    <row r="24" spans="1:34" ht="15" customHeight="1" x14ac:dyDescent="0.25">
      <c r="A24" s="150">
        <v>2015</v>
      </c>
      <c r="B24" s="150" t="s">
        <v>381</v>
      </c>
      <c r="C24" s="356">
        <v>3.37</v>
      </c>
      <c r="D24" s="152">
        <v>15.82</v>
      </c>
      <c r="E24" s="152">
        <v>47.96</v>
      </c>
      <c r="F24" s="152">
        <v>112.22</v>
      </c>
      <c r="G24" s="152">
        <v>7.36</v>
      </c>
      <c r="H24" s="152">
        <v>19.62</v>
      </c>
      <c r="I24" s="152">
        <v>13.42</v>
      </c>
      <c r="J24" s="152">
        <v>8.5399999999999991</v>
      </c>
      <c r="K24" s="152">
        <v>8.4</v>
      </c>
      <c r="L24" s="152">
        <v>73.760000000000005</v>
      </c>
      <c r="M24" s="152">
        <v>36.619999999999997</v>
      </c>
      <c r="N24" s="152">
        <v>5.0599999999999996</v>
      </c>
      <c r="O24" s="152">
        <v>0</v>
      </c>
      <c r="P24" s="357">
        <f t="shared" si="20"/>
        <v>53.345238095238095</v>
      </c>
      <c r="Q24" s="357">
        <f t="shared" si="21"/>
        <v>4.0458504539455724</v>
      </c>
      <c r="R24" s="357">
        <v>596.29385290280493</v>
      </c>
      <c r="S24" s="358">
        <v>0</v>
      </c>
      <c r="T24" s="140">
        <f t="shared" si="0"/>
        <v>2009.5102842824526</v>
      </c>
      <c r="U24" s="359">
        <f t="shared" si="15"/>
        <v>11</v>
      </c>
      <c r="V24" s="361">
        <f t="shared" si="1"/>
        <v>0.91666666666666663</v>
      </c>
      <c r="W24" s="359" t="str">
        <f t="shared" si="2"/>
        <v>Alta</v>
      </c>
      <c r="X24" s="362">
        <f t="shared" si="3"/>
        <v>29.065000000000001</v>
      </c>
      <c r="Y24" s="363">
        <f t="shared" si="16"/>
        <v>10.977272727272727</v>
      </c>
      <c r="Z24" s="364">
        <f t="shared" si="4"/>
        <v>8.8048726837098301E-2</v>
      </c>
      <c r="AA24" s="365">
        <f t="shared" si="5"/>
        <v>29.065000000000001</v>
      </c>
      <c r="AB24" s="362">
        <f t="shared" si="6"/>
        <v>60.125013022414848</v>
      </c>
      <c r="AC24" s="365">
        <f t="shared" si="7"/>
        <v>3.919754781464269</v>
      </c>
      <c r="AD24" s="363">
        <f t="shared" si="8"/>
        <v>64.044767803879111</v>
      </c>
      <c r="AE24" s="363">
        <f t="shared" si="9"/>
        <v>93.109767803879109</v>
      </c>
      <c r="AF24" s="365">
        <f t="shared" si="17"/>
        <v>503.18408509892578</v>
      </c>
      <c r="AG24" s="367">
        <f t="shared" si="10"/>
        <v>313.77991749907261</v>
      </c>
      <c r="AH24" s="366">
        <f t="shared" si="11"/>
        <v>1695.7303667833798</v>
      </c>
    </row>
    <row r="25" spans="1:34" ht="15" customHeight="1" x14ac:dyDescent="0.25">
      <c r="A25" s="150">
        <v>2016</v>
      </c>
      <c r="B25" s="150" t="s">
        <v>381</v>
      </c>
      <c r="C25" s="356">
        <v>2.72</v>
      </c>
      <c r="D25" s="152">
        <v>17.28</v>
      </c>
      <c r="E25" s="152">
        <v>1.2</v>
      </c>
      <c r="F25" s="152">
        <v>23.62</v>
      </c>
      <c r="G25" s="152">
        <v>9.1</v>
      </c>
      <c r="H25" s="152">
        <v>10.24</v>
      </c>
      <c r="I25" s="152">
        <v>18.739999999999998</v>
      </c>
      <c r="J25" s="152">
        <v>17.28</v>
      </c>
      <c r="K25" s="152">
        <v>1.2</v>
      </c>
      <c r="L25" s="152">
        <v>23.62</v>
      </c>
      <c r="M25" s="152">
        <v>9.1</v>
      </c>
      <c r="N25" s="152">
        <v>10.24</v>
      </c>
      <c r="O25" s="152">
        <v>18.739999999999998</v>
      </c>
      <c r="P25" s="357">
        <f t="shared" si="20"/>
        <v>53.345238095238095</v>
      </c>
      <c r="Q25" s="357">
        <f t="shared" si="21"/>
        <v>4.0458504539455724</v>
      </c>
      <c r="R25" s="357">
        <v>545.31918949771682</v>
      </c>
      <c r="S25" s="358">
        <v>0</v>
      </c>
      <c r="T25" s="140">
        <f t="shared" si="0"/>
        <v>1483.26819543379</v>
      </c>
      <c r="U25" s="359">
        <f t="shared" si="15"/>
        <v>12</v>
      </c>
      <c r="V25" s="361">
        <f t="shared" si="1"/>
        <v>1</v>
      </c>
      <c r="W25" s="359" t="str">
        <f t="shared" si="2"/>
        <v>Alta</v>
      </c>
      <c r="X25" s="362">
        <f t="shared" si="3"/>
        <v>13.363333333333337</v>
      </c>
      <c r="Y25" s="363">
        <f t="shared" si="16"/>
        <v>14.267878787878791</v>
      </c>
      <c r="Z25" s="364">
        <f t="shared" si="4"/>
        <v>4.2561941971949006E-3</v>
      </c>
      <c r="AA25" s="365">
        <f t="shared" si="5"/>
        <v>13.363333333333337</v>
      </c>
      <c r="AB25" s="362">
        <f t="shared" si="6"/>
        <v>13.675789284232314</v>
      </c>
      <c r="AC25" s="365">
        <f t="shared" si="7"/>
        <v>1.8022016077630894</v>
      </c>
      <c r="AD25" s="363">
        <f t="shared" si="8"/>
        <v>15.477990891995404</v>
      </c>
      <c r="AE25" s="363">
        <f t="shared" si="9"/>
        <v>28.841324225328741</v>
      </c>
      <c r="AF25" s="365">
        <f t="shared" si="17"/>
        <v>516.47786527238804</v>
      </c>
      <c r="AG25" s="367">
        <f t="shared" si="10"/>
        <v>78.448401892894182</v>
      </c>
      <c r="AH25" s="366">
        <f t="shared" si="11"/>
        <v>1404.8197935408955</v>
      </c>
    </row>
    <row r="26" spans="1:34" ht="15" customHeight="1" x14ac:dyDescent="0.25">
      <c r="A26" s="141" t="s">
        <v>479</v>
      </c>
      <c r="C26" s="139"/>
      <c r="P26" s="138"/>
      <c r="Q26" s="138"/>
      <c r="R26" s="138"/>
      <c r="S26" s="138"/>
      <c r="T26" s="140">
        <f>SUM(T5:T25)</f>
        <v>137082.00231137639</v>
      </c>
      <c r="V26" s="143"/>
      <c r="X26" s="144"/>
      <c r="Y26" s="145"/>
      <c r="Z26" s="146"/>
      <c r="AA26" s="146"/>
      <c r="AB26" s="144"/>
      <c r="AC26" s="146"/>
      <c r="AD26" s="145"/>
      <c r="AE26" s="145"/>
      <c r="AF26" s="146"/>
      <c r="AG26" s="367">
        <f>SUM(AG5:AG25)</f>
        <v>110924.69995874036</v>
      </c>
      <c r="AH26" s="137">
        <f>SUM(AH5:AH25)</f>
        <v>26157.302352636063</v>
      </c>
    </row>
    <row r="27" spans="1:34" ht="15" customHeight="1" x14ac:dyDescent="0.25">
      <c r="C27" s="139"/>
      <c r="P27" s="138"/>
      <c r="Q27" s="138"/>
      <c r="R27" s="138"/>
      <c r="S27" s="138"/>
      <c r="T27" s="141"/>
      <c r="V27" s="143"/>
      <c r="X27" s="144"/>
      <c r="Y27" s="145"/>
      <c r="Z27" s="146"/>
      <c r="AA27" s="146"/>
      <c r="AB27" s="144"/>
      <c r="AC27" s="146"/>
      <c r="AD27" s="145"/>
      <c r="AE27" s="145"/>
      <c r="AF27" s="146"/>
      <c r="AG27" s="146"/>
      <c r="AH27" s="140"/>
    </row>
    <row r="28" spans="1:34" ht="15" customHeight="1" x14ac:dyDescent="0.25">
      <c r="C28" s="139"/>
      <c r="P28" s="138"/>
      <c r="Q28" s="138"/>
      <c r="R28" s="138"/>
      <c r="S28" s="138"/>
      <c r="T28" s="141"/>
      <c r="V28" s="143"/>
      <c r="X28" s="144"/>
      <c r="Y28" s="145"/>
      <c r="Z28" s="146"/>
      <c r="AA28" s="146"/>
      <c r="AB28" s="144"/>
      <c r="AC28" s="146"/>
      <c r="AD28" s="145"/>
      <c r="AE28" s="145"/>
      <c r="AF28" s="146"/>
      <c r="AG28" s="146"/>
      <c r="AH28" s="140"/>
    </row>
    <row r="29" spans="1:34" ht="15" customHeight="1" thickBot="1" x14ac:dyDescent="0.3">
      <c r="C29" s="139"/>
      <c r="P29" s="138"/>
      <c r="Q29" s="138"/>
      <c r="R29" s="138"/>
      <c r="S29" s="138"/>
      <c r="T29" s="141"/>
      <c r="V29" s="143"/>
      <c r="X29" s="144"/>
      <c r="Y29" s="145"/>
      <c r="Z29" s="146"/>
      <c r="AA29" s="146"/>
      <c r="AB29" s="144"/>
      <c r="AC29" s="146"/>
      <c r="AD29" s="145"/>
      <c r="AE29" s="145"/>
      <c r="AF29" s="146"/>
      <c r="AG29" s="146"/>
      <c r="AH29" s="140"/>
    </row>
    <row r="30" spans="1:34" ht="45.75" customHeight="1" x14ac:dyDescent="0.25">
      <c r="A30" s="372" t="s">
        <v>377</v>
      </c>
      <c r="B30" s="373" t="s">
        <v>378</v>
      </c>
      <c r="C30" s="373" t="s">
        <v>394</v>
      </c>
      <c r="D30" s="373" t="s">
        <v>395</v>
      </c>
      <c r="E30" s="373" t="s">
        <v>494</v>
      </c>
      <c r="F30" s="373" t="s">
        <v>499</v>
      </c>
      <c r="G30" s="374" t="s">
        <v>495</v>
      </c>
      <c r="P30" s="138"/>
      <c r="Q30" s="138"/>
      <c r="R30" s="138"/>
      <c r="S30" s="138"/>
      <c r="T30" s="141"/>
      <c r="V30" s="143"/>
      <c r="X30" s="144"/>
      <c r="Y30" s="145"/>
      <c r="Z30" s="146"/>
      <c r="AA30" s="146"/>
      <c r="AB30" s="144"/>
      <c r="AC30" s="146"/>
      <c r="AD30" s="145"/>
      <c r="AE30" s="145"/>
      <c r="AF30" s="146"/>
      <c r="AG30" s="146"/>
      <c r="AH30" s="140"/>
    </row>
    <row r="31" spans="1:34" ht="15" customHeight="1" x14ac:dyDescent="0.25">
      <c r="A31" s="375">
        <v>2010</v>
      </c>
      <c r="B31" s="150" t="s">
        <v>496</v>
      </c>
      <c r="C31" s="357">
        <v>500</v>
      </c>
      <c r="D31" s="368">
        <v>0</v>
      </c>
      <c r="E31" s="369">
        <v>1500</v>
      </c>
      <c r="F31" s="368">
        <v>342.3441252978007</v>
      </c>
      <c r="G31" s="376">
        <v>1027.0323758934021</v>
      </c>
      <c r="P31" s="138"/>
      <c r="Q31" s="138"/>
      <c r="R31" s="138"/>
      <c r="S31" s="138"/>
      <c r="T31" s="141"/>
      <c r="V31" s="143"/>
      <c r="X31" s="144"/>
      <c r="Y31" s="145"/>
      <c r="Z31" s="146"/>
      <c r="AA31" s="146"/>
      <c r="AB31" s="144"/>
      <c r="AC31" s="146"/>
      <c r="AD31" s="145"/>
      <c r="AE31" s="145"/>
      <c r="AF31" s="146"/>
      <c r="AG31" s="146"/>
      <c r="AH31" s="140"/>
    </row>
    <row r="32" spans="1:34" ht="15" customHeight="1" x14ac:dyDescent="0.25">
      <c r="A32" s="375">
        <v>2011</v>
      </c>
      <c r="B32" s="150" t="s">
        <v>496</v>
      </c>
      <c r="C32" s="357">
        <v>446.77380952380952</v>
      </c>
      <c r="D32" s="368">
        <v>200</v>
      </c>
      <c r="E32" s="369">
        <v>2004.9988095238095</v>
      </c>
      <c r="F32" s="368">
        <v>249.95889692788322</v>
      </c>
      <c r="G32" s="376">
        <v>774.87258047643797</v>
      </c>
      <c r="P32" s="138"/>
      <c r="Q32" s="138"/>
      <c r="R32" s="138"/>
      <c r="S32" s="138"/>
      <c r="T32" s="141"/>
      <c r="V32" s="143"/>
      <c r="X32" s="144"/>
      <c r="Y32" s="145"/>
      <c r="Z32" s="146"/>
      <c r="AA32" s="146"/>
      <c r="AB32" s="144"/>
      <c r="AC32" s="146"/>
      <c r="AD32" s="145"/>
      <c r="AE32" s="145"/>
      <c r="AF32" s="146"/>
      <c r="AG32" s="146"/>
      <c r="AH32" s="140"/>
    </row>
    <row r="33" spans="1:34" ht="15" customHeight="1" x14ac:dyDescent="0.25">
      <c r="A33" s="375">
        <v>2012</v>
      </c>
      <c r="B33" s="150" t="s">
        <v>496</v>
      </c>
      <c r="C33" s="357">
        <v>593.54761904761904</v>
      </c>
      <c r="D33" s="368">
        <v>0</v>
      </c>
      <c r="E33" s="369">
        <v>1851.8685714285714</v>
      </c>
      <c r="F33" s="368">
        <v>160.030914411482</v>
      </c>
      <c r="G33" s="376">
        <v>499.29645296382387</v>
      </c>
      <c r="P33" s="138"/>
      <c r="Q33" s="138"/>
      <c r="R33" s="138"/>
      <c r="S33" s="138"/>
      <c r="T33" s="141"/>
      <c r="V33" s="143"/>
      <c r="X33" s="144"/>
      <c r="Y33" s="145"/>
      <c r="Z33" s="146"/>
      <c r="AA33" s="146"/>
      <c r="AB33" s="144"/>
      <c r="AC33" s="146"/>
      <c r="AD33" s="145"/>
      <c r="AE33" s="145"/>
      <c r="AF33" s="146"/>
      <c r="AG33" s="146"/>
      <c r="AH33" s="140"/>
    </row>
    <row r="34" spans="1:34" ht="15" customHeight="1" x14ac:dyDescent="0.25">
      <c r="A34" s="375">
        <v>2013</v>
      </c>
      <c r="B34" s="150" t="s">
        <v>496</v>
      </c>
      <c r="C34" s="357">
        <v>540.32142857142856</v>
      </c>
      <c r="D34" s="368">
        <v>200</v>
      </c>
      <c r="E34" s="369">
        <v>2332.0124999999998</v>
      </c>
      <c r="F34" s="368">
        <v>162.27485691990805</v>
      </c>
      <c r="G34" s="376">
        <v>511.16579929771035</v>
      </c>
      <c r="P34" s="138"/>
      <c r="Q34" s="138"/>
      <c r="R34" s="138"/>
      <c r="S34" s="138"/>
      <c r="T34" s="141"/>
      <c r="V34" s="143"/>
      <c r="X34" s="144"/>
      <c r="Y34" s="145"/>
      <c r="Z34" s="146"/>
      <c r="AA34" s="146"/>
      <c r="AB34" s="144"/>
      <c r="AC34" s="146"/>
      <c r="AD34" s="145"/>
      <c r="AE34" s="145"/>
      <c r="AF34" s="146"/>
      <c r="AG34" s="146"/>
      <c r="AH34" s="140"/>
    </row>
    <row r="35" spans="1:34" ht="15" customHeight="1" x14ac:dyDescent="0.25">
      <c r="A35" s="375">
        <v>2014</v>
      </c>
      <c r="B35" s="150" t="s">
        <v>496</v>
      </c>
      <c r="C35" s="357">
        <v>687.09523809523807</v>
      </c>
      <c r="D35" s="368">
        <v>200</v>
      </c>
      <c r="E35" s="369">
        <v>3016.1238095238095</v>
      </c>
      <c r="F35" s="368">
        <v>53.097180282824738</v>
      </c>
      <c r="G35" s="376">
        <v>180.5304129616041</v>
      </c>
      <c r="P35" s="138"/>
      <c r="Q35" s="138"/>
      <c r="R35" s="138"/>
      <c r="S35" s="138"/>
      <c r="T35" s="141"/>
      <c r="V35" s="143"/>
      <c r="X35" s="144"/>
      <c r="Y35" s="145"/>
      <c r="Z35" s="146"/>
      <c r="AA35" s="146"/>
      <c r="AB35" s="144"/>
      <c r="AC35" s="146"/>
      <c r="AD35" s="145"/>
      <c r="AE35" s="145"/>
      <c r="AF35" s="146"/>
      <c r="AG35" s="146"/>
      <c r="AH35" s="140"/>
    </row>
    <row r="36" spans="1:34" ht="15" customHeight="1" x14ac:dyDescent="0.25">
      <c r="A36" s="375">
        <v>2015</v>
      </c>
      <c r="B36" s="150" t="s">
        <v>496</v>
      </c>
      <c r="C36" s="357">
        <v>833.86904761904759</v>
      </c>
      <c r="D36" s="368">
        <v>200</v>
      </c>
      <c r="E36" s="369">
        <v>3463.4613095238101</v>
      </c>
      <c r="F36" s="368">
        <v>21.60729450404521</v>
      </c>
      <c r="G36" s="376">
        <v>72.384436588551452</v>
      </c>
      <c r="P36" s="138"/>
      <c r="Q36" s="138"/>
      <c r="R36" s="138"/>
      <c r="S36" s="138"/>
      <c r="T36" s="141"/>
      <c r="V36" s="143"/>
      <c r="X36" s="144"/>
      <c r="Y36" s="145"/>
      <c r="Z36" s="146"/>
      <c r="AA36" s="146"/>
      <c r="AB36" s="144"/>
      <c r="AC36" s="146"/>
      <c r="AD36" s="145"/>
      <c r="AE36" s="145"/>
      <c r="AF36" s="146"/>
      <c r="AG36" s="146"/>
      <c r="AH36" s="140"/>
    </row>
    <row r="37" spans="1:34" ht="15" customHeight="1" x14ac:dyDescent="0.25">
      <c r="A37" s="375">
        <v>2016</v>
      </c>
      <c r="B37" s="150" t="s">
        <v>496</v>
      </c>
      <c r="C37" s="357">
        <v>980.64285714285711</v>
      </c>
      <c r="D37" s="368">
        <v>0</v>
      </c>
      <c r="E37" s="369">
        <v>2647.7357142857145</v>
      </c>
      <c r="F37" s="368">
        <v>273.65645837727618</v>
      </c>
      <c r="G37" s="376">
        <v>738.87243761864579</v>
      </c>
      <c r="P37" s="138"/>
      <c r="Q37" s="138"/>
      <c r="R37" s="138"/>
      <c r="S37" s="138"/>
      <c r="T37" s="141"/>
      <c r="V37" s="143"/>
      <c r="X37" s="144"/>
      <c r="Y37" s="145"/>
      <c r="Z37" s="146"/>
      <c r="AA37" s="146"/>
      <c r="AB37" s="144"/>
      <c r="AC37" s="146"/>
      <c r="AD37" s="145"/>
      <c r="AE37" s="145"/>
      <c r="AF37" s="146"/>
      <c r="AG37" s="146"/>
      <c r="AH37" s="140"/>
    </row>
    <row r="38" spans="1:34" ht="15" customHeight="1" x14ac:dyDescent="0.25">
      <c r="A38" s="377">
        <v>2010</v>
      </c>
      <c r="B38" s="150" t="s">
        <v>497</v>
      </c>
      <c r="C38" s="357">
        <v>1850</v>
      </c>
      <c r="D38" s="368">
        <v>2500</v>
      </c>
      <c r="E38" s="369">
        <v>10440</v>
      </c>
      <c r="F38" s="368">
        <v>5244.8598834926734</v>
      </c>
      <c r="G38" s="376">
        <v>12587.663720382416</v>
      </c>
      <c r="P38" s="138"/>
      <c r="Q38" s="138"/>
      <c r="R38" s="138"/>
      <c r="S38" s="138"/>
      <c r="T38" s="141"/>
      <c r="V38" s="143"/>
      <c r="X38" s="144"/>
      <c r="Y38" s="145"/>
      <c r="Z38" s="146"/>
      <c r="AA38" s="146"/>
      <c r="AB38" s="144"/>
      <c r="AC38" s="146"/>
      <c r="AD38" s="145"/>
      <c r="AE38" s="145"/>
      <c r="AF38" s="146"/>
      <c r="AG38" s="146"/>
      <c r="AH38" s="140"/>
    </row>
    <row r="39" spans="1:34" ht="15" customHeight="1" x14ac:dyDescent="0.25">
      <c r="A39" s="377">
        <v>2011</v>
      </c>
      <c r="B39" s="150" t="s">
        <v>497</v>
      </c>
      <c r="C39" s="357">
        <v>834.01015981735191</v>
      </c>
      <c r="D39" s="368">
        <v>5000</v>
      </c>
      <c r="E39" s="369">
        <v>14176.644688356166</v>
      </c>
      <c r="F39" s="368">
        <v>3733.3871019228309</v>
      </c>
      <c r="G39" s="376">
        <v>9072.1306576724801</v>
      </c>
      <c r="P39" s="138"/>
      <c r="Q39" s="138"/>
      <c r="R39" s="138"/>
      <c r="S39" s="138"/>
      <c r="T39" s="141"/>
      <c r="V39" s="143"/>
      <c r="X39" s="144"/>
      <c r="Y39" s="145"/>
      <c r="Z39" s="146"/>
      <c r="AA39" s="146"/>
      <c r="AB39" s="144"/>
      <c r="AC39" s="146"/>
      <c r="AD39" s="145"/>
      <c r="AE39" s="145"/>
      <c r="AF39" s="146"/>
      <c r="AG39" s="146"/>
      <c r="AH39" s="140"/>
    </row>
    <row r="40" spans="1:34" ht="15" customHeight="1" x14ac:dyDescent="0.25">
      <c r="A40" s="377">
        <v>2012</v>
      </c>
      <c r="B40" s="150" t="s">
        <v>497</v>
      </c>
      <c r="C40" s="357">
        <v>3670.5180936073061</v>
      </c>
      <c r="D40" s="368">
        <v>2500</v>
      </c>
      <c r="E40" s="369">
        <v>15364.590053082195</v>
      </c>
      <c r="F40" s="368">
        <v>3878.2513640371444</v>
      </c>
      <c r="G40" s="376">
        <v>9656.8458964524907</v>
      </c>
      <c r="P40" s="138"/>
      <c r="Q40" s="138"/>
      <c r="R40" s="138"/>
      <c r="S40" s="138"/>
      <c r="T40" s="141"/>
      <c r="V40" s="143"/>
      <c r="X40" s="144"/>
      <c r="Y40" s="145"/>
      <c r="Z40" s="146"/>
      <c r="AA40" s="146"/>
      <c r="AB40" s="144"/>
      <c r="AC40" s="146"/>
      <c r="AD40" s="145"/>
      <c r="AE40" s="145"/>
      <c r="AF40" s="146"/>
      <c r="AG40" s="146"/>
      <c r="AH40" s="140"/>
    </row>
    <row r="41" spans="1:34" ht="15" customHeight="1" x14ac:dyDescent="0.25">
      <c r="A41" s="377">
        <v>2013</v>
      </c>
      <c r="B41" s="150" t="s">
        <v>497</v>
      </c>
      <c r="C41" s="357">
        <v>2564.4995759947815</v>
      </c>
      <c r="D41" s="368">
        <v>5000</v>
      </c>
      <c r="E41" s="369">
        <v>20272.858863666017</v>
      </c>
      <c r="F41" s="368">
        <v>7505.0419799961346</v>
      </c>
      <c r="G41" s="376">
        <v>20113.512506389641</v>
      </c>
      <c r="P41" s="141"/>
      <c r="Q41" s="141"/>
      <c r="R41" s="138"/>
      <c r="S41" s="138"/>
      <c r="T41" s="141"/>
      <c r="V41" s="143"/>
      <c r="X41" s="144"/>
      <c r="Y41" s="145"/>
      <c r="Z41" s="146"/>
      <c r="AA41" s="146"/>
      <c r="AB41" s="144"/>
      <c r="AC41" s="146"/>
      <c r="AD41" s="145"/>
      <c r="AE41" s="145"/>
      <c r="AF41" s="146"/>
      <c r="AG41" s="146"/>
      <c r="AH41" s="140"/>
    </row>
    <row r="42" spans="1:34" ht="15" customHeight="1" x14ac:dyDescent="0.25">
      <c r="A42" s="377">
        <v>2014</v>
      </c>
      <c r="B42" s="150" t="s">
        <v>497</v>
      </c>
      <c r="C42" s="357">
        <v>2681.092718525766</v>
      </c>
      <c r="D42" s="368">
        <v>2500</v>
      </c>
      <c r="E42" s="369">
        <v>14092.572194390084</v>
      </c>
      <c r="F42" s="368">
        <v>6408.6006253605829</v>
      </c>
      <c r="G42" s="376">
        <v>17431.393700980785</v>
      </c>
      <c r="P42" s="141"/>
      <c r="Q42" s="141"/>
      <c r="R42" s="138"/>
      <c r="S42" s="138"/>
      <c r="T42" s="141"/>
      <c r="V42" s="143"/>
      <c r="X42" s="144"/>
      <c r="Y42" s="145"/>
      <c r="Z42" s="146"/>
      <c r="AA42" s="146"/>
      <c r="AB42" s="144"/>
      <c r="AC42" s="146"/>
      <c r="AD42" s="145"/>
      <c r="AE42" s="145"/>
      <c r="AF42" s="146"/>
      <c r="AG42" s="146"/>
      <c r="AH42" s="140"/>
    </row>
    <row r="43" spans="1:34" ht="15" customHeight="1" x14ac:dyDescent="0.25">
      <c r="A43" s="377">
        <v>2015</v>
      </c>
      <c r="B43" s="150" t="s">
        <v>497</v>
      </c>
      <c r="C43" s="357">
        <v>2229.2745433789946</v>
      </c>
      <c r="D43" s="368">
        <v>5000</v>
      </c>
      <c r="E43" s="369">
        <v>19880.504994292238</v>
      </c>
      <c r="F43" s="368">
        <v>8592.2811730041358</v>
      </c>
      <c r="G43" s="376">
        <v>23628.773225761375</v>
      </c>
      <c r="P43" s="141"/>
      <c r="Q43" s="141"/>
      <c r="R43" s="138"/>
      <c r="S43" s="138"/>
      <c r="T43" s="141"/>
      <c r="V43" s="143"/>
      <c r="X43" s="144"/>
      <c r="Y43" s="145"/>
      <c r="Z43" s="146"/>
      <c r="AA43" s="146"/>
      <c r="AB43" s="144"/>
      <c r="AC43" s="146"/>
      <c r="AD43" s="145"/>
      <c r="AE43" s="145"/>
      <c r="AF43" s="146"/>
      <c r="AG43" s="146"/>
      <c r="AH43" s="140"/>
    </row>
    <row r="44" spans="1:34" ht="15" customHeight="1" x14ac:dyDescent="0.25">
      <c r="A44" s="377">
        <v>2016</v>
      </c>
      <c r="B44" s="150" t="s">
        <v>497</v>
      </c>
      <c r="C44" s="357">
        <v>2420.6435746901493</v>
      </c>
      <c r="D44" s="368">
        <v>2500</v>
      </c>
      <c r="E44" s="369">
        <v>11563.512400521853</v>
      </c>
      <c r="F44" s="368">
        <v>4263.1906958510299</v>
      </c>
      <c r="G44" s="376">
        <v>10018.49813524992</v>
      </c>
      <c r="P44" s="141"/>
      <c r="Q44" s="141"/>
      <c r="R44" s="138"/>
      <c r="S44" s="138"/>
      <c r="T44" s="141"/>
      <c r="V44" s="143"/>
      <c r="X44" s="144"/>
      <c r="Y44" s="145"/>
      <c r="Z44" s="146"/>
      <c r="AA44" s="146"/>
      <c r="AB44" s="144"/>
      <c r="AC44" s="146"/>
      <c r="AD44" s="145"/>
      <c r="AE44" s="145"/>
      <c r="AF44" s="146"/>
      <c r="AG44" s="146"/>
      <c r="AH44" s="140"/>
    </row>
    <row r="45" spans="1:34" ht="15" customHeight="1" x14ac:dyDescent="0.25">
      <c r="A45" s="375">
        <v>2010</v>
      </c>
      <c r="B45" s="150" t="s">
        <v>498</v>
      </c>
      <c r="C45" s="357">
        <v>320</v>
      </c>
      <c r="D45" s="368">
        <v>500</v>
      </c>
      <c r="E45" s="369">
        <v>2501</v>
      </c>
      <c r="F45" s="368">
        <v>511.31272019634537</v>
      </c>
      <c r="G45" s="376">
        <v>1559.5037965988533</v>
      </c>
      <c r="P45" s="138"/>
      <c r="Q45" s="138"/>
      <c r="R45" s="138"/>
      <c r="S45" s="138"/>
      <c r="T45" s="141"/>
      <c r="V45" s="143"/>
      <c r="X45" s="144"/>
      <c r="Y45" s="145"/>
      <c r="Z45" s="146"/>
      <c r="AA45" s="146"/>
      <c r="AB45" s="144"/>
      <c r="AC45" s="146"/>
      <c r="AD45" s="145"/>
      <c r="AE45" s="145"/>
      <c r="AF45" s="146"/>
      <c r="AG45" s="146"/>
      <c r="AH45" s="140"/>
    </row>
    <row r="46" spans="1:34" ht="15" customHeight="1" x14ac:dyDescent="0.25">
      <c r="A46" s="375">
        <v>2011</v>
      </c>
      <c r="B46" s="150" t="s">
        <v>498</v>
      </c>
      <c r="C46" s="357">
        <v>330.9703180039138</v>
      </c>
      <c r="D46" s="368">
        <v>500</v>
      </c>
      <c r="E46" s="369">
        <v>2617.5565017123286</v>
      </c>
      <c r="F46" s="368">
        <v>326.97622757309807</v>
      </c>
      <c r="G46" s="376">
        <v>1029.9751168552589</v>
      </c>
      <c r="P46" s="141"/>
      <c r="Q46" s="141"/>
      <c r="R46" s="138"/>
      <c r="S46" s="138"/>
      <c r="T46" s="141"/>
      <c r="V46" s="143"/>
      <c r="X46" s="144"/>
      <c r="Y46" s="145"/>
      <c r="Z46" s="146"/>
      <c r="AA46" s="146"/>
      <c r="AB46" s="144"/>
      <c r="AC46" s="146"/>
      <c r="AD46" s="145"/>
      <c r="AE46" s="145"/>
      <c r="AF46" s="146"/>
      <c r="AG46" s="146"/>
      <c r="AH46" s="140"/>
    </row>
    <row r="47" spans="1:34" ht="15" customHeight="1" x14ac:dyDescent="0.25">
      <c r="A47" s="375">
        <v>2012</v>
      </c>
      <c r="B47" s="150" t="s">
        <v>498</v>
      </c>
      <c r="C47" s="357">
        <v>526.50931376386166</v>
      </c>
      <c r="D47" s="368">
        <v>0</v>
      </c>
      <c r="E47" s="369">
        <v>1669.0345246314414</v>
      </c>
      <c r="F47" s="368">
        <v>366.87270927136541</v>
      </c>
      <c r="G47" s="376">
        <v>1162.9864883902283</v>
      </c>
      <c r="P47" s="141"/>
      <c r="Q47" s="141"/>
      <c r="R47" s="138"/>
      <c r="S47" s="138"/>
      <c r="T47" s="141"/>
      <c r="V47" s="143"/>
      <c r="X47" s="144"/>
      <c r="Y47" s="145"/>
      <c r="Z47" s="146"/>
      <c r="AA47" s="146"/>
      <c r="AB47" s="144"/>
      <c r="AC47" s="146"/>
      <c r="AD47" s="145"/>
      <c r="AE47" s="145"/>
      <c r="AF47" s="146"/>
      <c r="AG47" s="146"/>
      <c r="AH47" s="140"/>
    </row>
    <row r="48" spans="1:34" ht="15" customHeight="1" x14ac:dyDescent="0.25">
      <c r="A48" s="375">
        <v>2013</v>
      </c>
      <c r="B48" s="150" t="s">
        <v>498</v>
      </c>
      <c r="C48" s="357">
        <v>203.86416014350942</v>
      </c>
      <c r="D48" s="368">
        <v>500</v>
      </c>
      <c r="E48" s="369">
        <v>1942.665081996086</v>
      </c>
      <c r="F48" s="368">
        <v>61.24643971980511</v>
      </c>
      <c r="G48" s="376">
        <v>169.0401736266621</v>
      </c>
      <c r="P48" s="141"/>
      <c r="Q48" s="141"/>
      <c r="R48" s="138"/>
      <c r="S48" s="138"/>
      <c r="T48" s="141"/>
      <c r="V48" s="143"/>
      <c r="X48" s="144"/>
      <c r="Y48" s="145"/>
      <c r="Z48" s="146"/>
      <c r="AA48" s="146"/>
      <c r="AB48" s="144"/>
      <c r="AC48" s="146"/>
      <c r="AD48" s="145"/>
      <c r="AE48" s="145"/>
      <c r="AF48" s="146"/>
      <c r="AG48" s="146"/>
      <c r="AH48" s="140"/>
    </row>
    <row r="49" spans="1:34" ht="15" customHeight="1" x14ac:dyDescent="0.25">
      <c r="A49" s="375">
        <v>2014</v>
      </c>
      <c r="B49" s="150" t="s">
        <v>498</v>
      </c>
      <c r="C49" s="357">
        <v>656.58420254403131</v>
      </c>
      <c r="D49" s="368">
        <v>0</v>
      </c>
      <c r="E49" s="369">
        <v>2252.0838147260274</v>
      </c>
      <c r="F49" s="368">
        <v>86.878637081070337</v>
      </c>
      <c r="G49" s="376">
        <v>297.99372518807127</v>
      </c>
      <c r="P49" s="141"/>
      <c r="Q49" s="141"/>
      <c r="R49" s="138"/>
      <c r="S49" s="138"/>
      <c r="T49" s="141"/>
      <c r="V49" s="143"/>
      <c r="X49" s="144"/>
      <c r="Y49" s="145"/>
      <c r="Z49" s="146"/>
      <c r="AA49" s="146"/>
      <c r="AB49" s="144"/>
      <c r="AC49" s="146"/>
      <c r="AD49" s="145"/>
      <c r="AE49" s="145"/>
      <c r="AF49" s="146"/>
      <c r="AG49" s="146"/>
      <c r="AH49" s="140"/>
    </row>
    <row r="50" spans="1:34" ht="15" customHeight="1" x14ac:dyDescent="0.25">
      <c r="A50" s="375">
        <v>2015</v>
      </c>
      <c r="B50" s="150" t="s">
        <v>498</v>
      </c>
      <c r="C50" s="357">
        <v>596.29385290280493</v>
      </c>
      <c r="D50" s="368">
        <v>0</v>
      </c>
      <c r="E50" s="369">
        <v>2009.5102842824526</v>
      </c>
      <c r="F50" s="368">
        <v>93.109767803879109</v>
      </c>
      <c r="G50" s="376">
        <v>313.77991749907261</v>
      </c>
      <c r="P50" s="141"/>
      <c r="Q50" s="141"/>
      <c r="R50" s="138"/>
      <c r="S50" s="138"/>
      <c r="T50" s="141"/>
      <c r="V50" s="143"/>
      <c r="X50" s="144"/>
      <c r="Y50" s="145"/>
      <c r="Z50" s="146"/>
      <c r="AA50" s="146"/>
      <c r="AB50" s="144"/>
      <c r="AC50" s="146"/>
      <c r="AD50" s="145"/>
      <c r="AE50" s="145"/>
      <c r="AF50" s="146"/>
      <c r="AG50" s="146"/>
      <c r="AH50" s="140"/>
    </row>
    <row r="51" spans="1:34" ht="15" customHeight="1" thickBot="1" x14ac:dyDescent="0.3">
      <c r="A51" s="378">
        <v>2016</v>
      </c>
      <c r="B51" s="379" t="s">
        <v>498</v>
      </c>
      <c r="C51" s="380">
        <v>545.31918949771682</v>
      </c>
      <c r="D51" s="381">
        <v>0</v>
      </c>
      <c r="E51" s="382">
        <v>1483.26819543379</v>
      </c>
      <c r="F51" s="381">
        <v>28.841324225328741</v>
      </c>
      <c r="G51" s="383">
        <v>78.448401892894182</v>
      </c>
      <c r="P51" s="141"/>
      <c r="Q51" s="141"/>
      <c r="R51" s="138"/>
      <c r="S51" s="138"/>
      <c r="T51" s="141"/>
      <c r="V51" s="143"/>
      <c r="X51" s="144"/>
      <c r="Y51" s="145"/>
      <c r="Z51" s="146"/>
      <c r="AA51" s="146"/>
      <c r="AB51" s="144"/>
      <c r="AC51" s="146"/>
      <c r="AD51" s="145"/>
      <c r="AE51" s="145"/>
      <c r="AF51" s="146"/>
      <c r="AG51" s="146"/>
      <c r="AH51" s="140"/>
    </row>
    <row r="52" spans="1:34" ht="15" customHeight="1" x14ac:dyDescent="0.25">
      <c r="A52" s="370" t="s">
        <v>479</v>
      </c>
      <c r="C52" s="139"/>
      <c r="E52" s="371">
        <v>137082.00231137639</v>
      </c>
      <c r="G52" s="371">
        <v>110924.69995874036</v>
      </c>
      <c r="I52" s="142">
        <f>+E52-G52</f>
        <v>26157.302352636034</v>
      </c>
      <c r="P52" s="141"/>
      <c r="Q52" s="141"/>
      <c r="R52" s="138"/>
      <c r="S52" s="138"/>
      <c r="T52" s="141"/>
      <c r="V52" s="143"/>
      <c r="X52" s="144"/>
      <c r="Y52" s="145"/>
      <c r="Z52" s="146"/>
      <c r="AA52" s="146"/>
      <c r="AB52" s="144"/>
      <c r="AC52" s="146"/>
      <c r="AD52" s="145"/>
      <c r="AE52" s="145"/>
      <c r="AF52" s="146"/>
      <c r="AG52" s="146"/>
      <c r="AH52" s="140"/>
    </row>
    <row r="53" spans="1:34" ht="15" customHeight="1" x14ac:dyDescent="0.25">
      <c r="C53" s="139"/>
      <c r="P53" s="141"/>
      <c r="Q53" s="141"/>
      <c r="R53" s="138"/>
      <c r="S53" s="138"/>
      <c r="T53" s="141"/>
      <c r="V53" s="143"/>
      <c r="X53" s="144"/>
      <c r="Y53" s="145"/>
      <c r="Z53" s="146"/>
      <c r="AA53" s="146"/>
      <c r="AB53" s="144"/>
      <c r="AC53" s="146"/>
      <c r="AD53" s="145"/>
      <c r="AE53" s="145"/>
      <c r="AF53" s="146"/>
      <c r="AG53" s="146"/>
      <c r="AH53" s="140"/>
    </row>
    <row r="54" spans="1:34" ht="15" customHeight="1" thickBot="1" x14ac:dyDescent="0.3">
      <c r="C54" s="139"/>
      <c r="P54" s="141"/>
      <c r="Q54" s="141"/>
      <c r="R54" s="138"/>
      <c r="S54" s="138"/>
      <c r="T54" s="141"/>
      <c r="V54" s="143"/>
      <c r="X54" s="144"/>
      <c r="Y54" s="145"/>
      <c r="Z54" s="146"/>
      <c r="AA54" s="146"/>
      <c r="AB54" s="144"/>
      <c r="AC54" s="146"/>
      <c r="AD54" s="145"/>
      <c r="AE54" s="145"/>
      <c r="AF54" s="146"/>
      <c r="AG54" s="146"/>
      <c r="AH54" s="140"/>
    </row>
    <row r="55" spans="1:34" ht="59.25" customHeight="1" thickBot="1" x14ac:dyDescent="0.3">
      <c r="A55" s="397" t="s">
        <v>377</v>
      </c>
      <c r="B55" s="398" t="s">
        <v>378</v>
      </c>
      <c r="C55" s="398" t="s">
        <v>368</v>
      </c>
      <c r="D55" s="398" t="s">
        <v>369</v>
      </c>
      <c r="E55" s="398" t="s">
        <v>427</v>
      </c>
      <c r="F55" s="398" t="s">
        <v>400</v>
      </c>
      <c r="G55" s="399" t="s">
        <v>504</v>
      </c>
      <c r="P55" s="141"/>
      <c r="Q55" s="141"/>
      <c r="R55" s="138"/>
      <c r="S55" s="138"/>
      <c r="T55" s="141"/>
      <c r="V55" s="143"/>
      <c r="X55" s="144"/>
      <c r="Y55" s="145"/>
      <c r="Z55" s="146"/>
      <c r="AA55" s="146"/>
      <c r="AB55" s="144"/>
      <c r="AC55" s="146"/>
      <c r="AD55" s="145"/>
      <c r="AE55" s="145"/>
      <c r="AF55" s="146"/>
      <c r="AG55" s="146"/>
      <c r="AH55" s="140"/>
    </row>
    <row r="56" spans="1:34" ht="15" customHeight="1" x14ac:dyDescent="0.25">
      <c r="A56" s="393">
        <v>2010</v>
      </c>
      <c r="B56" s="394" t="s">
        <v>496</v>
      </c>
      <c r="C56" s="385" t="s">
        <v>501</v>
      </c>
      <c r="D56" s="385">
        <v>127.88250000000001</v>
      </c>
      <c r="E56" s="385">
        <v>120.32863636363636</v>
      </c>
      <c r="F56" s="395">
        <v>1.4438576915886186E-3</v>
      </c>
      <c r="G56" s="396">
        <v>127.88250000000001</v>
      </c>
      <c r="P56" s="141"/>
      <c r="Q56" s="141"/>
      <c r="R56" s="138"/>
      <c r="S56" s="138"/>
      <c r="T56" s="141"/>
      <c r="V56" s="143"/>
      <c r="X56" s="144"/>
      <c r="Y56" s="145"/>
      <c r="Z56" s="146"/>
      <c r="AA56" s="146"/>
      <c r="AB56" s="144"/>
      <c r="AC56" s="146"/>
      <c r="AD56" s="145"/>
      <c r="AE56" s="145"/>
      <c r="AF56" s="146"/>
      <c r="AG56" s="146"/>
      <c r="AH56" s="140"/>
    </row>
    <row r="57" spans="1:34" ht="15" customHeight="1" x14ac:dyDescent="0.25">
      <c r="A57" s="375">
        <v>2011</v>
      </c>
      <c r="B57" s="150" t="s">
        <v>496</v>
      </c>
      <c r="C57" s="210" t="s">
        <v>502</v>
      </c>
      <c r="D57" s="210">
        <v>77.806666666666672</v>
      </c>
      <c r="E57" s="210">
        <v>80.888484848484865</v>
      </c>
      <c r="F57" s="386">
        <v>3.1039421353740171E-4</v>
      </c>
      <c r="G57" s="391">
        <v>77.806666666666672</v>
      </c>
      <c r="P57" s="141"/>
      <c r="Q57" s="141"/>
      <c r="R57" s="138"/>
      <c r="S57" s="138"/>
      <c r="T57" s="141"/>
      <c r="V57" s="143"/>
      <c r="X57" s="144"/>
      <c r="Y57" s="145"/>
      <c r="Z57" s="146"/>
      <c r="AA57" s="146"/>
      <c r="AB57" s="144"/>
      <c r="AC57" s="146"/>
      <c r="AD57" s="145"/>
      <c r="AE57" s="145"/>
      <c r="AF57" s="146"/>
      <c r="AG57" s="146"/>
      <c r="AH57" s="140"/>
    </row>
    <row r="58" spans="1:34" ht="15" customHeight="1" x14ac:dyDescent="0.25">
      <c r="A58" s="375">
        <v>2012</v>
      </c>
      <c r="B58" s="150" t="s">
        <v>496</v>
      </c>
      <c r="C58" s="210" t="s">
        <v>502</v>
      </c>
      <c r="D58" s="210">
        <v>49.977499999999999</v>
      </c>
      <c r="E58" s="210">
        <v>14.386818181818185</v>
      </c>
      <c r="F58" s="386">
        <v>0.10129557426821112</v>
      </c>
      <c r="G58" s="391">
        <v>49.977499999999999</v>
      </c>
      <c r="P58" s="141"/>
      <c r="Q58" s="141"/>
      <c r="R58" s="138"/>
      <c r="S58" s="138"/>
      <c r="T58" s="141"/>
      <c r="V58" s="143"/>
      <c r="X58" s="144"/>
      <c r="Y58" s="145"/>
      <c r="Z58" s="146"/>
      <c r="AA58" s="146"/>
      <c r="AB58" s="144"/>
      <c r="AC58" s="146"/>
      <c r="AD58" s="145"/>
      <c r="AE58" s="145"/>
      <c r="AF58" s="146"/>
      <c r="AG58" s="146"/>
      <c r="AH58" s="140"/>
    </row>
    <row r="59" spans="1:34" ht="15" customHeight="1" x14ac:dyDescent="0.25">
      <c r="A59" s="375">
        <v>2013</v>
      </c>
      <c r="B59" s="150" t="s">
        <v>496</v>
      </c>
      <c r="C59" s="210" t="s">
        <v>502</v>
      </c>
      <c r="D59" s="210">
        <v>54.248333333333342</v>
      </c>
      <c r="E59" s="210">
        <v>42.306060606060612</v>
      </c>
      <c r="F59" s="386">
        <v>1.1836902400663478E-2</v>
      </c>
      <c r="G59" s="391">
        <v>54.248333333333342</v>
      </c>
      <c r="P59" s="141"/>
      <c r="Q59" s="141"/>
      <c r="R59" s="138"/>
      <c r="S59" s="138"/>
      <c r="T59" s="141"/>
      <c r="V59" s="143"/>
      <c r="X59" s="144"/>
      <c r="Y59" s="145"/>
      <c r="Z59" s="146"/>
      <c r="AA59" s="146"/>
      <c r="AB59" s="144"/>
      <c r="AC59" s="146"/>
      <c r="AD59" s="145"/>
      <c r="AE59" s="145"/>
      <c r="AF59" s="146"/>
      <c r="AG59" s="146"/>
      <c r="AH59" s="140"/>
    </row>
    <row r="60" spans="1:34" ht="15" customHeight="1" x14ac:dyDescent="0.25">
      <c r="A60" s="375">
        <v>2014</v>
      </c>
      <c r="B60" s="150" t="s">
        <v>496</v>
      </c>
      <c r="C60" s="210" t="s">
        <v>503</v>
      </c>
      <c r="D60" s="210">
        <v>46.286666666666669</v>
      </c>
      <c r="E60" s="210">
        <v>11.136666666666656</v>
      </c>
      <c r="F60" s="386">
        <v>6.2048283772327996E-2</v>
      </c>
      <c r="G60" s="391">
        <v>46.286666666666669</v>
      </c>
      <c r="P60" s="141"/>
      <c r="Q60" s="141"/>
      <c r="R60" s="138"/>
      <c r="S60" s="138"/>
      <c r="T60" s="141"/>
      <c r="V60" s="143"/>
      <c r="X60" s="144"/>
      <c r="Y60" s="145"/>
      <c r="Z60" s="146"/>
      <c r="AA60" s="146"/>
      <c r="AB60" s="144"/>
      <c r="AC60" s="146"/>
      <c r="AD60" s="145"/>
      <c r="AE60" s="145"/>
      <c r="AF60" s="146"/>
      <c r="AG60" s="146"/>
      <c r="AH60" s="140"/>
    </row>
    <row r="61" spans="1:34" ht="15" customHeight="1" x14ac:dyDescent="0.25">
      <c r="A61" s="375">
        <v>2015</v>
      </c>
      <c r="B61" s="150" t="s">
        <v>496</v>
      </c>
      <c r="C61" s="210" t="s">
        <v>503</v>
      </c>
      <c r="D61" s="210">
        <v>18.83583333333333</v>
      </c>
      <c r="E61" s="210">
        <v>9.7492424242424214</v>
      </c>
      <c r="F61" s="386">
        <v>3.3621712779421456E-2</v>
      </c>
      <c r="G61" s="391">
        <v>18.83583333333333</v>
      </c>
      <c r="P61" s="141"/>
      <c r="Q61" s="141"/>
      <c r="R61" s="138"/>
      <c r="S61" s="138"/>
      <c r="T61" s="141"/>
      <c r="V61" s="143"/>
      <c r="X61" s="144"/>
      <c r="Y61" s="145"/>
      <c r="Z61" s="146"/>
      <c r="AA61" s="146"/>
      <c r="AB61" s="144"/>
      <c r="AC61" s="146"/>
      <c r="AD61" s="145"/>
      <c r="AE61" s="145"/>
      <c r="AF61" s="146"/>
      <c r="AG61" s="146"/>
      <c r="AH61" s="140"/>
    </row>
    <row r="62" spans="1:34" ht="15" customHeight="1" x14ac:dyDescent="0.25">
      <c r="A62" s="375">
        <v>2016</v>
      </c>
      <c r="B62" s="150" t="s">
        <v>496</v>
      </c>
      <c r="C62" s="210" t="s">
        <v>502</v>
      </c>
      <c r="D62" s="210">
        <v>71.442499999999995</v>
      </c>
      <c r="E62" s="210">
        <v>148.60772727272729</v>
      </c>
      <c r="F62" s="386">
        <v>0.14104117427646679</v>
      </c>
      <c r="G62" s="391">
        <v>71.442499999999995</v>
      </c>
      <c r="P62" s="141"/>
      <c r="Q62" s="141"/>
      <c r="R62" s="138"/>
      <c r="S62" s="138"/>
      <c r="T62" s="141"/>
      <c r="V62" s="143"/>
      <c r="X62" s="144"/>
      <c r="Y62" s="145"/>
      <c r="Z62" s="146"/>
      <c r="AA62" s="146"/>
      <c r="AB62" s="144"/>
      <c r="AC62" s="146"/>
      <c r="AD62" s="145"/>
      <c r="AE62" s="145"/>
      <c r="AF62" s="146"/>
      <c r="AG62" s="146"/>
      <c r="AH62" s="140"/>
    </row>
    <row r="63" spans="1:34" ht="15" customHeight="1" x14ac:dyDescent="0.25">
      <c r="A63" s="377">
        <v>2010</v>
      </c>
      <c r="B63" s="150" t="s">
        <v>497</v>
      </c>
      <c r="C63" s="210" t="s">
        <v>501</v>
      </c>
      <c r="D63" s="210">
        <v>3179.9483333333333</v>
      </c>
      <c r="E63" s="210">
        <v>3638.245606060606</v>
      </c>
      <c r="F63" s="387">
        <v>4.3255361058748158E-2</v>
      </c>
      <c r="G63" s="391">
        <v>3179.9483333333333</v>
      </c>
      <c r="L63" s="142">
        <v>100</v>
      </c>
      <c r="P63" s="141"/>
      <c r="Q63" s="141"/>
      <c r="R63" s="138"/>
      <c r="S63" s="138"/>
      <c r="T63" s="141"/>
      <c r="V63" s="143"/>
      <c r="X63" s="144"/>
      <c r="Y63" s="145"/>
      <c r="Z63" s="146"/>
      <c r="AA63" s="146"/>
      <c r="AB63" s="144"/>
      <c r="AC63" s="146"/>
      <c r="AD63" s="145"/>
      <c r="AE63" s="145"/>
      <c r="AF63" s="146"/>
      <c r="AG63" s="146"/>
      <c r="AH63" s="140"/>
    </row>
    <row r="64" spans="1:34" ht="15" customHeight="1" x14ac:dyDescent="0.25">
      <c r="A64" s="377">
        <v>2011</v>
      </c>
      <c r="B64" s="150" t="s">
        <v>497</v>
      </c>
      <c r="C64" s="210" t="s">
        <v>501</v>
      </c>
      <c r="D64" s="210">
        <v>1956.7158333333336</v>
      </c>
      <c r="E64" s="210">
        <v>1651.3269696969701</v>
      </c>
      <c r="F64" s="387">
        <v>1.9810027509743033E-2</v>
      </c>
      <c r="G64" s="391">
        <v>1956.7158333333336</v>
      </c>
      <c r="L64" s="142">
        <f>(+E115*L63)/E114</f>
        <v>86.041034951467978</v>
      </c>
      <c r="P64" s="141"/>
      <c r="Q64" s="141"/>
      <c r="R64" s="138"/>
      <c r="S64" s="138"/>
      <c r="T64" s="141"/>
      <c r="V64" s="143"/>
      <c r="X64" s="144"/>
      <c r="Y64" s="145"/>
      <c r="Z64" s="146"/>
      <c r="AA64" s="146"/>
      <c r="AB64" s="144"/>
      <c r="AC64" s="146"/>
      <c r="AD64" s="145"/>
      <c r="AE64" s="145"/>
      <c r="AF64" s="146"/>
      <c r="AG64" s="146"/>
      <c r="AH64" s="140"/>
    </row>
    <row r="65" spans="1:34" ht="15" customHeight="1" x14ac:dyDescent="0.25">
      <c r="A65" s="377">
        <v>2012</v>
      </c>
      <c r="B65" s="150" t="s">
        <v>497</v>
      </c>
      <c r="C65" s="210" t="s">
        <v>501</v>
      </c>
      <c r="D65" s="210">
        <v>3261.3724999999999</v>
      </c>
      <c r="E65" s="210">
        <v>2018.4363636363637</v>
      </c>
      <c r="F65" s="387">
        <v>0.29672235620436749</v>
      </c>
      <c r="G65" s="391">
        <v>2018.4363636363637</v>
      </c>
      <c r="P65" s="141"/>
      <c r="Q65" s="141"/>
      <c r="R65" s="138"/>
      <c r="S65" s="138"/>
      <c r="T65" s="141"/>
      <c r="V65" s="143"/>
      <c r="X65" s="144"/>
      <c r="Y65" s="145"/>
      <c r="Z65" s="146"/>
      <c r="AA65" s="146"/>
      <c r="AB65" s="144"/>
      <c r="AC65" s="146"/>
      <c r="AD65" s="145"/>
      <c r="AE65" s="145"/>
      <c r="AF65" s="146"/>
      <c r="AG65" s="146"/>
      <c r="AH65" s="140"/>
    </row>
    <row r="66" spans="1:34" ht="15" customHeight="1" x14ac:dyDescent="0.25">
      <c r="A66" s="377">
        <v>2013</v>
      </c>
      <c r="B66" s="150" t="s">
        <v>497</v>
      </c>
      <c r="C66" s="210" t="s">
        <v>501</v>
      </c>
      <c r="D66" s="210">
        <v>4416.6741666666667</v>
      </c>
      <c r="E66" s="210">
        <v>4327.4616666666661</v>
      </c>
      <c r="F66" s="387">
        <v>6.8245681674281358E-4</v>
      </c>
      <c r="G66" s="391">
        <v>4416.6741666666667</v>
      </c>
      <c r="P66" s="141"/>
      <c r="Q66" s="141"/>
      <c r="R66" s="138"/>
      <c r="S66" s="138"/>
      <c r="T66" s="141"/>
      <c r="V66" s="143"/>
      <c r="X66" s="144"/>
      <c r="Y66" s="145"/>
      <c r="Z66" s="146"/>
      <c r="AA66" s="146"/>
      <c r="AB66" s="144"/>
      <c r="AC66" s="146"/>
      <c r="AD66" s="145"/>
      <c r="AE66" s="145"/>
      <c r="AF66" s="146"/>
      <c r="AG66" s="146"/>
      <c r="AH66" s="140"/>
    </row>
    <row r="67" spans="1:34" ht="15" customHeight="1" x14ac:dyDescent="0.25">
      <c r="A67" s="377">
        <v>2014</v>
      </c>
      <c r="B67" s="150" t="s">
        <v>497</v>
      </c>
      <c r="C67" s="210" t="s">
        <v>501</v>
      </c>
      <c r="D67" s="210">
        <v>2669.6975000000002</v>
      </c>
      <c r="E67" s="210">
        <v>4126.8759090909089</v>
      </c>
      <c r="F67" s="387">
        <v>0.43100302764745457</v>
      </c>
      <c r="G67" s="391">
        <v>4126.8759090909089</v>
      </c>
      <c r="P67" s="141"/>
      <c r="Q67" s="141"/>
      <c r="R67" s="138"/>
      <c r="S67" s="138"/>
      <c r="T67" s="141"/>
      <c r="V67" s="143"/>
      <c r="X67" s="144"/>
      <c r="Y67" s="145"/>
      <c r="Z67" s="146"/>
      <c r="AA67" s="146"/>
      <c r="AB67" s="144"/>
      <c r="AC67" s="146"/>
      <c r="AD67" s="145"/>
      <c r="AE67" s="145"/>
      <c r="AF67" s="146"/>
      <c r="AG67" s="146"/>
      <c r="AH67" s="140"/>
    </row>
    <row r="68" spans="1:34" ht="15" customHeight="1" x14ac:dyDescent="0.25">
      <c r="A68" s="377">
        <v>2015</v>
      </c>
      <c r="B68" s="150" t="s">
        <v>497</v>
      </c>
      <c r="C68" s="210" t="s">
        <v>501</v>
      </c>
      <c r="D68" s="210">
        <v>4349.0450000000001</v>
      </c>
      <c r="E68" s="210">
        <v>4003.3722727272734</v>
      </c>
      <c r="F68" s="387">
        <v>4.2603596061087648E-3</v>
      </c>
      <c r="G68" s="391">
        <v>4349.0450000000001</v>
      </c>
      <c r="P68" s="141"/>
      <c r="Q68" s="141"/>
      <c r="R68" s="138"/>
      <c r="S68" s="138"/>
      <c r="T68" s="141"/>
      <c r="V68" s="143"/>
      <c r="X68" s="144"/>
      <c r="Y68" s="145"/>
      <c r="Z68" s="146"/>
      <c r="AA68" s="146"/>
      <c r="AB68" s="144"/>
      <c r="AC68" s="146"/>
      <c r="AD68" s="145"/>
      <c r="AE68" s="145"/>
      <c r="AF68" s="146"/>
      <c r="AG68" s="146"/>
      <c r="AH68" s="140"/>
    </row>
    <row r="69" spans="1:34" ht="15" customHeight="1" x14ac:dyDescent="0.25">
      <c r="A69" s="377">
        <v>2016</v>
      </c>
      <c r="B69" s="150" t="s">
        <v>497</v>
      </c>
      <c r="C69" s="210" t="s">
        <v>501</v>
      </c>
      <c r="D69" s="210">
        <v>2190.9541666666664</v>
      </c>
      <c r="E69" s="210">
        <v>2704.5666666666666</v>
      </c>
      <c r="F69" s="387">
        <v>4.0165109506949424E-2</v>
      </c>
      <c r="G69" s="391">
        <v>2190.9541666666664</v>
      </c>
      <c r="P69" s="141"/>
      <c r="Q69" s="141"/>
      <c r="R69" s="138"/>
      <c r="S69" s="138"/>
      <c r="T69" s="141"/>
      <c r="V69" s="143"/>
      <c r="X69" s="144"/>
      <c r="Y69" s="145"/>
      <c r="Z69" s="146"/>
      <c r="AA69" s="146"/>
      <c r="AB69" s="144"/>
      <c r="AC69" s="146"/>
      <c r="AD69" s="145"/>
      <c r="AE69" s="145"/>
      <c r="AF69" s="146"/>
      <c r="AG69" s="146"/>
      <c r="AH69" s="140"/>
    </row>
    <row r="70" spans="1:34" ht="15" customHeight="1" x14ac:dyDescent="0.25">
      <c r="A70" s="375">
        <v>2010</v>
      </c>
      <c r="B70" s="150" t="s">
        <v>498</v>
      </c>
      <c r="C70" s="210" t="s">
        <v>501</v>
      </c>
      <c r="D70" s="210">
        <v>278.83750000000003</v>
      </c>
      <c r="E70" s="210">
        <v>271.03454545454548</v>
      </c>
      <c r="F70" s="386">
        <v>1.5598771383127858E-3</v>
      </c>
      <c r="G70" s="391">
        <v>278.83750000000003</v>
      </c>
      <c r="P70" s="141"/>
      <c r="Q70" s="141"/>
      <c r="R70" s="138"/>
      <c r="S70" s="138"/>
      <c r="T70" s="141"/>
      <c r="V70" s="143"/>
      <c r="X70" s="144"/>
      <c r="Y70" s="145"/>
      <c r="Z70" s="146"/>
      <c r="AA70" s="146"/>
      <c r="AB70" s="144"/>
      <c r="AC70" s="146"/>
      <c r="AD70" s="145"/>
      <c r="AE70" s="145"/>
      <c r="AF70" s="146"/>
      <c r="AG70" s="146"/>
      <c r="AH70" s="140"/>
    </row>
    <row r="71" spans="1:34" ht="15" customHeight="1" x14ac:dyDescent="0.25">
      <c r="A71" s="375">
        <v>2011</v>
      </c>
      <c r="B71" s="150" t="s">
        <v>498</v>
      </c>
      <c r="C71" s="210" t="s">
        <v>501</v>
      </c>
      <c r="D71" s="210">
        <v>173.59916666666666</v>
      </c>
      <c r="E71" s="210">
        <v>128.17121212121211</v>
      </c>
      <c r="F71" s="386">
        <v>0.11886602769390772</v>
      </c>
      <c r="G71" s="391">
        <v>173.59916666666666</v>
      </c>
      <c r="P71" s="141"/>
      <c r="Q71" s="141"/>
      <c r="R71" s="138"/>
      <c r="S71" s="138"/>
      <c r="T71" s="141"/>
      <c r="V71" s="143"/>
      <c r="X71" s="144"/>
      <c r="Y71" s="145"/>
      <c r="Z71" s="146"/>
      <c r="AA71" s="146"/>
      <c r="AB71" s="144"/>
      <c r="AC71" s="146"/>
      <c r="AD71" s="145"/>
      <c r="AE71" s="145"/>
      <c r="AF71" s="146"/>
      <c r="AG71" s="146"/>
      <c r="AH71" s="140"/>
    </row>
    <row r="72" spans="1:34" ht="15" customHeight="1" x14ac:dyDescent="0.25">
      <c r="A72" s="375">
        <v>2012</v>
      </c>
      <c r="B72" s="150" t="s">
        <v>498</v>
      </c>
      <c r="C72" s="210" t="s">
        <v>501</v>
      </c>
      <c r="D72" s="210">
        <v>183.96749999999997</v>
      </c>
      <c r="E72" s="210">
        <v>176.32545454545453</v>
      </c>
      <c r="F72" s="386">
        <v>2.2732550954614448E-3</v>
      </c>
      <c r="G72" s="391">
        <v>183.96749999999997</v>
      </c>
      <c r="P72" s="141"/>
      <c r="Q72" s="141"/>
      <c r="R72" s="138"/>
      <c r="S72" s="138"/>
      <c r="T72" s="141"/>
      <c r="V72" s="143"/>
      <c r="X72" s="144"/>
      <c r="Y72" s="145"/>
      <c r="Z72" s="146"/>
      <c r="AA72" s="146"/>
      <c r="AB72" s="144"/>
      <c r="AC72" s="146"/>
      <c r="AD72" s="145"/>
      <c r="AE72" s="145"/>
      <c r="AF72" s="146"/>
      <c r="AG72" s="146"/>
      <c r="AH72" s="140"/>
    </row>
    <row r="73" spans="1:34" ht="15" customHeight="1" x14ac:dyDescent="0.25">
      <c r="A73" s="375">
        <v>2013</v>
      </c>
      <c r="B73" s="150" t="s">
        <v>498</v>
      </c>
      <c r="C73" s="210" t="s">
        <v>501</v>
      </c>
      <c r="D73" s="210">
        <v>26.958333333333332</v>
      </c>
      <c r="E73" s="210">
        <v>28.306515151515153</v>
      </c>
      <c r="F73" s="386">
        <v>1.8820523624656299E-3</v>
      </c>
      <c r="G73" s="391">
        <v>26.958333333333332</v>
      </c>
      <c r="P73" s="141"/>
      <c r="Q73" s="141"/>
      <c r="R73" s="138"/>
      <c r="S73" s="138"/>
      <c r="T73" s="141"/>
      <c r="V73" s="143"/>
      <c r="X73" s="144"/>
      <c r="Y73" s="145"/>
      <c r="Z73" s="146"/>
      <c r="AA73" s="146"/>
      <c r="AB73" s="144"/>
      <c r="AC73" s="146"/>
      <c r="AD73" s="145"/>
      <c r="AE73" s="145"/>
      <c r="AF73" s="146"/>
      <c r="AG73" s="146"/>
      <c r="AH73" s="140"/>
    </row>
    <row r="74" spans="1:34" ht="15" customHeight="1" x14ac:dyDescent="0.25">
      <c r="A74" s="375">
        <v>2014</v>
      </c>
      <c r="B74" s="150" t="s">
        <v>498</v>
      </c>
      <c r="C74" s="210" t="s">
        <v>501</v>
      </c>
      <c r="D74" s="210">
        <v>34.376666666666672</v>
      </c>
      <c r="E74" s="210">
        <v>18.977575757575767</v>
      </c>
      <c r="F74" s="386">
        <v>0.10069400163414782</v>
      </c>
      <c r="G74" s="391">
        <v>34.376666666666672</v>
      </c>
      <c r="P74" s="141"/>
      <c r="Q74" s="141"/>
      <c r="R74" s="138"/>
      <c r="S74" s="138"/>
      <c r="T74" s="141"/>
      <c r="V74" s="143"/>
      <c r="X74" s="144"/>
      <c r="Y74" s="145"/>
      <c r="Z74" s="146"/>
      <c r="AA74" s="146"/>
      <c r="AB74" s="144"/>
      <c r="AC74" s="146"/>
      <c r="AD74" s="145"/>
      <c r="AE74" s="145"/>
      <c r="AF74" s="146"/>
      <c r="AG74" s="146"/>
      <c r="AH74" s="140"/>
    </row>
    <row r="75" spans="1:34" ht="15" customHeight="1" x14ac:dyDescent="0.25">
      <c r="A75" s="375">
        <v>2015</v>
      </c>
      <c r="B75" s="150" t="s">
        <v>498</v>
      </c>
      <c r="C75" s="210" t="s">
        <v>501</v>
      </c>
      <c r="D75" s="210">
        <v>29.065000000000001</v>
      </c>
      <c r="E75" s="210">
        <v>10.977272727272727</v>
      </c>
      <c r="F75" s="386">
        <v>8.8048726837098301E-2</v>
      </c>
      <c r="G75" s="391">
        <v>29.065000000000001</v>
      </c>
      <c r="P75" s="141"/>
      <c r="Q75" s="141"/>
      <c r="R75" s="138"/>
      <c r="S75" s="138"/>
      <c r="T75" s="141"/>
      <c r="V75" s="143"/>
      <c r="X75" s="144"/>
      <c r="Y75" s="145"/>
      <c r="Z75" s="146"/>
      <c r="AA75" s="146"/>
      <c r="AB75" s="144"/>
      <c r="AC75" s="146"/>
      <c r="AD75" s="145"/>
      <c r="AE75" s="145"/>
      <c r="AF75" s="146"/>
      <c r="AG75" s="146"/>
      <c r="AH75" s="140"/>
    </row>
    <row r="76" spans="1:34" ht="15" customHeight="1" thickBot="1" x14ac:dyDescent="0.3">
      <c r="A76" s="378">
        <v>2016</v>
      </c>
      <c r="B76" s="379" t="s">
        <v>498</v>
      </c>
      <c r="C76" s="384" t="s">
        <v>501</v>
      </c>
      <c r="D76" s="384">
        <v>13.363333333333337</v>
      </c>
      <c r="E76" s="384">
        <v>14.267878787878791</v>
      </c>
      <c r="F76" s="388">
        <v>4.2561941971949006E-3</v>
      </c>
      <c r="G76" s="392">
        <v>13.363333333333337</v>
      </c>
      <c r="P76" s="141"/>
      <c r="Q76" s="141"/>
      <c r="R76" s="138"/>
      <c r="S76" s="138"/>
      <c r="T76" s="141"/>
      <c r="V76" s="143"/>
      <c r="X76" s="144"/>
      <c r="Y76" s="145"/>
      <c r="Z76" s="146"/>
      <c r="AA76" s="146"/>
      <c r="AB76" s="144"/>
      <c r="AC76" s="146"/>
      <c r="AD76" s="145"/>
      <c r="AE76" s="145"/>
      <c r="AF76" s="146"/>
      <c r="AG76" s="146"/>
      <c r="AH76" s="140"/>
    </row>
    <row r="77" spans="1:34" ht="15" customHeight="1" x14ac:dyDescent="0.25">
      <c r="A77" s="390"/>
      <c r="C77" s="146"/>
      <c r="D77" s="146"/>
      <c r="E77" s="146"/>
      <c r="F77" s="146"/>
      <c r="G77" s="389"/>
      <c r="P77" s="141"/>
      <c r="Q77" s="141"/>
      <c r="R77" s="138"/>
      <c r="S77" s="138"/>
      <c r="T77" s="141"/>
      <c r="V77" s="143"/>
      <c r="X77" s="144"/>
      <c r="Y77" s="145"/>
      <c r="Z77" s="146"/>
      <c r="AA77" s="146"/>
      <c r="AB77" s="144"/>
      <c r="AC77" s="146"/>
      <c r="AD77" s="145"/>
      <c r="AE77" s="145"/>
      <c r="AF77" s="146"/>
      <c r="AG77" s="146"/>
      <c r="AH77" s="140"/>
    </row>
    <row r="78" spans="1:34" ht="15" customHeight="1" x14ac:dyDescent="0.25">
      <c r="C78" s="139"/>
      <c r="P78" s="138"/>
      <c r="Q78" s="138"/>
      <c r="R78" s="138"/>
      <c r="S78" s="138"/>
      <c r="T78" s="141"/>
      <c r="V78" s="143"/>
      <c r="X78" s="144"/>
      <c r="Y78" s="145"/>
      <c r="Z78" s="146"/>
      <c r="AA78" s="146"/>
      <c r="AB78" s="144"/>
      <c r="AC78" s="146"/>
      <c r="AD78" s="145"/>
      <c r="AE78" s="145"/>
      <c r="AF78" s="146"/>
      <c r="AG78" s="146"/>
      <c r="AH78" s="140"/>
    </row>
    <row r="79" spans="1:34" ht="15" customHeight="1" x14ac:dyDescent="0.25">
      <c r="C79" s="139"/>
      <c r="P79" s="138"/>
      <c r="Q79" s="138"/>
      <c r="R79" s="138"/>
      <c r="S79" s="138"/>
      <c r="T79" s="141"/>
      <c r="V79" s="143"/>
      <c r="X79" s="144"/>
      <c r="Y79" s="145"/>
      <c r="Z79" s="146"/>
      <c r="AA79" s="146"/>
      <c r="AB79" s="144"/>
      <c r="AC79" s="146"/>
      <c r="AD79" s="145"/>
      <c r="AE79" s="145"/>
      <c r="AF79" s="146"/>
      <c r="AG79" s="146"/>
      <c r="AH79" s="140"/>
    </row>
    <row r="80" spans="1:34" ht="15" customHeight="1" thickBot="1" x14ac:dyDescent="0.3">
      <c r="C80" s="139"/>
      <c r="P80" s="141"/>
      <c r="Q80" s="141"/>
      <c r="R80" s="138"/>
      <c r="S80" s="138"/>
      <c r="T80" s="141"/>
      <c r="V80" s="143"/>
      <c r="X80" s="144"/>
      <c r="Y80" s="145"/>
      <c r="Z80" s="146"/>
      <c r="AA80" s="146"/>
      <c r="AB80" s="144"/>
      <c r="AC80" s="146"/>
      <c r="AD80" s="145"/>
      <c r="AE80" s="145"/>
      <c r="AF80" s="146"/>
      <c r="AG80" s="146"/>
      <c r="AH80" s="140"/>
    </row>
    <row r="81" spans="1:34" ht="39" customHeight="1" thickBot="1" x14ac:dyDescent="0.3">
      <c r="A81" s="397" t="s">
        <v>377</v>
      </c>
      <c r="B81" s="398" t="s">
        <v>378</v>
      </c>
      <c r="C81" s="401" t="s">
        <v>396</v>
      </c>
      <c r="D81" s="398" t="s">
        <v>373</v>
      </c>
      <c r="E81" s="402" t="s">
        <v>500</v>
      </c>
      <c r="P81" s="141"/>
      <c r="Q81" s="141"/>
      <c r="R81" s="138"/>
      <c r="S81" s="138"/>
      <c r="T81" s="141"/>
      <c r="V81" s="143"/>
      <c r="X81" s="144"/>
      <c r="Y81" s="145"/>
      <c r="Z81" s="146"/>
      <c r="AA81" s="146"/>
      <c r="AB81" s="144"/>
      <c r="AC81" s="146"/>
      <c r="AD81" s="145"/>
      <c r="AE81" s="145"/>
      <c r="AF81" s="146"/>
      <c r="AG81" s="146"/>
      <c r="AH81" s="140"/>
    </row>
    <row r="82" spans="1:34" ht="15" customHeight="1" x14ac:dyDescent="0.25">
      <c r="A82" s="393">
        <v>2010</v>
      </c>
      <c r="B82" s="394" t="s">
        <v>496</v>
      </c>
      <c r="C82" s="400">
        <v>3</v>
      </c>
      <c r="D82" s="385">
        <v>157.6558747021993</v>
      </c>
      <c r="E82" s="405">
        <v>472.9676241065979</v>
      </c>
      <c r="P82" s="141"/>
      <c r="Q82" s="141"/>
      <c r="R82" s="138"/>
      <c r="S82" s="138"/>
      <c r="T82" s="141"/>
      <c r="V82" s="143"/>
      <c r="X82" s="144"/>
      <c r="Y82" s="145"/>
      <c r="Z82" s="146"/>
      <c r="AA82" s="146"/>
      <c r="AB82" s="144"/>
      <c r="AC82" s="146"/>
      <c r="AD82" s="145"/>
      <c r="AE82" s="145"/>
      <c r="AF82" s="146"/>
      <c r="AG82" s="146"/>
      <c r="AH82" s="140"/>
    </row>
    <row r="83" spans="1:34" ht="15" customHeight="1" x14ac:dyDescent="0.25">
      <c r="A83" s="375">
        <v>2011</v>
      </c>
      <c r="B83" s="394" t="s">
        <v>496</v>
      </c>
      <c r="C83" s="356">
        <v>3.1</v>
      </c>
      <c r="D83" s="210">
        <v>396.81491259592627</v>
      </c>
      <c r="E83" s="406">
        <v>1230.1262290473715</v>
      </c>
      <c r="P83" s="141"/>
      <c r="Q83" s="141"/>
      <c r="R83" s="138"/>
      <c r="S83" s="138"/>
      <c r="T83" s="141"/>
      <c r="V83" s="143"/>
      <c r="X83" s="144"/>
      <c r="Y83" s="145"/>
      <c r="Z83" s="146"/>
      <c r="AA83" s="146"/>
      <c r="AB83" s="144"/>
      <c r="AC83" s="146"/>
      <c r="AD83" s="145"/>
      <c r="AE83" s="145"/>
      <c r="AF83" s="146"/>
      <c r="AG83" s="146"/>
      <c r="AH83" s="140"/>
    </row>
    <row r="84" spans="1:34" ht="15" customHeight="1" x14ac:dyDescent="0.25">
      <c r="A84" s="375">
        <v>2012</v>
      </c>
      <c r="B84" s="394" t="s">
        <v>496</v>
      </c>
      <c r="C84" s="356">
        <v>3.12</v>
      </c>
      <c r="D84" s="210">
        <v>433.51670463613704</v>
      </c>
      <c r="E84" s="406">
        <v>1352.5721184647475</v>
      </c>
      <c r="P84" s="141"/>
      <c r="Q84" s="141"/>
      <c r="R84" s="138"/>
      <c r="S84" s="138"/>
      <c r="T84" s="141"/>
      <c r="V84" s="143"/>
      <c r="X84" s="144"/>
      <c r="Y84" s="145"/>
      <c r="Z84" s="146"/>
      <c r="AA84" s="146"/>
      <c r="AB84" s="144"/>
      <c r="AC84" s="146"/>
      <c r="AD84" s="145"/>
      <c r="AE84" s="145"/>
      <c r="AF84" s="146"/>
      <c r="AG84" s="146"/>
      <c r="AH84" s="140"/>
    </row>
    <row r="85" spans="1:34" ht="15" customHeight="1" x14ac:dyDescent="0.25">
      <c r="A85" s="375">
        <v>2013</v>
      </c>
      <c r="B85" s="394" t="s">
        <v>496</v>
      </c>
      <c r="C85" s="356">
        <v>3.15</v>
      </c>
      <c r="D85" s="210">
        <v>578.04657165152048</v>
      </c>
      <c r="E85" s="406">
        <v>1820.8467007022894</v>
      </c>
      <c r="P85" s="138"/>
      <c r="Q85" s="138"/>
      <c r="R85" s="138"/>
      <c r="S85" s="138"/>
      <c r="T85" s="141"/>
      <c r="V85" s="143"/>
      <c r="X85" s="144"/>
      <c r="Y85" s="145"/>
      <c r="Z85" s="146"/>
      <c r="AA85" s="146"/>
      <c r="AB85" s="144"/>
      <c r="AC85" s="146"/>
      <c r="AD85" s="145"/>
      <c r="AE85" s="145"/>
      <c r="AF85" s="146"/>
      <c r="AG85" s="146"/>
      <c r="AH85" s="140"/>
    </row>
    <row r="86" spans="1:34" ht="15" customHeight="1" x14ac:dyDescent="0.25">
      <c r="A86" s="375">
        <v>2014</v>
      </c>
      <c r="B86" s="394" t="s">
        <v>496</v>
      </c>
      <c r="C86" s="356">
        <v>3.4</v>
      </c>
      <c r="D86" s="210">
        <v>833.99805781241332</v>
      </c>
      <c r="E86" s="406">
        <v>2835.5933965622053</v>
      </c>
      <c r="P86" s="138"/>
      <c r="Q86" s="138"/>
      <c r="R86" s="138"/>
      <c r="S86" s="138"/>
      <c r="T86" s="141"/>
      <c r="V86" s="143"/>
      <c r="X86" s="144"/>
      <c r="Y86" s="145"/>
      <c r="Z86" s="146"/>
      <c r="AA86" s="146"/>
      <c r="AB86" s="144"/>
      <c r="AC86" s="146"/>
      <c r="AD86" s="145"/>
      <c r="AE86" s="145"/>
      <c r="AF86" s="146"/>
      <c r="AG86" s="146"/>
      <c r="AH86" s="140"/>
    </row>
    <row r="87" spans="1:34" ht="15" customHeight="1" x14ac:dyDescent="0.25">
      <c r="A87" s="375">
        <v>2015</v>
      </c>
      <c r="B87" s="394" t="s">
        <v>496</v>
      </c>
      <c r="C87" s="356">
        <v>3.35</v>
      </c>
      <c r="D87" s="210">
        <v>1012.2617531150024</v>
      </c>
      <c r="E87" s="406">
        <v>3391.0768729352581</v>
      </c>
      <c r="P87" s="141"/>
      <c r="Q87" s="141"/>
      <c r="R87" s="138"/>
      <c r="S87" s="138"/>
      <c r="T87" s="141"/>
      <c r="V87" s="143"/>
      <c r="X87" s="144"/>
      <c r="Y87" s="145"/>
      <c r="Z87" s="146"/>
      <c r="AA87" s="146"/>
      <c r="AB87" s="144"/>
      <c r="AC87" s="146"/>
      <c r="AD87" s="145"/>
      <c r="AE87" s="145"/>
      <c r="AF87" s="146"/>
      <c r="AG87" s="146"/>
      <c r="AH87" s="140"/>
    </row>
    <row r="88" spans="1:34" ht="15" customHeight="1" x14ac:dyDescent="0.25">
      <c r="A88" s="375">
        <v>2016</v>
      </c>
      <c r="B88" s="394" t="s">
        <v>496</v>
      </c>
      <c r="C88" s="356">
        <v>2.7</v>
      </c>
      <c r="D88" s="210">
        <v>706.98639876558093</v>
      </c>
      <c r="E88" s="406">
        <v>1908.8632766670687</v>
      </c>
      <c r="P88" s="141"/>
      <c r="Q88" s="141"/>
      <c r="R88" s="138"/>
      <c r="S88" s="138"/>
      <c r="T88" s="141"/>
      <c r="V88" s="143"/>
      <c r="X88" s="144"/>
      <c r="Y88" s="145"/>
      <c r="Z88" s="146"/>
      <c r="AA88" s="146"/>
      <c r="AB88" s="144"/>
      <c r="AC88" s="146"/>
      <c r="AD88" s="145"/>
      <c r="AE88" s="145"/>
      <c r="AF88" s="146"/>
      <c r="AG88" s="146"/>
      <c r="AH88" s="140"/>
    </row>
    <row r="89" spans="1:34" ht="15" customHeight="1" x14ac:dyDescent="0.25">
      <c r="A89" s="377">
        <v>2010</v>
      </c>
      <c r="B89" s="150" t="s">
        <v>497</v>
      </c>
      <c r="C89" s="356">
        <v>2.4</v>
      </c>
      <c r="D89" s="210">
        <v>-894.85988349267336</v>
      </c>
      <c r="E89" s="407">
        <v>-2147.6637203824162</v>
      </c>
      <c r="P89" s="138"/>
      <c r="Q89" s="138"/>
      <c r="R89" s="138"/>
      <c r="S89" s="138"/>
      <c r="T89" s="141"/>
      <c r="V89" s="143"/>
      <c r="X89" s="144"/>
      <c r="Y89" s="145"/>
      <c r="Z89" s="146"/>
      <c r="AA89" s="146"/>
      <c r="AB89" s="144"/>
      <c r="AC89" s="146"/>
      <c r="AD89" s="145"/>
      <c r="AE89" s="145"/>
      <c r="AF89" s="146"/>
      <c r="AG89" s="146"/>
      <c r="AH89" s="140"/>
    </row>
    <row r="90" spans="1:34" ht="15" customHeight="1" x14ac:dyDescent="0.25">
      <c r="A90" s="377">
        <v>2011</v>
      </c>
      <c r="B90" s="150" t="s">
        <v>497</v>
      </c>
      <c r="C90" s="356">
        <v>2.4300000000000002</v>
      </c>
      <c r="D90" s="210">
        <v>2100.6230578945206</v>
      </c>
      <c r="E90" s="406">
        <v>5104.5140306836856</v>
      </c>
      <c r="P90" s="138"/>
      <c r="Q90" s="138"/>
      <c r="R90" s="138"/>
      <c r="S90" s="138"/>
      <c r="T90" s="141"/>
      <c r="V90" s="143"/>
      <c r="X90" s="144"/>
      <c r="Y90" s="145"/>
      <c r="Z90" s="146"/>
      <c r="AA90" s="146"/>
      <c r="AB90" s="144"/>
      <c r="AC90" s="146"/>
      <c r="AD90" s="145"/>
      <c r="AE90" s="145"/>
      <c r="AF90" s="146"/>
      <c r="AG90" s="146"/>
      <c r="AH90" s="140"/>
    </row>
    <row r="91" spans="1:34" ht="15" customHeight="1" x14ac:dyDescent="0.25">
      <c r="A91" s="377">
        <v>2012</v>
      </c>
      <c r="B91" s="150" t="s">
        <v>497</v>
      </c>
      <c r="C91" s="356">
        <v>2.4900000000000002</v>
      </c>
      <c r="D91" s="210">
        <v>2292.2667295701626</v>
      </c>
      <c r="E91" s="406">
        <v>5707.7441566297057</v>
      </c>
      <c r="P91" s="138"/>
      <c r="Q91" s="138"/>
      <c r="R91" s="138"/>
      <c r="S91" s="138"/>
      <c r="T91" s="141"/>
      <c r="V91" s="143"/>
      <c r="X91" s="144"/>
      <c r="Y91" s="145"/>
      <c r="Z91" s="146"/>
      <c r="AA91" s="146"/>
      <c r="AB91" s="144"/>
      <c r="AC91" s="146"/>
      <c r="AD91" s="145"/>
      <c r="AE91" s="145"/>
      <c r="AF91" s="146"/>
      <c r="AG91" s="146"/>
      <c r="AH91" s="140"/>
    </row>
    <row r="92" spans="1:34" ht="15" customHeight="1" x14ac:dyDescent="0.25">
      <c r="A92" s="377">
        <v>2013</v>
      </c>
      <c r="B92" s="150" t="s">
        <v>497</v>
      </c>
      <c r="C92" s="356">
        <v>2.68</v>
      </c>
      <c r="D92" s="210">
        <v>59.457595998646866</v>
      </c>
      <c r="E92" s="406">
        <v>159.34635727637362</v>
      </c>
      <c r="P92" s="138"/>
      <c r="Q92" s="138"/>
      <c r="R92" s="138"/>
      <c r="S92" s="138"/>
      <c r="T92" s="141"/>
      <c r="V92" s="143"/>
      <c r="X92" s="144"/>
      <c r="Y92" s="145"/>
      <c r="Z92" s="146"/>
      <c r="AA92" s="146"/>
      <c r="AB92" s="144"/>
      <c r="AC92" s="146"/>
      <c r="AD92" s="145"/>
      <c r="AE92" s="145"/>
      <c r="AF92" s="146"/>
      <c r="AG92" s="146"/>
      <c r="AH92" s="140"/>
    </row>
    <row r="93" spans="1:34" ht="15" customHeight="1" x14ac:dyDescent="0.25">
      <c r="A93" s="377">
        <v>2014</v>
      </c>
      <c r="B93" s="150" t="s">
        <v>497</v>
      </c>
      <c r="C93" s="356">
        <v>2.72</v>
      </c>
      <c r="D93" s="210">
        <v>-1227.5079068348168</v>
      </c>
      <c r="E93" s="407">
        <v>-3338.821506590702</v>
      </c>
      <c r="P93" s="138"/>
      <c r="Q93" s="138"/>
      <c r="R93" s="138"/>
      <c r="S93" s="138"/>
      <c r="T93" s="141"/>
      <c r="V93" s="143"/>
      <c r="X93" s="144"/>
      <c r="Y93" s="145"/>
      <c r="Z93" s="146"/>
      <c r="AA93" s="146"/>
      <c r="AB93" s="144"/>
      <c r="AC93" s="146"/>
      <c r="AD93" s="145"/>
      <c r="AE93" s="145"/>
      <c r="AF93" s="146"/>
      <c r="AG93" s="146"/>
      <c r="AH93" s="140"/>
    </row>
    <row r="94" spans="1:34" ht="15" customHeight="1" x14ac:dyDescent="0.25">
      <c r="A94" s="377">
        <v>2015</v>
      </c>
      <c r="B94" s="150" t="s">
        <v>497</v>
      </c>
      <c r="C94" s="356">
        <v>2.75</v>
      </c>
      <c r="D94" s="210">
        <v>-1363.0066296251416</v>
      </c>
      <c r="E94" s="407">
        <v>-3748.2682314691392</v>
      </c>
      <c r="P94" s="138"/>
      <c r="Q94" s="138"/>
      <c r="R94" s="138"/>
      <c r="S94" s="138"/>
      <c r="T94" s="141"/>
      <c r="V94" s="143"/>
      <c r="X94" s="144"/>
      <c r="Y94" s="145"/>
      <c r="Z94" s="146"/>
      <c r="AA94" s="146"/>
      <c r="AB94" s="144"/>
      <c r="AC94" s="146"/>
      <c r="AD94" s="145"/>
      <c r="AE94" s="145"/>
      <c r="AF94" s="146"/>
      <c r="AG94" s="146"/>
      <c r="AH94" s="140"/>
    </row>
    <row r="95" spans="1:34" ht="15" customHeight="1" x14ac:dyDescent="0.25">
      <c r="A95" s="377">
        <v>2016</v>
      </c>
      <c r="B95" s="150" t="s">
        <v>497</v>
      </c>
      <c r="C95" s="356">
        <v>2.35</v>
      </c>
      <c r="D95" s="210">
        <v>657.45287883911988</v>
      </c>
      <c r="E95" s="406">
        <v>1545.0142652719317</v>
      </c>
      <c r="P95" s="138"/>
      <c r="Q95" s="138"/>
      <c r="R95" s="138"/>
      <c r="S95" s="138"/>
      <c r="T95" s="141"/>
      <c r="V95" s="143"/>
      <c r="X95" s="144"/>
      <c r="Y95" s="145"/>
      <c r="Z95" s="146"/>
      <c r="AA95" s="146"/>
      <c r="AB95" s="144"/>
      <c r="AC95" s="146"/>
      <c r="AD95" s="145"/>
      <c r="AE95" s="145"/>
      <c r="AF95" s="146"/>
      <c r="AG95" s="146"/>
      <c r="AH95" s="140"/>
    </row>
    <row r="96" spans="1:34" ht="15" customHeight="1" x14ac:dyDescent="0.25">
      <c r="A96" s="375">
        <v>2010</v>
      </c>
      <c r="B96" s="150" t="s">
        <v>498</v>
      </c>
      <c r="C96" s="356">
        <v>3.05</v>
      </c>
      <c r="D96" s="210">
        <v>308.68727980365458</v>
      </c>
      <c r="E96" s="406">
        <v>941.49620340114643</v>
      </c>
      <c r="P96" s="138"/>
      <c r="Q96" s="138"/>
      <c r="R96" s="138"/>
      <c r="S96" s="138"/>
      <c r="T96" s="141"/>
      <c r="V96" s="143"/>
      <c r="X96" s="144"/>
      <c r="Y96" s="145"/>
      <c r="Z96" s="146"/>
      <c r="AA96" s="146"/>
      <c r="AB96" s="144"/>
      <c r="AC96" s="146"/>
      <c r="AD96" s="145"/>
      <c r="AE96" s="145"/>
      <c r="AF96" s="146"/>
      <c r="AG96" s="146"/>
      <c r="AH96" s="140"/>
    </row>
    <row r="97" spans="1:34" ht="15" customHeight="1" x14ac:dyDescent="0.25">
      <c r="A97" s="375">
        <v>2011</v>
      </c>
      <c r="B97" s="150" t="s">
        <v>498</v>
      </c>
      <c r="C97" s="356">
        <v>3.15</v>
      </c>
      <c r="D97" s="210">
        <v>503.99409043081573</v>
      </c>
      <c r="E97" s="406">
        <v>1587.5813848570695</v>
      </c>
      <c r="P97" s="138"/>
      <c r="Q97" s="138"/>
      <c r="R97" s="138"/>
      <c r="S97" s="138"/>
      <c r="T97" s="141"/>
      <c r="V97" s="143"/>
      <c r="X97" s="144"/>
      <c r="Y97" s="145"/>
      <c r="Z97" s="146"/>
      <c r="AA97" s="146"/>
      <c r="AB97" s="144"/>
      <c r="AC97" s="146"/>
      <c r="AD97" s="145"/>
      <c r="AE97" s="145"/>
      <c r="AF97" s="146"/>
      <c r="AG97" s="146"/>
      <c r="AH97" s="140"/>
    </row>
    <row r="98" spans="1:34" ht="15" customHeight="1" x14ac:dyDescent="0.25">
      <c r="A98" s="375">
        <v>2012</v>
      </c>
      <c r="B98" s="150" t="s">
        <v>498</v>
      </c>
      <c r="C98" s="356">
        <v>3.17</v>
      </c>
      <c r="D98" s="210">
        <v>159.63660449249625</v>
      </c>
      <c r="E98" s="406">
        <v>506.04803624121308</v>
      </c>
      <c r="P98" s="138"/>
      <c r="Q98" s="138"/>
      <c r="R98" s="138"/>
      <c r="S98" s="138"/>
      <c r="T98" s="141"/>
      <c r="V98" s="143"/>
      <c r="X98" s="144"/>
      <c r="Y98" s="145"/>
      <c r="Z98" s="146"/>
      <c r="AA98" s="146"/>
      <c r="AB98" s="144"/>
      <c r="AC98" s="146"/>
      <c r="AD98" s="145"/>
      <c r="AE98" s="145"/>
      <c r="AF98" s="146"/>
      <c r="AG98" s="146"/>
      <c r="AH98" s="140"/>
    </row>
    <row r="99" spans="1:34" ht="15" customHeight="1" x14ac:dyDescent="0.25">
      <c r="A99" s="375">
        <v>2013</v>
      </c>
      <c r="B99" s="150" t="s">
        <v>498</v>
      </c>
      <c r="C99" s="356">
        <v>2.76</v>
      </c>
      <c r="D99" s="210">
        <v>642.61772042370433</v>
      </c>
      <c r="E99" s="406">
        <v>1773.6249083694238</v>
      </c>
      <c r="P99" s="138"/>
      <c r="Q99" s="138"/>
      <c r="R99" s="138"/>
      <c r="S99" s="138"/>
      <c r="T99" s="141"/>
      <c r="V99" s="143"/>
      <c r="X99" s="144"/>
      <c r="Y99" s="145"/>
      <c r="Z99" s="146"/>
      <c r="AA99" s="146"/>
      <c r="AB99" s="144"/>
      <c r="AC99" s="146"/>
      <c r="AD99" s="145"/>
      <c r="AE99" s="145"/>
      <c r="AF99" s="146"/>
      <c r="AG99" s="146"/>
      <c r="AH99" s="140"/>
    </row>
    <row r="100" spans="1:34" ht="15" customHeight="1" x14ac:dyDescent="0.25">
      <c r="A100" s="375">
        <v>2014</v>
      </c>
      <c r="B100" s="150" t="s">
        <v>498</v>
      </c>
      <c r="C100" s="356">
        <v>3.43</v>
      </c>
      <c r="D100" s="210">
        <v>569.70556546296098</v>
      </c>
      <c r="E100" s="406">
        <v>1954.0900895379561</v>
      </c>
      <c r="P100" s="141"/>
      <c r="Q100" s="141"/>
      <c r="R100" s="138"/>
      <c r="S100" s="138"/>
      <c r="T100" s="141"/>
      <c r="V100" s="143"/>
      <c r="X100" s="144"/>
      <c r="Y100" s="145"/>
      <c r="Z100" s="146"/>
      <c r="AA100" s="146"/>
      <c r="AB100" s="144"/>
      <c r="AC100" s="146"/>
      <c r="AD100" s="145"/>
      <c r="AE100" s="145"/>
      <c r="AF100" s="146"/>
      <c r="AG100" s="146"/>
      <c r="AH100" s="140"/>
    </row>
    <row r="101" spans="1:34" ht="15" customHeight="1" x14ac:dyDescent="0.25">
      <c r="A101" s="375">
        <v>2015</v>
      </c>
      <c r="B101" s="150" t="s">
        <v>498</v>
      </c>
      <c r="C101" s="356">
        <v>3.37</v>
      </c>
      <c r="D101" s="210">
        <v>503.18408509892578</v>
      </c>
      <c r="E101" s="406">
        <v>1695.7303667833798</v>
      </c>
      <c r="P101" s="141"/>
      <c r="Q101" s="141"/>
      <c r="R101" s="138"/>
      <c r="S101" s="138"/>
      <c r="T101" s="141"/>
      <c r="V101" s="143"/>
      <c r="X101" s="144"/>
      <c r="Y101" s="145"/>
      <c r="Z101" s="146"/>
      <c r="AA101" s="146"/>
      <c r="AB101" s="144"/>
      <c r="AC101" s="146"/>
      <c r="AD101" s="145"/>
      <c r="AE101" s="145"/>
      <c r="AF101" s="146"/>
      <c r="AG101" s="146"/>
      <c r="AH101" s="140"/>
    </row>
    <row r="102" spans="1:34" ht="15" customHeight="1" thickBot="1" x14ac:dyDescent="0.3">
      <c r="A102" s="378">
        <v>2016</v>
      </c>
      <c r="B102" s="150" t="s">
        <v>498</v>
      </c>
      <c r="C102" s="408">
        <v>2.72</v>
      </c>
      <c r="D102" s="384">
        <v>516.47786527238804</v>
      </c>
      <c r="E102" s="409">
        <v>1404.8197935408955</v>
      </c>
      <c r="P102" s="141"/>
      <c r="Q102" s="141"/>
      <c r="R102" s="138"/>
      <c r="S102" s="138"/>
      <c r="T102" s="141"/>
      <c r="V102" s="143"/>
      <c r="X102" s="144"/>
      <c r="Y102" s="145"/>
      <c r="Z102" s="146"/>
      <c r="AA102" s="146"/>
      <c r="AB102" s="144"/>
      <c r="AC102" s="146"/>
      <c r="AD102" s="145"/>
      <c r="AE102" s="145"/>
      <c r="AF102" s="146"/>
      <c r="AG102" s="146"/>
      <c r="AH102" s="140"/>
    </row>
    <row r="103" spans="1:34" ht="15" customHeight="1" x14ac:dyDescent="0.25">
      <c r="A103" s="403" t="s">
        <v>479</v>
      </c>
      <c r="C103" s="139"/>
      <c r="E103" s="404">
        <v>26157.302352636063</v>
      </c>
      <c r="P103" s="141"/>
      <c r="Q103" s="141"/>
      <c r="R103" s="138"/>
      <c r="S103" s="138"/>
      <c r="T103" s="141"/>
      <c r="V103" s="143"/>
      <c r="X103" s="144"/>
      <c r="Y103" s="145"/>
      <c r="Z103" s="146"/>
      <c r="AA103" s="146"/>
      <c r="AB103" s="144"/>
      <c r="AC103" s="146"/>
      <c r="AD103" s="145"/>
      <c r="AE103" s="145"/>
      <c r="AF103" s="146"/>
      <c r="AG103" s="146"/>
      <c r="AH103" s="140"/>
    </row>
    <row r="104" spans="1:34" ht="15" customHeight="1" x14ac:dyDescent="0.25">
      <c r="C104" s="139"/>
      <c r="P104" s="141"/>
      <c r="Q104" s="141"/>
      <c r="R104" s="138"/>
      <c r="S104" s="138"/>
      <c r="T104" s="141"/>
      <c r="V104" s="143"/>
      <c r="X104" s="144"/>
      <c r="Y104" s="145"/>
      <c r="Z104" s="146"/>
      <c r="AA104" s="146"/>
      <c r="AB104" s="144"/>
      <c r="AC104" s="146"/>
      <c r="AD104" s="145"/>
      <c r="AE104" s="145"/>
      <c r="AF104" s="146"/>
      <c r="AG104" s="146"/>
      <c r="AH104" s="140"/>
    </row>
    <row r="105" spans="1:34" ht="15" customHeight="1" thickBot="1" x14ac:dyDescent="0.3">
      <c r="C105" s="139"/>
      <c r="P105" s="141"/>
      <c r="Q105" s="141"/>
      <c r="R105" s="138"/>
      <c r="S105" s="138"/>
      <c r="T105" s="141"/>
      <c r="V105" s="143"/>
      <c r="X105" s="144"/>
      <c r="Y105" s="145"/>
      <c r="Z105" s="146"/>
      <c r="AA105" s="146"/>
      <c r="AB105" s="144"/>
      <c r="AC105" s="146"/>
      <c r="AD105" s="145"/>
      <c r="AE105" s="145"/>
      <c r="AF105" s="146"/>
      <c r="AG105" s="146"/>
      <c r="AH105" s="140"/>
    </row>
    <row r="106" spans="1:34" ht="43.5" customHeight="1" x14ac:dyDescent="0.25">
      <c r="A106" s="372" t="s">
        <v>377</v>
      </c>
      <c r="B106" s="373" t="s">
        <v>378</v>
      </c>
      <c r="C106" s="373" t="s">
        <v>370</v>
      </c>
      <c r="D106" s="373" t="s">
        <v>371</v>
      </c>
      <c r="E106" s="374" t="s">
        <v>372</v>
      </c>
      <c r="P106" s="141"/>
      <c r="Q106" s="141"/>
      <c r="R106" s="138"/>
      <c r="S106" s="138"/>
      <c r="T106" s="141"/>
      <c r="V106" s="143"/>
      <c r="X106" s="144"/>
      <c r="Y106" s="145"/>
      <c r="Z106" s="146"/>
      <c r="AA106" s="146"/>
      <c r="AB106" s="144"/>
      <c r="AC106" s="146"/>
      <c r="AD106" s="145"/>
      <c r="AE106" s="145"/>
      <c r="AF106" s="146"/>
      <c r="AG106" s="146"/>
      <c r="AH106" s="140"/>
    </row>
    <row r="107" spans="1:34" ht="15" customHeight="1" x14ac:dyDescent="0.25">
      <c r="A107" s="375">
        <v>2010</v>
      </c>
      <c r="B107" s="150" t="s">
        <v>380</v>
      </c>
      <c r="C107" s="368">
        <v>195.64528853735854</v>
      </c>
      <c r="D107" s="368">
        <v>18.816336760442184</v>
      </c>
      <c r="E107" s="410">
        <v>214.46162529780071</v>
      </c>
      <c r="P107" s="141"/>
      <c r="Q107" s="141"/>
      <c r="R107" s="138"/>
      <c r="S107" s="138"/>
      <c r="T107" s="141"/>
      <c r="V107" s="143"/>
      <c r="X107" s="144"/>
      <c r="Y107" s="145"/>
      <c r="Z107" s="146"/>
      <c r="AA107" s="146"/>
      <c r="AB107" s="144"/>
      <c r="AC107" s="146"/>
      <c r="AD107" s="145"/>
      <c r="AE107" s="145"/>
      <c r="AF107" s="146"/>
      <c r="AG107" s="146"/>
      <c r="AH107" s="140"/>
    </row>
    <row r="108" spans="1:34" ht="15" customHeight="1" x14ac:dyDescent="0.25">
      <c r="A108" s="375">
        <v>2011</v>
      </c>
      <c r="B108" s="150" t="s">
        <v>380</v>
      </c>
      <c r="C108" s="368">
        <v>172.15223026121654</v>
      </c>
      <c r="D108" s="368">
        <v>11.448293880769233</v>
      </c>
      <c r="E108" s="410">
        <v>172.15223026121654</v>
      </c>
      <c r="P108" s="138"/>
      <c r="Q108" s="138"/>
      <c r="R108" s="138"/>
      <c r="S108" s="138"/>
      <c r="T108" s="141"/>
      <c r="V108" s="143"/>
      <c r="X108" s="144"/>
      <c r="Y108" s="145"/>
      <c r="Z108" s="146"/>
      <c r="AA108" s="146"/>
      <c r="AB108" s="144"/>
      <c r="AC108" s="146"/>
      <c r="AD108" s="145"/>
      <c r="AE108" s="145"/>
      <c r="AF108" s="146"/>
      <c r="AG108" s="146"/>
      <c r="AH108" s="140"/>
    </row>
    <row r="109" spans="1:34" ht="15" customHeight="1" x14ac:dyDescent="0.25">
      <c r="A109" s="375">
        <v>2012</v>
      </c>
      <c r="B109" s="150" t="s">
        <v>380</v>
      </c>
      <c r="C109" s="368">
        <v>110.05341441148201</v>
      </c>
      <c r="D109" s="368">
        <v>7.3535743392958315</v>
      </c>
      <c r="E109" s="410">
        <v>110.05341441148201</v>
      </c>
      <c r="P109" s="138"/>
      <c r="Q109" s="138"/>
      <c r="R109" s="138"/>
      <c r="S109" s="138"/>
      <c r="T109" s="141"/>
      <c r="V109" s="143"/>
      <c r="X109" s="144"/>
      <c r="Y109" s="145"/>
      <c r="Z109" s="146"/>
      <c r="AA109" s="146"/>
      <c r="AB109" s="144"/>
      <c r="AC109" s="146"/>
      <c r="AD109" s="145"/>
      <c r="AE109" s="145"/>
      <c r="AF109" s="146"/>
      <c r="AG109" s="146"/>
      <c r="AH109" s="140"/>
    </row>
    <row r="110" spans="1:34" ht="15" customHeight="1" x14ac:dyDescent="0.25">
      <c r="A110" s="375">
        <v>2013</v>
      </c>
      <c r="B110" s="150" t="s">
        <v>380</v>
      </c>
      <c r="C110" s="368">
        <v>108.0265235865747</v>
      </c>
      <c r="D110" s="368">
        <v>7.9819749277088041</v>
      </c>
      <c r="E110" s="410">
        <v>108.0265235865747</v>
      </c>
      <c r="P110" s="138"/>
      <c r="Q110" s="138"/>
      <c r="R110" s="138"/>
      <c r="S110" s="138"/>
      <c r="T110" s="141"/>
      <c r="V110" s="143"/>
      <c r="X110" s="144"/>
      <c r="Y110" s="145"/>
      <c r="Z110" s="146"/>
      <c r="AA110" s="146"/>
      <c r="AB110" s="144"/>
      <c r="AC110" s="146"/>
      <c r="AD110" s="145"/>
      <c r="AE110" s="145"/>
      <c r="AF110" s="146"/>
      <c r="AG110" s="146"/>
      <c r="AH110" s="140"/>
    </row>
    <row r="111" spans="1:34" ht="15" customHeight="1" x14ac:dyDescent="0.25">
      <c r="A111" s="375">
        <v>2014</v>
      </c>
      <c r="B111" s="150" t="s">
        <v>380</v>
      </c>
      <c r="C111" s="368">
        <v>138.87462241391327</v>
      </c>
      <c r="D111" s="368">
        <v>6.8105136161580662</v>
      </c>
      <c r="E111" s="410">
        <v>6.8105136161580662</v>
      </c>
      <c r="P111" s="141"/>
      <c r="Q111" s="141"/>
      <c r="R111" s="138"/>
      <c r="S111" s="138"/>
      <c r="T111" s="141"/>
      <c r="V111" s="143"/>
      <c r="X111" s="144"/>
      <c r="Y111" s="145"/>
      <c r="Z111" s="146"/>
      <c r="AA111" s="146"/>
      <c r="AB111" s="144"/>
      <c r="AC111" s="146"/>
      <c r="AD111" s="145"/>
      <c r="AE111" s="145"/>
      <c r="AF111" s="146"/>
      <c r="AG111" s="146"/>
      <c r="AH111" s="140"/>
    </row>
    <row r="112" spans="1:34" ht="15" customHeight="1" x14ac:dyDescent="0.25">
      <c r="A112" s="375">
        <v>2015</v>
      </c>
      <c r="B112" s="150" t="s">
        <v>380</v>
      </c>
      <c r="C112" s="368">
        <v>48.77008445508924</v>
      </c>
      <c r="D112" s="368">
        <v>2.771461170711881</v>
      </c>
      <c r="E112" s="410">
        <v>2.771461170711881</v>
      </c>
      <c r="P112" s="141"/>
      <c r="Q112" s="141"/>
      <c r="R112" s="138"/>
      <c r="S112" s="138"/>
      <c r="T112" s="141"/>
      <c r="V112" s="143"/>
      <c r="X112" s="144"/>
      <c r="Y112" s="145"/>
      <c r="Z112" s="146"/>
      <c r="AA112" s="146"/>
      <c r="AB112" s="144"/>
      <c r="AC112" s="146"/>
      <c r="AD112" s="145"/>
      <c r="AE112" s="145"/>
      <c r="AF112" s="146"/>
      <c r="AG112" s="146"/>
      <c r="AH112" s="140"/>
    </row>
    <row r="113" spans="1:34" ht="15" customHeight="1" x14ac:dyDescent="0.25">
      <c r="A113" s="375">
        <v>2016</v>
      </c>
      <c r="B113" s="150" t="s">
        <v>380</v>
      </c>
      <c r="C113" s="368">
        <v>202.21395837727616</v>
      </c>
      <c r="D113" s="368">
        <v>10.511885042972185</v>
      </c>
      <c r="E113" s="410">
        <v>202.21395837727616</v>
      </c>
      <c r="P113" s="141"/>
      <c r="Q113" s="141"/>
      <c r="R113" s="138"/>
      <c r="S113" s="138"/>
      <c r="T113" s="141"/>
      <c r="V113" s="143"/>
      <c r="X113" s="144"/>
      <c r="Y113" s="145"/>
      <c r="Z113" s="146"/>
      <c r="AA113" s="146"/>
      <c r="AB113" s="144"/>
      <c r="AC113" s="146"/>
      <c r="AD113" s="145"/>
      <c r="AE113" s="145"/>
      <c r="AF113" s="146"/>
      <c r="AG113" s="146"/>
      <c r="AH113" s="140"/>
    </row>
    <row r="114" spans="1:34" ht="15" customHeight="1" x14ac:dyDescent="0.25">
      <c r="A114" s="377">
        <v>2010</v>
      </c>
      <c r="B114" s="150" t="s">
        <v>218</v>
      </c>
      <c r="C114" s="368">
        <v>1370.2617440720446</v>
      </c>
      <c r="D114" s="368">
        <v>694.64980608729559</v>
      </c>
      <c r="E114" s="410">
        <v>2064.9115501593401</v>
      </c>
      <c r="P114" s="141"/>
      <c r="Q114" s="141"/>
      <c r="R114" s="138"/>
      <c r="S114" s="138"/>
      <c r="T114" s="141"/>
      <c r="V114" s="143"/>
      <c r="X114" s="144"/>
      <c r="Y114" s="145"/>
      <c r="Z114" s="146"/>
      <c r="AA114" s="146"/>
      <c r="AB114" s="144"/>
      <c r="AC114" s="146"/>
      <c r="AD114" s="145"/>
      <c r="AE114" s="145"/>
      <c r="AF114" s="146"/>
      <c r="AG114" s="146"/>
      <c r="AH114" s="140"/>
    </row>
    <row r="115" spans="1:34" ht="15" customHeight="1" x14ac:dyDescent="0.25">
      <c r="A115" s="377">
        <v>2011</v>
      </c>
      <c r="B115" s="150" t="s">
        <v>218</v>
      </c>
      <c r="C115" s="368">
        <v>1349.2327910692832</v>
      </c>
      <c r="D115" s="368">
        <v>427.43847752021378</v>
      </c>
      <c r="E115" s="410">
        <v>1776.671268589497</v>
      </c>
      <c r="P115" s="141"/>
      <c r="Q115" s="141"/>
      <c r="R115" s="138"/>
      <c r="S115" s="138"/>
      <c r="T115" s="141"/>
      <c r="V115" s="143"/>
      <c r="X115" s="144"/>
      <c r="Y115" s="145"/>
      <c r="Z115" s="146"/>
      <c r="AA115" s="146"/>
      <c r="AB115" s="144"/>
      <c r="AC115" s="146"/>
      <c r="AD115" s="145"/>
      <c r="AE115" s="145"/>
      <c r="AF115" s="146"/>
      <c r="AG115" s="146"/>
      <c r="AH115" s="140"/>
    </row>
    <row r="116" spans="1:34" ht="15" customHeight="1" x14ac:dyDescent="0.25">
      <c r="A116" s="377">
        <v>2012</v>
      </c>
      <c r="B116" s="150" t="s">
        <v>218</v>
      </c>
      <c r="C116" s="368">
        <v>1418.8938653300704</v>
      </c>
      <c r="D116" s="368">
        <v>440.92113507071014</v>
      </c>
      <c r="E116" s="410">
        <v>1859.8150004007805</v>
      </c>
      <c r="P116" s="141"/>
      <c r="Q116" s="141"/>
      <c r="R116" s="138"/>
      <c r="S116" s="138"/>
      <c r="T116" s="141"/>
      <c r="V116" s="143"/>
      <c r="X116" s="144"/>
      <c r="Y116" s="145"/>
      <c r="Z116" s="146"/>
      <c r="AA116" s="146"/>
      <c r="AB116" s="144"/>
      <c r="AC116" s="146"/>
      <c r="AD116" s="145"/>
      <c r="AE116" s="145"/>
      <c r="AF116" s="146"/>
      <c r="AG116" s="146"/>
      <c r="AH116" s="140"/>
    </row>
    <row r="117" spans="1:34" ht="15" customHeight="1" x14ac:dyDescent="0.25">
      <c r="A117" s="377">
        <v>2013</v>
      </c>
      <c r="B117" s="150" t="s">
        <v>218</v>
      </c>
      <c r="C117" s="368">
        <v>2123.5591020477536</v>
      </c>
      <c r="D117" s="368">
        <v>964.80871128171418</v>
      </c>
      <c r="E117" s="410">
        <v>3088.3678133294679</v>
      </c>
      <c r="P117" s="141"/>
      <c r="Q117" s="141"/>
      <c r="R117" s="138"/>
      <c r="S117" s="138"/>
      <c r="T117" s="141"/>
      <c r="V117" s="143"/>
      <c r="X117" s="144"/>
      <c r="Y117" s="145"/>
      <c r="Z117" s="146"/>
      <c r="AA117" s="146"/>
      <c r="AB117" s="144"/>
      <c r="AC117" s="146"/>
      <c r="AD117" s="145"/>
      <c r="AE117" s="145"/>
      <c r="AF117" s="146"/>
      <c r="AG117" s="146"/>
      <c r="AH117" s="140"/>
    </row>
    <row r="118" spans="1:34" ht="15" customHeight="1" x14ac:dyDescent="0.25">
      <c r="A118" s="377">
        <v>2014</v>
      </c>
      <c r="B118" s="150" t="s">
        <v>218</v>
      </c>
      <c r="C118" s="368">
        <v>1380.221531470655</v>
      </c>
      <c r="D118" s="368">
        <v>901.50318479901875</v>
      </c>
      <c r="E118" s="410">
        <v>2281.724716269674</v>
      </c>
      <c r="P118" s="141"/>
      <c r="Q118" s="141"/>
      <c r="R118" s="138"/>
      <c r="S118" s="138"/>
      <c r="T118" s="141"/>
      <c r="V118" s="143"/>
      <c r="X118" s="144"/>
      <c r="Y118" s="145"/>
      <c r="Z118" s="146"/>
      <c r="AA118" s="146"/>
      <c r="AB118" s="144"/>
      <c r="AC118" s="146"/>
      <c r="AD118" s="145"/>
      <c r="AE118" s="145"/>
      <c r="AF118" s="146"/>
      <c r="AG118" s="146"/>
      <c r="AH118" s="140"/>
    </row>
    <row r="119" spans="1:34" ht="15" customHeight="1" x14ac:dyDescent="0.25">
      <c r="A119" s="377">
        <v>2015</v>
      </c>
      <c r="B119" s="150" t="s">
        <v>218</v>
      </c>
      <c r="C119" s="368">
        <v>3293.200842477826</v>
      </c>
      <c r="D119" s="368">
        <v>950.0353305263103</v>
      </c>
      <c r="E119" s="410">
        <v>4243.2361730041366</v>
      </c>
      <c r="P119" s="141"/>
      <c r="Q119" s="141"/>
      <c r="R119" s="138"/>
      <c r="S119" s="138"/>
      <c r="T119" s="141"/>
      <c r="V119" s="143"/>
      <c r="X119" s="144"/>
      <c r="Y119" s="145"/>
      <c r="Z119" s="146"/>
      <c r="AA119" s="146"/>
      <c r="AB119" s="144"/>
      <c r="AC119" s="146"/>
      <c r="AD119" s="145"/>
      <c r="AE119" s="145"/>
      <c r="AF119" s="146"/>
      <c r="AG119" s="146"/>
      <c r="AH119" s="140"/>
    </row>
    <row r="120" spans="1:34" ht="15" customHeight="1" x14ac:dyDescent="0.25">
      <c r="A120" s="377">
        <v>2016</v>
      </c>
      <c r="B120" s="150" t="s">
        <v>218</v>
      </c>
      <c r="C120" s="368">
        <v>1593.6294175317676</v>
      </c>
      <c r="D120" s="368">
        <v>478.60711165259568</v>
      </c>
      <c r="E120" s="410">
        <v>2072.2365291843635</v>
      </c>
      <c r="P120" s="141"/>
      <c r="Q120" s="141"/>
      <c r="R120" s="138"/>
      <c r="S120" s="138"/>
      <c r="T120" s="141"/>
      <c r="V120" s="143"/>
      <c r="X120" s="144"/>
      <c r="Y120" s="145"/>
      <c r="Z120" s="146"/>
      <c r="AA120" s="146"/>
      <c r="AB120" s="144"/>
      <c r="AC120" s="146"/>
      <c r="AD120" s="145"/>
      <c r="AE120" s="145"/>
      <c r="AF120" s="146"/>
      <c r="AG120" s="146"/>
      <c r="AH120" s="140"/>
    </row>
    <row r="121" spans="1:34" ht="15" customHeight="1" x14ac:dyDescent="0.25">
      <c r="A121" s="375">
        <v>2010</v>
      </c>
      <c r="B121" s="150" t="s">
        <v>381</v>
      </c>
      <c r="C121" s="368">
        <v>194.87072599794371</v>
      </c>
      <c r="D121" s="368">
        <v>37.604494198401625</v>
      </c>
      <c r="E121" s="410">
        <v>232.47522019634533</v>
      </c>
      <c r="P121" s="141"/>
      <c r="Q121" s="141"/>
      <c r="R121" s="138"/>
      <c r="S121" s="138"/>
      <c r="T121" s="141"/>
      <c r="V121" s="143"/>
      <c r="X121" s="144"/>
      <c r="Y121" s="145"/>
      <c r="Z121" s="146"/>
      <c r="AA121" s="146"/>
      <c r="AB121" s="144"/>
      <c r="AC121" s="146"/>
      <c r="AD121" s="145"/>
      <c r="AE121" s="145"/>
      <c r="AF121" s="146"/>
      <c r="AG121" s="146"/>
      <c r="AH121" s="140"/>
    </row>
    <row r="122" spans="1:34" ht="15" customHeight="1" x14ac:dyDescent="0.25">
      <c r="A122" s="375">
        <v>2011</v>
      </c>
      <c r="B122" s="150" t="s">
        <v>381</v>
      </c>
      <c r="C122" s="368">
        <v>129.96518533100118</v>
      </c>
      <c r="D122" s="368">
        <v>23.411875575430212</v>
      </c>
      <c r="E122" s="410">
        <v>153.37706090643138</v>
      </c>
      <c r="P122" s="141"/>
      <c r="Q122" s="141"/>
      <c r="R122" s="138"/>
      <c r="S122" s="138"/>
      <c r="T122" s="141"/>
      <c r="V122" s="143"/>
      <c r="X122" s="144"/>
      <c r="Y122" s="145"/>
      <c r="Z122" s="146"/>
      <c r="AA122" s="146"/>
      <c r="AB122" s="144"/>
      <c r="AC122" s="146"/>
      <c r="AD122" s="145"/>
      <c r="AE122" s="145"/>
      <c r="AF122" s="146"/>
      <c r="AG122" s="146"/>
      <c r="AH122" s="140"/>
    </row>
    <row r="123" spans="1:34" ht="15" customHeight="1" x14ac:dyDescent="0.25">
      <c r="A123" s="375">
        <v>2012</v>
      </c>
      <c r="B123" s="150" t="s">
        <v>381</v>
      </c>
      <c r="C123" s="368">
        <v>158.09504282515769</v>
      </c>
      <c r="D123" s="368">
        <v>24.810166446207734</v>
      </c>
      <c r="E123" s="410">
        <v>182.90520927136544</v>
      </c>
      <c r="P123" s="141"/>
      <c r="Q123" s="141"/>
      <c r="R123" s="138"/>
      <c r="S123" s="138"/>
      <c r="T123" s="141"/>
      <c r="V123" s="143"/>
      <c r="X123" s="144"/>
      <c r="Y123" s="145"/>
      <c r="Z123" s="146"/>
      <c r="AA123" s="146"/>
      <c r="AB123" s="144"/>
      <c r="AC123" s="146"/>
      <c r="AD123" s="145"/>
      <c r="AE123" s="145"/>
      <c r="AF123" s="146"/>
      <c r="AG123" s="146"/>
      <c r="AH123" s="140"/>
    </row>
    <row r="124" spans="1:34" ht="15" customHeight="1" x14ac:dyDescent="0.25">
      <c r="A124" s="375">
        <v>2013</v>
      </c>
      <c r="B124" s="150" t="s">
        <v>381</v>
      </c>
      <c r="C124" s="368">
        <v>30.652460214662359</v>
      </c>
      <c r="D124" s="368">
        <v>3.635646171809424</v>
      </c>
      <c r="E124" s="410">
        <v>34.288106386471782</v>
      </c>
      <c r="P124" s="141"/>
      <c r="Q124" s="141"/>
      <c r="R124" s="138"/>
      <c r="S124" s="138"/>
      <c r="T124" s="141"/>
      <c r="V124" s="143"/>
      <c r="X124" s="144"/>
      <c r="Y124" s="145"/>
      <c r="Z124" s="146"/>
      <c r="AA124" s="146"/>
      <c r="AB124" s="144"/>
      <c r="AC124" s="146"/>
      <c r="AD124" s="145"/>
      <c r="AE124" s="145"/>
      <c r="AF124" s="146"/>
      <c r="AG124" s="146"/>
      <c r="AH124" s="140"/>
    </row>
    <row r="125" spans="1:34" ht="15" customHeight="1" x14ac:dyDescent="0.25">
      <c r="A125" s="375">
        <v>2014</v>
      </c>
      <c r="B125" s="150" t="s">
        <v>381</v>
      </c>
      <c r="C125" s="368">
        <v>47.865875333121366</v>
      </c>
      <c r="D125" s="368">
        <v>4.6360950812822992</v>
      </c>
      <c r="E125" s="410">
        <v>52.501970414403665</v>
      </c>
      <c r="P125" s="141"/>
      <c r="Q125" s="141"/>
      <c r="R125" s="138"/>
      <c r="S125" s="138"/>
      <c r="T125" s="141"/>
      <c r="V125" s="143"/>
      <c r="X125" s="144"/>
      <c r="Y125" s="145"/>
      <c r="Z125" s="146"/>
      <c r="AA125" s="146"/>
      <c r="AB125" s="144"/>
      <c r="AC125" s="146"/>
      <c r="AD125" s="145"/>
      <c r="AE125" s="145"/>
      <c r="AF125" s="146"/>
      <c r="AG125" s="146"/>
      <c r="AH125" s="140"/>
    </row>
    <row r="126" spans="1:34" ht="15" customHeight="1" x14ac:dyDescent="0.25">
      <c r="A126" s="375">
        <v>2015</v>
      </c>
      <c r="B126" s="150" t="s">
        <v>381</v>
      </c>
      <c r="C126" s="368">
        <v>60.125013022414848</v>
      </c>
      <c r="D126" s="368">
        <v>3.919754781464269</v>
      </c>
      <c r="E126" s="410">
        <v>64.044767803879111</v>
      </c>
      <c r="P126" s="141"/>
      <c r="Q126" s="141"/>
      <c r="R126" s="138"/>
      <c r="S126" s="138"/>
      <c r="T126" s="141"/>
      <c r="V126" s="143"/>
      <c r="X126" s="144"/>
      <c r="Y126" s="145"/>
      <c r="Z126" s="146"/>
      <c r="AA126" s="146"/>
      <c r="AB126" s="144"/>
      <c r="AC126" s="146"/>
      <c r="AD126" s="145"/>
      <c r="AE126" s="145"/>
      <c r="AF126" s="146"/>
      <c r="AG126" s="146"/>
      <c r="AH126" s="140"/>
    </row>
    <row r="127" spans="1:34" ht="15" customHeight="1" thickBot="1" x14ac:dyDescent="0.3">
      <c r="A127" s="378">
        <v>2016</v>
      </c>
      <c r="B127" s="379" t="s">
        <v>381</v>
      </c>
      <c r="C127" s="381">
        <v>13.675789284232314</v>
      </c>
      <c r="D127" s="381">
        <v>1.8022016077630894</v>
      </c>
      <c r="E127" s="411">
        <v>15.477990891995404</v>
      </c>
      <c r="P127" s="141"/>
      <c r="Q127" s="141"/>
      <c r="R127" s="138"/>
      <c r="S127" s="138"/>
      <c r="T127" s="141"/>
      <c r="V127" s="143"/>
      <c r="X127" s="144"/>
      <c r="Y127" s="145"/>
      <c r="Z127" s="146"/>
      <c r="AA127" s="146"/>
      <c r="AB127" s="144"/>
      <c r="AC127" s="146"/>
      <c r="AD127" s="145"/>
      <c r="AE127" s="145"/>
      <c r="AF127" s="146"/>
      <c r="AG127" s="146"/>
      <c r="AH127" s="140"/>
    </row>
    <row r="128" spans="1:34" ht="15" customHeight="1" x14ac:dyDescent="0.25">
      <c r="P128" s="141"/>
      <c r="Q128" s="141"/>
      <c r="R128" s="138"/>
      <c r="S128" s="138"/>
      <c r="T128" s="141"/>
      <c r="V128" s="143"/>
      <c r="X128" s="144"/>
      <c r="Y128" s="145"/>
      <c r="Z128" s="146"/>
      <c r="AA128" s="146"/>
      <c r="AB128" s="144"/>
      <c r="AC128" s="146"/>
      <c r="AD128" s="145"/>
      <c r="AE128" s="145"/>
      <c r="AF128" s="146"/>
      <c r="AG128" s="146"/>
      <c r="AH128" s="140"/>
    </row>
    <row r="129" spans="3:34" ht="15" customHeight="1" x14ac:dyDescent="0.25">
      <c r="C129" s="139"/>
      <c r="P129" s="141"/>
      <c r="Q129" s="141"/>
      <c r="R129" s="138"/>
      <c r="S129" s="138"/>
      <c r="T129" s="141"/>
      <c r="V129" s="143"/>
      <c r="X129" s="144"/>
      <c r="Y129" s="145"/>
      <c r="Z129" s="146"/>
      <c r="AA129" s="146"/>
      <c r="AB129" s="144"/>
      <c r="AC129" s="146"/>
      <c r="AD129" s="145"/>
      <c r="AE129" s="145"/>
      <c r="AF129" s="146"/>
      <c r="AG129" s="146"/>
      <c r="AH129" s="140"/>
    </row>
    <row r="130" spans="3:34" ht="15" customHeight="1" x14ac:dyDescent="0.25">
      <c r="C130" s="139"/>
      <c r="P130" s="141"/>
      <c r="Q130" s="141"/>
      <c r="R130" s="138"/>
      <c r="S130" s="138"/>
      <c r="T130" s="141"/>
      <c r="V130" s="143"/>
      <c r="X130" s="144"/>
      <c r="Y130" s="145"/>
      <c r="Z130" s="146"/>
      <c r="AA130" s="146"/>
      <c r="AB130" s="144"/>
      <c r="AC130" s="146"/>
      <c r="AD130" s="145"/>
      <c r="AE130" s="145"/>
      <c r="AF130" s="146"/>
      <c r="AG130" s="146"/>
      <c r="AH130" s="140"/>
    </row>
    <row r="131" spans="3:34" ht="15" customHeight="1" x14ac:dyDescent="0.25">
      <c r="C131" s="139"/>
      <c r="P131" s="141"/>
      <c r="Q131" s="141"/>
      <c r="R131" s="138"/>
      <c r="S131" s="138"/>
      <c r="T131" s="141"/>
      <c r="V131" s="143"/>
      <c r="X131" s="144"/>
      <c r="Y131" s="145"/>
      <c r="Z131" s="146"/>
      <c r="AA131" s="146"/>
      <c r="AB131" s="144"/>
      <c r="AC131" s="146"/>
      <c r="AD131" s="145"/>
      <c r="AE131" s="145"/>
      <c r="AF131" s="146"/>
      <c r="AG131" s="146"/>
      <c r="AH131" s="140"/>
    </row>
    <row r="132" spans="3:34" ht="15" customHeight="1" x14ac:dyDescent="0.25">
      <c r="C132" s="139"/>
      <c r="P132" s="141"/>
      <c r="Q132" s="141"/>
      <c r="R132" s="138"/>
      <c r="S132" s="138"/>
      <c r="T132" s="141"/>
      <c r="V132" s="143"/>
      <c r="X132" s="144"/>
      <c r="Y132" s="145"/>
      <c r="Z132" s="146"/>
      <c r="AA132" s="146"/>
      <c r="AB132" s="144"/>
      <c r="AC132" s="146"/>
      <c r="AD132" s="145"/>
      <c r="AE132" s="145"/>
      <c r="AF132" s="146"/>
      <c r="AG132" s="146"/>
      <c r="AH132" s="140"/>
    </row>
    <row r="133" spans="3:34" ht="15" customHeight="1" x14ac:dyDescent="0.25">
      <c r="C133" s="139"/>
      <c r="P133" s="141"/>
      <c r="Q133" s="141"/>
      <c r="R133" s="138"/>
      <c r="S133" s="138"/>
      <c r="T133" s="141"/>
      <c r="V133" s="143"/>
      <c r="X133" s="144"/>
      <c r="Y133" s="145"/>
      <c r="Z133" s="146"/>
      <c r="AA133" s="146"/>
      <c r="AB133" s="144"/>
      <c r="AC133" s="146"/>
      <c r="AD133" s="145"/>
      <c r="AE133" s="145"/>
      <c r="AF133" s="146"/>
      <c r="AG133" s="146"/>
      <c r="AH133" s="140"/>
    </row>
    <row r="134" spans="3:34" ht="15" customHeight="1" x14ac:dyDescent="0.25">
      <c r="C134" s="139"/>
      <c r="P134" s="141"/>
      <c r="Q134" s="141"/>
      <c r="R134" s="138"/>
      <c r="S134" s="138"/>
      <c r="T134" s="141"/>
      <c r="V134" s="143"/>
      <c r="X134" s="144"/>
      <c r="Y134" s="145"/>
      <c r="Z134" s="146"/>
      <c r="AA134" s="146"/>
      <c r="AB134" s="144"/>
      <c r="AC134" s="146"/>
      <c r="AD134" s="145"/>
      <c r="AE134" s="145"/>
      <c r="AF134" s="146"/>
      <c r="AG134" s="146"/>
      <c r="AH134" s="140"/>
    </row>
    <row r="135" spans="3:34" ht="15" customHeight="1" x14ac:dyDescent="0.25">
      <c r="C135" s="139"/>
      <c r="P135" s="141"/>
      <c r="Q135" s="141"/>
      <c r="R135" s="138"/>
      <c r="S135" s="138"/>
      <c r="T135" s="141"/>
      <c r="V135" s="143"/>
      <c r="X135" s="144"/>
      <c r="Y135" s="145"/>
      <c r="Z135" s="146"/>
      <c r="AA135" s="146"/>
      <c r="AB135" s="144"/>
      <c r="AC135" s="146"/>
      <c r="AD135" s="145"/>
      <c r="AE135" s="145"/>
      <c r="AF135" s="146"/>
      <c r="AG135" s="146"/>
      <c r="AH135" s="140"/>
    </row>
    <row r="136" spans="3:34" ht="15" customHeight="1" x14ac:dyDescent="0.25">
      <c r="C136" s="139"/>
      <c r="P136" s="141"/>
      <c r="Q136" s="141"/>
      <c r="R136" s="138"/>
      <c r="S136" s="138"/>
      <c r="T136" s="141"/>
      <c r="V136" s="143"/>
      <c r="X136" s="144"/>
      <c r="Y136" s="145"/>
      <c r="Z136" s="146"/>
      <c r="AA136" s="146"/>
      <c r="AB136" s="144"/>
      <c r="AC136" s="146"/>
      <c r="AD136" s="145"/>
      <c r="AE136" s="145"/>
      <c r="AF136" s="146"/>
      <c r="AG136" s="146"/>
      <c r="AH136" s="140"/>
    </row>
    <row r="137" spans="3:34" ht="15" customHeight="1" x14ac:dyDescent="0.25">
      <c r="C137" s="139"/>
      <c r="P137" s="141"/>
      <c r="Q137" s="141"/>
      <c r="R137" s="138"/>
      <c r="S137" s="138"/>
      <c r="T137" s="141"/>
      <c r="V137" s="143"/>
      <c r="X137" s="144"/>
      <c r="Y137" s="145"/>
      <c r="Z137" s="146"/>
      <c r="AA137" s="146"/>
      <c r="AB137" s="144"/>
      <c r="AC137" s="146"/>
      <c r="AD137" s="145"/>
      <c r="AE137" s="145"/>
      <c r="AF137" s="146"/>
      <c r="AG137" s="146"/>
      <c r="AH137" s="140"/>
    </row>
    <row r="138" spans="3:34" ht="15" customHeight="1" x14ac:dyDescent="0.25">
      <c r="C138" s="139"/>
      <c r="P138" s="141"/>
      <c r="Q138" s="141"/>
      <c r="R138" s="138"/>
      <c r="S138" s="138"/>
      <c r="T138" s="141"/>
      <c r="V138" s="143"/>
      <c r="X138" s="144"/>
      <c r="Y138" s="145"/>
      <c r="Z138" s="146"/>
      <c r="AA138" s="146"/>
      <c r="AB138" s="144"/>
      <c r="AC138" s="146"/>
      <c r="AD138" s="145"/>
      <c r="AE138" s="145"/>
      <c r="AF138" s="146"/>
      <c r="AG138" s="146"/>
      <c r="AH138" s="140"/>
    </row>
    <row r="139" spans="3:34" ht="15" customHeight="1" x14ac:dyDescent="0.25">
      <c r="C139" s="139"/>
      <c r="P139" s="141"/>
      <c r="Q139" s="141"/>
      <c r="R139" s="138"/>
      <c r="S139" s="138"/>
      <c r="T139" s="141"/>
      <c r="V139" s="143"/>
      <c r="X139" s="144"/>
      <c r="Y139" s="145"/>
      <c r="Z139" s="146"/>
      <c r="AA139" s="146"/>
      <c r="AB139" s="144"/>
      <c r="AC139" s="146"/>
      <c r="AD139" s="145"/>
      <c r="AE139" s="145"/>
      <c r="AF139" s="146"/>
      <c r="AG139" s="146"/>
      <c r="AH139" s="140"/>
    </row>
    <row r="140" spans="3:34" ht="15" customHeight="1" x14ac:dyDescent="0.25">
      <c r="C140" s="139"/>
      <c r="P140" s="141"/>
      <c r="Q140" s="141"/>
      <c r="R140" s="138"/>
      <c r="S140" s="138"/>
      <c r="T140" s="141"/>
      <c r="V140" s="143"/>
      <c r="X140" s="144"/>
      <c r="Y140" s="145"/>
      <c r="Z140" s="146"/>
      <c r="AA140" s="146"/>
      <c r="AB140" s="144"/>
      <c r="AC140" s="146"/>
      <c r="AD140" s="145"/>
      <c r="AE140" s="145"/>
      <c r="AF140" s="146"/>
      <c r="AG140" s="146"/>
      <c r="AH140" s="140"/>
    </row>
    <row r="141" spans="3:34" ht="15" customHeight="1" x14ac:dyDescent="0.25">
      <c r="C141" s="139"/>
      <c r="P141" s="141"/>
      <c r="Q141" s="141"/>
      <c r="R141" s="138"/>
      <c r="S141" s="138"/>
      <c r="T141" s="141"/>
      <c r="V141" s="143"/>
      <c r="X141" s="144"/>
      <c r="Y141" s="145"/>
      <c r="Z141" s="146"/>
      <c r="AA141" s="146"/>
      <c r="AB141" s="144"/>
      <c r="AC141" s="146"/>
      <c r="AD141" s="145"/>
      <c r="AE141" s="145"/>
      <c r="AF141" s="146"/>
      <c r="AG141" s="146"/>
      <c r="AH141" s="140"/>
    </row>
    <row r="142" spans="3:34" ht="15" customHeight="1" x14ac:dyDescent="0.25">
      <c r="C142" s="139"/>
      <c r="P142" s="141"/>
      <c r="Q142" s="141"/>
      <c r="R142" s="138"/>
      <c r="S142" s="138"/>
      <c r="T142" s="141"/>
      <c r="V142" s="143"/>
      <c r="X142" s="144"/>
      <c r="Y142" s="145"/>
      <c r="Z142" s="146"/>
      <c r="AA142" s="146"/>
      <c r="AB142" s="144"/>
      <c r="AC142" s="146"/>
      <c r="AD142" s="145"/>
      <c r="AE142" s="145"/>
      <c r="AF142" s="146"/>
      <c r="AG142" s="146"/>
      <c r="AH142" s="140"/>
    </row>
    <row r="143" spans="3:34" ht="15" customHeight="1" x14ac:dyDescent="0.25">
      <c r="C143" s="139"/>
      <c r="P143" s="141"/>
      <c r="Q143" s="141"/>
      <c r="R143" s="138"/>
      <c r="S143" s="138"/>
      <c r="T143" s="141"/>
      <c r="V143" s="143"/>
      <c r="X143" s="144"/>
      <c r="Y143" s="145"/>
      <c r="Z143" s="146"/>
      <c r="AA143" s="146"/>
      <c r="AB143" s="144"/>
      <c r="AC143" s="146"/>
      <c r="AD143" s="145"/>
      <c r="AE143" s="145"/>
      <c r="AF143" s="146"/>
      <c r="AG143" s="146"/>
      <c r="AH143" s="140"/>
    </row>
    <row r="144" spans="3:34" ht="15" customHeight="1" x14ac:dyDescent="0.25">
      <c r="C144" s="139"/>
      <c r="P144" s="141"/>
      <c r="Q144" s="141"/>
      <c r="R144" s="138"/>
      <c r="S144" s="138"/>
      <c r="T144" s="141"/>
      <c r="V144" s="143"/>
      <c r="X144" s="144"/>
      <c r="Y144" s="145"/>
      <c r="Z144" s="146"/>
      <c r="AA144" s="146"/>
      <c r="AB144" s="144"/>
      <c r="AC144" s="146"/>
      <c r="AD144" s="145"/>
      <c r="AE144" s="145"/>
      <c r="AF144" s="146"/>
      <c r="AG144" s="146"/>
      <c r="AH144" s="140"/>
    </row>
    <row r="145" spans="3:34" ht="15" customHeight="1" x14ac:dyDescent="0.25">
      <c r="C145" s="139"/>
      <c r="P145" s="141"/>
      <c r="Q145" s="141"/>
      <c r="R145" s="138"/>
      <c r="S145" s="138"/>
      <c r="T145" s="141"/>
      <c r="V145" s="143"/>
      <c r="X145" s="144"/>
      <c r="Y145" s="145"/>
      <c r="Z145" s="146"/>
      <c r="AA145" s="146"/>
      <c r="AB145" s="144"/>
      <c r="AC145" s="146"/>
      <c r="AD145" s="145"/>
      <c r="AE145" s="145"/>
      <c r="AF145" s="146"/>
      <c r="AG145" s="146"/>
      <c r="AH145" s="140"/>
    </row>
    <row r="146" spans="3:34" ht="15" customHeight="1" x14ac:dyDescent="0.25">
      <c r="C146" s="139"/>
      <c r="P146" s="141"/>
      <c r="Q146" s="141"/>
      <c r="R146" s="138"/>
      <c r="S146" s="138"/>
      <c r="T146" s="141"/>
      <c r="V146" s="143"/>
      <c r="X146" s="144"/>
      <c r="Y146" s="145"/>
      <c r="Z146" s="146"/>
      <c r="AA146" s="146"/>
      <c r="AB146" s="144"/>
      <c r="AC146" s="146"/>
      <c r="AD146" s="145"/>
      <c r="AE146" s="145"/>
      <c r="AF146" s="146"/>
      <c r="AG146" s="146"/>
      <c r="AH146" s="140"/>
    </row>
    <row r="147" spans="3:34" ht="15" customHeight="1" x14ac:dyDescent="0.25">
      <c r="C147" s="139"/>
      <c r="P147" s="141"/>
      <c r="Q147" s="141"/>
      <c r="R147" s="138"/>
      <c r="S147" s="138"/>
      <c r="T147" s="141"/>
      <c r="V147" s="143"/>
      <c r="X147" s="144"/>
      <c r="Y147" s="145"/>
      <c r="Z147" s="146"/>
      <c r="AA147" s="146"/>
      <c r="AB147" s="144"/>
      <c r="AC147" s="146"/>
      <c r="AD147" s="145"/>
      <c r="AE147" s="145"/>
      <c r="AF147" s="146"/>
      <c r="AG147" s="146"/>
      <c r="AH147" s="140"/>
    </row>
    <row r="148" spans="3:34" ht="15" customHeight="1" x14ac:dyDescent="0.25">
      <c r="C148" s="139"/>
      <c r="P148" s="141"/>
      <c r="Q148" s="141"/>
      <c r="R148" s="138"/>
      <c r="S148" s="138"/>
      <c r="T148" s="141"/>
      <c r="V148" s="143"/>
      <c r="X148" s="144"/>
      <c r="Y148" s="145"/>
      <c r="Z148" s="146"/>
      <c r="AA148" s="146"/>
      <c r="AB148" s="144"/>
      <c r="AC148" s="146"/>
      <c r="AD148" s="145"/>
      <c r="AE148" s="145"/>
      <c r="AF148" s="146"/>
      <c r="AG148" s="146"/>
      <c r="AH148" s="140"/>
    </row>
    <row r="149" spans="3:34" ht="15" customHeight="1" x14ac:dyDescent="0.25">
      <c r="C149" s="139"/>
      <c r="P149" s="141"/>
      <c r="Q149" s="141"/>
      <c r="R149" s="138"/>
      <c r="S149" s="138"/>
      <c r="T149" s="141"/>
      <c r="V149" s="143"/>
      <c r="X149" s="144"/>
      <c r="Y149" s="145"/>
      <c r="Z149" s="146"/>
      <c r="AA149" s="146"/>
      <c r="AB149" s="144"/>
      <c r="AC149" s="146"/>
      <c r="AD149" s="145"/>
      <c r="AE149" s="145"/>
      <c r="AF149" s="146"/>
      <c r="AG149" s="146"/>
      <c r="AH149" s="140"/>
    </row>
    <row r="150" spans="3:34" ht="15" customHeight="1" x14ac:dyDescent="0.25">
      <c r="C150" s="139"/>
      <c r="P150" s="138"/>
      <c r="Q150" s="138"/>
      <c r="R150" s="138"/>
      <c r="S150" s="138"/>
      <c r="T150" s="141"/>
      <c r="V150" s="143"/>
      <c r="X150" s="144"/>
      <c r="Y150" s="145"/>
      <c r="Z150" s="146"/>
      <c r="AA150" s="146"/>
      <c r="AB150" s="144"/>
      <c r="AC150" s="146"/>
      <c r="AD150" s="145"/>
      <c r="AE150" s="145"/>
      <c r="AF150" s="146"/>
      <c r="AG150" s="146"/>
      <c r="AH150" s="140"/>
    </row>
    <row r="151" spans="3:34" ht="15" customHeight="1" x14ac:dyDescent="0.25">
      <c r="C151" s="139"/>
      <c r="P151" s="138"/>
      <c r="Q151" s="138"/>
      <c r="R151" s="138"/>
      <c r="S151" s="138"/>
      <c r="T151" s="141"/>
      <c r="V151" s="143"/>
      <c r="X151" s="144"/>
      <c r="Y151" s="145"/>
      <c r="Z151" s="146"/>
      <c r="AA151" s="146"/>
      <c r="AB151" s="144"/>
      <c r="AC151" s="146"/>
      <c r="AD151" s="145"/>
      <c r="AE151" s="145"/>
      <c r="AF151" s="146"/>
      <c r="AG151" s="146"/>
      <c r="AH151" s="140"/>
    </row>
    <row r="152" spans="3:34" ht="15" customHeight="1" x14ac:dyDescent="0.25">
      <c r="C152" s="139"/>
      <c r="P152" s="138"/>
      <c r="Q152" s="138"/>
      <c r="R152" s="138"/>
      <c r="S152" s="138"/>
      <c r="T152" s="141"/>
      <c r="V152" s="143"/>
      <c r="X152" s="144"/>
      <c r="Y152" s="145"/>
      <c r="Z152" s="146"/>
      <c r="AA152" s="146"/>
      <c r="AB152" s="144"/>
      <c r="AC152" s="146"/>
      <c r="AD152" s="145"/>
      <c r="AE152" s="145"/>
      <c r="AF152" s="146"/>
      <c r="AG152" s="146"/>
      <c r="AH152" s="140"/>
    </row>
    <row r="153" spans="3:34" ht="15" customHeight="1" x14ac:dyDescent="0.25">
      <c r="C153" s="139"/>
      <c r="P153" s="138"/>
      <c r="Q153" s="138"/>
      <c r="R153" s="138"/>
      <c r="S153" s="138"/>
      <c r="T153" s="141"/>
      <c r="V153" s="143"/>
      <c r="X153" s="144"/>
      <c r="Y153" s="145"/>
      <c r="Z153" s="146"/>
      <c r="AA153" s="146"/>
      <c r="AB153" s="144"/>
      <c r="AC153" s="146"/>
      <c r="AD153" s="145"/>
      <c r="AE153" s="145"/>
      <c r="AF153" s="146"/>
      <c r="AG153" s="146"/>
      <c r="AH153" s="140"/>
    </row>
    <row r="154" spans="3:34" ht="15" customHeight="1" x14ac:dyDescent="0.25">
      <c r="C154" s="139"/>
      <c r="P154" s="138"/>
      <c r="Q154" s="138"/>
      <c r="R154" s="138"/>
      <c r="S154" s="138"/>
      <c r="T154" s="141"/>
      <c r="V154" s="143"/>
      <c r="X154" s="144"/>
      <c r="Y154" s="145"/>
      <c r="Z154" s="146"/>
      <c r="AA154" s="146"/>
      <c r="AB154" s="144"/>
      <c r="AC154" s="146"/>
      <c r="AD154" s="145"/>
      <c r="AE154" s="145"/>
      <c r="AF154" s="146"/>
      <c r="AG154" s="146"/>
      <c r="AH154" s="140"/>
    </row>
    <row r="155" spans="3:34" ht="15" customHeight="1" x14ac:dyDescent="0.25">
      <c r="C155" s="139"/>
      <c r="P155" s="138"/>
      <c r="Q155" s="138"/>
      <c r="R155" s="138"/>
      <c r="S155" s="138"/>
      <c r="T155" s="141"/>
      <c r="V155" s="143"/>
      <c r="X155" s="144"/>
      <c r="Y155" s="145"/>
      <c r="Z155" s="146"/>
      <c r="AA155" s="146"/>
      <c r="AB155" s="144"/>
      <c r="AC155" s="146"/>
      <c r="AD155" s="145"/>
      <c r="AE155" s="145"/>
      <c r="AF155" s="146"/>
      <c r="AG155" s="146"/>
      <c r="AH155" s="140"/>
    </row>
    <row r="156" spans="3:34" ht="15" customHeight="1" x14ac:dyDescent="0.25">
      <c r="C156" s="139"/>
      <c r="P156" s="138"/>
      <c r="Q156" s="138"/>
      <c r="R156" s="138"/>
      <c r="S156" s="138"/>
      <c r="T156" s="141"/>
      <c r="V156" s="143"/>
      <c r="X156" s="144"/>
      <c r="Y156" s="145"/>
      <c r="Z156" s="146"/>
      <c r="AA156" s="146"/>
      <c r="AB156" s="144"/>
      <c r="AC156" s="146"/>
      <c r="AD156" s="145"/>
      <c r="AE156" s="145"/>
      <c r="AF156" s="146"/>
      <c r="AG156" s="146"/>
      <c r="AH156" s="140"/>
    </row>
    <row r="157" spans="3:34" ht="15" customHeight="1" x14ac:dyDescent="0.25">
      <c r="C157" s="139"/>
      <c r="P157" s="138"/>
      <c r="Q157" s="138"/>
      <c r="R157" s="138"/>
      <c r="S157" s="138"/>
      <c r="T157" s="141"/>
      <c r="V157" s="143"/>
      <c r="X157" s="144"/>
      <c r="Y157" s="145"/>
      <c r="Z157" s="146"/>
      <c r="AA157" s="146"/>
      <c r="AB157" s="144"/>
      <c r="AC157" s="146"/>
      <c r="AD157" s="145"/>
      <c r="AE157" s="145"/>
      <c r="AF157" s="146"/>
      <c r="AG157" s="146"/>
      <c r="AH157" s="140"/>
    </row>
    <row r="158" spans="3:34" ht="15" customHeight="1" x14ac:dyDescent="0.25">
      <c r="C158" s="139"/>
      <c r="P158" s="138"/>
      <c r="Q158" s="138"/>
      <c r="R158" s="138"/>
      <c r="S158" s="138"/>
      <c r="T158" s="141"/>
      <c r="V158" s="143"/>
      <c r="X158" s="144"/>
      <c r="Y158" s="145"/>
      <c r="Z158" s="146"/>
      <c r="AA158" s="146"/>
      <c r="AB158" s="144"/>
      <c r="AC158" s="146"/>
      <c r="AD158" s="145"/>
      <c r="AE158" s="145"/>
      <c r="AF158" s="146"/>
      <c r="AG158" s="146"/>
      <c r="AH158" s="140"/>
    </row>
    <row r="159" spans="3:34" ht="15" customHeight="1" x14ac:dyDescent="0.25">
      <c r="C159" s="139"/>
      <c r="P159" s="138"/>
      <c r="Q159" s="138"/>
      <c r="R159" s="138"/>
      <c r="S159" s="138"/>
      <c r="T159" s="141"/>
      <c r="V159" s="143"/>
      <c r="X159" s="144"/>
      <c r="Y159" s="145"/>
      <c r="Z159" s="146"/>
      <c r="AA159" s="146"/>
      <c r="AB159" s="144"/>
      <c r="AC159" s="146"/>
      <c r="AD159" s="145"/>
      <c r="AE159" s="145"/>
      <c r="AF159" s="146"/>
      <c r="AG159" s="146"/>
      <c r="AH159" s="140"/>
    </row>
    <row r="160" spans="3:34" ht="15" customHeight="1" x14ac:dyDescent="0.25">
      <c r="C160" s="139"/>
      <c r="P160" s="138"/>
      <c r="Q160" s="138"/>
      <c r="R160" s="138"/>
      <c r="S160" s="138"/>
      <c r="T160" s="141"/>
      <c r="V160" s="143"/>
      <c r="X160" s="144"/>
      <c r="Y160" s="145"/>
      <c r="Z160" s="146"/>
      <c r="AA160" s="146"/>
      <c r="AB160" s="144"/>
      <c r="AC160" s="146"/>
      <c r="AD160" s="145"/>
      <c r="AE160" s="145"/>
      <c r="AF160" s="146"/>
      <c r="AG160" s="146"/>
      <c r="AH160" s="140"/>
    </row>
    <row r="161" spans="3:34" ht="15" customHeight="1" x14ac:dyDescent="0.25">
      <c r="C161" s="139"/>
      <c r="P161" s="138"/>
      <c r="Q161" s="138"/>
      <c r="R161" s="138"/>
      <c r="S161" s="138"/>
      <c r="T161" s="141"/>
      <c r="V161" s="143"/>
      <c r="X161" s="144"/>
      <c r="Y161" s="145"/>
      <c r="Z161" s="146"/>
      <c r="AA161" s="146"/>
      <c r="AB161" s="144"/>
      <c r="AC161" s="146"/>
      <c r="AD161" s="145"/>
      <c r="AE161" s="145"/>
      <c r="AF161" s="146"/>
      <c r="AG161" s="146"/>
      <c r="AH161" s="140"/>
    </row>
    <row r="162" spans="3:34" ht="15" customHeight="1" x14ac:dyDescent="0.25">
      <c r="C162" s="139"/>
      <c r="P162" s="138"/>
      <c r="Q162" s="138"/>
      <c r="R162" s="138"/>
      <c r="S162" s="138"/>
      <c r="T162" s="141"/>
      <c r="V162" s="143"/>
      <c r="X162" s="144"/>
      <c r="Y162" s="145"/>
      <c r="Z162" s="146"/>
      <c r="AA162" s="146"/>
      <c r="AB162" s="144"/>
      <c r="AC162" s="146"/>
      <c r="AD162" s="145"/>
      <c r="AE162" s="145"/>
      <c r="AF162" s="146"/>
      <c r="AG162" s="146"/>
      <c r="AH162" s="140"/>
    </row>
    <row r="163" spans="3:34" ht="15" customHeight="1" x14ac:dyDescent="0.25">
      <c r="C163" s="139"/>
      <c r="P163" s="138"/>
      <c r="Q163" s="138"/>
      <c r="R163" s="138"/>
      <c r="S163" s="138"/>
      <c r="T163" s="141"/>
      <c r="V163" s="143"/>
      <c r="X163" s="144"/>
      <c r="Y163" s="145"/>
      <c r="Z163" s="146"/>
      <c r="AA163" s="146"/>
      <c r="AB163" s="144"/>
      <c r="AC163" s="146"/>
      <c r="AD163" s="145"/>
      <c r="AE163" s="145"/>
      <c r="AF163" s="146"/>
      <c r="AG163" s="146"/>
      <c r="AH163" s="140"/>
    </row>
    <row r="164" spans="3:34" ht="15" customHeight="1" x14ac:dyDescent="0.25">
      <c r="C164" s="139"/>
      <c r="P164" s="138"/>
      <c r="Q164" s="138"/>
      <c r="R164" s="138"/>
      <c r="S164" s="138"/>
      <c r="T164" s="141"/>
      <c r="V164" s="143"/>
      <c r="X164" s="144"/>
      <c r="Y164" s="145"/>
      <c r="Z164" s="146"/>
      <c r="AA164" s="146"/>
      <c r="AB164" s="144"/>
      <c r="AC164" s="146"/>
      <c r="AD164" s="145"/>
      <c r="AE164" s="145"/>
      <c r="AF164" s="146"/>
      <c r="AG164" s="146"/>
      <c r="AH164" s="140"/>
    </row>
    <row r="165" spans="3:34" ht="15" customHeight="1" x14ac:dyDescent="0.25">
      <c r="C165" s="139"/>
      <c r="P165" s="138"/>
      <c r="Q165" s="138"/>
      <c r="R165" s="138"/>
      <c r="S165" s="138"/>
      <c r="T165" s="141"/>
      <c r="V165" s="143"/>
      <c r="X165" s="144"/>
      <c r="Y165" s="145"/>
      <c r="Z165" s="146"/>
      <c r="AA165" s="146"/>
      <c r="AB165" s="144"/>
      <c r="AC165" s="146"/>
      <c r="AD165" s="145"/>
      <c r="AE165" s="145"/>
      <c r="AF165" s="146"/>
      <c r="AG165" s="146"/>
      <c r="AH165" s="140"/>
    </row>
    <row r="166" spans="3:34" ht="15" customHeight="1" x14ac:dyDescent="0.25">
      <c r="C166" s="139"/>
      <c r="P166" s="138"/>
      <c r="Q166" s="138"/>
      <c r="R166" s="138"/>
      <c r="S166" s="138"/>
      <c r="T166" s="141"/>
      <c r="V166" s="143"/>
      <c r="X166" s="144"/>
      <c r="Y166" s="145"/>
      <c r="Z166" s="146"/>
      <c r="AA166" s="146"/>
      <c r="AB166" s="144"/>
      <c r="AC166" s="146"/>
      <c r="AD166" s="145"/>
      <c r="AE166" s="145"/>
      <c r="AF166" s="146"/>
      <c r="AG166" s="146"/>
      <c r="AH166" s="140"/>
    </row>
    <row r="167" spans="3:34" ht="15" customHeight="1" x14ac:dyDescent="0.25">
      <c r="C167" s="139"/>
      <c r="P167" s="138"/>
      <c r="Q167" s="138"/>
      <c r="R167" s="138"/>
      <c r="S167" s="138"/>
      <c r="T167" s="141"/>
      <c r="V167" s="143"/>
      <c r="X167" s="144"/>
      <c r="Y167" s="145"/>
      <c r="Z167" s="146"/>
      <c r="AA167" s="146"/>
      <c r="AB167" s="144"/>
      <c r="AC167" s="146"/>
      <c r="AD167" s="145"/>
      <c r="AE167" s="145"/>
      <c r="AF167" s="146"/>
      <c r="AG167" s="146"/>
      <c r="AH167" s="140"/>
    </row>
    <row r="168" spans="3:34" ht="15" customHeight="1" x14ac:dyDescent="0.25">
      <c r="C168" s="139"/>
      <c r="P168" s="138"/>
      <c r="Q168" s="138"/>
      <c r="R168" s="138"/>
      <c r="S168" s="138"/>
      <c r="T168" s="141"/>
      <c r="V168" s="143"/>
      <c r="X168" s="144"/>
      <c r="Y168" s="145"/>
      <c r="Z168" s="146"/>
      <c r="AA168" s="146"/>
      <c r="AB168" s="144"/>
      <c r="AC168" s="146"/>
      <c r="AD168" s="145"/>
      <c r="AE168" s="145"/>
      <c r="AF168" s="146"/>
      <c r="AG168" s="146"/>
      <c r="AH168" s="140"/>
    </row>
    <row r="169" spans="3:34" ht="15" customHeight="1" x14ac:dyDescent="0.25">
      <c r="C169" s="139"/>
      <c r="P169" s="138"/>
      <c r="Q169" s="138"/>
      <c r="R169" s="138"/>
      <c r="S169" s="138"/>
      <c r="T169" s="141"/>
      <c r="V169" s="143"/>
      <c r="X169" s="144"/>
      <c r="Y169" s="145"/>
      <c r="Z169" s="146"/>
      <c r="AA169" s="146"/>
      <c r="AB169" s="144"/>
      <c r="AC169" s="146"/>
      <c r="AD169" s="145"/>
      <c r="AE169" s="145"/>
      <c r="AF169" s="146"/>
      <c r="AG169" s="146"/>
      <c r="AH169" s="140"/>
    </row>
    <row r="170" spans="3:34" ht="15" customHeight="1" x14ac:dyDescent="0.25">
      <c r="C170" s="139"/>
      <c r="P170" s="138"/>
      <c r="Q170" s="138"/>
      <c r="R170" s="138"/>
      <c r="S170" s="138"/>
      <c r="T170" s="141"/>
      <c r="V170" s="143"/>
      <c r="X170" s="144"/>
      <c r="Y170" s="145"/>
      <c r="Z170" s="146"/>
      <c r="AA170" s="146"/>
      <c r="AB170" s="144"/>
      <c r="AC170" s="146"/>
      <c r="AD170" s="145"/>
      <c r="AE170" s="145"/>
      <c r="AF170" s="146"/>
      <c r="AG170" s="146"/>
      <c r="AH170" s="140"/>
    </row>
    <row r="171" spans="3:34" ht="15" customHeight="1" x14ac:dyDescent="0.25">
      <c r="C171" s="139"/>
      <c r="P171" s="138"/>
      <c r="Q171" s="138"/>
      <c r="R171" s="138"/>
      <c r="S171" s="138"/>
      <c r="T171" s="141"/>
      <c r="V171" s="143"/>
      <c r="X171" s="144"/>
      <c r="Y171" s="145"/>
      <c r="Z171" s="146"/>
      <c r="AA171" s="146"/>
      <c r="AB171" s="144"/>
      <c r="AC171" s="146"/>
      <c r="AD171" s="145"/>
      <c r="AE171" s="145"/>
      <c r="AF171" s="146"/>
      <c r="AG171" s="146"/>
      <c r="AH171" s="140"/>
    </row>
    <row r="172" spans="3:34" ht="15" customHeight="1" x14ac:dyDescent="0.25">
      <c r="C172" s="139"/>
      <c r="P172" s="138"/>
      <c r="Q172" s="138"/>
      <c r="R172" s="138"/>
      <c r="S172" s="138"/>
      <c r="T172" s="141"/>
      <c r="V172" s="143"/>
      <c r="X172" s="144"/>
      <c r="Y172" s="145"/>
      <c r="Z172" s="146"/>
      <c r="AA172" s="146"/>
      <c r="AB172" s="144"/>
      <c r="AC172" s="146"/>
      <c r="AD172" s="145"/>
      <c r="AE172" s="145"/>
      <c r="AF172" s="146"/>
      <c r="AG172" s="146"/>
      <c r="AH172" s="140"/>
    </row>
    <row r="173" spans="3:34" ht="15" customHeight="1" x14ac:dyDescent="0.25">
      <c r="C173" s="139"/>
      <c r="P173" s="138"/>
      <c r="Q173" s="138"/>
      <c r="R173" s="138"/>
      <c r="S173" s="138"/>
      <c r="T173" s="141"/>
      <c r="V173" s="143"/>
      <c r="X173" s="144"/>
      <c r="Y173" s="145"/>
      <c r="Z173" s="146"/>
      <c r="AA173" s="146"/>
      <c r="AB173" s="144"/>
      <c r="AC173" s="146"/>
      <c r="AD173" s="145"/>
      <c r="AE173" s="145"/>
      <c r="AF173" s="146"/>
      <c r="AG173" s="146"/>
      <c r="AH173" s="140"/>
    </row>
    <row r="174" spans="3:34" ht="15" customHeight="1" x14ac:dyDescent="0.25">
      <c r="C174" s="139"/>
      <c r="P174" s="141"/>
      <c r="Q174" s="141"/>
      <c r="R174" s="138"/>
      <c r="S174" s="138"/>
      <c r="T174" s="141"/>
      <c r="V174" s="143"/>
      <c r="X174" s="144"/>
      <c r="Y174" s="145"/>
      <c r="Z174" s="146"/>
      <c r="AA174" s="146"/>
      <c r="AB174" s="144"/>
      <c r="AC174" s="146"/>
      <c r="AD174" s="145"/>
      <c r="AE174" s="145"/>
      <c r="AF174" s="146"/>
      <c r="AG174" s="146"/>
      <c r="AH174" s="140"/>
    </row>
    <row r="175" spans="3:34" ht="15" customHeight="1" x14ac:dyDescent="0.25">
      <c r="C175" s="139"/>
      <c r="P175" s="141"/>
      <c r="Q175" s="141"/>
      <c r="R175" s="138"/>
      <c r="S175" s="138"/>
      <c r="T175" s="141"/>
      <c r="V175" s="143"/>
      <c r="X175" s="144"/>
      <c r="Y175" s="145"/>
      <c r="Z175" s="146"/>
      <c r="AA175" s="146"/>
      <c r="AB175" s="144"/>
      <c r="AC175" s="146"/>
      <c r="AD175" s="145"/>
      <c r="AE175" s="145"/>
      <c r="AF175" s="146"/>
      <c r="AG175" s="146"/>
      <c r="AH175" s="140"/>
    </row>
    <row r="176" spans="3:34" ht="15" customHeight="1" x14ac:dyDescent="0.25">
      <c r="C176" s="139"/>
      <c r="P176" s="141"/>
      <c r="Q176" s="141"/>
      <c r="R176" s="138"/>
      <c r="S176" s="138"/>
      <c r="T176" s="141"/>
      <c r="V176" s="143"/>
      <c r="X176" s="144"/>
      <c r="Y176" s="145"/>
      <c r="Z176" s="146"/>
      <c r="AA176" s="146"/>
      <c r="AB176" s="144"/>
      <c r="AC176" s="146"/>
      <c r="AD176" s="145"/>
      <c r="AE176" s="145"/>
      <c r="AF176" s="146"/>
      <c r="AG176" s="146"/>
      <c r="AH176" s="140"/>
    </row>
    <row r="177" spans="3:34" ht="15" customHeight="1" x14ac:dyDescent="0.25">
      <c r="C177" s="139"/>
      <c r="P177" s="141"/>
      <c r="Q177" s="141"/>
      <c r="R177" s="138"/>
      <c r="S177" s="138"/>
      <c r="T177" s="141"/>
      <c r="V177" s="143"/>
      <c r="X177" s="144"/>
      <c r="Y177" s="145"/>
      <c r="Z177" s="146"/>
      <c r="AA177" s="146"/>
      <c r="AB177" s="144"/>
      <c r="AC177" s="146"/>
      <c r="AD177" s="145"/>
      <c r="AE177" s="145"/>
      <c r="AF177" s="146"/>
      <c r="AG177" s="146"/>
      <c r="AH177" s="140"/>
    </row>
    <row r="178" spans="3:34" ht="15" customHeight="1" x14ac:dyDescent="0.25">
      <c r="C178" s="139"/>
      <c r="P178" s="141"/>
      <c r="Q178" s="141"/>
      <c r="R178" s="138"/>
      <c r="S178" s="138"/>
      <c r="T178" s="141"/>
      <c r="V178" s="143"/>
      <c r="X178" s="144"/>
      <c r="Y178" s="145"/>
      <c r="Z178" s="146"/>
      <c r="AA178" s="146"/>
      <c r="AB178" s="144"/>
      <c r="AC178" s="146"/>
      <c r="AD178" s="145"/>
      <c r="AE178" s="145"/>
      <c r="AF178" s="146"/>
      <c r="AG178" s="146"/>
      <c r="AH178" s="140"/>
    </row>
    <row r="179" spans="3:34" ht="15" customHeight="1" x14ac:dyDescent="0.25">
      <c r="C179" s="139"/>
      <c r="P179" s="141"/>
      <c r="Q179" s="141"/>
      <c r="R179" s="138"/>
      <c r="S179" s="138"/>
      <c r="T179" s="141"/>
      <c r="V179" s="143"/>
      <c r="X179" s="144"/>
      <c r="Y179" s="145"/>
      <c r="Z179" s="146"/>
      <c r="AA179" s="146"/>
      <c r="AB179" s="144"/>
      <c r="AC179" s="146"/>
      <c r="AD179" s="145"/>
      <c r="AE179" s="145"/>
      <c r="AF179" s="146"/>
      <c r="AG179" s="146"/>
      <c r="AH179" s="140"/>
    </row>
    <row r="180" spans="3:34" ht="15" customHeight="1" x14ac:dyDescent="0.25">
      <c r="C180" s="139"/>
      <c r="P180" s="141"/>
      <c r="Q180" s="141"/>
      <c r="R180" s="138"/>
      <c r="S180" s="138"/>
      <c r="T180" s="141"/>
      <c r="V180" s="143"/>
      <c r="X180" s="144"/>
      <c r="Y180" s="145"/>
      <c r="Z180" s="146"/>
      <c r="AA180" s="146"/>
      <c r="AB180" s="144"/>
      <c r="AC180" s="146"/>
      <c r="AD180" s="145"/>
      <c r="AE180" s="145"/>
      <c r="AF180" s="146"/>
      <c r="AG180" s="146"/>
      <c r="AH180" s="140"/>
    </row>
    <row r="181" spans="3:34" ht="15" customHeight="1" x14ac:dyDescent="0.25">
      <c r="C181" s="139"/>
      <c r="P181" s="141"/>
      <c r="Q181" s="141"/>
      <c r="R181" s="138"/>
      <c r="S181" s="138"/>
      <c r="T181" s="141"/>
      <c r="V181" s="143"/>
      <c r="X181" s="144"/>
      <c r="Y181" s="145"/>
      <c r="Z181" s="146"/>
      <c r="AA181" s="146"/>
      <c r="AB181" s="144"/>
      <c r="AC181" s="146"/>
      <c r="AD181" s="145"/>
      <c r="AE181" s="145"/>
      <c r="AF181" s="146"/>
      <c r="AG181" s="146"/>
      <c r="AH181" s="140"/>
    </row>
    <row r="182" spans="3:34" ht="15" customHeight="1" x14ac:dyDescent="0.25">
      <c r="C182" s="139"/>
      <c r="P182" s="141"/>
      <c r="Q182" s="141"/>
      <c r="R182" s="138"/>
      <c r="S182" s="138"/>
      <c r="T182" s="141"/>
      <c r="V182" s="143"/>
      <c r="X182" s="144"/>
      <c r="Y182" s="145"/>
      <c r="Z182" s="146"/>
      <c r="AA182" s="146"/>
      <c r="AB182" s="144"/>
      <c r="AC182" s="146"/>
      <c r="AD182" s="145"/>
      <c r="AE182" s="145"/>
      <c r="AF182" s="146"/>
      <c r="AG182" s="146"/>
      <c r="AH182" s="140"/>
    </row>
    <row r="183" spans="3:34" ht="15" customHeight="1" x14ac:dyDescent="0.25">
      <c r="C183" s="139"/>
      <c r="P183" s="141"/>
      <c r="Q183" s="141"/>
      <c r="R183" s="138"/>
      <c r="S183" s="138"/>
      <c r="T183" s="141"/>
      <c r="V183" s="143"/>
      <c r="X183" s="144"/>
      <c r="Y183" s="145"/>
      <c r="Z183" s="146"/>
      <c r="AA183" s="146"/>
      <c r="AB183" s="144"/>
      <c r="AC183" s="146"/>
      <c r="AD183" s="145"/>
      <c r="AE183" s="145"/>
      <c r="AF183" s="146"/>
      <c r="AG183" s="146"/>
      <c r="AH183" s="140"/>
    </row>
    <row r="184" spans="3:34" ht="15" customHeight="1" x14ac:dyDescent="0.25">
      <c r="C184" s="139"/>
      <c r="P184" s="141"/>
      <c r="Q184" s="141"/>
      <c r="R184" s="138"/>
      <c r="S184" s="138"/>
      <c r="T184" s="141"/>
      <c r="V184" s="143"/>
      <c r="X184" s="144"/>
      <c r="Y184" s="145"/>
      <c r="Z184" s="146"/>
      <c r="AA184" s="146"/>
      <c r="AB184" s="144"/>
      <c r="AC184" s="146"/>
      <c r="AD184" s="145"/>
      <c r="AE184" s="145"/>
      <c r="AF184" s="146"/>
      <c r="AG184" s="146"/>
      <c r="AH184" s="140"/>
    </row>
    <row r="185" spans="3:34" ht="15" customHeight="1" x14ac:dyDescent="0.25">
      <c r="C185" s="139"/>
      <c r="P185" s="141"/>
      <c r="Q185" s="138"/>
      <c r="R185" s="138"/>
      <c r="S185" s="138"/>
      <c r="T185" s="141"/>
      <c r="V185" s="143"/>
      <c r="X185" s="144"/>
      <c r="Y185" s="145"/>
      <c r="Z185" s="146"/>
      <c r="AA185" s="146"/>
      <c r="AB185" s="144"/>
      <c r="AC185" s="146"/>
      <c r="AD185" s="145"/>
      <c r="AE185" s="145"/>
      <c r="AF185" s="146"/>
      <c r="AG185" s="146"/>
      <c r="AH185" s="140"/>
    </row>
    <row r="186" spans="3:34" ht="15" customHeight="1" x14ac:dyDescent="0.25">
      <c r="C186" s="139"/>
      <c r="P186" s="138"/>
      <c r="Q186" s="138"/>
      <c r="R186" s="138"/>
      <c r="S186" s="138"/>
      <c r="T186" s="141"/>
      <c r="V186" s="143"/>
      <c r="X186" s="144"/>
      <c r="Y186" s="145"/>
      <c r="Z186" s="146"/>
      <c r="AA186" s="146"/>
      <c r="AB186" s="144"/>
      <c r="AC186" s="146"/>
      <c r="AD186" s="145"/>
      <c r="AE186" s="145"/>
      <c r="AF186" s="146"/>
      <c r="AG186" s="146"/>
      <c r="AH186" s="140"/>
    </row>
    <row r="187" spans="3:34" ht="15" customHeight="1" x14ac:dyDescent="0.25">
      <c r="C187" s="139"/>
      <c r="P187" s="138"/>
      <c r="Q187" s="138"/>
      <c r="R187" s="138"/>
      <c r="S187" s="138"/>
      <c r="T187" s="141"/>
      <c r="V187" s="143"/>
      <c r="X187" s="144"/>
      <c r="Y187" s="145"/>
      <c r="Z187" s="146"/>
      <c r="AA187" s="146"/>
      <c r="AB187" s="144"/>
      <c r="AC187" s="146"/>
      <c r="AD187" s="145"/>
      <c r="AE187" s="145"/>
      <c r="AF187" s="146"/>
      <c r="AG187" s="146"/>
      <c r="AH187" s="140"/>
    </row>
    <row r="188" spans="3:34" ht="15" customHeight="1" x14ac:dyDescent="0.25">
      <c r="C188" s="139"/>
      <c r="P188" s="138"/>
      <c r="Q188" s="138"/>
      <c r="R188" s="138"/>
      <c r="S188" s="138"/>
      <c r="T188" s="141"/>
      <c r="V188" s="143"/>
      <c r="X188" s="144"/>
      <c r="Y188" s="145"/>
      <c r="Z188" s="146"/>
      <c r="AA188" s="146"/>
      <c r="AB188" s="144"/>
      <c r="AC188" s="146"/>
      <c r="AD188" s="145"/>
      <c r="AE188" s="145"/>
      <c r="AF188" s="146"/>
      <c r="AG188" s="146"/>
      <c r="AH188" s="140"/>
    </row>
    <row r="189" spans="3:34" ht="15" customHeight="1" x14ac:dyDescent="0.25">
      <c r="C189" s="139"/>
      <c r="P189" s="138"/>
      <c r="Q189" s="138"/>
      <c r="R189" s="138"/>
      <c r="S189" s="138"/>
      <c r="T189" s="141"/>
      <c r="V189" s="143"/>
      <c r="X189" s="144"/>
      <c r="Y189" s="145"/>
      <c r="Z189" s="146"/>
      <c r="AA189" s="146"/>
      <c r="AB189" s="144"/>
      <c r="AC189" s="146"/>
      <c r="AD189" s="145"/>
      <c r="AE189" s="145"/>
      <c r="AF189" s="146"/>
      <c r="AG189" s="146"/>
      <c r="AH189" s="140"/>
    </row>
    <row r="190" spans="3:34" ht="15" customHeight="1" x14ac:dyDescent="0.25">
      <c r="C190" s="139"/>
      <c r="P190" s="138"/>
      <c r="Q190" s="138"/>
      <c r="R190" s="138"/>
      <c r="S190" s="138"/>
      <c r="T190" s="141"/>
      <c r="V190" s="143"/>
      <c r="X190" s="144"/>
      <c r="Y190" s="145"/>
      <c r="Z190" s="146"/>
      <c r="AA190" s="146"/>
      <c r="AB190" s="144"/>
      <c r="AC190" s="146"/>
      <c r="AD190" s="145"/>
      <c r="AE190" s="145"/>
      <c r="AF190" s="146"/>
      <c r="AG190" s="146"/>
      <c r="AH190" s="140"/>
    </row>
    <row r="191" spans="3:34" ht="15" customHeight="1" x14ac:dyDescent="0.25">
      <c r="C191" s="139"/>
      <c r="P191" s="138"/>
      <c r="Q191" s="138"/>
      <c r="R191" s="138"/>
      <c r="S191" s="138"/>
      <c r="T191" s="141"/>
      <c r="V191" s="143"/>
      <c r="X191" s="144"/>
      <c r="Y191" s="145"/>
      <c r="Z191" s="146"/>
      <c r="AA191" s="146"/>
      <c r="AB191" s="144"/>
      <c r="AC191" s="146"/>
      <c r="AD191" s="145"/>
      <c r="AE191" s="145"/>
      <c r="AF191" s="146"/>
      <c r="AG191" s="146"/>
      <c r="AH191" s="140"/>
    </row>
    <row r="192" spans="3:34" ht="15" customHeight="1" x14ac:dyDescent="0.25">
      <c r="C192" s="139"/>
      <c r="P192" s="138"/>
      <c r="Q192" s="138"/>
      <c r="R192" s="138"/>
      <c r="S192" s="138"/>
      <c r="T192" s="141"/>
      <c r="V192" s="143"/>
      <c r="X192" s="144"/>
      <c r="Y192" s="145"/>
      <c r="Z192" s="146"/>
      <c r="AA192" s="146"/>
      <c r="AB192" s="144"/>
      <c r="AC192" s="146"/>
      <c r="AD192" s="145"/>
      <c r="AE192" s="145"/>
      <c r="AF192" s="146"/>
      <c r="AG192" s="146"/>
      <c r="AH192" s="140"/>
    </row>
    <row r="193" spans="3:34" ht="15" customHeight="1" x14ac:dyDescent="0.25">
      <c r="C193" s="139"/>
      <c r="P193" s="138"/>
      <c r="Q193" s="138"/>
      <c r="R193" s="138"/>
      <c r="S193" s="138"/>
      <c r="T193" s="141"/>
      <c r="V193" s="143"/>
      <c r="X193" s="144"/>
      <c r="Y193" s="145"/>
      <c r="Z193" s="146"/>
      <c r="AA193" s="146"/>
      <c r="AB193" s="144"/>
      <c r="AC193" s="146"/>
      <c r="AD193" s="145"/>
      <c r="AE193" s="145"/>
      <c r="AF193" s="146"/>
      <c r="AG193" s="146"/>
      <c r="AH193" s="140"/>
    </row>
    <row r="194" spans="3:34" ht="15" customHeight="1" x14ac:dyDescent="0.25">
      <c r="C194" s="139"/>
      <c r="P194" s="138"/>
      <c r="Q194" s="138"/>
      <c r="R194" s="138"/>
      <c r="S194" s="138"/>
      <c r="T194" s="141"/>
      <c r="V194" s="143"/>
      <c r="X194" s="144"/>
      <c r="Y194" s="145"/>
      <c r="Z194" s="146"/>
      <c r="AA194" s="146"/>
      <c r="AB194" s="144"/>
      <c r="AC194" s="146"/>
      <c r="AD194" s="145"/>
      <c r="AE194" s="145"/>
      <c r="AF194" s="146"/>
      <c r="AG194" s="146"/>
      <c r="AH194" s="140"/>
    </row>
    <row r="195" spans="3:34" ht="15" customHeight="1" x14ac:dyDescent="0.25">
      <c r="C195" s="139"/>
      <c r="P195" s="138"/>
      <c r="Q195" s="138"/>
      <c r="R195" s="138"/>
      <c r="S195" s="138"/>
      <c r="T195" s="141"/>
      <c r="V195" s="143"/>
      <c r="X195" s="144"/>
      <c r="Y195" s="145"/>
      <c r="Z195" s="146"/>
      <c r="AA195" s="146"/>
      <c r="AB195" s="144"/>
      <c r="AC195" s="146"/>
      <c r="AD195" s="145"/>
      <c r="AE195" s="145"/>
      <c r="AF195" s="146"/>
      <c r="AG195" s="146"/>
      <c r="AH195" s="140"/>
    </row>
    <row r="196" spans="3:34" ht="15" customHeight="1" x14ac:dyDescent="0.25">
      <c r="C196" s="139"/>
      <c r="P196" s="138"/>
      <c r="Q196" s="138"/>
      <c r="R196" s="138"/>
      <c r="S196" s="138"/>
      <c r="T196" s="141"/>
      <c r="V196" s="143"/>
      <c r="X196" s="144"/>
      <c r="Y196" s="145"/>
      <c r="Z196" s="146"/>
      <c r="AA196" s="146"/>
      <c r="AB196" s="144"/>
      <c r="AC196" s="146"/>
      <c r="AD196" s="145"/>
      <c r="AE196" s="145"/>
      <c r="AF196" s="146"/>
      <c r="AG196" s="146"/>
      <c r="AH196" s="140"/>
    </row>
    <row r="197" spans="3:34" ht="15" customHeight="1" x14ac:dyDescent="0.25">
      <c r="C197" s="139"/>
      <c r="P197" s="138"/>
      <c r="Q197" s="138"/>
      <c r="R197" s="138"/>
      <c r="S197" s="138"/>
      <c r="T197" s="141"/>
      <c r="V197" s="143"/>
      <c r="X197" s="144"/>
      <c r="Y197" s="145"/>
      <c r="Z197" s="146"/>
      <c r="AA197" s="146"/>
      <c r="AB197" s="144"/>
      <c r="AC197" s="146"/>
      <c r="AD197" s="145"/>
      <c r="AE197" s="145"/>
      <c r="AF197" s="146"/>
      <c r="AG197" s="146"/>
      <c r="AH197" s="140"/>
    </row>
    <row r="198" spans="3:34" ht="15" customHeight="1" x14ac:dyDescent="0.25">
      <c r="C198" s="139"/>
      <c r="P198" s="138"/>
      <c r="Q198" s="138"/>
      <c r="R198" s="138"/>
      <c r="S198" s="138"/>
      <c r="T198" s="141"/>
      <c r="V198" s="143"/>
      <c r="X198" s="144"/>
      <c r="Y198" s="145"/>
      <c r="Z198" s="146"/>
      <c r="AA198" s="146"/>
      <c r="AB198" s="144"/>
      <c r="AC198" s="146"/>
      <c r="AD198" s="145"/>
      <c r="AE198" s="145"/>
      <c r="AF198" s="146"/>
      <c r="AG198" s="146"/>
      <c r="AH198" s="140"/>
    </row>
    <row r="199" spans="3:34" ht="15" customHeight="1" x14ac:dyDescent="0.25">
      <c r="C199" s="139"/>
      <c r="P199" s="138"/>
      <c r="Q199" s="138"/>
      <c r="R199" s="138"/>
      <c r="S199" s="138"/>
      <c r="T199" s="141"/>
      <c r="V199" s="143"/>
      <c r="X199" s="144"/>
      <c r="Y199" s="145"/>
      <c r="Z199" s="146"/>
      <c r="AA199" s="146"/>
      <c r="AB199" s="144"/>
      <c r="AC199" s="146"/>
      <c r="AD199" s="145"/>
      <c r="AE199" s="145"/>
      <c r="AF199" s="146"/>
      <c r="AG199" s="146"/>
      <c r="AH199" s="140"/>
    </row>
    <row r="200" spans="3:34" ht="15" customHeight="1" x14ac:dyDescent="0.25">
      <c r="C200" s="139"/>
      <c r="P200" s="138"/>
      <c r="Q200" s="138"/>
      <c r="R200" s="138"/>
      <c r="S200" s="138"/>
      <c r="T200" s="141"/>
      <c r="V200" s="143"/>
      <c r="X200" s="144"/>
      <c r="Y200" s="145"/>
      <c r="Z200" s="146"/>
      <c r="AA200" s="146"/>
      <c r="AB200" s="144"/>
      <c r="AC200" s="146"/>
      <c r="AD200" s="145"/>
      <c r="AE200" s="145"/>
      <c r="AF200" s="146"/>
      <c r="AG200" s="146"/>
      <c r="AH200" s="140"/>
    </row>
    <row r="201" spans="3:34" ht="15" customHeight="1" x14ac:dyDescent="0.25">
      <c r="C201" s="139"/>
      <c r="P201" s="138"/>
      <c r="Q201" s="138"/>
      <c r="R201" s="138"/>
      <c r="S201" s="138"/>
      <c r="T201" s="141"/>
      <c r="V201" s="143"/>
      <c r="X201" s="144"/>
      <c r="Y201" s="145"/>
      <c r="Z201" s="146"/>
      <c r="AA201" s="146"/>
      <c r="AB201" s="144"/>
      <c r="AC201" s="146"/>
      <c r="AD201" s="145"/>
      <c r="AE201" s="145"/>
      <c r="AF201" s="146"/>
      <c r="AG201" s="146"/>
      <c r="AH201" s="140"/>
    </row>
    <row r="202" spans="3:34" ht="15" customHeight="1" x14ac:dyDescent="0.25">
      <c r="C202" s="139"/>
      <c r="P202" s="138"/>
      <c r="Q202" s="138"/>
      <c r="R202" s="138"/>
      <c r="S202" s="138"/>
      <c r="T202" s="141"/>
      <c r="V202" s="143"/>
      <c r="X202" s="144"/>
      <c r="Y202" s="145"/>
      <c r="Z202" s="146"/>
      <c r="AA202" s="146"/>
      <c r="AB202" s="144"/>
      <c r="AC202" s="146"/>
      <c r="AD202" s="145"/>
      <c r="AE202" s="145"/>
      <c r="AF202" s="146"/>
      <c r="AG202" s="146"/>
      <c r="AH202" s="140"/>
    </row>
    <row r="203" spans="3:34" ht="15" customHeight="1" x14ac:dyDescent="0.25">
      <c r="C203" s="139"/>
      <c r="P203" s="138"/>
      <c r="Q203" s="138"/>
      <c r="R203" s="138"/>
      <c r="S203" s="138"/>
      <c r="T203" s="141"/>
      <c r="V203" s="143"/>
      <c r="X203" s="144"/>
      <c r="Y203" s="145"/>
      <c r="Z203" s="146"/>
      <c r="AA203" s="146"/>
      <c r="AB203" s="144"/>
      <c r="AC203" s="146"/>
      <c r="AD203" s="145"/>
      <c r="AE203" s="145"/>
      <c r="AF203" s="146"/>
      <c r="AG203" s="146"/>
      <c r="AH203" s="140"/>
    </row>
    <row r="204" spans="3:34" x14ac:dyDescent="0.25">
      <c r="C204" s="139"/>
      <c r="P204" s="138"/>
      <c r="Q204" s="138"/>
      <c r="T204" s="141"/>
      <c r="V204" s="143"/>
      <c r="X204" s="144"/>
      <c r="Y204" s="145"/>
      <c r="Z204" s="146"/>
      <c r="AA204" s="146"/>
      <c r="AB204" s="144"/>
      <c r="AC204" s="146"/>
      <c r="AD204" s="145"/>
      <c r="AE204" s="145"/>
      <c r="AF204" s="146"/>
      <c r="AG204" s="146"/>
      <c r="AH204" s="140"/>
    </row>
    <row r="205" spans="3:34" x14ac:dyDescent="0.25">
      <c r="C205" s="139"/>
      <c r="P205" s="138"/>
      <c r="Q205" s="138"/>
      <c r="T205" s="141"/>
      <c r="V205" s="143"/>
      <c r="X205" s="144"/>
      <c r="Y205" s="145"/>
      <c r="Z205" s="146"/>
      <c r="AA205" s="146"/>
      <c r="AB205" s="144"/>
      <c r="AC205" s="146"/>
      <c r="AD205" s="145"/>
      <c r="AE205" s="145"/>
      <c r="AF205" s="146"/>
      <c r="AG205" s="146"/>
      <c r="AH205" s="140"/>
    </row>
    <row r="206" spans="3:34" x14ac:dyDescent="0.25">
      <c r="C206" s="139"/>
      <c r="P206" s="138"/>
      <c r="Q206" s="138"/>
      <c r="T206" s="141"/>
      <c r="V206" s="143"/>
      <c r="X206" s="144"/>
      <c r="Y206" s="145"/>
      <c r="Z206" s="146"/>
      <c r="AA206" s="146"/>
      <c r="AB206" s="144"/>
      <c r="AC206" s="146"/>
      <c r="AD206" s="145"/>
      <c r="AE206" s="145"/>
      <c r="AF206" s="146"/>
      <c r="AG206" s="146"/>
      <c r="AH206" s="140"/>
    </row>
    <row r="207" spans="3:34" x14ac:dyDescent="0.25">
      <c r="C207" s="139"/>
      <c r="P207" s="138"/>
      <c r="Q207" s="138"/>
      <c r="T207" s="141"/>
      <c r="V207" s="143"/>
      <c r="X207" s="144"/>
      <c r="Y207" s="145"/>
      <c r="Z207" s="146"/>
      <c r="AA207" s="146"/>
      <c r="AB207" s="144"/>
      <c r="AC207" s="146"/>
      <c r="AD207" s="145"/>
      <c r="AE207" s="145"/>
      <c r="AF207" s="146"/>
      <c r="AG207" s="146"/>
      <c r="AH207" s="140"/>
    </row>
    <row r="208" spans="3:34" x14ac:dyDescent="0.25">
      <c r="C208" s="139"/>
      <c r="P208" s="138"/>
      <c r="Q208" s="138"/>
      <c r="T208" s="141"/>
      <c r="V208" s="143"/>
      <c r="X208" s="144"/>
      <c r="Y208" s="145"/>
      <c r="Z208" s="146"/>
      <c r="AA208" s="146"/>
      <c r="AB208" s="144"/>
      <c r="AC208" s="146"/>
      <c r="AD208" s="145"/>
      <c r="AE208" s="145"/>
      <c r="AF208" s="146"/>
      <c r="AG208" s="146"/>
      <c r="AH208" s="140"/>
    </row>
    <row r="209" spans="3:34" x14ac:dyDescent="0.25">
      <c r="C209" s="139"/>
      <c r="P209" s="138"/>
      <c r="Q209" s="138"/>
      <c r="T209" s="141"/>
      <c r="V209" s="143"/>
      <c r="X209" s="144"/>
      <c r="Y209" s="145"/>
      <c r="Z209" s="146"/>
      <c r="AA209" s="146"/>
      <c r="AB209" s="144"/>
      <c r="AC209" s="146"/>
      <c r="AD209" s="145"/>
      <c r="AE209" s="145"/>
      <c r="AF209" s="146"/>
      <c r="AG209" s="146"/>
      <c r="AH209" s="140"/>
    </row>
    <row r="210" spans="3:34" x14ac:dyDescent="0.25">
      <c r="C210" s="139"/>
      <c r="P210" s="138"/>
      <c r="Q210" s="138"/>
      <c r="T210" s="141"/>
      <c r="V210" s="143"/>
      <c r="X210" s="144"/>
      <c r="Y210" s="145"/>
      <c r="Z210" s="146"/>
      <c r="AA210" s="146"/>
      <c r="AB210" s="144"/>
      <c r="AC210" s="146"/>
      <c r="AD210" s="145"/>
      <c r="AE210" s="145"/>
      <c r="AF210" s="146"/>
      <c r="AG210" s="146"/>
      <c r="AH210" s="140"/>
    </row>
    <row r="211" spans="3:34" x14ac:dyDescent="0.25">
      <c r="C211" s="139"/>
      <c r="P211" s="138"/>
      <c r="Q211" s="138"/>
      <c r="T211" s="141"/>
      <c r="V211" s="143"/>
      <c r="X211" s="144"/>
      <c r="Y211" s="145"/>
      <c r="Z211" s="146"/>
      <c r="AA211" s="146"/>
      <c r="AB211" s="144"/>
      <c r="AC211" s="146"/>
      <c r="AD211" s="145"/>
      <c r="AE211" s="145"/>
      <c r="AF211" s="146"/>
      <c r="AG211" s="146"/>
      <c r="AH211" s="140"/>
    </row>
    <row r="212" spans="3:34" x14ac:dyDescent="0.25">
      <c r="C212" s="139"/>
      <c r="P212" s="138"/>
      <c r="Q212" s="138"/>
      <c r="T212" s="141"/>
      <c r="V212" s="143"/>
      <c r="X212" s="144"/>
      <c r="Y212" s="145"/>
      <c r="Z212" s="146"/>
      <c r="AA212" s="146"/>
      <c r="AB212" s="144"/>
      <c r="AC212" s="146"/>
      <c r="AD212" s="145"/>
      <c r="AE212" s="145"/>
      <c r="AF212" s="146"/>
      <c r="AG212" s="146"/>
      <c r="AH212" s="140"/>
    </row>
    <row r="213" spans="3:34" x14ac:dyDescent="0.25">
      <c r="C213" s="139"/>
      <c r="P213" s="138"/>
      <c r="Q213" s="138"/>
      <c r="T213" s="141"/>
      <c r="V213" s="143"/>
      <c r="X213" s="144"/>
      <c r="Y213" s="145"/>
      <c r="Z213" s="146"/>
      <c r="AA213" s="146"/>
      <c r="AB213" s="144"/>
      <c r="AC213" s="146"/>
      <c r="AD213" s="145"/>
      <c r="AE213" s="145"/>
      <c r="AF213" s="146"/>
      <c r="AG213" s="146"/>
      <c r="AH213" s="140"/>
    </row>
    <row r="214" spans="3:34" x14ac:dyDescent="0.25">
      <c r="C214" s="139"/>
      <c r="P214" s="138"/>
      <c r="Q214" s="138"/>
      <c r="T214" s="141"/>
      <c r="V214" s="143"/>
      <c r="X214" s="144"/>
      <c r="Y214" s="145"/>
      <c r="Z214" s="146"/>
      <c r="AA214" s="146"/>
      <c r="AB214" s="144"/>
      <c r="AC214" s="146"/>
      <c r="AD214" s="145"/>
      <c r="AE214" s="145"/>
      <c r="AF214" s="146"/>
      <c r="AG214" s="146"/>
      <c r="AH214" s="140"/>
    </row>
    <row r="215" spans="3:34" x14ac:dyDescent="0.25">
      <c r="C215" s="139"/>
      <c r="P215" s="138"/>
      <c r="Q215" s="138"/>
      <c r="T215" s="141"/>
      <c r="V215" s="143"/>
      <c r="X215" s="144"/>
      <c r="Y215" s="145"/>
      <c r="Z215" s="146"/>
      <c r="AA215" s="146"/>
      <c r="AB215" s="144"/>
      <c r="AC215" s="146"/>
      <c r="AD215" s="145"/>
      <c r="AE215" s="145"/>
      <c r="AF215" s="146"/>
      <c r="AG215" s="146"/>
      <c r="AH215" s="140"/>
    </row>
    <row r="216" spans="3:34" x14ac:dyDescent="0.25">
      <c r="C216" s="139"/>
      <c r="P216" s="138"/>
      <c r="Q216" s="138"/>
      <c r="T216" s="141"/>
      <c r="V216" s="143"/>
      <c r="X216" s="144"/>
      <c r="Y216" s="145"/>
      <c r="Z216" s="146"/>
      <c r="AA216" s="146"/>
      <c r="AB216" s="144"/>
      <c r="AC216" s="146"/>
      <c r="AD216" s="145"/>
      <c r="AE216" s="145"/>
      <c r="AF216" s="146"/>
      <c r="AG216" s="146"/>
      <c r="AH216" s="140"/>
    </row>
    <row r="217" spans="3:34" x14ac:dyDescent="0.25">
      <c r="C217" s="139"/>
      <c r="P217" s="138"/>
      <c r="Q217" s="138"/>
      <c r="T217" s="141"/>
      <c r="V217" s="143"/>
      <c r="X217" s="144"/>
      <c r="Y217" s="145"/>
      <c r="Z217" s="146"/>
      <c r="AA217" s="146"/>
      <c r="AB217" s="144"/>
      <c r="AC217" s="146"/>
      <c r="AD217" s="145"/>
      <c r="AE217" s="145"/>
      <c r="AF217" s="146"/>
      <c r="AG217" s="146"/>
      <c r="AH217" s="140"/>
    </row>
    <row r="218" spans="3:34" x14ac:dyDescent="0.25">
      <c r="C218" s="139"/>
      <c r="P218" s="138"/>
      <c r="Q218" s="138"/>
      <c r="T218" s="141"/>
      <c r="V218" s="143"/>
      <c r="X218" s="144"/>
      <c r="Y218" s="145"/>
      <c r="Z218" s="146"/>
      <c r="AA218" s="146"/>
      <c r="AB218" s="144"/>
      <c r="AC218" s="146"/>
      <c r="AD218" s="145"/>
      <c r="AE218" s="145"/>
      <c r="AF218" s="146"/>
      <c r="AG218" s="146"/>
      <c r="AH218" s="140"/>
    </row>
    <row r="219" spans="3:34" x14ac:dyDescent="0.25">
      <c r="C219" s="139"/>
      <c r="P219" s="138"/>
      <c r="Q219" s="138"/>
      <c r="T219" s="141"/>
      <c r="V219" s="143"/>
      <c r="X219" s="144"/>
      <c r="Y219" s="145"/>
      <c r="Z219" s="146"/>
      <c r="AA219" s="146"/>
      <c r="AB219" s="144"/>
      <c r="AC219" s="146"/>
      <c r="AD219" s="145"/>
      <c r="AE219" s="145"/>
      <c r="AF219" s="146"/>
      <c r="AG219" s="146"/>
      <c r="AH219" s="140"/>
    </row>
    <row r="220" spans="3:34" x14ac:dyDescent="0.25">
      <c r="C220" s="139"/>
      <c r="P220" s="138"/>
      <c r="Q220" s="138"/>
      <c r="T220" s="141"/>
      <c r="V220" s="143"/>
      <c r="X220" s="144"/>
      <c r="Y220" s="145"/>
      <c r="Z220" s="146"/>
      <c r="AA220" s="146"/>
      <c r="AB220" s="144"/>
      <c r="AC220" s="146"/>
      <c r="AD220" s="145"/>
      <c r="AE220" s="145"/>
      <c r="AF220" s="146"/>
      <c r="AG220" s="146"/>
      <c r="AH220" s="140"/>
    </row>
    <row r="221" spans="3:34" x14ac:dyDescent="0.25">
      <c r="C221" s="139"/>
      <c r="P221" s="138"/>
      <c r="Q221" s="138"/>
      <c r="T221" s="141"/>
      <c r="V221" s="143"/>
      <c r="X221" s="144"/>
      <c r="Y221" s="145"/>
      <c r="Z221" s="146"/>
      <c r="AA221" s="146"/>
      <c r="AB221" s="144"/>
      <c r="AC221" s="146"/>
      <c r="AD221" s="145"/>
      <c r="AE221" s="145"/>
      <c r="AF221" s="146"/>
      <c r="AG221" s="146"/>
      <c r="AH221" s="140"/>
    </row>
    <row r="222" spans="3:34" x14ac:dyDescent="0.25">
      <c r="C222" s="139"/>
      <c r="P222" s="138"/>
      <c r="Q222" s="138"/>
      <c r="T222" s="141"/>
      <c r="V222" s="143"/>
      <c r="X222" s="144"/>
      <c r="Y222" s="145"/>
      <c r="Z222" s="146"/>
      <c r="AA222" s="146"/>
      <c r="AB222" s="144"/>
      <c r="AC222" s="146"/>
      <c r="AD222" s="145"/>
      <c r="AE222" s="145"/>
      <c r="AF222" s="146"/>
      <c r="AG222" s="146"/>
      <c r="AH222" s="140"/>
    </row>
    <row r="223" spans="3:34" x14ac:dyDescent="0.25">
      <c r="C223" s="139"/>
      <c r="P223" s="138"/>
      <c r="Q223" s="138"/>
      <c r="T223" s="141"/>
      <c r="V223" s="143"/>
      <c r="X223" s="144"/>
      <c r="Y223" s="145"/>
      <c r="Z223" s="146"/>
      <c r="AA223" s="146"/>
      <c r="AB223" s="144"/>
      <c r="AC223" s="146"/>
      <c r="AD223" s="145"/>
      <c r="AE223" s="145"/>
      <c r="AF223" s="146"/>
      <c r="AG223" s="146"/>
      <c r="AH223" s="140"/>
    </row>
    <row r="224" spans="3:34" x14ac:dyDescent="0.25">
      <c r="C224" s="139"/>
      <c r="P224" s="138"/>
      <c r="Q224" s="138"/>
      <c r="T224" s="141"/>
      <c r="V224" s="143"/>
      <c r="X224" s="144"/>
      <c r="Y224" s="145"/>
      <c r="Z224" s="146"/>
      <c r="AA224" s="146"/>
      <c r="AB224" s="144"/>
      <c r="AC224" s="146"/>
      <c r="AD224" s="145"/>
      <c r="AE224" s="145"/>
      <c r="AF224" s="146"/>
      <c r="AG224" s="146"/>
      <c r="AH224" s="140"/>
    </row>
    <row r="225" spans="3:34" x14ac:dyDescent="0.25">
      <c r="C225" s="139"/>
      <c r="P225" s="138"/>
      <c r="Q225" s="138"/>
      <c r="T225" s="141"/>
      <c r="V225" s="143"/>
      <c r="X225" s="144"/>
      <c r="Y225" s="145"/>
      <c r="Z225" s="146"/>
      <c r="AA225" s="146"/>
      <c r="AB225" s="144"/>
      <c r="AC225" s="146"/>
      <c r="AD225" s="145"/>
      <c r="AE225" s="145"/>
      <c r="AF225" s="146"/>
      <c r="AG225" s="146"/>
      <c r="AH225" s="140"/>
    </row>
    <row r="226" spans="3:34" x14ac:dyDescent="0.25">
      <c r="C226" s="139"/>
      <c r="P226" s="138"/>
      <c r="Q226" s="138"/>
      <c r="T226" s="141"/>
      <c r="V226" s="143"/>
      <c r="X226" s="144"/>
      <c r="Y226" s="145"/>
      <c r="Z226" s="146"/>
      <c r="AA226" s="146"/>
      <c r="AB226" s="144"/>
      <c r="AC226" s="146"/>
      <c r="AD226" s="145"/>
      <c r="AE226" s="145"/>
      <c r="AF226" s="146"/>
      <c r="AG226" s="146"/>
      <c r="AH226" s="140"/>
    </row>
    <row r="227" spans="3:34" x14ac:dyDescent="0.25">
      <c r="C227" s="139"/>
      <c r="P227" s="138"/>
      <c r="Q227" s="138"/>
      <c r="T227" s="141"/>
      <c r="V227" s="143"/>
      <c r="X227" s="144"/>
      <c r="Y227" s="145"/>
      <c r="Z227" s="146"/>
      <c r="AA227" s="146"/>
      <c r="AB227" s="144"/>
      <c r="AC227" s="146"/>
      <c r="AD227" s="145"/>
      <c r="AE227" s="145"/>
      <c r="AF227" s="146"/>
      <c r="AG227" s="146"/>
      <c r="AH227" s="140"/>
    </row>
    <row r="228" spans="3:34" x14ac:dyDescent="0.25">
      <c r="C228" s="139"/>
      <c r="P228" s="138"/>
      <c r="Q228" s="138"/>
      <c r="T228" s="141"/>
      <c r="V228" s="143"/>
      <c r="X228" s="144"/>
      <c r="Y228" s="145"/>
      <c r="Z228" s="146"/>
      <c r="AA228" s="146"/>
      <c r="AB228" s="144"/>
      <c r="AC228" s="146"/>
      <c r="AD228" s="145"/>
      <c r="AE228" s="145"/>
      <c r="AF228" s="146"/>
      <c r="AG228" s="146"/>
      <c r="AH228" s="140"/>
    </row>
    <row r="229" spans="3:34" x14ac:dyDescent="0.25">
      <c r="C229" s="139"/>
      <c r="P229" s="138"/>
      <c r="Q229" s="138"/>
      <c r="T229" s="141"/>
      <c r="V229" s="143"/>
      <c r="X229" s="144"/>
      <c r="Y229" s="145"/>
      <c r="Z229" s="146"/>
      <c r="AA229" s="146"/>
      <c r="AB229" s="144"/>
      <c r="AC229" s="146"/>
      <c r="AD229" s="145"/>
      <c r="AE229" s="145"/>
      <c r="AF229" s="146"/>
      <c r="AG229" s="146"/>
      <c r="AH229" s="140"/>
    </row>
    <row r="230" spans="3:34" x14ac:dyDescent="0.25">
      <c r="C230" s="139"/>
      <c r="P230" s="138"/>
      <c r="Q230" s="138"/>
      <c r="T230" s="141"/>
      <c r="V230" s="143"/>
      <c r="X230" s="144"/>
      <c r="Y230" s="145"/>
      <c r="Z230" s="146"/>
      <c r="AA230" s="146"/>
      <c r="AB230" s="144"/>
      <c r="AC230" s="146"/>
      <c r="AD230" s="145"/>
      <c r="AE230" s="145"/>
      <c r="AF230" s="146"/>
      <c r="AG230" s="146"/>
      <c r="AH230" s="140"/>
    </row>
    <row r="231" spans="3:34" x14ac:dyDescent="0.25">
      <c r="C231" s="139"/>
      <c r="P231" s="138"/>
      <c r="Q231" s="138"/>
      <c r="T231" s="141"/>
      <c r="V231" s="143"/>
      <c r="X231" s="144"/>
      <c r="Y231" s="145"/>
      <c r="Z231" s="146"/>
      <c r="AA231" s="146"/>
      <c r="AB231" s="144"/>
      <c r="AC231" s="146"/>
      <c r="AD231" s="145"/>
      <c r="AE231" s="145"/>
      <c r="AF231" s="146"/>
      <c r="AG231" s="146"/>
      <c r="AH231" s="140"/>
    </row>
    <row r="232" spans="3:34" x14ac:dyDescent="0.25">
      <c r="C232" s="139"/>
      <c r="P232" s="138"/>
      <c r="Q232" s="138"/>
      <c r="T232" s="141"/>
      <c r="V232" s="143"/>
      <c r="X232" s="144"/>
      <c r="Y232" s="145"/>
      <c r="Z232" s="146"/>
      <c r="AA232" s="146"/>
      <c r="AB232" s="144"/>
      <c r="AC232" s="146"/>
      <c r="AD232" s="145"/>
      <c r="AE232" s="145"/>
      <c r="AF232" s="146"/>
      <c r="AG232" s="146"/>
      <c r="AH232" s="140"/>
    </row>
    <row r="233" spans="3:34" x14ac:dyDescent="0.25">
      <c r="C233" s="139"/>
      <c r="P233" s="138"/>
      <c r="Q233" s="138"/>
      <c r="T233" s="141"/>
      <c r="V233" s="143"/>
      <c r="X233" s="144"/>
      <c r="Y233" s="145"/>
      <c r="Z233" s="146"/>
      <c r="AA233" s="146"/>
      <c r="AB233" s="144"/>
      <c r="AC233" s="146"/>
      <c r="AD233" s="145"/>
      <c r="AE233" s="145"/>
      <c r="AF233" s="146"/>
      <c r="AG233" s="146"/>
      <c r="AH233" s="140"/>
    </row>
    <row r="234" spans="3:34" x14ac:dyDescent="0.25">
      <c r="C234" s="139"/>
      <c r="P234" s="138"/>
      <c r="Q234" s="138"/>
      <c r="T234" s="141"/>
      <c r="V234" s="143"/>
      <c r="X234" s="144"/>
      <c r="Y234" s="145"/>
      <c r="Z234" s="146"/>
      <c r="AA234" s="146"/>
      <c r="AB234" s="144"/>
      <c r="AC234" s="146"/>
      <c r="AD234" s="145"/>
      <c r="AE234" s="145"/>
      <c r="AF234" s="146"/>
      <c r="AG234" s="146"/>
      <c r="AH234" s="140"/>
    </row>
    <row r="235" spans="3:34" x14ac:dyDescent="0.25">
      <c r="C235" s="139"/>
      <c r="P235" s="138"/>
      <c r="Q235" s="138"/>
      <c r="T235" s="141"/>
      <c r="V235" s="143"/>
      <c r="X235" s="144"/>
      <c r="Y235" s="145"/>
      <c r="Z235" s="146"/>
      <c r="AA235" s="146"/>
      <c r="AB235" s="144"/>
      <c r="AC235" s="146"/>
      <c r="AD235" s="145"/>
      <c r="AE235" s="145"/>
      <c r="AF235" s="146"/>
      <c r="AG235" s="146"/>
      <c r="AH235" s="140"/>
    </row>
    <row r="236" spans="3:34" x14ac:dyDescent="0.25">
      <c r="C236" s="139"/>
      <c r="P236" s="138"/>
      <c r="Q236" s="138"/>
      <c r="T236" s="141"/>
      <c r="V236" s="143"/>
      <c r="X236" s="144"/>
      <c r="Y236" s="145"/>
      <c r="Z236" s="146"/>
      <c r="AA236" s="146"/>
      <c r="AB236" s="144"/>
      <c r="AC236" s="146"/>
      <c r="AD236" s="145"/>
      <c r="AE236" s="145"/>
      <c r="AF236" s="146"/>
      <c r="AG236" s="146"/>
      <c r="AH236" s="140"/>
    </row>
    <row r="237" spans="3:34" x14ac:dyDescent="0.25">
      <c r="C237" s="139"/>
      <c r="P237" s="138"/>
      <c r="Q237" s="138"/>
      <c r="T237" s="141"/>
      <c r="V237" s="143"/>
      <c r="X237" s="144"/>
      <c r="Y237" s="145"/>
      <c r="Z237" s="146"/>
      <c r="AA237" s="146"/>
      <c r="AB237" s="144"/>
      <c r="AC237" s="146"/>
      <c r="AD237" s="145"/>
      <c r="AE237" s="145"/>
      <c r="AF237" s="146"/>
      <c r="AG237" s="146"/>
      <c r="AH237" s="140"/>
    </row>
    <row r="238" spans="3:34" x14ac:dyDescent="0.25">
      <c r="C238" s="139"/>
      <c r="P238" s="138"/>
      <c r="Q238" s="138"/>
      <c r="T238" s="141"/>
      <c r="V238" s="143"/>
      <c r="X238" s="144"/>
      <c r="Y238" s="145"/>
      <c r="Z238" s="146"/>
      <c r="AA238" s="146"/>
      <c r="AB238" s="144"/>
      <c r="AC238" s="146"/>
      <c r="AD238" s="145"/>
      <c r="AE238" s="145"/>
      <c r="AF238" s="146"/>
      <c r="AG238" s="146"/>
      <c r="AH238" s="140"/>
    </row>
    <row r="239" spans="3:34" x14ac:dyDescent="0.25">
      <c r="C239" s="139"/>
      <c r="P239" s="138"/>
      <c r="Q239" s="138"/>
      <c r="T239" s="141"/>
      <c r="V239" s="143"/>
      <c r="X239" s="144"/>
      <c r="Y239" s="145"/>
      <c r="Z239" s="146"/>
      <c r="AA239" s="146"/>
      <c r="AB239" s="144"/>
      <c r="AC239" s="146"/>
      <c r="AD239" s="145"/>
      <c r="AE239" s="145"/>
      <c r="AF239" s="146"/>
      <c r="AG239" s="146"/>
      <c r="AH239" s="140"/>
    </row>
    <row r="240" spans="3:34" x14ac:dyDescent="0.25">
      <c r="C240" s="139"/>
      <c r="P240" s="138"/>
      <c r="Q240" s="138"/>
      <c r="T240" s="141"/>
      <c r="V240" s="143"/>
      <c r="X240" s="144"/>
      <c r="Y240" s="145"/>
      <c r="Z240" s="146"/>
      <c r="AA240" s="146"/>
      <c r="AB240" s="144"/>
      <c r="AC240" s="146"/>
      <c r="AD240" s="145"/>
      <c r="AE240" s="145"/>
      <c r="AF240" s="146"/>
      <c r="AG240" s="146"/>
      <c r="AH240" s="140"/>
    </row>
    <row r="241" spans="3:34" x14ac:dyDescent="0.25">
      <c r="C241" s="139"/>
      <c r="P241" s="138"/>
      <c r="Q241" s="138"/>
      <c r="T241" s="141"/>
      <c r="V241" s="143"/>
      <c r="X241" s="144"/>
      <c r="Y241" s="145"/>
      <c r="Z241" s="146"/>
      <c r="AA241" s="146"/>
      <c r="AB241" s="144"/>
      <c r="AC241" s="146"/>
      <c r="AD241" s="145"/>
      <c r="AE241" s="145"/>
      <c r="AF241" s="146"/>
      <c r="AG241" s="146"/>
      <c r="AH241" s="140"/>
    </row>
    <row r="242" spans="3:34" x14ac:dyDescent="0.25">
      <c r="C242" s="139"/>
      <c r="P242" s="138"/>
      <c r="Q242" s="138"/>
      <c r="T242" s="141"/>
      <c r="V242" s="143"/>
      <c r="X242" s="144"/>
      <c r="Y242" s="145"/>
      <c r="Z242" s="146"/>
      <c r="AA242" s="146"/>
      <c r="AB242" s="144"/>
      <c r="AC242" s="146"/>
      <c r="AD242" s="145"/>
      <c r="AE242" s="145"/>
      <c r="AF242" s="146"/>
      <c r="AG242" s="146"/>
      <c r="AH242" s="140"/>
    </row>
    <row r="243" spans="3:34" x14ac:dyDescent="0.25">
      <c r="C243" s="139"/>
      <c r="P243" s="138"/>
      <c r="Q243" s="138"/>
      <c r="T243" s="141"/>
      <c r="V243" s="143"/>
      <c r="X243" s="144"/>
      <c r="Y243" s="145"/>
      <c r="Z243" s="146"/>
      <c r="AA243" s="146"/>
      <c r="AB243" s="144"/>
      <c r="AC243" s="146"/>
      <c r="AD243" s="145"/>
      <c r="AE243" s="145"/>
      <c r="AF243" s="146"/>
      <c r="AG243" s="146"/>
      <c r="AH243" s="140"/>
    </row>
    <row r="244" spans="3:34" x14ac:dyDescent="0.25">
      <c r="C244" s="139"/>
      <c r="P244" s="138"/>
      <c r="Q244" s="138"/>
      <c r="T244" s="141"/>
      <c r="V244" s="143"/>
      <c r="X244" s="144"/>
      <c r="Y244" s="145"/>
      <c r="Z244" s="146"/>
      <c r="AA244" s="146"/>
      <c r="AB244" s="144"/>
      <c r="AC244" s="146"/>
      <c r="AD244" s="145"/>
      <c r="AE244" s="145"/>
      <c r="AF244" s="146"/>
      <c r="AG244" s="146"/>
      <c r="AH244" s="140"/>
    </row>
    <row r="245" spans="3:34" x14ac:dyDescent="0.25">
      <c r="C245" s="139"/>
      <c r="P245" s="138"/>
      <c r="Q245" s="138"/>
      <c r="T245" s="141"/>
      <c r="V245" s="143"/>
      <c r="X245" s="144"/>
      <c r="Y245" s="145"/>
      <c r="Z245" s="146"/>
      <c r="AA245" s="146"/>
      <c r="AB245" s="144"/>
      <c r="AC245" s="146"/>
      <c r="AD245" s="145"/>
      <c r="AE245" s="145"/>
      <c r="AF245" s="146"/>
      <c r="AG245" s="146"/>
      <c r="AH245" s="140"/>
    </row>
    <row r="246" spans="3:34" x14ac:dyDescent="0.25">
      <c r="C246" s="139"/>
      <c r="P246" s="138"/>
      <c r="Q246" s="138"/>
      <c r="T246" s="141"/>
      <c r="V246" s="143"/>
      <c r="X246" s="144"/>
      <c r="Y246" s="145"/>
      <c r="Z246" s="146"/>
      <c r="AA246" s="146"/>
      <c r="AB246" s="144"/>
      <c r="AC246" s="146"/>
      <c r="AD246" s="145"/>
      <c r="AE246" s="145"/>
      <c r="AF246" s="146"/>
      <c r="AG246" s="146"/>
      <c r="AH246" s="140"/>
    </row>
    <row r="247" spans="3:34" x14ac:dyDescent="0.25">
      <c r="C247" s="139"/>
      <c r="P247" s="138"/>
      <c r="Q247" s="138"/>
      <c r="T247" s="141"/>
      <c r="V247" s="143"/>
      <c r="X247" s="144"/>
      <c r="Y247" s="145"/>
      <c r="Z247" s="146"/>
      <c r="AA247" s="146"/>
      <c r="AB247" s="144"/>
      <c r="AC247" s="146"/>
      <c r="AD247" s="145"/>
      <c r="AE247" s="145"/>
      <c r="AF247" s="146"/>
      <c r="AG247" s="146"/>
      <c r="AH247" s="140"/>
    </row>
    <row r="248" spans="3:34" x14ac:dyDescent="0.25">
      <c r="C248" s="139"/>
      <c r="P248" s="138"/>
      <c r="Q248" s="138"/>
      <c r="T248" s="141"/>
      <c r="V248" s="143"/>
      <c r="X248" s="144"/>
      <c r="Y248" s="145"/>
      <c r="Z248" s="146"/>
      <c r="AA248" s="146"/>
      <c r="AB248" s="144"/>
      <c r="AC248" s="146"/>
      <c r="AD248" s="145"/>
      <c r="AE248" s="145"/>
      <c r="AF248" s="146"/>
      <c r="AG248" s="146"/>
      <c r="AH248" s="140"/>
    </row>
    <row r="249" spans="3:34" x14ac:dyDescent="0.25">
      <c r="C249" s="139"/>
      <c r="P249" s="138"/>
      <c r="Q249" s="138"/>
      <c r="T249" s="141"/>
      <c r="V249" s="143"/>
      <c r="X249" s="144"/>
      <c r="Y249" s="145"/>
      <c r="Z249" s="146"/>
      <c r="AA249" s="146"/>
      <c r="AB249" s="144"/>
      <c r="AC249" s="146"/>
      <c r="AD249" s="145"/>
      <c r="AE249" s="145"/>
      <c r="AF249" s="146"/>
      <c r="AG249" s="146"/>
      <c r="AH249" s="140"/>
    </row>
    <row r="250" spans="3:34" x14ac:dyDescent="0.25">
      <c r="C250" s="139"/>
      <c r="P250" s="138"/>
      <c r="Q250" s="138"/>
      <c r="T250" s="141"/>
      <c r="V250" s="143"/>
      <c r="X250" s="144"/>
      <c r="Y250" s="145"/>
      <c r="Z250" s="146"/>
      <c r="AA250" s="146"/>
      <c r="AB250" s="144"/>
      <c r="AC250" s="146"/>
      <c r="AD250" s="145"/>
      <c r="AE250" s="145"/>
      <c r="AF250" s="146"/>
      <c r="AG250" s="146"/>
      <c r="AH250" s="140"/>
    </row>
    <row r="251" spans="3:34" x14ac:dyDescent="0.25">
      <c r="C251" s="139"/>
      <c r="P251" s="138"/>
      <c r="Q251" s="138"/>
      <c r="T251" s="141"/>
      <c r="V251" s="143"/>
      <c r="X251" s="144"/>
      <c r="Y251" s="145"/>
      <c r="Z251" s="146"/>
      <c r="AA251" s="146"/>
      <c r="AB251" s="144"/>
      <c r="AC251" s="146"/>
      <c r="AD251" s="145"/>
      <c r="AE251" s="145"/>
      <c r="AF251" s="146"/>
      <c r="AG251" s="146"/>
      <c r="AH251" s="140"/>
    </row>
    <row r="252" spans="3:34" x14ac:dyDescent="0.25">
      <c r="C252" s="139"/>
      <c r="P252" s="138"/>
      <c r="Q252" s="138"/>
      <c r="T252" s="141"/>
      <c r="V252" s="143"/>
      <c r="X252" s="144"/>
      <c r="Y252" s="145"/>
      <c r="Z252" s="146"/>
      <c r="AA252" s="146"/>
      <c r="AB252" s="144"/>
      <c r="AC252" s="146"/>
      <c r="AD252" s="145"/>
      <c r="AE252" s="145"/>
      <c r="AF252" s="146"/>
      <c r="AG252" s="146"/>
      <c r="AH252" s="140"/>
    </row>
    <row r="253" spans="3:34" x14ac:dyDescent="0.25">
      <c r="C253" s="139"/>
      <c r="P253" s="138"/>
      <c r="Q253" s="138"/>
      <c r="T253" s="141"/>
      <c r="V253" s="143"/>
      <c r="X253" s="144"/>
      <c r="Y253" s="145"/>
      <c r="Z253" s="146"/>
      <c r="AA253" s="146"/>
      <c r="AB253" s="144"/>
      <c r="AC253" s="146"/>
      <c r="AD253" s="145"/>
      <c r="AE253" s="145"/>
      <c r="AF253" s="146"/>
      <c r="AG253" s="146"/>
      <c r="AH253" s="140"/>
    </row>
    <row r="254" spans="3:34" x14ac:dyDescent="0.25">
      <c r="C254" s="139"/>
      <c r="P254" s="138"/>
      <c r="Q254" s="138"/>
      <c r="T254" s="141"/>
      <c r="V254" s="143"/>
      <c r="X254" s="144"/>
      <c r="Y254" s="145"/>
      <c r="Z254" s="146"/>
      <c r="AA254" s="146"/>
      <c r="AB254" s="144"/>
      <c r="AC254" s="146"/>
      <c r="AD254" s="145"/>
      <c r="AE254" s="145"/>
      <c r="AF254" s="146"/>
      <c r="AG254" s="146"/>
      <c r="AH254" s="140"/>
    </row>
    <row r="255" spans="3:34" x14ac:dyDescent="0.25">
      <c r="C255" s="139"/>
      <c r="P255" s="138"/>
      <c r="Q255" s="138"/>
      <c r="T255" s="141"/>
      <c r="V255" s="143"/>
      <c r="X255" s="144"/>
      <c r="Y255" s="145"/>
      <c r="Z255" s="146"/>
      <c r="AA255" s="146"/>
      <c r="AB255" s="144"/>
      <c r="AC255" s="146"/>
      <c r="AD255" s="145"/>
      <c r="AE255" s="145"/>
      <c r="AF255" s="146"/>
      <c r="AG255" s="146"/>
      <c r="AH255" s="140"/>
    </row>
    <row r="256" spans="3:34" x14ac:dyDescent="0.25">
      <c r="C256" s="139"/>
      <c r="P256" s="138"/>
      <c r="Q256" s="138"/>
      <c r="T256" s="141"/>
      <c r="V256" s="143"/>
      <c r="X256" s="144"/>
      <c r="Y256" s="145"/>
      <c r="Z256" s="146"/>
      <c r="AA256" s="146"/>
      <c r="AB256" s="144"/>
      <c r="AC256" s="146"/>
      <c r="AD256" s="145"/>
      <c r="AE256" s="145"/>
      <c r="AF256" s="146"/>
      <c r="AG256" s="146"/>
      <c r="AH256" s="140"/>
    </row>
    <row r="257" spans="3:34" x14ac:dyDescent="0.25">
      <c r="C257" s="139"/>
      <c r="P257" s="138"/>
      <c r="Q257" s="138"/>
      <c r="T257" s="141"/>
      <c r="V257" s="143"/>
      <c r="X257" s="144"/>
      <c r="Y257" s="145"/>
      <c r="Z257" s="146"/>
      <c r="AA257" s="146"/>
      <c r="AB257" s="144"/>
      <c r="AC257" s="146"/>
      <c r="AD257" s="145"/>
      <c r="AE257" s="145"/>
      <c r="AF257" s="146"/>
      <c r="AG257" s="146"/>
      <c r="AH257" s="140"/>
    </row>
    <row r="258" spans="3:34" x14ac:dyDescent="0.25">
      <c r="C258" s="139"/>
      <c r="P258" s="141"/>
      <c r="Q258" s="141"/>
      <c r="T258" s="141"/>
      <c r="V258" s="143"/>
      <c r="X258" s="144"/>
      <c r="Y258" s="145"/>
      <c r="Z258" s="146"/>
      <c r="AA258" s="146"/>
      <c r="AB258" s="144"/>
      <c r="AC258" s="146"/>
      <c r="AD258" s="145"/>
      <c r="AE258" s="145"/>
      <c r="AF258" s="146"/>
      <c r="AG258" s="146"/>
      <c r="AH258" s="140"/>
    </row>
    <row r="259" spans="3:34" x14ac:dyDescent="0.25">
      <c r="C259" s="139"/>
      <c r="P259" s="141"/>
      <c r="Q259" s="141"/>
      <c r="T259" s="141"/>
      <c r="V259" s="143"/>
      <c r="X259" s="144"/>
      <c r="Y259" s="145"/>
      <c r="Z259" s="146"/>
      <c r="AA259" s="146"/>
      <c r="AB259" s="144"/>
      <c r="AC259" s="146"/>
      <c r="AD259" s="145"/>
      <c r="AE259" s="145"/>
      <c r="AF259" s="146"/>
      <c r="AG259" s="146"/>
      <c r="AH259" s="140"/>
    </row>
    <row r="260" spans="3:34" x14ac:dyDescent="0.25">
      <c r="C260" s="139"/>
      <c r="P260" s="141"/>
      <c r="Q260" s="141"/>
      <c r="T260" s="141"/>
      <c r="V260" s="143"/>
      <c r="X260" s="144"/>
      <c r="Y260" s="145"/>
      <c r="Z260" s="146"/>
      <c r="AA260" s="146"/>
      <c r="AB260" s="144"/>
      <c r="AC260" s="146"/>
      <c r="AD260" s="145"/>
      <c r="AE260" s="145"/>
      <c r="AF260" s="146"/>
      <c r="AG260" s="146"/>
      <c r="AH260" s="140"/>
    </row>
    <row r="261" spans="3:34" x14ac:dyDescent="0.25">
      <c r="C261" s="139"/>
      <c r="P261" s="141"/>
      <c r="Q261" s="141"/>
      <c r="T261" s="141"/>
      <c r="V261" s="143"/>
      <c r="X261" s="144"/>
      <c r="Y261" s="145"/>
      <c r="Z261" s="146"/>
      <c r="AA261" s="146"/>
      <c r="AB261" s="144"/>
      <c r="AC261" s="146"/>
      <c r="AD261" s="145"/>
      <c r="AE261" s="145"/>
      <c r="AF261" s="146"/>
      <c r="AG261" s="146"/>
      <c r="AH261" s="140"/>
    </row>
    <row r="262" spans="3:34" x14ac:dyDescent="0.25">
      <c r="C262" s="139"/>
      <c r="P262" s="141"/>
      <c r="Q262" s="141"/>
      <c r="T262" s="141"/>
      <c r="V262" s="143"/>
      <c r="X262" s="144"/>
      <c r="Y262" s="145"/>
      <c r="Z262" s="146"/>
      <c r="AA262" s="146"/>
      <c r="AB262" s="144"/>
      <c r="AC262" s="146"/>
      <c r="AD262" s="145"/>
      <c r="AE262" s="145"/>
      <c r="AF262" s="146"/>
      <c r="AG262" s="146"/>
      <c r="AH262" s="140"/>
    </row>
    <row r="263" spans="3:34" x14ac:dyDescent="0.25">
      <c r="C263" s="139"/>
      <c r="P263" s="141"/>
      <c r="Q263" s="141"/>
      <c r="T263" s="141"/>
      <c r="V263" s="143"/>
      <c r="X263" s="144"/>
      <c r="Y263" s="145"/>
      <c r="Z263" s="146"/>
      <c r="AA263" s="146"/>
      <c r="AB263" s="144"/>
      <c r="AC263" s="146"/>
      <c r="AD263" s="145"/>
      <c r="AE263" s="145"/>
      <c r="AF263" s="146"/>
      <c r="AG263" s="146"/>
      <c r="AH263" s="140"/>
    </row>
    <row r="264" spans="3:34" x14ac:dyDescent="0.25">
      <c r="C264" s="139"/>
      <c r="P264" s="141"/>
      <c r="Q264" s="141"/>
      <c r="T264" s="141"/>
      <c r="V264" s="143"/>
      <c r="X264" s="144"/>
      <c r="Y264" s="145"/>
      <c r="Z264" s="146"/>
      <c r="AA264" s="146"/>
      <c r="AB264" s="144"/>
      <c r="AC264" s="146"/>
      <c r="AD264" s="145"/>
      <c r="AE264" s="145"/>
      <c r="AF264" s="146"/>
      <c r="AG264" s="146"/>
      <c r="AH264" s="140"/>
    </row>
    <row r="265" spans="3:34" x14ac:dyDescent="0.25">
      <c r="C265" s="139"/>
      <c r="P265" s="141"/>
      <c r="Q265" s="141"/>
      <c r="T265" s="141"/>
      <c r="V265" s="143"/>
      <c r="X265" s="144"/>
      <c r="Y265" s="145"/>
      <c r="Z265" s="146"/>
      <c r="AA265" s="146"/>
      <c r="AB265" s="144"/>
      <c r="AC265" s="146"/>
      <c r="AD265" s="145"/>
      <c r="AE265" s="145"/>
      <c r="AF265" s="146"/>
      <c r="AG265" s="146"/>
      <c r="AH265" s="140"/>
    </row>
    <row r="266" spans="3:34" x14ac:dyDescent="0.25">
      <c r="C266" s="139"/>
      <c r="P266" s="141"/>
      <c r="Q266" s="141"/>
      <c r="T266" s="141"/>
      <c r="V266" s="143"/>
      <c r="X266" s="144"/>
      <c r="Y266" s="145"/>
      <c r="Z266" s="146"/>
      <c r="AA266" s="146"/>
      <c r="AB266" s="144"/>
      <c r="AC266" s="146"/>
      <c r="AD266" s="145"/>
      <c r="AE266" s="145"/>
      <c r="AF266" s="146"/>
      <c r="AG266" s="146"/>
      <c r="AH266" s="140"/>
    </row>
    <row r="267" spans="3:34" x14ac:dyDescent="0.25">
      <c r="C267" s="139"/>
      <c r="P267" s="141"/>
      <c r="Q267" s="141"/>
      <c r="T267" s="141"/>
      <c r="V267" s="143"/>
      <c r="X267" s="144"/>
      <c r="Y267" s="145"/>
      <c r="Z267" s="146"/>
      <c r="AA267" s="146"/>
      <c r="AB267" s="144"/>
      <c r="AC267" s="146"/>
      <c r="AD267" s="145"/>
      <c r="AE267" s="145"/>
      <c r="AF267" s="146"/>
      <c r="AG267" s="146"/>
      <c r="AH267" s="140"/>
    </row>
    <row r="268" spans="3:34" x14ac:dyDescent="0.25">
      <c r="C268" s="139"/>
      <c r="P268" s="141"/>
      <c r="Q268" s="141"/>
      <c r="T268" s="141"/>
      <c r="V268" s="143"/>
      <c r="X268" s="144"/>
      <c r="Y268" s="145"/>
      <c r="Z268" s="146"/>
      <c r="AA268" s="146"/>
      <c r="AB268" s="144"/>
      <c r="AC268" s="146"/>
      <c r="AD268" s="145"/>
      <c r="AE268" s="145"/>
      <c r="AF268" s="146"/>
      <c r="AG268" s="146"/>
      <c r="AH268" s="140"/>
    </row>
    <row r="269" spans="3:34" x14ac:dyDescent="0.25">
      <c r="C269" s="139"/>
      <c r="P269" s="141"/>
      <c r="Q269" s="141"/>
      <c r="T269" s="141"/>
      <c r="V269" s="143"/>
      <c r="X269" s="144"/>
      <c r="Y269" s="145"/>
      <c r="Z269" s="146"/>
      <c r="AA269" s="146"/>
      <c r="AB269" s="144"/>
      <c r="AC269" s="146"/>
      <c r="AD269" s="145"/>
      <c r="AE269" s="145"/>
      <c r="AF269" s="146"/>
      <c r="AG269" s="146"/>
      <c r="AH269" s="140"/>
    </row>
    <row r="270" spans="3:34" x14ac:dyDescent="0.25">
      <c r="C270" s="139"/>
      <c r="P270" s="141"/>
      <c r="Q270" s="141"/>
      <c r="T270" s="141"/>
      <c r="V270" s="143"/>
      <c r="X270" s="144"/>
      <c r="Y270" s="145"/>
      <c r="Z270" s="146"/>
      <c r="AA270" s="146"/>
      <c r="AB270" s="144"/>
      <c r="AC270" s="146"/>
      <c r="AD270" s="145"/>
      <c r="AE270" s="145"/>
      <c r="AF270" s="146"/>
      <c r="AG270" s="146"/>
      <c r="AH270" s="140"/>
    </row>
    <row r="271" spans="3:34" x14ac:dyDescent="0.25">
      <c r="C271" s="139"/>
      <c r="P271" s="141"/>
      <c r="Q271" s="141"/>
      <c r="T271" s="141"/>
      <c r="V271" s="143"/>
      <c r="X271" s="144"/>
      <c r="Y271" s="145"/>
      <c r="Z271" s="146"/>
      <c r="AA271" s="146"/>
      <c r="AB271" s="144"/>
      <c r="AC271" s="146"/>
      <c r="AD271" s="145"/>
      <c r="AE271" s="145"/>
      <c r="AF271" s="146"/>
      <c r="AG271" s="146"/>
      <c r="AH271" s="140"/>
    </row>
    <row r="272" spans="3:34" x14ac:dyDescent="0.25">
      <c r="C272" s="139"/>
      <c r="P272" s="141"/>
      <c r="Q272" s="141"/>
      <c r="T272" s="141"/>
      <c r="V272" s="143"/>
      <c r="X272" s="144"/>
      <c r="Y272" s="145"/>
      <c r="Z272" s="146"/>
      <c r="AA272" s="146"/>
      <c r="AB272" s="144"/>
      <c r="AC272" s="146"/>
      <c r="AD272" s="145"/>
      <c r="AE272" s="145"/>
      <c r="AF272" s="146"/>
      <c r="AG272" s="146"/>
      <c r="AH272" s="140"/>
    </row>
    <row r="273" spans="3:34" x14ac:dyDescent="0.25">
      <c r="C273" s="139"/>
      <c r="P273" s="141"/>
      <c r="Q273" s="141"/>
      <c r="T273" s="141"/>
      <c r="V273" s="143"/>
      <c r="X273" s="144"/>
      <c r="Y273" s="145"/>
      <c r="Z273" s="146"/>
      <c r="AA273" s="146"/>
      <c r="AB273" s="144"/>
      <c r="AC273" s="146"/>
      <c r="AD273" s="145"/>
      <c r="AE273" s="145"/>
      <c r="AF273" s="146"/>
      <c r="AG273" s="146"/>
      <c r="AH273" s="140"/>
    </row>
    <row r="274" spans="3:34" x14ac:dyDescent="0.25">
      <c r="C274" s="139"/>
      <c r="P274" s="141"/>
      <c r="Q274" s="141"/>
      <c r="T274" s="141"/>
      <c r="V274" s="143"/>
      <c r="X274" s="144"/>
      <c r="Y274" s="145"/>
      <c r="Z274" s="146"/>
      <c r="AA274" s="146"/>
      <c r="AB274" s="144"/>
      <c r="AC274" s="146"/>
      <c r="AD274" s="145"/>
      <c r="AE274" s="145"/>
      <c r="AF274" s="146"/>
      <c r="AG274" s="146"/>
      <c r="AH274" s="140"/>
    </row>
    <row r="275" spans="3:34" x14ac:dyDescent="0.25">
      <c r="C275" s="139"/>
      <c r="P275" s="141"/>
      <c r="Q275" s="141"/>
      <c r="T275" s="141"/>
      <c r="V275" s="143"/>
      <c r="X275" s="144"/>
      <c r="Y275" s="145"/>
      <c r="Z275" s="146"/>
      <c r="AA275" s="146"/>
      <c r="AB275" s="144"/>
      <c r="AC275" s="146"/>
      <c r="AD275" s="145"/>
      <c r="AE275" s="145"/>
      <c r="AF275" s="146"/>
      <c r="AG275" s="146"/>
      <c r="AH275" s="140"/>
    </row>
    <row r="276" spans="3:34" x14ac:dyDescent="0.25">
      <c r="C276" s="139"/>
      <c r="P276" s="141"/>
      <c r="Q276" s="141"/>
      <c r="T276" s="141"/>
      <c r="V276" s="143"/>
      <c r="X276" s="144"/>
      <c r="Y276" s="145"/>
      <c r="Z276" s="146"/>
      <c r="AA276" s="146"/>
      <c r="AB276" s="144"/>
      <c r="AC276" s="146"/>
      <c r="AD276" s="145"/>
      <c r="AE276" s="145"/>
      <c r="AF276" s="146"/>
      <c r="AG276" s="146"/>
      <c r="AH276" s="140"/>
    </row>
    <row r="277" spans="3:34" x14ac:dyDescent="0.25">
      <c r="C277" s="139"/>
      <c r="P277" s="141"/>
      <c r="Q277" s="141"/>
      <c r="T277" s="141"/>
      <c r="V277" s="143"/>
      <c r="X277" s="144"/>
      <c r="Y277" s="145"/>
      <c r="Z277" s="146"/>
      <c r="AA277" s="146"/>
      <c r="AB277" s="144"/>
      <c r="AC277" s="146"/>
      <c r="AD277" s="145"/>
      <c r="AE277" s="145"/>
      <c r="AF277" s="146"/>
      <c r="AG277" s="146"/>
      <c r="AH277" s="140"/>
    </row>
    <row r="278" spans="3:34" x14ac:dyDescent="0.25">
      <c r="C278" s="139"/>
      <c r="P278" s="141"/>
      <c r="Q278" s="141"/>
      <c r="T278" s="141"/>
      <c r="V278" s="143"/>
      <c r="X278" s="144"/>
      <c r="Y278" s="145"/>
      <c r="Z278" s="146"/>
      <c r="AA278" s="146"/>
      <c r="AB278" s="144"/>
      <c r="AC278" s="146"/>
      <c r="AD278" s="145"/>
      <c r="AE278" s="145"/>
      <c r="AF278" s="146"/>
      <c r="AG278" s="146"/>
      <c r="AH278" s="140"/>
    </row>
    <row r="279" spans="3:34" x14ac:dyDescent="0.25">
      <c r="C279" s="139"/>
      <c r="P279" s="141"/>
      <c r="Q279" s="141"/>
      <c r="T279" s="141"/>
      <c r="V279" s="143"/>
      <c r="X279" s="144"/>
      <c r="Y279" s="145"/>
      <c r="Z279" s="146"/>
      <c r="AA279" s="146"/>
      <c r="AB279" s="144"/>
      <c r="AC279" s="146"/>
      <c r="AD279" s="145"/>
      <c r="AE279" s="145"/>
      <c r="AF279" s="146"/>
      <c r="AG279" s="146"/>
      <c r="AH279" s="140"/>
    </row>
    <row r="280" spans="3:34" x14ac:dyDescent="0.25">
      <c r="C280" s="139"/>
      <c r="P280" s="141"/>
      <c r="Q280" s="141"/>
      <c r="T280" s="141"/>
      <c r="V280" s="143"/>
      <c r="X280" s="144"/>
      <c r="Y280" s="145"/>
      <c r="Z280" s="146"/>
      <c r="AA280" s="146"/>
      <c r="AB280" s="144"/>
      <c r="AC280" s="146"/>
      <c r="AD280" s="145"/>
      <c r="AE280" s="145"/>
      <c r="AF280" s="146"/>
      <c r="AG280" s="146"/>
      <c r="AH280" s="140"/>
    </row>
    <row r="281" spans="3:34" x14ac:dyDescent="0.25">
      <c r="C281" s="139"/>
      <c r="P281" s="141"/>
      <c r="Q281" s="141"/>
      <c r="T281" s="141"/>
      <c r="V281" s="143"/>
      <c r="X281" s="144"/>
      <c r="Y281" s="145"/>
      <c r="Z281" s="146"/>
      <c r="AA281" s="146"/>
      <c r="AB281" s="144"/>
      <c r="AC281" s="146"/>
      <c r="AD281" s="145"/>
      <c r="AE281" s="145"/>
      <c r="AF281" s="146"/>
      <c r="AG281" s="146"/>
      <c r="AH281" s="140"/>
    </row>
    <row r="282" spans="3:34" x14ac:dyDescent="0.25">
      <c r="C282" s="139"/>
      <c r="P282" s="141"/>
      <c r="Q282" s="141"/>
      <c r="T282" s="141"/>
      <c r="V282" s="143"/>
      <c r="X282" s="144"/>
      <c r="Y282" s="145"/>
      <c r="Z282" s="146"/>
      <c r="AA282" s="146"/>
      <c r="AB282" s="144"/>
      <c r="AC282" s="146"/>
      <c r="AD282" s="145"/>
      <c r="AE282" s="145"/>
      <c r="AF282" s="146"/>
      <c r="AG282" s="146"/>
      <c r="AH282" s="140"/>
    </row>
    <row r="283" spans="3:34" x14ac:dyDescent="0.25">
      <c r="C283" s="139"/>
      <c r="P283" s="141"/>
      <c r="Q283" s="141"/>
      <c r="T283" s="141"/>
      <c r="V283" s="143"/>
      <c r="X283" s="144"/>
      <c r="Y283" s="145"/>
      <c r="Z283" s="146"/>
      <c r="AA283" s="146"/>
      <c r="AB283" s="144"/>
      <c r="AC283" s="146"/>
      <c r="AD283" s="145"/>
      <c r="AE283" s="145"/>
      <c r="AF283" s="146"/>
      <c r="AG283" s="146"/>
      <c r="AH283" s="140"/>
    </row>
    <row r="284" spans="3:34" x14ac:dyDescent="0.25">
      <c r="C284" s="139"/>
      <c r="P284" s="141"/>
      <c r="Q284" s="141"/>
      <c r="T284" s="141"/>
      <c r="V284" s="143"/>
      <c r="X284" s="144"/>
      <c r="Y284" s="145"/>
      <c r="Z284" s="146"/>
      <c r="AA284" s="146"/>
      <c r="AB284" s="144"/>
      <c r="AC284" s="146"/>
      <c r="AD284" s="145"/>
      <c r="AE284" s="145"/>
      <c r="AF284" s="146"/>
      <c r="AG284" s="146"/>
      <c r="AH284" s="140"/>
    </row>
    <row r="285" spans="3:34" x14ac:dyDescent="0.25">
      <c r="C285" s="139"/>
      <c r="P285" s="141"/>
      <c r="Q285" s="141"/>
      <c r="T285" s="141"/>
      <c r="V285" s="143"/>
      <c r="X285" s="144"/>
      <c r="Y285" s="145"/>
      <c r="Z285" s="146"/>
      <c r="AA285" s="146"/>
      <c r="AB285" s="144"/>
      <c r="AC285" s="146"/>
      <c r="AD285" s="145"/>
      <c r="AE285" s="145"/>
      <c r="AF285" s="146"/>
      <c r="AG285" s="146"/>
      <c r="AH285" s="140"/>
    </row>
    <row r="286" spans="3:34" x14ac:dyDescent="0.25">
      <c r="C286" s="139"/>
      <c r="P286" s="141"/>
      <c r="Q286" s="141"/>
      <c r="T286" s="141"/>
      <c r="V286" s="143"/>
      <c r="X286" s="144"/>
      <c r="Y286" s="145"/>
      <c r="Z286" s="146"/>
      <c r="AA286" s="146"/>
      <c r="AB286" s="144"/>
      <c r="AC286" s="146"/>
      <c r="AD286" s="145"/>
      <c r="AE286" s="145"/>
      <c r="AF286" s="146"/>
      <c r="AG286" s="146"/>
      <c r="AH286" s="140"/>
    </row>
    <row r="287" spans="3:34" x14ac:dyDescent="0.25">
      <c r="C287" s="139"/>
      <c r="P287" s="141"/>
      <c r="Q287" s="141"/>
      <c r="T287" s="141"/>
      <c r="V287" s="143"/>
      <c r="X287" s="144"/>
      <c r="Y287" s="145"/>
      <c r="Z287" s="146"/>
      <c r="AA287" s="146"/>
      <c r="AB287" s="144"/>
      <c r="AC287" s="146"/>
      <c r="AD287" s="145"/>
      <c r="AE287" s="145"/>
      <c r="AF287" s="146"/>
      <c r="AG287" s="146"/>
      <c r="AH287" s="140"/>
    </row>
    <row r="288" spans="3:34" x14ac:dyDescent="0.25">
      <c r="C288" s="139"/>
      <c r="P288" s="141"/>
      <c r="Q288" s="141"/>
      <c r="T288" s="141"/>
      <c r="V288" s="143"/>
      <c r="X288" s="144"/>
      <c r="Y288" s="145"/>
      <c r="Z288" s="146"/>
      <c r="AA288" s="146"/>
      <c r="AB288" s="144"/>
      <c r="AC288" s="146"/>
      <c r="AD288" s="145"/>
      <c r="AE288" s="145"/>
      <c r="AF288" s="146"/>
      <c r="AG288" s="146"/>
      <c r="AH288" s="140"/>
    </row>
    <row r="289" spans="3:34" x14ac:dyDescent="0.25">
      <c r="C289" s="139"/>
      <c r="P289" s="141"/>
      <c r="Q289" s="141"/>
      <c r="T289" s="141"/>
      <c r="V289" s="143"/>
      <c r="X289" s="144"/>
      <c r="Y289" s="145"/>
      <c r="Z289" s="146"/>
      <c r="AA289" s="146"/>
      <c r="AB289" s="144"/>
      <c r="AC289" s="146"/>
      <c r="AD289" s="145"/>
      <c r="AE289" s="145"/>
      <c r="AF289" s="146"/>
      <c r="AG289" s="146"/>
      <c r="AH289" s="140"/>
    </row>
    <row r="290" spans="3:34" x14ac:dyDescent="0.25">
      <c r="C290" s="139"/>
      <c r="P290" s="138"/>
      <c r="Q290" s="138"/>
      <c r="T290" s="141"/>
      <c r="V290" s="143"/>
      <c r="X290" s="144"/>
      <c r="Y290" s="145"/>
      <c r="Z290" s="146"/>
      <c r="AA290" s="146"/>
      <c r="AB290" s="144"/>
      <c r="AC290" s="146"/>
      <c r="AD290" s="145"/>
      <c r="AE290" s="145"/>
      <c r="AF290" s="146"/>
      <c r="AG290" s="146"/>
      <c r="AH290" s="140"/>
    </row>
    <row r="291" spans="3:34" x14ac:dyDescent="0.25">
      <c r="C291" s="139"/>
      <c r="P291" s="138"/>
      <c r="Q291" s="138"/>
      <c r="T291" s="141"/>
      <c r="V291" s="143"/>
      <c r="X291" s="144"/>
      <c r="Y291" s="145"/>
      <c r="Z291" s="146"/>
      <c r="AA291" s="146"/>
      <c r="AB291" s="144"/>
      <c r="AC291" s="146"/>
      <c r="AD291" s="145"/>
      <c r="AE291" s="145"/>
      <c r="AF291" s="146"/>
      <c r="AG291" s="146"/>
      <c r="AH291" s="140"/>
    </row>
    <row r="292" spans="3:34" x14ac:dyDescent="0.25">
      <c r="C292" s="139"/>
      <c r="P292" s="138"/>
      <c r="Q292" s="138"/>
      <c r="T292" s="141"/>
      <c r="V292" s="143"/>
      <c r="X292" s="144"/>
      <c r="Y292" s="145"/>
      <c r="Z292" s="146"/>
      <c r="AA292" s="146"/>
      <c r="AB292" s="144"/>
      <c r="AC292" s="146"/>
      <c r="AD292" s="145"/>
      <c r="AE292" s="145"/>
      <c r="AF292" s="146"/>
      <c r="AG292" s="146"/>
      <c r="AH292" s="140"/>
    </row>
    <row r="293" spans="3:34" x14ac:dyDescent="0.25">
      <c r="C293" s="139"/>
      <c r="P293" s="138"/>
      <c r="Q293" s="138"/>
      <c r="T293" s="141"/>
      <c r="V293" s="143"/>
      <c r="X293" s="144"/>
      <c r="Y293" s="145"/>
      <c r="Z293" s="146"/>
      <c r="AA293" s="146"/>
      <c r="AB293" s="144"/>
      <c r="AC293" s="146"/>
      <c r="AD293" s="145"/>
      <c r="AE293" s="145"/>
      <c r="AF293" s="146"/>
      <c r="AG293" s="146"/>
      <c r="AH293" s="140"/>
    </row>
    <row r="294" spans="3:34" x14ac:dyDescent="0.25">
      <c r="C294" s="139"/>
      <c r="P294" s="138"/>
      <c r="Q294" s="138"/>
      <c r="T294" s="141"/>
      <c r="V294" s="143"/>
      <c r="X294" s="144"/>
      <c r="Y294" s="145"/>
      <c r="Z294" s="146"/>
      <c r="AA294" s="146"/>
      <c r="AB294" s="144"/>
      <c r="AC294" s="146"/>
      <c r="AD294" s="145"/>
      <c r="AE294" s="145"/>
      <c r="AF294" s="146"/>
      <c r="AG294" s="146"/>
      <c r="AH294" s="140"/>
    </row>
    <row r="295" spans="3:34" x14ac:dyDescent="0.25">
      <c r="C295" s="139"/>
      <c r="P295" s="141"/>
      <c r="Q295" s="141"/>
      <c r="T295" s="141"/>
      <c r="V295" s="143"/>
      <c r="X295" s="144"/>
      <c r="Y295" s="145"/>
      <c r="Z295" s="146"/>
      <c r="AA295" s="146"/>
      <c r="AB295" s="144"/>
      <c r="AC295" s="146"/>
      <c r="AD295" s="145"/>
      <c r="AE295" s="145"/>
      <c r="AF295" s="146"/>
      <c r="AG295" s="146"/>
      <c r="AH295" s="140"/>
    </row>
    <row r="296" spans="3:34" x14ac:dyDescent="0.25">
      <c r="C296" s="139"/>
      <c r="P296" s="141"/>
      <c r="Q296" s="141"/>
      <c r="T296" s="141"/>
      <c r="V296" s="143"/>
      <c r="X296" s="144"/>
      <c r="Y296" s="145"/>
      <c r="Z296" s="146"/>
      <c r="AA296" s="146"/>
      <c r="AB296" s="144"/>
      <c r="AC296" s="146"/>
      <c r="AD296" s="145"/>
      <c r="AE296" s="145"/>
      <c r="AF296" s="146"/>
      <c r="AG296" s="146"/>
      <c r="AH296" s="140"/>
    </row>
    <row r="297" spans="3:34" x14ac:dyDescent="0.25">
      <c r="C297" s="139"/>
      <c r="P297" s="141"/>
      <c r="Q297" s="141"/>
      <c r="T297" s="141"/>
      <c r="V297" s="143"/>
      <c r="X297" s="144"/>
      <c r="Y297" s="145"/>
      <c r="Z297" s="146"/>
      <c r="AA297" s="146"/>
      <c r="AB297" s="144"/>
      <c r="AC297" s="146"/>
      <c r="AD297" s="145"/>
      <c r="AE297" s="145"/>
      <c r="AF297" s="146"/>
      <c r="AG297" s="146"/>
      <c r="AH297" s="140"/>
    </row>
    <row r="298" spans="3:34" x14ac:dyDescent="0.25">
      <c r="C298" s="139"/>
      <c r="P298" s="141"/>
      <c r="Q298" s="141"/>
      <c r="T298" s="141"/>
      <c r="V298" s="143"/>
      <c r="X298" s="144"/>
      <c r="Y298" s="145"/>
      <c r="Z298" s="146"/>
      <c r="AA298" s="146"/>
      <c r="AB298" s="144"/>
      <c r="AC298" s="146"/>
      <c r="AD298" s="145"/>
      <c r="AE298" s="145"/>
      <c r="AF298" s="146"/>
      <c r="AG298" s="146"/>
      <c r="AH298" s="140"/>
    </row>
    <row r="299" spans="3:34" x14ac:dyDescent="0.25">
      <c r="C299" s="139"/>
      <c r="P299" s="141"/>
      <c r="Q299" s="141"/>
      <c r="T299" s="141"/>
      <c r="V299" s="143"/>
      <c r="X299" s="144"/>
      <c r="Y299" s="145"/>
      <c r="Z299" s="146"/>
      <c r="AA299" s="146"/>
      <c r="AB299" s="144"/>
      <c r="AC299" s="146"/>
      <c r="AD299" s="145"/>
      <c r="AE299" s="145"/>
      <c r="AF299" s="146"/>
      <c r="AG299" s="146"/>
      <c r="AH299" s="140"/>
    </row>
    <row r="300" spans="3:34" x14ac:dyDescent="0.25">
      <c r="C300" s="139"/>
      <c r="P300" s="141"/>
      <c r="Q300" s="141"/>
      <c r="T300" s="141"/>
      <c r="V300" s="143"/>
      <c r="X300" s="144"/>
      <c r="Y300" s="145"/>
      <c r="Z300" s="146"/>
      <c r="AA300" s="146"/>
      <c r="AB300" s="144"/>
      <c r="AC300" s="146"/>
      <c r="AD300" s="145"/>
      <c r="AE300" s="145"/>
      <c r="AF300" s="146"/>
      <c r="AG300" s="146"/>
      <c r="AH300" s="140"/>
    </row>
    <row r="301" spans="3:34" x14ac:dyDescent="0.25">
      <c r="C301" s="139"/>
      <c r="P301" s="141"/>
      <c r="Q301" s="141"/>
      <c r="T301" s="141"/>
      <c r="V301" s="143"/>
      <c r="X301" s="144"/>
      <c r="Y301" s="145"/>
      <c r="Z301" s="146"/>
      <c r="AA301" s="146"/>
      <c r="AB301" s="144"/>
      <c r="AC301" s="146"/>
      <c r="AD301" s="145"/>
      <c r="AE301" s="145"/>
      <c r="AF301" s="146"/>
      <c r="AG301" s="146"/>
      <c r="AH301" s="140"/>
    </row>
    <row r="302" spans="3:34" x14ac:dyDescent="0.25">
      <c r="C302" s="139"/>
      <c r="P302" s="141"/>
      <c r="Q302" s="141"/>
      <c r="T302" s="141"/>
      <c r="V302" s="143"/>
      <c r="X302" s="144"/>
      <c r="Y302" s="145"/>
      <c r="Z302" s="146"/>
      <c r="AA302" s="146"/>
      <c r="AB302" s="144"/>
      <c r="AC302" s="146"/>
      <c r="AD302" s="145"/>
      <c r="AE302" s="145"/>
      <c r="AF302" s="146"/>
      <c r="AG302" s="146"/>
      <c r="AH302" s="140"/>
    </row>
    <row r="303" spans="3:34" x14ac:dyDescent="0.25">
      <c r="C303" s="139"/>
      <c r="P303" s="141"/>
      <c r="Q303" s="141"/>
      <c r="T303" s="141"/>
      <c r="V303" s="143"/>
      <c r="X303" s="144"/>
      <c r="Y303" s="145"/>
      <c r="Z303" s="146"/>
      <c r="AA303" s="146"/>
      <c r="AB303" s="144"/>
      <c r="AC303" s="146"/>
      <c r="AD303" s="145"/>
      <c r="AE303" s="145"/>
      <c r="AF303" s="146"/>
      <c r="AG303" s="146"/>
      <c r="AH303" s="140"/>
    </row>
    <row r="304" spans="3:34" x14ac:dyDescent="0.25">
      <c r="C304" s="139"/>
      <c r="P304" s="141"/>
      <c r="Q304" s="141"/>
      <c r="T304" s="141"/>
      <c r="V304" s="143"/>
      <c r="X304" s="144"/>
      <c r="Y304" s="145"/>
      <c r="Z304" s="146"/>
      <c r="AA304" s="146"/>
      <c r="AB304" s="144"/>
      <c r="AC304" s="146"/>
      <c r="AD304" s="145"/>
      <c r="AE304" s="145"/>
      <c r="AF304" s="146"/>
      <c r="AG304" s="146"/>
      <c r="AH304" s="140"/>
    </row>
    <row r="305" spans="3:34" x14ac:dyDescent="0.25">
      <c r="C305" s="139"/>
      <c r="P305" s="141"/>
      <c r="Q305" s="141"/>
      <c r="T305" s="141"/>
      <c r="V305" s="143"/>
      <c r="X305" s="144"/>
      <c r="Y305" s="145"/>
      <c r="Z305" s="146"/>
      <c r="AA305" s="146"/>
      <c r="AB305" s="144"/>
      <c r="AC305" s="146"/>
      <c r="AD305" s="145"/>
      <c r="AE305" s="145"/>
      <c r="AF305" s="146"/>
      <c r="AG305" s="146"/>
      <c r="AH305" s="140"/>
    </row>
    <row r="306" spans="3:34" x14ac:dyDescent="0.25">
      <c r="C306" s="139"/>
      <c r="P306" s="141"/>
      <c r="Q306" s="141"/>
      <c r="T306" s="141"/>
      <c r="V306" s="143"/>
      <c r="X306" s="144"/>
      <c r="Y306" s="145"/>
      <c r="Z306" s="146"/>
      <c r="AA306" s="146"/>
      <c r="AB306" s="144"/>
      <c r="AC306" s="146"/>
      <c r="AD306" s="145"/>
      <c r="AE306" s="145"/>
      <c r="AF306" s="146"/>
      <c r="AG306" s="146"/>
      <c r="AH306" s="140"/>
    </row>
    <row r="307" spans="3:34" x14ac:dyDescent="0.25">
      <c r="C307" s="139"/>
      <c r="P307" s="141"/>
      <c r="Q307" s="141"/>
      <c r="T307" s="141"/>
      <c r="V307" s="143"/>
      <c r="X307" s="144"/>
      <c r="Y307" s="145"/>
      <c r="Z307" s="146"/>
      <c r="AA307" s="146"/>
      <c r="AB307" s="144"/>
      <c r="AC307" s="146"/>
      <c r="AD307" s="145"/>
      <c r="AE307" s="145"/>
      <c r="AF307" s="146"/>
      <c r="AG307" s="146"/>
      <c r="AH307" s="140"/>
    </row>
    <row r="308" spans="3:34" x14ac:dyDescent="0.25">
      <c r="C308" s="139"/>
      <c r="P308" s="141"/>
      <c r="Q308" s="141"/>
      <c r="T308" s="141"/>
      <c r="V308" s="143"/>
      <c r="X308" s="144"/>
      <c r="Y308" s="145"/>
      <c r="Z308" s="146"/>
      <c r="AA308" s="146"/>
      <c r="AB308" s="144"/>
      <c r="AC308" s="146"/>
      <c r="AD308" s="145"/>
      <c r="AE308" s="145"/>
      <c r="AF308" s="146"/>
      <c r="AG308" s="146"/>
      <c r="AH308" s="140"/>
    </row>
    <row r="309" spans="3:34" x14ac:dyDescent="0.25">
      <c r="C309" s="139"/>
      <c r="P309" s="141"/>
      <c r="Q309" s="141"/>
      <c r="T309" s="141"/>
      <c r="V309" s="143"/>
      <c r="X309" s="144"/>
      <c r="Y309" s="145"/>
      <c r="Z309" s="146"/>
      <c r="AA309" s="146"/>
      <c r="AB309" s="144"/>
      <c r="AC309" s="146"/>
      <c r="AD309" s="145"/>
      <c r="AE309" s="145"/>
      <c r="AF309" s="146"/>
      <c r="AG309" s="146"/>
      <c r="AH309" s="140"/>
    </row>
    <row r="310" spans="3:34" x14ac:dyDescent="0.25">
      <c r="C310" s="139"/>
      <c r="P310" s="141"/>
      <c r="Q310" s="141"/>
      <c r="T310" s="141"/>
      <c r="V310" s="143"/>
      <c r="X310" s="144"/>
      <c r="Y310" s="145"/>
      <c r="Z310" s="146"/>
      <c r="AA310" s="146"/>
      <c r="AB310" s="144"/>
      <c r="AC310" s="146"/>
      <c r="AD310" s="145"/>
      <c r="AE310" s="145"/>
      <c r="AF310" s="146"/>
      <c r="AG310" s="146"/>
      <c r="AH310" s="140"/>
    </row>
    <row r="311" spans="3:34" x14ac:dyDescent="0.25">
      <c r="C311" s="139"/>
      <c r="P311" s="141"/>
      <c r="Q311" s="141"/>
      <c r="T311" s="141"/>
      <c r="V311" s="143"/>
      <c r="X311" s="144"/>
      <c r="Y311" s="145"/>
      <c r="Z311" s="146"/>
      <c r="AA311" s="146"/>
      <c r="AB311" s="144"/>
      <c r="AC311" s="146"/>
      <c r="AD311" s="145"/>
      <c r="AE311" s="145"/>
      <c r="AF311" s="146"/>
      <c r="AG311" s="146"/>
      <c r="AH311" s="140"/>
    </row>
    <row r="312" spans="3:34" x14ac:dyDescent="0.25">
      <c r="C312" s="139"/>
      <c r="P312" s="141"/>
      <c r="Q312" s="141"/>
      <c r="T312" s="141"/>
      <c r="V312" s="143"/>
      <c r="X312" s="144"/>
      <c r="Y312" s="145"/>
      <c r="Z312" s="146"/>
      <c r="AA312" s="146"/>
      <c r="AB312" s="144"/>
      <c r="AC312" s="146"/>
      <c r="AD312" s="145"/>
      <c r="AE312" s="145"/>
      <c r="AF312" s="146"/>
      <c r="AG312" s="146"/>
      <c r="AH312" s="140"/>
    </row>
    <row r="313" spans="3:34" x14ac:dyDescent="0.25">
      <c r="C313" s="139"/>
      <c r="P313" s="141"/>
      <c r="Q313" s="141"/>
      <c r="T313" s="141"/>
      <c r="V313" s="143"/>
      <c r="X313" s="144"/>
      <c r="Y313" s="145"/>
      <c r="Z313" s="146"/>
      <c r="AA313" s="146"/>
      <c r="AB313" s="144"/>
      <c r="AC313" s="146"/>
      <c r="AD313" s="145"/>
      <c r="AE313" s="145"/>
      <c r="AF313" s="146"/>
      <c r="AG313" s="146"/>
      <c r="AH313" s="140"/>
    </row>
    <row r="314" spans="3:34" x14ac:dyDescent="0.25">
      <c r="C314" s="139"/>
      <c r="P314" s="141"/>
      <c r="Q314" s="141"/>
      <c r="T314" s="141"/>
      <c r="V314" s="143"/>
      <c r="X314" s="144"/>
      <c r="Y314" s="145"/>
      <c r="Z314" s="146"/>
      <c r="AA314" s="146"/>
      <c r="AB314" s="144"/>
      <c r="AC314" s="146"/>
      <c r="AD314" s="145"/>
      <c r="AE314" s="145"/>
      <c r="AF314" s="146"/>
      <c r="AG314" s="146"/>
      <c r="AH314" s="140"/>
    </row>
    <row r="315" spans="3:34" x14ac:dyDescent="0.25">
      <c r="C315" s="139"/>
      <c r="P315" s="141"/>
      <c r="Q315" s="141"/>
      <c r="T315" s="141"/>
      <c r="V315" s="143"/>
      <c r="X315" s="144"/>
      <c r="Y315" s="145"/>
      <c r="Z315" s="146"/>
      <c r="AA315" s="146"/>
      <c r="AB315" s="144"/>
      <c r="AC315" s="146"/>
      <c r="AD315" s="145"/>
      <c r="AE315" s="145"/>
      <c r="AF315" s="146"/>
      <c r="AG315" s="146"/>
      <c r="AH315" s="140"/>
    </row>
    <row r="316" spans="3:34" x14ac:dyDescent="0.25">
      <c r="C316" s="139"/>
      <c r="P316" s="141"/>
      <c r="Q316" s="141"/>
      <c r="T316" s="141"/>
      <c r="V316" s="143"/>
      <c r="X316" s="144"/>
      <c r="Y316" s="145"/>
      <c r="Z316" s="146"/>
      <c r="AA316" s="146"/>
      <c r="AB316" s="144"/>
      <c r="AC316" s="146"/>
      <c r="AD316" s="145"/>
      <c r="AE316" s="145"/>
      <c r="AF316" s="146"/>
      <c r="AG316" s="146"/>
      <c r="AH316" s="140"/>
    </row>
    <row r="317" spans="3:34" x14ac:dyDescent="0.25">
      <c r="C317" s="139"/>
      <c r="P317" s="141"/>
      <c r="Q317" s="141"/>
      <c r="T317" s="141"/>
      <c r="V317" s="143"/>
      <c r="X317" s="144"/>
      <c r="Y317" s="145"/>
      <c r="Z317" s="146"/>
      <c r="AA317" s="146"/>
      <c r="AB317" s="144"/>
      <c r="AC317" s="146"/>
      <c r="AD317" s="145"/>
      <c r="AE317" s="145"/>
      <c r="AF317" s="146"/>
      <c r="AG317" s="146"/>
      <c r="AH317" s="140"/>
    </row>
    <row r="318" spans="3:34" x14ac:dyDescent="0.25">
      <c r="C318" s="139"/>
      <c r="P318" s="141"/>
      <c r="Q318" s="141"/>
      <c r="T318" s="141"/>
      <c r="V318" s="143"/>
      <c r="X318" s="144"/>
      <c r="Y318" s="145"/>
      <c r="Z318" s="146"/>
      <c r="AA318" s="146"/>
      <c r="AB318" s="144"/>
      <c r="AC318" s="146"/>
      <c r="AD318" s="145"/>
      <c r="AE318" s="145"/>
      <c r="AF318" s="146"/>
      <c r="AG318" s="146"/>
      <c r="AH318" s="140"/>
    </row>
    <row r="319" spans="3:34" x14ac:dyDescent="0.25">
      <c r="C319" s="139"/>
      <c r="P319" s="141"/>
      <c r="Q319" s="141"/>
      <c r="T319" s="141"/>
      <c r="V319" s="143"/>
      <c r="X319" s="144"/>
      <c r="Y319" s="145"/>
      <c r="Z319" s="146"/>
      <c r="AA319" s="146"/>
      <c r="AB319" s="144"/>
      <c r="AC319" s="146"/>
      <c r="AD319" s="145"/>
      <c r="AE319" s="145"/>
      <c r="AF319" s="146"/>
      <c r="AG319" s="146"/>
      <c r="AH319" s="140"/>
    </row>
    <row r="320" spans="3:34" x14ac:dyDescent="0.25">
      <c r="C320" s="139"/>
      <c r="P320" s="138"/>
      <c r="Q320" s="138"/>
      <c r="T320" s="141"/>
      <c r="V320" s="143"/>
      <c r="X320" s="144"/>
      <c r="Y320" s="145"/>
      <c r="Z320" s="146"/>
      <c r="AA320" s="146"/>
      <c r="AB320" s="144"/>
      <c r="AC320" s="146"/>
      <c r="AD320" s="145"/>
      <c r="AE320" s="145"/>
      <c r="AF320" s="146"/>
      <c r="AG320" s="146"/>
      <c r="AH320" s="140"/>
    </row>
    <row r="321" spans="3:34" x14ac:dyDescent="0.25">
      <c r="C321" s="139"/>
      <c r="P321" s="141"/>
      <c r="Q321" s="138"/>
      <c r="T321" s="141"/>
      <c r="V321" s="143"/>
      <c r="X321" s="144"/>
      <c r="Y321" s="145"/>
      <c r="Z321" s="146"/>
      <c r="AA321" s="146"/>
      <c r="AB321" s="144"/>
      <c r="AC321" s="146"/>
      <c r="AD321" s="145"/>
      <c r="AE321" s="145"/>
      <c r="AF321" s="146"/>
      <c r="AG321" s="146"/>
      <c r="AH321" s="140"/>
    </row>
    <row r="322" spans="3:34" x14ac:dyDescent="0.25">
      <c r="C322" s="139"/>
      <c r="P322" s="141"/>
      <c r="Q322" s="138"/>
      <c r="T322" s="141"/>
      <c r="V322" s="143"/>
      <c r="X322" s="144"/>
      <c r="Y322" s="145"/>
      <c r="Z322" s="146"/>
      <c r="AA322" s="146"/>
      <c r="AB322" s="144"/>
      <c r="AC322" s="146"/>
      <c r="AD322" s="145"/>
      <c r="AE322" s="145"/>
      <c r="AF322" s="146"/>
      <c r="AG322" s="146"/>
      <c r="AH322" s="140"/>
    </row>
    <row r="323" spans="3:34" x14ac:dyDescent="0.25">
      <c r="C323" s="139"/>
      <c r="P323" s="141"/>
      <c r="Q323" s="138"/>
      <c r="T323" s="141"/>
      <c r="V323" s="143"/>
      <c r="X323" s="144"/>
      <c r="Y323" s="145"/>
      <c r="Z323" s="146"/>
      <c r="AA323" s="146"/>
      <c r="AB323" s="144"/>
      <c r="AC323" s="146"/>
      <c r="AD323" s="145"/>
      <c r="AE323" s="145"/>
      <c r="AF323" s="146"/>
      <c r="AG323" s="146"/>
      <c r="AH323" s="140"/>
    </row>
    <row r="324" spans="3:34" x14ac:dyDescent="0.25">
      <c r="C324" s="139"/>
      <c r="P324" s="141"/>
      <c r="Q324" s="138"/>
      <c r="T324" s="141"/>
      <c r="V324" s="143"/>
      <c r="X324" s="144"/>
      <c r="Y324" s="145"/>
      <c r="Z324" s="146"/>
      <c r="AA324" s="146"/>
      <c r="AB324" s="144"/>
      <c r="AC324" s="146"/>
      <c r="AD324" s="145"/>
      <c r="AE324" s="145"/>
      <c r="AF324" s="146"/>
      <c r="AG324" s="146"/>
      <c r="AH324" s="140"/>
    </row>
    <row r="325" spans="3:34" x14ac:dyDescent="0.25">
      <c r="T325" s="148"/>
      <c r="AH325" s="140"/>
    </row>
  </sheetData>
  <mergeCells count="1">
    <mergeCell ref="D2:O2"/>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8"/>
  <sheetViews>
    <sheetView workbookViewId="0">
      <selection activeCell="H5" sqref="H5"/>
    </sheetView>
  </sheetViews>
  <sheetFormatPr baseColWidth="10" defaultRowHeight="15" x14ac:dyDescent="0.25"/>
  <cols>
    <col min="2" max="3" width="39.5703125" customWidth="1"/>
  </cols>
  <sheetData>
    <row r="1" spans="2:3" ht="18.75" x14ac:dyDescent="0.3">
      <c r="B1" s="421" t="s">
        <v>438</v>
      </c>
      <c r="C1" s="422"/>
    </row>
    <row r="2" spans="2:3" ht="18.75" x14ac:dyDescent="0.3">
      <c r="B2" s="245" t="s">
        <v>439</v>
      </c>
      <c r="C2" s="246" t="s">
        <v>440</v>
      </c>
    </row>
    <row r="3" spans="2:3" ht="43.5" customHeight="1" x14ac:dyDescent="0.25">
      <c r="B3" s="247" t="s">
        <v>441</v>
      </c>
      <c r="C3" s="248" t="s">
        <v>442</v>
      </c>
    </row>
    <row r="4" spans="2:3" ht="43.5" customHeight="1" x14ac:dyDescent="0.25">
      <c r="B4" s="249" t="s">
        <v>443</v>
      </c>
      <c r="C4" s="250" t="s">
        <v>444</v>
      </c>
    </row>
    <row r="5" spans="2:3" ht="43.5" customHeight="1" x14ac:dyDescent="0.25">
      <c r="B5" s="249" t="s">
        <v>445</v>
      </c>
      <c r="C5" s="250" t="s">
        <v>446</v>
      </c>
    </row>
    <row r="6" spans="2:3" ht="43.5" customHeight="1" x14ac:dyDescent="0.25">
      <c r="B6" s="249" t="s">
        <v>447</v>
      </c>
      <c r="C6" s="251" t="s">
        <v>448</v>
      </c>
    </row>
    <row r="7" spans="2:3" ht="43.5" customHeight="1" x14ac:dyDescent="0.35">
      <c r="B7" s="249" t="s">
        <v>449</v>
      </c>
      <c r="C7" s="252" t="s">
        <v>450</v>
      </c>
    </row>
    <row r="8" spans="2:3" ht="43.5" customHeight="1" x14ac:dyDescent="0.25">
      <c r="B8" s="249" t="s">
        <v>451</v>
      </c>
      <c r="C8" s="253"/>
    </row>
    <row r="9" spans="2:3" ht="43.5" customHeight="1" x14ac:dyDescent="0.25">
      <c r="B9" s="249" t="s">
        <v>452</v>
      </c>
      <c r="C9" s="253"/>
    </row>
    <row r="10" spans="2:3" ht="43.5" customHeight="1" x14ac:dyDescent="0.25">
      <c r="B10" s="249" t="s">
        <v>453</v>
      </c>
      <c r="C10" s="253"/>
    </row>
    <row r="11" spans="2:3" ht="43.5" customHeight="1" x14ac:dyDescent="0.25">
      <c r="B11" s="254" t="s">
        <v>454</v>
      </c>
      <c r="C11" s="255"/>
    </row>
    <row r="12" spans="2:3" ht="27" customHeight="1" x14ac:dyDescent="0.3">
      <c r="B12" s="256" t="s">
        <v>455</v>
      </c>
      <c r="C12" s="246" t="s">
        <v>456</v>
      </c>
    </row>
    <row r="13" spans="2:3" ht="43.5" customHeight="1" x14ac:dyDescent="0.25">
      <c r="B13" s="257" t="s">
        <v>457</v>
      </c>
      <c r="C13" s="258" t="s">
        <v>458</v>
      </c>
    </row>
    <row r="14" spans="2:3" ht="43.5" customHeight="1" x14ac:dyDescent="0.25">
      <c r="B14" s="259" t="s">
        <v>459</v>
      </c>
      <c r="C14" s="260" t="s">
        <v>460</v>
      </c>
    </row>
    <row r="15" spans="2:3" ht="43.5" customHeight="1" x14ac:dyDescent="0.25">
      <c r="B15" s="261" t="s">
        <v>461</v>
      </c>
      <c r="C15" s="260" t="s">
        <v>462</v>
      </c>
    </row>
    <row r="16" spans="2:3" ht="43.5" customHeight="1" x14ac:dyDescent="0.25">
      <c r="B16" s="259" t="s">
        <v>463</v>
      </c>
      <c r="C16" s="262" t="s">
        <v>464</v>
      </c>
    </row>
    <row r="17" spans="2:3" ht="43.5" customHeight="1" x14ac:dyDescent="0.25">
      <c r="B17" s="263"/>
      <c r="C17" s="260" t="s">
        <v>465</v>
      </c>
    </row>
    <row r="18" spans="2:3" ht="43.5" customHeight="1" thickBot="1" x14ac:dyDescent="0.3">
      <c r="B18" s="264"/>
      <c r="C18" s="265" t="s">
        <v>466</v>
      </c>
    </row>
  </sheetData>
  <mergeCells count="1">
    <mergeCell ref="B1:C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192"/>
  <sheetViews>
    <sheetView topLeftCell="D20" workbookViewId="0">
      <selection activeCell="I25" sqref="I25"/>
    </sheetView>
  </sheetViews>
  <sheetFormatPr baseColWidth="10" defaultRowHeight="15" x14ac:dyDescent="0.25"/>
  <cols>
    <col min="1" max="1" width="5.85546875" customWidth="1"/>
    <col min="2" max="2" width="14.5703125" customWidth="1"/>
    <col min="3" max="3" width="20.7109375" customWidth="1"/>
    <col min="5" max="5" width="11.42578125" style="35"/>
    <col min="6" max="6" width="11.42578125" style="1"/>
    <col min="7" max="7" width="14.28515625" bestFit="1" customWidth="1"/>
    <col min="11" max="11" width="7.5703125" customWidth="1"/>
    <col min="12" max="12" width="13.28515625" customWidth="1"/>
    <col min="13" max="13" width="13" customWidth="1"/>
  </cols>
  <sheetData>
    <row r="2" spans="1:16" x14ac:dyDescent="0.25">
      <c r="B2" t="s">
        <v>0</v>
      </c>
    </row>
    <row r="5" spans="1:16" ht="15.75" thickBot="1" x14ac:dyDescent="0.3"/>
    <row r="6" spans="1:16" ht="15.75" thickBot="1" x14ac:dyDescent="0.3">
      <c r="B6" s="423" t="s">
        <v>321</v>
      </c>
      <c r="C6" s="424"/>
      <c r="D6" s="424"/>
      <c r="E6" s="424"/>
      <c r="F6" s="425"/>
    </row>
    <row r="7" spans="1:16" ht="15.75" thickBot="1" x14ac:dyDescent="0.3"/>
    <row r="8" spans="1:16" ht="15.75" thickBot="1" x14ac:dyDescent="0.3">
      <c r="A8" s="432" t="s">
        <v>312</v>
      </c>
      <c r="B8" s="433"/>
      <c r="C8" s="433"/>
      <c r="D8" s="433"/>
      <c r="E8" s="433"/>
      <c r="F8" s="434"/>
      <c r="G8" s="44"/>
      <c r="K8" s="435" t="s">
        <v>320</v>
      </c>
      <c r="L8" s="436"/>
      <c r="M8" s="436"/>
      <c r="N8" s="436"/>
      <c r="O8" s="436"/>
      <c r="P8" s="437"/>
    </row>
    <row r="9" spans="1:16" ht="30.75" thickBot="1" x14ac:dyDescent="0.3">
      <c r="A9" s="48" t="s">
        <v>311</v>
      </c>
      <c r="B9" s="42" t="s">
        <v>203</v>
      </c>
      <c r="C9" s="42" t="s">
        <v>298</v>
      </c>
      <c r="D9" s="42" t="s">
        <v>1</v>
      </c>
      <c r="E9" s="43" t="s">
        <v>296</v>
      </c>
      <c r="F9" s="49" t="s">
        <v>297</v>
      </c>
      <c r="G9" s="45" t="s">
        <v>312</v>
      </c>
      <c r="K9" s="76" t="s">
        <v>299</v>
      </c>
      <c r="L9" s="77" t="s">
        <v>203</v>
      </c>
      <c r="M9" s="77" t="s">
        <v>298</v>
      </c>
      <c r="N9" s="77" t="s">
        <v>1</v>
      </c>
      <c r="O9" s="78" t="s">
        <v>296</v>
      </c>
      <c r="P9" s="79" t="s">
        <v>297</v>
      </c>
    </row>
    <row r="10" spans="1:16" x14ac:dyDescent="0.25">
      <c r="A10" s="50">
        <v>1</v>
      </c>
      <c r="B10" s="40" t="s">
        <v>2</v>
      </c>
      <c r="C10" s="40" t="s">
        <v>3</v>
      </c>
      <c r="D10" s="40">
        <v>14078.18</v>
      </c>
      <c r="E10" s="41">
        <v>0.15756068027534859</v>
      </c>
      <c r="F10" s="51">
        <v>0.15756068027534859</v>
      </c>
      <c r="G10" s="426">
        <v>0.2</v>
      </c>
      <c r="K10" s="80">
        <v>1</v>
      </c>
      <c r="L10" s="81" t="s">
        <v>2</v>
      </c>
      <c r="M10" s="81" t="s">
        <v>3</v>
      </c>
      <c r="N10" s="82">
        <v>14078.18</v>
      </c>
      <c r="O10" s="83">
        <v>0.15756068027534859</v>
      </c>
      <c r="P10" s="84">
        <v>0.15756068027534859</v>
      </c>
    </row>
    <row r="11" spans="1:16" x14ac:dyDescent="0.25">
      <c r="A11" s="50">
        <v>2</v>
      </c>
      <c r="B11" s="40" t="s">
        <v>4</v>
      </c>
      <c r="C11" s="40" t="s">
        <v>5</v>
      </c>
      <c r="D11" s="40">
        <v>12885.700999999999</v>
      </c>
      <c r="E11" s="41">
        <v>0.14421465099783776</v>
      </c>
      <c r="F11" s="51">
        <v>0.30177533127318634</v>
      </c>
      <c r="G11" s="427"/>
      <c r="K11" s="63">
        <v>2</v>
      </c>
      <c r="L11" s="66" t="s">
        <v>4</v>
      </c>
      <c r="M11" s="66" t="s">
        <v>5</v>
      </c>
      <c r="N11" s="67">
        <v>12885.700999999999</v>
      </c>
      <c r="O11" s="64">
        <v>0.14421465099783776</v>
      </c>
      <c r="P11" s="65">
        <v>0.30177533127318634</v>
      </c>
    </row>
    <row r="12" spans="1:16" x14ac:dyDescent="0.25">
      <c r="A12" s="50">
        <v>3</v>
      </c>
      <c r="B12" s="40" t="s">
        <v>6</v>
      </c>
      <c r="C12" s="40" t="s">
        <v>303</v>
      </c>
      <c r="D12" s="40">
        <v>10259.9</v>
      </c>
      <c r="E12" s="41">
        <v>0.11482711711009867</v>
      </c>
      <c r="F12" s="51">
        <v>0.41660244838328503</v>
      </c>
      <c r="G12" s="427"/>
      <c r="K12" s="63">
        <v>3</v>
      </c>
      <c r="L12" s="66" t="s">
        <v>6</v>
      </c>
      <c r="M12" s="66" t="s">
        <v>303</v>
      </c>
      <c r="N12" s="67">
        <v>10259.9</v>
      </c>
      <c r="O12" s="64">
        <v>0.11482711711009867</v>
      </c>
      <c r="P12" s="65">
        <v>0.41660244838328503</v>
      </c>
    </row>
    <row r="13" spans="1:16" x14ac:dyDescent="0.25">
      <c r="A13" s="50">
        <v>4</v>
      </c>
      <c r="B13" s="40" t="s">
        <v>7</v>
      </c>
      <c r="C13" s="40" t="s">
        <v>302</v>
      </c>
      <c r="D13" s="40">
        <v>5720.26</v>
      </c>
      <c r="E13" s="41">
        <v>6.4020211202859001E-2</v>
      </c>
      <c r="F13" s="51">
        <v>0.48062265958614403</v>
      </c>
      <c r="G13" s="427"/>
      <c r="K13" s="63">
        <v>4</v>
      </c>
      <c r="L13" s="66" t="s">
        <v>7</v>
      </c>
      <c r="M13" s="66" t="s">
        <v>302</v>
      </c>
      <c r="N13" s="67">
        <v>5720.26</v>
      </c>
      <c r="O13" s="64">
        <v>6.4020211202859001E-2</v>
      </c>
      <c r="P13" s="65">
        <v>0.48062265958614403</v>
      </c>
    </row>
    <row r="14" spans="1:16" x14ac:dyDescent="0.25">
      <c r="A14" s="50">
        <v>5</v>
      </c>
      <c r="B14" s="40" t="s">
        <v>8</v>
      </c>
      <c r="C14" s="40" t="s">
        <v>302</v>
      </c>
      <c r="D14" s="40">
        <v>5401.96</v>
      </c>
      <c r="E14" s="41">
        <v>6.0457849837139609E-2</v>
      </c>
      <c r="F14" s="51">
        <v>0.54108050942328367</v>
      </c>
      <c r="G14" s="427"/>
      <c r="K14" s="63">
        <v>5</v>
      </c>
      <c r="L14" s="66" t="s">
        <v>8</v>
      </c>
      <c r="M14" s="66" t="s">
        <v>302</v>
      </c>
      <c r="N14" s="67">
        <v>5401.96</v>
      </c>
      <c r="O14" s="64">
        <v>6.0457849837139609E-2</v>
      </c>
      <c r="P14" s="65">
        <v>0.54108050942328367</v>
      </c>
    </row>
    <row r="15" spans="1:16" x14ac:dyDescent="0.25">
      <c r="A15" s="50">
        <v>6</v>
      </c>
      <c r="B15" s="40" t="s">
        <v>9</v>
      </c>
      <c r="C15" s="40" t="s">
        <v>5</v>
      </c>
      <c r="D15" s="40">
        <v>3989</v>
      </c>
      <c r="E15" s="41">
        <v>4.4644233389427149E-2</v>
      </c>
      <c r="F15" s="51">
        <v>0.58572474281271081</v>
      </c>
      <c r="G15" s="427"/>
      <c r="K15" s="63">
        <v>6</v>
      </c>
      <c r="L15" s="66" t="s">
        <v>9</v>
      </c>
      <c r="M15" s="66" t="s">
        <v>5</v>
      </c>
      <c r="N15" s="67">
        <v>3989</v>
      </c>
      <c r="O15" s="64">
        <v>4.4644233389427149E-2</v>
      </c>
      <c r="P15" s="65">
        <v>0.58572474281271081</v>
      </c>
    </row>
    <row r="16" spans="1:16" x14ac:dyDescent="0.25">
      <c r="A16" s="50">
        <v>7</v>
      </c>
      <c r="B16" s="40" t="s">
        <v>10</v>
      </c>
      <c r="C16" s="40" t="s">
        <v>5</v>
      </c>
      <c r="D16" s="40">
        <v>3898.3</v>
      </c>
      <c r="E16" s="41">
        <v>4.3629133873653518E-2</v>
      </c>
      <c r="F16" s="51">
        <v>0.62935387668636433</v>
      </c>
      <c r="G16" s="427"/>
      <c r="K16" s="63">
        <v>7</v>
      </c>
      <c r="L16" s="66" t="s">
        <v>10</v>
      </c>
      <c r="M16" s="66" t="s">
        <v>5</v>
      </c>
      <c r="N16" s="67">
        <v>3898.3</v>
      </c>
      <c r="O16" s="64">
        <v>4.3629133873653518E-2</v>
      </c>
      <c r="P16" s="65">
        <v>0.62935387668636433</v>
      </c>
    </row>
    <row r="17" spans="1:19" x14ac:dyDescent="0.25">
      <c r="A17" s="50">
        <v>8</v>
      </c>
      <c r="B17" s="40" t="s">
        <v>11</v>
      </c>
      <c r="C17" s="40" t="s">
        <v>302</v>
      </c>
      <c r="D17" s="40">
        <v>2197.64</v>
      </c>
      <c r="E17" s="41">
        <v>2.4595626238641432E-2</v>
      </c>
      <c r="F17" s="51">
        <v>0.65394950292500575</v>
      </c>
      <c r="G17" s="427"/>
      <c r="K17" s="63">
        <v>8</v>
      </c>
      <c r="L17" s="66" t="s">
        <v>11</v>
      </c>
      <c r="M17" s="66" t="s">
        <v>302</v>
      </c>
      <c r="N17" s="67">
        <v>2197.64</v>
      </c>
      <c r="O17" s="64">
        <v>2.4595626238641432E-2</v>
      </c>
      <c r="P17" s="65">
        <v>0.65394950292500575</v>
      </c>
    </row>
    <row r="18" spans="1:19" x14ac:dyDescent="0.25">
      <c r="A18" s="50">
        <v>9</v>
      </c>
      <c r="B18" s="40" t="s">
        <v>12</v>
      </c>
      <c r="C18" s="40" t="s">
        <v>302</v>
      </c>
      <c r="D18" s="40">
        <v>2062.54</v>
      </c>
      <c r="E18" s="41">
        <v>2.3083609209082246E-2</v>
      </c>
      <c r="F18" s="51">
        <v>0.67703311213408801</v>
      </c>
      <c r="G18" s="427"/>
      <c r="K18" s="63">
        <v>9</v>
      </c>
      <c r="L18" s="66" t="s">
        <v>12</v>
      </c>
      <c r="M18" s="66" t="s">
        <v>302</v>
      </c>
      <c r="N18" s="67">
        <v>2062.54</v>
      </c>
      <c r="O18" s="64">
        <v>2.3083609209082246E-2</v>
      </c>
      <c r="P18" s="65">
        <v>0.67703311213408801</v>
      </c>
    </row>
    <row r="19" spans="1:19" x14ac:dyDescent="0.25">
      <c r="A19" s="50">
        <v>10</v>
      </c>
      <c r="B19" s="40" t="s">
        <v>13</v>
      </c>
      <c r="C19" s="40" t="s">
        <v>300</v>
      </c>
      <c r="D19" s="40">
        <v>1755.471</v>
      </c>
      <c r="E19" s="41">
        <v>1.9646943352311624E-2</v>
      </c>
      <c r="F19" s="51">
        <v>0.69668005548639966</v>
      </c>
      <c r="G19" s="427"/>
      <c r="K19" s="63">
        <v>10</v>
      </c>
      <c r="L19" s="66" t="s">
        <v>13</v>
      </c>
      <c r="M19" s="66" t="s">
        <v>300</v>
      </c>
      <c r="N19" s="67">
        <v>1755.471</v>
      </c>
      <c r="O19" s="64">
        <v>1.9646943352311624E-2</v>
      </c>
      <c r="P19" s="65">
        <v>0.69668005548639966</v>
      </c>
    </row>
    <row r="20" spans="1:19" x14ac:dyDescent="0.25">
      <c r="A20" s="50">
        <v>11</v>
      </c>
      <c r="B20" s="40" t="s">
        <v>15</v>
      </c>
      <c r="C20" s="40" t="s">
        <v>302</v>
      </c>
      <c r="D20" s="40">
        <v>1406.94</v>
      </c>
      <c r="E20" s="41">
        <v>1.5746241595618108E-2</v>
      </c>
      <c r="F20" s="51">
        <v>0.71242629708201777</v>
      </c>
      <c r="G20" s="427"/>
      <c r="K20" s="63">
        <v>11</v>
      </c>
      <c r="L20" s="66" t="s">
        <v>15</v>
      </c>
      <c r="M20" s="66" t="s">
        <v>302</v>
      </c>
      <c r="N20" s="67">
        <v>1406.94</v>
      </c>
      <c r="O20" s="64">
        <v>1.5746241595618108E-2</v>
      </c>
      <c r="P20" s="65">
        <v>0.71242629708201777</v>
      </c>
    </row>
    <row r="21" spans="1:19" x14ac:dyDescent="0.25">
      <c r="A21" s="50">
        <v>12</v>
      </c>
      <c r="B21" s="40" t="s">
        <v>16</v>
      </c>
      <c r="C21" s="40" t="s">
        <v>301</v>
      </c>
      <c r="D21" s="40">
        <v>1222.3530000000001</v>
      </c>
      <c r="E21" s="41">
        <v>1.3680374183070054E-2</v>
      </c>
      <c r="F21" s="51">
        <v>0.72610667126508788</v>
      </c>
      <c r="G21" s="427"/>
      <c r="K21" s="63">
        <v>12</v>
      </c>
      <c r="L21" s="66" t="s">
        <v>16</v>
      </c>
      <c r="M21" s="66" t="s">
        <v>301</v>
      </c>
      <c r="N21" s="67">
        <v>1222.3530000000001</v>
      </c>
      <c r="O21" s="64">
        <v>1.3680374183070054E-2</v>
      </c>
      <c r="P21" s="65">
        <v>0.72610667126508788</v>
      </c>
    </row>
    <row r="22" spans="1:19" x14ac:dyDescent="0.25">
      <c r="A22" s="50">
        <v>13</v>
      </c>
      <c r="B22" s="40" t="s">
        <v>17</v>
      </c>
      <c r="C22" s="40" t="s">
        <v>5</v>
      </c>
      <c r="D22" s="40">
        <v>1026.3212000000001</v>
      </c>
      <c r="E22" s="41">
        <v>1.1486418447058647E-2</v>
      </c>
      <c r="F22" s="51">
        <v>0.73759308971214654</v>
      </c>
      <c r="G22" s="427"/>
      <c r="K22" s="63">
        <v>13</v>
      </c>
      <c r="L22" s="66" t="s">
        <v>17</v>
      </c>
      <c r="M22" s="66" t="s">
        <v>5</v>
      </c>
      <c r="N22" s="67">
        <v>1026.3212000000001</v>
      </c>
      <c r="O22" s="64">
        <v>1.1486418447058647E-2</v>
      </c>
      <c r="P22" s="65">
        <v>0.73759308971214654</v>
      </c>
    </row>
    <row r="23" spans="1:19" x14ac:dyDescent="0.25">
      <c r="A23" s="50">
        <v>14</v>
      </c>
      <c r="B23" s="40" t="s">
        <v>18</v>
      </c>
      <c r="C23" s="40" t="s">
        <v>304</v>
      </c>
      <c r="D23" s="40">
        <v>967.02200000000005</v>
      </c>
      <c r="E23" s="41">
        <v>1.0822751531890355E-2</v>
      </c>
      <c r="F23" s="51">
        <v>0.74841584124403693</v>
      </c>
      <c r="G23" s="427"/>
      <c r="K23" s="63">
        <v>14</v>
      </c>
      <c r="L23" s="66" t="s">
        <v>18</v>
      </c>
      <c r="M23" s="66" t="s">
        <v>304</v>
      </c>
      <c r="N23" s="67">
        <v>967.02200000000005</v>
      </c>
      <c r="O23" s="64">
        <v>1.0822751531890355E-2</v>
      </c>
      <c r="P23" s="65">
        <v>0.74841584124403693</v>
      </c>
    </row>
    <row r="24" spans="1:19" x14ac:dyDescent="0.25">
      <c r="A24" s="50">
        <v>15</v>
      </c>
      <c r="B24" s="40" t="s">
        <v>19</v>
      </c>
      <c r="C24" s="40" t="s">
        <v>5</v>
      </c>
      <c r="D24" s="40">
        <v>898.9</v>
      </c>
      <c r="E24" s="41">
        <v>1.0060341286978206E-2</v>
      </c>
      <c r="F24" s="51">
        <v>0.75847618253101512</v>
      </c>
      <c r="G24" s="427"/>
      <c r="K24" s="63">
        <v>15</v>
      </c>
      <c r="L24" s="66" t="s">
        <v>19</v>
      </c>
      <c r="M24" s="66" t="s">
        <v>5</v>
      </c>
      <c r="N24" s="67">
        <v>898.9</v>
      </c>
      <c r="O24" s="64">
        <v>1.0060341286978206E-2</v>
      </c>
      <c r="P24" s="65">
        <v>0.75847618253101512</v>
      </c>
    </row>
    <row r="25" spans="1:19" x14ac:dyDescent="0.25">
      <c r="A25" s="50">
        <v>16</v>
      </c>
      <c r="B25" s="40" t="s">
        <v>20</v>
      </c>
      <c r="C25" s="40" t="s">
        <v>300</v>
      </c>
      <c r="D25" s="40">
        <v>763.29740000000004</v>
      </c>
      <c r="E25" s="41">
        <v>8.5426992406976519E-3</v>
      </c>
      <c r="F25" s="51">
        <v>0.76701888177171273</v>
      </c>
      <c r="G25" s="427"/>
      <c r="K25" s="63">
        <v>16</v>
      </c>
      <c r="L25" s="66" t="s">
        <v>20</v>
      </c>
      <c r="M25" s="66" t="s">
        <v>300</v>
      </c>
      <c r="N25" s="67">
        <v>763.29740000000004</v>
      </c>
      <c r="O25" s="64">
        <v>8.5426992406976519E-3</v>
      </c>
      <c r="P25" s="65">
        <v>0.76701888177171273</v>
      </c>
    </row>
    <row r="26" spans="1:19" x14ac:dyDescent="0.25">
      <c r="A26" s="50">
        <v>17</v>
      </c>
      <c r="B26" s="40" t="s">
        <v>21</v>
      </c>
      <c r="C26" s="40" t="s">
        <v>305</v>
      </c>
      <c r="D26" s="40">
        <v>761.18269999999995</v>
      </c>
      <c r="E26" s="41">
        <v>8.519031865328229E-3</v>
      </c>
      <c r="F26" s="51">
        <v>0.77553791363704094</v>
      </c>
      <c r="G26" s="427"/>
      <c r="K26" s="63">
        <v>17</v>
      </c>
      <c r="L26" s="66" t="s">
        <v>21</v>
      </c>
      <c r="M26" s="66" t="s">
        <v>305</v>
      </c>
      <c r="N26" s="67">
        <v>761.18269999999995</v>
      </c>
      <c r="O26" s="64">
        <v>8.519031865328229E-3</v>
      </c>
      <c r="P26" s="65">
        <v>0.77553791363704094</v>
      </c>
    </row>
    <row r="27" spans="1:19" x14ac:dyDescent="0.25">
      <c r="A27" s="50">
        <v>18</v>
      </c>
      <c r="B27" s="40" t="s">
        <v>22</v>
      </c>
      <c r="C27" s="40" t="s">
        <v>5</v>
      </c>
      <c r="D27" s="40">
        <v>750.36670000000004</v>
      </c>
      <c r="E27" s="41">
        <v>8.3979809682763265E-3</v>
      </c>
      <c r="F27" s="51">
        <v>0.78393589460531732</v>
      </c>
      <c r="G27" s="427"/>
      <c r="K27" s="63">
        <v>18</v>
      </c>
      <c r="L27" s="66" t="s">
        <v>22</v>
      </c>
      <c r="M27" s="66" t="s">
        <v>5</v>
      </c>
      <c r="N27" s="67">
        <v>750.36670000000004</v>
      </c>
      <c r="O27" s="64">
        <v>8.3979809682763265E-3</v>
      </c>
      <c r="P27" s="65">
        <v>0.78393589460531732</v>
      </c>
    </row>
    <row r="28" spans="1:19" x14ac:dyDescent="0.25">
      <c r="A28" s="50">
        <v>19</v>
      </c>
      <c r="B28" s="40" t="s">
        <v>23</v>
      </c>
      <c r="C28" s="40" t="s">
        <v>5</v>
      </c>
      <c r="D28" s="40">
        <v>603.02</v>
      </c>
      <c r="E28" s="41">
        <v>6.7489008820487244E-3</v>
      </c>
      <c r="F28" s="51">
        <v>0.79068479548736603</v>
      </c>
      <c r="G28" s="427"/>
      <c r="K28" s="63">
        <v>19</v>
      </c>
      <c r="L28" s="66" t="s">
        <v>23</v>
      </c>
      <c r="M28" s="66" t="s">
        <v>5</v>
      </c>
      <c r="N28" s="67">
        <v>603.02</v>
      </c>
      <c r="O28" s="64">
        <v>6.7489008820487244E-3</v>
      </c>
      <c r="P28" s="65">
        <v>0.79068479548736603</v>
      </c>
    </row>
    <row r="29" spans="1:19" ht="15.75" thickBot="1" x14ac:dyDescent="0.3">
      <c r="A29" s="50">
        <v>20</v>
      </c>
      <c r="B29" s="40" t="s">
        <v>25</v>
      </c>
      <c r="C29" s="40" t="s">
        <v>5</v>
      </c>
      <c r="D29" s="40">
        <v>588.6</v>
      </c>
      <c r="E29" s="41">
        <v>6.5875146084273806E-3</v>
      </c>
      <c r="F29" s="90">
        <v>0.79727231009579347</v>
      </c>
      <c r="G29" s="428"/>
      <c r="I29" s="6"/>
      <c r="K29" s="85">
        <v>20</v>
      </c>
      <c r="L29" s="86" t="s">
        <v>25</v>
      </c>
      <c r="M29" s="86" t="s">
        <v>5</v>
      </c>
      <c r="N29" s="87">
        <v>588.6</v>
      </c>
      <c r="O29" s="88">
        <v>6.5875146084273806E-3</v>
      </c>
      <c r="P29" s="89">
        <v>0.79727231009579347</v>
      </c>
    </row>
    <row r="30" spans="1:19" ht="15.75" thickBot="1" x14ac:dyDescent="0.3">
      <c r="A30" s="52">
        <v>21</v>
      </c>
      <c r="B30" s="38" t="s">
        <v>26</v>
      </c>
      <c r="C30" s="38" t="s">
        <v>5</v>
      </c>
      <c r="D30" s="38">
        <v>532.87</v>
      </c>
      <c r="E30" s="39">
        <v>5.963793593939345E-3</v>
      </c>
      <c r="F30" s="53">
        <v>0.80323610368973286</v>
      </c>
      <c r="G30" s="429">
        <v>0.8</v>
      </c>
      <c r="J30" s="218"/>
      <c r="L30" s="233"/>
      <c r="M30" s="234"/>
      <c r="O30" s="233"/>
      <c r="P30" s="226"/>
      <c r="S30" s="244"/>
    </row>
    <row r="31" spans="1:19" x14ac:dyDescent="0.25">
      <c r="A31" s="52">
        <v>22</v>
      </c>
      <c r="B31" s="38" t="s">
        <v>27</v>
      </c>
      <c r="C31" s="38" t="s">
        <v>300</v>
      </c>
      <c r="D31" s="38">
        <v>504.06459999999998</v>
      </c>
      <c r="E31" s="39">
        <v>5.6414082842186613E-3</v>
      </c>
      <c r="F31" s="53">
        <v>0.80887751197395152</v>
      </c>
      <c r="G31" s="430"/>
      <c r="J31" s="221"/>
      <c r="K31" s="229"/>
      <c r="L31" s="438" t="s">
        <v>319</v>
      </c>
      <c r="M31" s="439"/>
      <c r="N31" s="439"/>
      <c r="O31" s="440"/>
      <c r="P31" s="231"/>
      <c r="Q31" s="241"/>
      <c r="S31" s="237"/>
    </row>
    <row r="32" spans="1:19" x14ac:dyDescent="0.25">
      <c r="A32" s="52">
        <v>23</v>
      </c>
      <c r="B32" s="38" t="s">
        <v>28</v>
      </c>
      <c r="C32" s="38" t="s">
        <v>5</v>
      </c>
      <c r="D32" s="38">
        <v>501.13200000000001</v>
      </c>
      <c r="E32" s="39">
        <v>5.6085871062698436E-3</v>
      </c>
      <c r="F32" s="53">
        <v>0.8144860990802214</v>
      </c>
      <c r="G32" s="430"/>
      <c r="J32" s="221"/>
      <c r="K32" s="230"/>
      <c r="L32" s="68" t="s">
        <v>298</v>
      </c>
      <c r="M32" s="215" t="s">
        <v>316</v>
      </c>
      <c r="N32" s="62" t="s">
        <v>317</v>
      </c>
      <c r="O32" s="69" t="s">
        <v>318</v>
      </c>
      <c r="P32" s="222"/>
      <c r="Q32" s="241"/>
    </row>
    <row r="33" spans="1:18" x14ac:dyDescent="0.25">
      <c r="A33" s="52">
        <v>24</v>
      </c>
      <c r="B33" s="38" t="s">
        <v>29</v>
      </c>
      <c r="C33" s="38" t="s">
        <v>5</v>
      </c>
      <c r="D33" s="38">
        <v>470.05430000000001</v>
      </c>
      <c r="E33" s="39">
        <v>5.2607705878425191E-3</v>
      </c>
      <c r="F33" s="53">
        <v>0.81974686966806387</v>
      </c>
      <c r="G33" s="430"/>
      <c r="J33" s="222"/>
      <c r="K33" s="227"/>
      <c r="L33" s="70" t="s">
        <v>5</v>
      </c>
      <c r="M33" s="214">
        <v>11</v>
      </c>
      <c r="N33" s="61">
        <f>+N29+N28+N27+N26+N24+N23+N22+N16+N15+N12+N11</f>
        <v>36628.313600000001</v>
      </c>
      <c r="O33" s="71">
        <f>+N33/N37</f>
        <v>0.51417573364835711</v>
      </c>
      <c r="P33" s="232"/>
      <c r="Q33" s="242"/>
    </row>
    <row r="34" spans="1:18" x14ac:dyDescent="0.25">
      <c r="A34" s="52">
        <v>25</v>
      </c>
      <c r="B34" s="38" t="s">
        <v>30</v>
      </c>
      <c r="C34" s="38" t="s">
        <v>5</v>
      </c>
      <c r="D34" s="38">
        <v>464</v>
      </c>
      <c r="E34" s="39">
        <v>5.1930118557769363E-3</v>
      </c>
      <c r="F34" s="53">
        <v>0.82493988152384079</v>
      </c>
      <c r="G34" s="430"/>
      <c r="J34" s="218"/>
      <c r="L34" s="70" t="s">
        <v>314</v>
      </c>
      <c r="M34" s="214">
        <v>6</v>
      </c>
      <c r="N34" s="61">
        <f>+N20+N18+N17+N14+N13+N10</f>
        <v>30867.52</v>
      </c>
      <c r="O34" s="71">
        <f>+N34/N37</f>
        <v>0.43330768419284627</v>
      </c>
      <c r="P34" s="222"/>
      <c r="Q34" s="241"/>
    </row>
    <row r="35" spans="1:18" x14ac:dyDescent="0.25">
      <c r="A35" s="52">
        <v>26</v>
      </c>
      <c r="B35" s="38" t="s">
        <v>31</v>
      </c>
      <c r="C35" s="38" t="s">
        <v>5</v>
      </c>
      <c r="D35" s="38">
        <v>449.42200000000003</v>
      </c>
      <c r="E35" s="39">
        <v>5.0298572720840137E-3</v>
      </c>
      <c r="F35" s="53">
        <v>0.82996973879592484</v>
      </c>
      <c r="G35" s="430"/>
      <c r="J35" s="221"/>
      <c r="K35" s="227"/>
      <c r="L35" s="70" t="s">
        <v>313</v>
      </c>
      <c r="M35" s="214">
        <v>2</v>
      </c>
      <c r="N35" s="61">
        <f>+N25+N19</f>
        <v>2518.7683999999999</v>
      </c>
      <c r="O35" s="71">
        <f>+N35/N37</f>
        <v>3.535760898258495E-2</v>
      </c>
      <c r="P35" s="222"/>
      <c r="Q35" s="241"/>
    </row>
    <row r="36" spans="1:18" ht="15.75" thickBot="1" x14ac:dyDescent="0.3">
      <c r="A36" s="52">
        <v>27</v>
      </c>
      <c r="B36" s="38" t="s">
        <v>32</v>
      </c>
      <c r="C36" s="38" t="s">
        <v>33</v>
      </c>
      <c r="D36" s="38">
        <v>390.55</v>
      </c>
      <c r="E36" s="39">
        <v>4.3709715092105222E-3</v>
      </c>
      <c r="F36" s="53">
        <v>0.83434071030513535</v>
      </c>
      <c r="G36" s="430"/>
      <c r="J36" s="221"/>
      <c r="K36" s="227"/>
      <c r="L36" s="72" t="s">
        <v>315</v>
      </c>
      <c r="M36" s="73">
        <v>1</v>
      </c>
      <c r="N36" s="74">
        <f>+N21</f>
        <v>1222.3530000000001</v>
      </c>
      <c r="O36" s="75">
        <f>+N36/N37</f>
        <v>1.7158973176211702E-2</v>
      </c>
      <c r="P36" s="222"/>
      <c r="Q36" s="241"/>
      <c r="R36" s="237"/>
    </row>
    <row r="37" spans="1:18" x14ac:dyDescent="0.25">
      <c r="A37" s="52">
        <v>28</v>
      </c>
      <c r="B37" s="38" t="s">
        <v>34</v>
      </c>
      <c r="C37" s="38" t="s">
        <v>33</v>
      </c>
      <c r="D37" s="38">
        <v>370.4</v>
      </c>
      <c r="E37" s="39">
        <v>4.1454560159046921E-3</v>
      </c>
      <c r="F37" s="53">
        <v>0.83848616632104001</v>
      </c>
      <c r="G37" s="430"/>
      <c r="J37" s="221"/>
      <c r="L37" s="58" t="s">
        <v>215</v>
      </c>
      <c r="N37" s="59">
        <f>SUM(N33:N36)</f>
        <v>71236.955000000002</v>
      </c>
      <c r="O37" s="37">
        <f>SUM(O33:O36)</f>
        <v>1</v>
      </c>
      <c r="P37" s="218"/>
      <c r="Q37" s="241"/>
    </row>
    <row r="38" spans="1:18" x14ac:dyDescent="0.25">
      <c r="A38" s="52">
        <v>29</v>
      </c>
      <c r="B38" s="38" t="s">
        <v>35</v>
      </c>
      <c r="C38" s="38" t="s">
        <v>5</v>
      </c>
      <c r="D38" s="38">
        <v>353.8</v>
      </c>
      <c r="E38" s="39">
        <v>3.9596715400299137E-3</v>
      </c>
      <c r="F38" s="53">
        <v>0.84244583786106997</v>
      </c>
      <c r="G38" s="430"/>
      <c r="J38" s="221"/>
      <c r="K38" s="223"/>
      <c r="L38" s="224"/>
      <c r="M38" s="223"/>
      <c r="N38" s="224"/>
      <c r="P38" s="219"/>
      <c r="Q38" s="243"/>
    </row>
    <row r="39" spans="1:18" ht="15.75" thickBot="1" x14ac:dyDescent="0.3">
      <c r="A39" s="52">
        <v>30</v>
      </c>
      <c r="B39" s="38" t="s">
        <v>36</v>
      </c>
      <c r="C39" s="38" t="s">
        <v>14</v>
      </c>
      <c r="D39" s="38">
        <v>343.48399999999998</v>
      </c>
      <c r="E39" s="39">
        <v>3.8442165609260453E-3</v>
      </c>
      <c r="F39" s="53">
        <v>0.84629005442199601</v>
      </c>
      <c r="G39" s="430"/>
      <c r="O39" s="237"/>
      <c r="P39" s="237"/>
      <c r="Q39" s="239"/>
    </row>
    <row r="40" spans="1:18" ht="15.75" thickBot="1" x14ac:dyDescent="0.3">
      <c r="A40" s="52">
        <v>31</v>
      </c>
      <c r="B40" s="38" t="s">
        <v>37</v>
      </c>
      <c r="C40" s="38" t="s">
        <v>5</v>
      </c>
      <c r="D40" s="38">
        <v>339.36</v>
      </c>
      <c r="E40" s="39">
        <v>3.7980614296906491E-3</v>
      </c>
      <c r="F40" s="53">
        <v>0.85008811585168664</v>
      </c>
      <c r="G40" s="430"/>
      <c r="I40" s="236"/>
      <c r="O40" s="238"/>
      <c r="P40" s="240"/>
    </row>
    <row r="41" spans="1:18" x14ac:dyDescent="0.25">
      <c r="A41" s="52">
        <v>32</v>
      </c>
      <c r="B41" s="38" t="s">
        <v>38</v>
      </c>
      <c r="C41" s="38" t="s">
        <v>5</v>
      </c>
      <c r="D41" s="38">
        <v>322.89</v>
      </c>
      <c r="E41" s="39">
        <v>3.6137318924823595E-3</v>
      </c>
      <c r="F41" s="53">
        <v>0.85370184774416902</v>
      </c>
      <c r="G41" s="430"/>
    </row>
    <row r="42" spans="1:18" x14ac:dyDescent="0.25">
      <c r="A42" s="52">
        <v>33</v>
      </c>
      <c r="B42" s="38" t="s">
        <v>39</v>
      </c>
      <c r="C42" s="38" t="s">
        <v>33</v>
      </c>
      <c r="D42" s="38">
        <v>313.55</v>
      </c>
      <c r="E42" s="39">
        <v>3.5092001452130569E-3</v>
      </c>
      <c r="F42" s="53">
        <v>0.85721104788938207</v>
      </c>
      <c r="G42" s="430"/>
    </row>
    <row r="43" spans="1:18" x14ac:dyDescent="0.25">
      <c r="A43" s="52">
        <v>34</v>
      </c>
      <c r="B43" s="38" t="s">
        <v>40</v>
      </c>
      <c r="C43" s="38" t="s">
        <v>14</v>
      </c>
      <c r="D43" s="38">
        <v>307.67700000000002</v>
      </c>
      <c r="E43" s="39">
        <v>3.4434704929954319E-3</v>
      </c>
      <c r="F43" s="53">
        <v>0.8606545183823775</v>
      </c>
      <c r="G43" s="430"/>
    </row>
    <row r="44" spans="1:18" x14ac:dyDescent="0.25">
      <c r="A44" s="52">
        <v>35</v>
      </c>
      <c r="B44" s="38" t="s">
        <v>41</v>
      </c>
      <c r="C44" s="38" t="s">
        <v>14</v>
      </c>
      <c r="D44" s="38">
        <v>305.16199999999998</v>
      </c>
      <c r="E44" s="39">
        <v>3.4153230257168129E-3</v>
      </c>
      <c r="F44" s="53">
        <v>0.86406984140809429</v>
      </c>
      <c r="G44" s="430"/>
    </row>
    <row r="45" spans="1:18" x14ac:dyDescent="0.25">
      <c r="A45" s="52">
        <v>36</v>
      </c>
      <c r="B45" s="38" t="s">
        <v>42</v>
      </c>
      <c r="C45" s="38" t="s">
        <v>5</v>
      </c>
      <c r="D45" s="38">
        <v>303.3</v>
      </c>
      <c r="E45" s="39">
        <v>3.3944838272783294E-3</v>
      </c>
      <c r="F45" s="53">
        <v>0.86746432523537265</v>
      </c>
      <c r="G45" s="430"/>
    </row>
    <row r="46" spans="1:18" x14ac:dyDescent="0.25">
      <c r="A46" s="52">
        <v>37</v>
      </c>
      <c r="B46" s="38" t="s">
        <v>43</v>
      </c>
      <c r="C46" s="38" t="s">
        <v>24</v>
      </c>
      <c r="D46" s="38">
        <v>300.61</v>
      </c>
      <c r="E46" s="39">
        <v>3.3643777887178983E-3</v>
      </c>
      <c r="F46" s="53">
        <v>0.87082870302409054</v>
      </c>
      <c r="G46" s="430"/>
    </row>
    <row r="47" spans="1:18" x14ac:dyDescent="0.25">
      <c r="A47" s="52">
        <v>38</v>
      </c>
      <c r="B47" s="38" t="s">
        <v>44</v>
      </c>
      <c r="C47" s="38" t="s">
        <v>5</v>
      </c>
      <c r="D47" s="38">
        <v>300.02</v>
      </c>
      <c r="E47" s="39">
        <v>3.357774605539216E-3</v>
      </c>
      <c r="F47" s="53">
        <v>0.87418647762962975</v>
      </c>
      <c r="G47" s="430"/>
    </row>
    <row r="48" spans="1:18" x14ac:dyDescent="0.25">
      <c r="A48" s="52">
        <v>39</v>
      </c>
      <c r="B48" s="38" t="s">
        <v>45</v>
      </c>
      <c r="C48" s="38" t="s">
        <v>33</v>
      </c>
      <c r="D48" s="38">
        <v>297.14</v>
      </c>
      <c r="E48" s="39">
        <v>3.3255421181585319E-3</v>
      </c>
      <c r="F48" s="53">
        <v>0.87751201974778825</v>
      </c>
      <c r="G48" s="430"/>
    </row>
    <row r="49" spans="1:7" x14ac:dyDescent="0.25">
      <c r="A49" s="52">
        <v>40</v>
      </c>
      <c r="B49" s="38" t="s">
        <v>46</v>
      </c>
      <c r="C49" s="38" t="s">
        <v>47</v>
      </c>
      <c r="D49" s="38">
        <v>296.42</v>
      </c>
      <c r="E49" s="39">
        <v>3.3174839963133608E-3</v>
      </c>
      <c r="F49" s="53">
        <v>0.88082950374410163</v>
      </c>
      <c r="G49" s="430"/>
    </row>
    <row r="50" spans="1:7" x14ac:dyDescent="0.25">
      <c r="A50" s="52">
        <v>41</v>
      </c>
      <c r="B50" s="38" t="s">
        <v>48</v>
      </c>
      <c r="C50" s="38" t="s">
        <v>24</v>
      </c>
      <c r="D50" s="38">
        <v>295.70999999999998</v>
      </c>
      <c r="E50" s="39">
        <v>3.3095377928271503E-3</v>
      </c>
      <c r="F50" s="53">
        <v>0.88413904153692879</v>
      </c>
      <c r="G50" s="430"/>
    </row>
    <row r="51" spans="1:7" x14ac:dyDescent="0.25">
      <c r="A51" s="52">
        <v>42</v>
      </c>
      <c r="B51" s="38" t="s">
        <v>49</v>
      </c>
      <c r="C51" s="38" t="s">
        <v>33</v>
      </c>
      <c r="D51" s="38">
        <v>292.45</v>
      </c>
      <c r="E51" s="39">
        <v>3.273052407805959E-3</v>
      </c>
      <c r="F51" s="53">
        <v>0.88741209394473475</v>
      </c>
      <c r="G51" s="430"/>
    </row>
    <row r="52" spans="1:7" x14ac:dyDescent="0.25">
      <c r="A52" s="52">
        <v>43</v>
      </c>
      <c r="B52" s="38" t="s">
        <v>50</v>
      </c>
      <c r="C52" s="38" t="s">
        <v>5</v>
      </c>
      <c r="D52" s="38">
        <v>277.3338</v>
      </c>
      <c r="E52" s="39">
        <v>3.1038743780337709E-3</v>
      </c>
      <c r="F52" s="53">
        <v>0.89051596832276847</v>
      </c>
      <c r="G52" s="430"/>
    </row>
    <row r="53" spans="1:7" x14ac:dyDescent="0.25">
      <c r="A53" s="52">
        <v>44</v>
      </c>
      <c r="B53" s="38" t="s">
        <v>51</v>
      </c>
      <c r="C53" s="38" t="s">
        <v>47</v>
      </c>
      <c r="D53" s="38">
        <v>270.39999999999998</v>
      </c>
      <c r="E53" s="39">
        <v>3.0262724262975936E-3</v>
      </c>
      <c r="F53" s="53">
        <v>0.89354224074906607</v>
      </c>
      <c r="G53" s="430"/>
    </row>
    <row r="54" spans="1:7" x14ac:dyDescent="0.25">
      <c r="A54" s="52">
        <v>45</v>
      </c>
      <c r="B54" s="38" t="s">
        <v>52</v>
      </c>
      <c r="C54" s="38" t="s">
        <v>14</v>
      </c>
      <c r="D54" s="38">
        <v>268.12</v>
      </c>
      <c r="E54" s="39">
        <v>3.000755040454552E-3</v>
      </c>
      <c r="F54" s="53">
        <v>0.89654299578952068</v>
      </c>
      <c r="G54" s="430"/>
    </row>
    <row r="55" spans="1:7" x14ac:dyDescent="0.25">
      <c r="A55" s="52">
        <v>46</v>
      </c>
      <c r="B55" s="38" t="s">
        <v>53</v>
      </c>
      <c r="C55" s="38" t="s">
        <v>54</v>
      </c>
      <c r="D55" s="38">
        <v>230.97</v>
      </c>
      <c r="E55" s="39">
        <v>2.5849783369155149E-3</v>
      </c>
      <c r="F55" s="53">
        <v>0.89912797412643619</v>
      </c>
      <c r="G55" s="430"/>
    </row>
    <row r="56" spans="1:7" x14ac:dyDescent="0.25">
      <c r="A56" s="52">
        <v>47</v>
      </c>
      <c r="B56" s="38" t="s">
        <v>55</v>
      </c>
      <c r="C56" s="38" t="s">
        <v>5</v>
      </c>
      <c r="D56" s="38">
        <v>228.29990000000001</v>
      </c>
      <c r="E56" s="39">
        <v>2.5550950158894159E-3</v>
      </c>
      <c r="F56" s="53">
        <v>0.90168306914232565</v>
      </c>
      <c r="G56" s="430"/>
    </row>
    <row r="57" spans="1:7" x14ac:dyDescent="0.25">
      <c r="A57" s="52">
        <v>48</v>
      </c>
      <c r="B57" s="38" t="s">
        <v>56</v>
      </c>
      <c r="C57" s="38" t="s">
        <v>57</v>
      </c>
      <c r="D57" s="38">
        <v>226.87</v>
      </c>
      <c r="E57" s="39">
        <v>2.5390918097416238E-3</v>
      </c>
      <c r="F57" s="53">
        <v>0.90422216095206731</v>
      </c>
      <c r="G57" s="430"/>
    </row>
    <row r="58" spans="1:7" x14ac:dyDescent="0.25">
      <c r="A58" s="52">
        <v>49</v>
      </c>
      <c r="B58" s="38" t="s">
        <v>58</v>
      </c>
      <c r="C58" s="38" t="s">
        <v>14</v>
      </c>
      <c r="D58" s="38">
        <v>226.44399999999999</v>
      </c>
      <c r="E58" s="39">
        <v>2.5343240876498974E-3</v>
      </c>
      <c r="F58" s="53">
        <v>0.90675648503971717</v>
      </c>
      <c r="G58" s="430"/>
    </row>
    <row r="59" spans="1:7" x14ac:dyDescent="0.25">
      <c r="A59" s="52">
        <v>50</v>
      </c>
      <c r="B59" s="38" t="s">
        <v>59</v>
      </c>
      <c r="C59" s="38" t="s">
        <v>14</v>
      </c>
      <c r="D59" s="38">
        <v>224.96799999999999</v>
      </c>
      <c r="E59" s="39">
        <v>2.5178049378672966E-3</v>
      </c>
      <c r="F59" s="53">
        <v>0.90927428997758453</v>
      </c>
      <c r="G59" s="430"/>
    </row>
    <row r="60" spans="1:7" x14ac:dyDescent="0.25">
      <c r="A60" s="52">
        <v>51</v>
      </c>
      <c r="B60" s="38" t="s">
        <v>60</v>
      </c>
      <c r="C60" s="38" t="s">
        <v>5</v>
      </c>
      <c r="D60" s="38">
        <v>219.358</v>
      </c>
      <c r="E60" s="39">
        <v>2.4550187384903385E-3</v>
      </c>
      <c r="F60" s="53">
        <v>0.91172930871607483</v>
      </c>
      <c r="G60" s="430"/>
    </row>
    <row r="61" spans="1:7" x14ac:dyDescent="0.25">
      <c r="A61" s="52">
        <v>52</v>
      </c>
      <c r="B61" s="38" t="s">
        <v>61</v>
      </c>
      <c r="C61" s="38" t="s">
        <v>14</v>
      </c>
      <c r="D61" s="38">
        <v>215.98699999999999</v>
      </c>
      <c r="E61" s="39">
        <v>2.4172910596846832E-3</v>
      </c>
      <c r="F61" s="53">
        <v>0.91414659977575952</v>
      </c>
      <c r="G61" s="430"/>
    </row>
    <row r="62" spans="1:7" x14ac:dyDescent="0.25">
      <c r="A62" s="52">
        <v>53</v>
      </c>
      <c r="B62" s="38" t="s">
        <v>62</v>
      </c>
      <c r="C62" s="38" t="s">
        <v>5</v>
      </c>
      <c r="D62" s="38">
        <v>215.89</v>
      </c>
      <c r="E62" s="39">
        <v>2.4162054516027646E-3</v>
      </c>
      <c r="F62" s="53">
        <v>0.91656280522736233</v>
      </c>
      <c r="G62" s="430"/>
    </row>
    <row r="63" spans="1:7" x14ac:dyDescent="0.25">
      <c r="A63" s="52">
        <v>54</v>
      </c>
      <c r="B63" s="38" t="s">
        <v>63</v>
      </c>
      <c r="C63" s="38" t="s">
        <v>14</v>
      </c>
      <c r="D63" s="38">
        <v>213.55160000000001</v>
      </c>
      <c r="E63" s="39">
        <v>2.3900344625433921E-3</v>
      </c>
      <c r="F63" s="53">
        <v>0.91895283968990571</v>
      </c>
      <c r="G63" s="430"/>
    </row>
    <row r="64" spans="1:7" x14ac:dyDescent="0.25">
      <c r="A64" s="52">
        <v>55</v>
      </c>
      <c r="B64" s="38" t="s">
        <v>64</v>
      </c>
      <c r="C64" s="38" t="s">
        <v>33</v>
      </c>
      <c r="D64" s="38">
        <v>213.23599999999999</v>
      </c>
      <c r="E64" s="39">
        <v>2.386502319134592E-3</v>
      </c>
      <c r="F64" s="53">
        <v>0.92133934200904033</v>
      </c>
      <c r="G64" s="430"/>
    </row>
    <row r="65" spans="1:7" x14ac:dyDescent="0.25">
      <c r="A65" s="52">
        <v>56</v>
      </c>
      <c r="B65" s="38" t="s">
        <v>65</v>
      </c>
      <c r="C65" s="38" t="s">
        <v>14</v>
      </c>
      <c r="D65" s="38">
        <v>212.79400000000001</v>
      </c>
      <c r="E65" s="39">
        <v>2.3815555276685287E-3</v>
      </c>
      <c r="F65" s="53">
        <v>0.92372089753670883</v>
      </c>
      <c r="G65" s="430"/>
    </row>
    <row r="66" spans="1:7" x14ac:dyDescent="0.25">
      <c r="A66" s="52">
        <v>57</v>
      </c>
      <c r="B66" s="38" t="s">
        <v>66</v>
      </c>
      <c r="C66" s="38" t="s">
        <v>5</v>
      </c>
      <c r="D66" s="38">
        <v>208.53460000000001</v>
      </c>
      <c r="E66" s="39">
        <v>2.3338850218528042E-3</v>
      </c>
      <c r="F66" s="53">
        <v>0.92605478255856166</v>
      </c>
      <c r="G66" s="430"/>
    </row>
    <row r="67" spans="1:7" x14ac:dyDescent="0.25">
      <c r="A67" s="52">
        <v>58</v>
      </c>
      <c r="B67" s="38" t="s">
        <v>67</v>
      </c>
      <c r="C67" s="38" t="s">
        <v>14</v>
      </c>
      <c r="D67" s="38">
        <v>205.39599999999999</v>
      </c>
      <c r="E67" s="39">
        <v>2.2987583257093954E-3</v>
      </c>
      <c r="F67" s="53">
        <v>0.92835354088427102</v>
      </c>
      <c r="G67" s="430"/>
    </row>
    <row r="68" spans="1:7" x14ac:dyDescent="0.25">
      <c r="A68" s="52">
        <v>59</v>
      </c>
      <c r="B68" s="38" t="s">
        <v>68</v>
      </c>
      <c r="C68" s="38" t="s">
        <v>5</v>
      </c>
      <c r="D68" s="38">
        <v>203.31</v>
      </c>
      <c r="E68" s="39">
        <v>2.2754121560301915E-3</v>
      </c>
      <c r="F68" s="53">
        <v>0.93062895304030124</v>
      </c>
      <c r="G68" s="430"/>
    </row>
    <row r="69" spans="1:7" x14ac:dyDescent="0.25">
      <c r="A69" s="52">
        <v>60</v>
      </c>
      <c r="B69" s="38" t="s">
        <v>69</v>
      </c>
      <c r="C69" s="38" t="s">
        <v>70</v>
      </c>
      <c r="D69" s="38">
        <v>200.02</v>
      </c>
      <c r="E69" s="39">
        <v>2.2385910159321183E-3</v>
      </c>
      <c r="F69" s="53">
        <v>0.9328675440562334</v>
      </c>
      <c r="G69" s="430"/>
    </row>
    <row r="70" spans="1:7" x14ac:dyDescent="0.25">
      <c r="A70" s="52">
        <v>61</v>
      </c>
      <c r="B70" s="38" t="s">
        <v>71</v>
      </c>
      <c r="C70" s="38" t="s">
        <v>72</v>
      </c>
      <c r="D70" s="38">
        <v>200.01</v>
      </c>
      <c r="E70" s="39">
        <v>2.2384790975731573E-3</v>
      </c>
      <c r="F70" s="53">
        <v>0.93510602315380653</v>
      </c>
      <c r="G70" s="430"/>
    </row>
    <row r="71" spans="1:7" x14ac:dyDescent="0.25">
      <c r="A71" s="52">
        <v>62</v>
      </c>
      <c r="B71" s="38" t="s">
        <v>73</v>
      </c>
      <c r="C71" s="38" t="s">
        <v>5</v>
      </c>
      <c r="D71" s="38">
        <v>192.51</v>
      </c>
      <c r="E71" s="39">
        <v>2.154540328352625E-3</v>
      </c>
      <c r="F71" s="53">
        <v>0.93726056348215914</v>
      </c>
      <c r="G71" s="430"/>
    </row>
    <row r="72" spans="1:7" x14ac:dyDescent="0.25">
      <c r="A72" s="52">
        <v>63</v>
      </c>
      <c r="B72" s="38" t="s">
        <v>74</v>
      </c>
      <c r="C72" s="38" t="s">
        <v>14</v>
      </c>
      <c r="D72" s="38">
        <v>189.51900000000001</v>
      </c>
      <c r="E72" s="39">
        <v>2.1210655471874769E-3</v>
      </c>
      <c r="F72" s="53">
        <v>0.93938162902934663</v>
      </c>
      <c r="G72" s="430"/>
    </row>
    <row r="73" spans="1:7" x14ac:dyDescent="0.25">
      <c r="A73" s="52">
        <v>64</v>
      </c>
      <c r="B73" s="38" t="s">
        <v>75</v>
      </c>
      <c r="C73" s="38" t="s">
        <v>5</v>
      </c>
      <c r="D73" s="38">
        <v>186.2</v>
      </c>
      <c r="E73" s="39">
        <v>2.083919843848417E-3</v>
      </c>
      <c r="F73" s="53">
        <v>0.941465548873195</v>
      </c>
      <c r="G73" s="430"/>
    </row>
    <row r="74" spans="1:7" x14ac:dyDescent="0.25">
      <c r="A74" s="52">
        <v>65</v>
      </c>
      <c r="B74" s="38" t="s">
        <v>76</v>
      </c>
      <c r="C74" s="38" t="s">
        <v>33</v>
      </c>
      <c r="D74" s="38">
        <v>175.62799999999999</v>
      </c>
      <c r="E74" s="39">
        <v>1.9655997547551544E-3</v>
      </c>
      <c r="F74" s="53">
        <v>0.94343114862795019</v>
      </c>
      <c r="G74" s="430"/>
    </row>
    <row r="75" spans="1:7" x14ac:dyDescent="0.25">
      <c r="A75" s="52">
        <v>66</v>
      </c>
      <c r="B75" s="38" t="s">
        <v>77</v>
      </c>
      <c r="C75" s="38" t="s">
        <v>5</v>
      </c>
      <c r="D75" s="38">
        <v>172.744</v>
      </c>
      <c r="E75" s="39">
        <v>1.933322500030886E-3</v>
      </c>
      <c r="F75" s="53">
        <v>0.94536447112798105</v>
      </c>
      <c r="G75" s="430"/>
    </row>
    <row r="76" spans="1:7" x14ac:dyDescent="0.25">
      <c r="A76" s="52">
        <v>67</v>
      </c>
      <c r="B76" s="38" t="s">
        <v>78</v>
      </c>
      <c r="C76" s="38" t="s">
        <v>33</v>
      </c>
      <c r="D76" s="38">
        <v>168.08</v>
      </c>
      <c r="E76" s="39">
        <v>1.881123777411611E-3</v>
      </c>
      <c r="F76" s="53">
        <v>0.94724559490539262</v>
      </c>
      <c r="G76" s="430"/>
    </row>
    <row r="77" spans="1:7" x14ac:dyDescent="0.25">
      <c r="A77" s="52">
        <v>68</v>
      </c>
      <c r="B77" s="38" t="s">
        <v>79</v>
      </c>
      <c r="C77" s="38" t="s">
        <v>80</v>
      </c>
      <c r="D77" s="38">
        <v>161.65</v>
      </c>
      <c r="E77" s="39">
        <v>1.8091602725998745E-3</v>
      </c>
      <c r="F77" s="53">
        <v>0.94905475517799254</v>
      </c>
      <c r="G77" s="430"/>
    </row>
    <row r="78" spans="1:7" x14ac:dyDescent="0.25">
      <c r="A78" s="52">
        <v>69</v>
      </c>
      <c r="B78" s="38" t="s">
        <v>81</v>
      </c>
      <c r="C78" s="38" t="s">
        <v>80</v>
      </c>
      <c r="D78" s="38">
        <v>155.4</v>
      </c>
      <c r="E78" s="39">
        <v>1.7392112982494309E-3</v>
      </c>
      <c r="F78" s="53">
        <v>0.95079396647624193</v>
      </c>
      <c r="G78" s="430"/>
    </row>
    <row r="79" spans="1:7" x14ac:dyDescent="0.25">
      <c r="A79" s="52">
        <v>70</v>
      </c>
      <c r="B79" s="38" t="s">
        <v>82</v>
      </c>
      <c r="C79" s="38" t="s">
        <v>83</v>
      </c>
      <c r="D79" s="38">
        <v>154.9</v>
      </c>
      <c r="E79" s="39">
        <v>1.7336153803013954E-3</v>
      </c>
      <c r="F79" s="53">
        <v>0.95252758185654329</v>
      </c>
      <c r="G79" s="430"/>
    </row>
    <row r="80" spans="1:7" x14ac:dyDescent="0.25">
      <c r="A80" s="52">
        <v>71</v>
      </c>
      <c r="B80" s="38" t="s">
        <v>84</v>
      </c>
      <c r="C80" s="38" t="s">
        <v>5</v>
      </c>
      <c r="D80" s="38">
        <v>154.69999999999999</v>
      </c>
      <c r="E80" s="39">
        <v>1.7313770131221809E-3</v>
      </c>
      <c r="F80" s="53">
        <v>0.9542589588696655</v>
      </c>
      <c r="G80" s="430"/>
    </row>
    <row r="81" spans="1:7" x14ac:dyDescent="0.25">
      <c r="A81" s="52">
        <v>72</v>
      </c>
      <c r="B81" s="38" t="s">
        <v>85</v>
      </c>
      <c r="C81" s="38" t="s">
        <v>33</v>
      </c>
      <c r="D81" s="38">
        <v>153.12</v>
      </c>
      <c r="E81" s="39">
        <v>1.713693912406389E-3</v>
      </c>
      <c r="F81" s="53">
        <v>0.95597265278207189</v>
      </c>
      <c r="G81" s="430"/>
    </row>
    <row r="82" spans="1:7" x14ac:dyDescent="0.25">
      <c r="A82" s="52">
        <v>73</v>
      </c>
      <c r="B82" s="38" t="s">
        <v>86</v>
      </c>
      <c r="C82" s="38" t="s">
        <v>33</v>
      </c>
      <c r="D82" s="38">
        <v>152.82</v>
      </c>
      <c r="E82" s="39">
        <v>1.7103363616375676E-3</v>
      </c>
      <c r="F82" s="53">
        <v>0.95768298914370942</v>
      </c>
      <c r="G82" s="430"/>
    </row>
    <row r="83" spans="1:7" x14ac:dyDescent="0.25">
      <c r="A83" s="52">
        <v>74</v>
      </c>
      <c r="B83" s="38" t="s">
        <v>87</v>
      </c>
      <c r="C83" s="38" t="s">
        <v>14</v>
      </c>
      <c r="D83" s="38">
        <v>145.31219999999999</v>
      </c>
      <c r="E83" s="39">
        <v>1.6263102960970457E-3</v>
      </c>
      <c r="F83" s="53">
        <v>0.95930929943980647</v>
      </c>
      <c r="G83" s="430"/>
    </row>
    <row r="84" spans="1:7" x14ac:dyDescent="0.25">
      <c r="A84" s="52">
        <v>75</v>
      </c>
      <c r="B84" s="38" t="s">
        <v>88</v>
      </c>
      <c r="C84" s="38" t="s">
        <v>89</v>
      </c>
      <c r="D84" s="38">
        <v>145.072</v>
      </c>
      <c r="E84" s="39">
        <v>1.6236220171148097E-3</v>
      </c>
      <c r="F84" s="53">
        <v>0.96093292145692133</v>
      </c>
      <c r="G84" s="430"/>
    </row>
    <row r="85" spans="1:7" x14ac:dyDescent="0.25">
      <c r="A85" s="52">
        <v>76</v>
      </c>
      <c r="B85" s="38" t="s">
        <v>90</v>
      </c>
      <c r="C85" s="38" t="s">
        <v>33</v>
      </c>
      <c r="D85" s="38">
        <v>135.08000000000001</v>
      </c>
      <c r="E85" s="39">
        <v>1.5117931928412686E-3</v>
      </c>
      <c r="F85" s="53">
        <v>0.96244471464976256</v>
      </c>
      <c r="G85" s="430"/>
    </row>
    <row r="86" spans="1:7" x14ac:dyDescent="0.25">
      <c r="A86" s="52">
        <v>77</v>
      </c>
      <c r="B86" s="38" t="s">
        <v>91</v>
      </c>
      <c r="C86" s="38" t="s">
        <v>5</v>
      </c>
      <c r="D86" s="38">
        <v>134.72</v>
      </c>
      <c r="E86" s="39">
        <v>1.5077641319186828E-3</v>
      </c>
      <c r="F86" s="53">
        <v>0.96395247878168122</v>
      </c>
      <c r="G86" s="430"/>
    </row>
    <row r="87" spans="1:7" x14ac:dyDescent="0.25">
      <c r="A87" s="52">
        <v>78</v>
      </c>
      <c r="B87" s="38" t="s">
        <v>92</v>
      </c>
      <c r="C87" s="38" t="s">
        <v>14</v>
      </c>
      <c r="D87" s="38">
        <v>128.422</v>
      </c>
      <c r="E87" s="39">
        <v>1.4372779494452278E-3</v>
      </c>
      <c r="F87" s="53">
        <v>0.96538975673112648</v>
      </c>
      <c r="G87" s="430"/>
    </row>
    <row r="88" spans="1:7" x14ac:dyDescent="0.25">
      <c r="A88" s="52">
        <v>79</v>
      </c>
      <c r="B88" s="38" t="s">
        <v>93</v>
      </c>
      <c r="C88" s="38" t="s">
        <v>5</v>
      </c>
      <c r="D88" s="38">
        <v>125.88800000000001</v>
      </c>
      <c r="E88" s="39">
        <v>1.4089178372845839E-3</v>
      </c>
      <c r="F88" s="53">
        <v>0.96679867456841106</v>
      </c>
      <c r="G88" s="430"/>
    </row>
    <row r="89" spans="1:7" x14ac:dyDescent="0.25">
      <c r="A89" s="52">
        <v>80</v>
      </c>
      <c r="B89" s="38" t="s">
        <v>94</v>
      </c>
      <c r="C89" s="38" t="s">
        <v>80</v>
      </c>
      <c r="D89" s="38">
        <v>120.85</v>
      </c>
      <c r="E89" s="39">
        <v>1.3525333680401781E-3</v>
      </c>
      <c r="F89" s="53">
        <v>0.96815120793645126</v>
      </c>
      <c r="G89" s="430"/>
    </row>
    <row r="90" spans="1:7" x14ac:dyDescent="0.25">
      <c r="A90" s="52">
        <v>81</v>
      </c>
      <c r="B90" s="38" t="s">
        <v>95</v>
      </c>
      <c r="C90" s="38" t="s">
        <v>5</v>
      </c>
      <c r="D90" s="38">
        <v>117.404</v>
      </c>
      <c r="E90" s="39">
        <v>1.3139663015423176E-3</v>
      </c>
      <c r="F90" s="53">
        <v>0.96946517423799361</v>
      </c>
      <c r="G90" s="430"/>
    </row>
    <row r="91" spans="1:7" x14ac:dyDescent="0.25">
      <c r="A91" s="52">
        <v>82</v>
      </c>
      <c r="B91" s="38" t="s">
        <v>96</v>
      </c>
      <c r="C91" s="38" t="s">
        <v>14</v>
      </c>
      <c r="D91" s="38">
        <v>108.89400000000001</v>
      </c>
      <c r="E91" s="39">
        <v>1.2187237780667537E-3</v>
      </c>
      <c r="F91" s="53">
        <v>0.97068389801606036</v>
      </c>
      <c r="G91" s="430"/>
    </row>
    <row r="92" spans="1:7" x14ac:dyDescent="0.25">
      <c r="A92" s="52">
        <v>83</v>
      </c>
      <c r="B92" s="38" t="s">
        <v>97</v>
      </c>
      <c r="C92" s="38" t="s">
        <v>14</v>
      </c>
      <c r="D92" s="38">
        <v>103.148</v>
      </c>
      <c r="E92" s="39">
        <v>1.1544154890079296E-3</v>
      </c>
      <c r="F92" s="53">
        <v>0.97183831350506833</v>
      </c>
      <c r="G92" s="430"/>
    </row>
    <row r="93" spans="1:7" x14ac:dyDescent="0.25">
      <c r="A93" s="52">
        <v>84</v>
      </c>
      <c r="B93" s="38" t="s">
        <v>98</v>
      </c>
      <c r="C93" s="38" t="s">
        <v>14</v>
      </c>
      <c r="D93" s="38">
        <v>102.032</v>
      </c>
      <c r="E93" s="39">
        <v>1.1419254001479146E-3</v>
      </c>
      <c r="F93" s="53">
        <v>0.97298023890521623</v>
      </c>
      <c r="G93" s="430"/>
    </row>
    <row r="94" spans="1:7" x14ac:dyDescent="0.25">
      <c r="A94" s="52">
        <v>85</v>
      </c>
      <c r="B94" s="38" t="s">
        <v>99</v>
      </c>
      <c r="C94" s="38" t="s">
        <v>5</v>
      </c>
      <c r="D94" s="38">
        <v>100.52809999999999</v>
      </c>
      <c r="E94" s="39">
        <v>1.1250939981438132E-3</v>
      </c>
      <c r="F94" s="53">
        <v>0.9741053329033601</v>
      </c>
      <c r="G94" s="430"/>
    </row>
    <row r="95" spans="1:7" x14ac:dyDescent="0.25">
      <c r="A95" s="52">
        <v>86</v>
      </c>
      <c r="B95" s="38" t="s">
        <v>100</v>
      </c>
      <c r="C95" s="38" t="s">
        <v>89</v>
      </c>
      <c r="D95" s="38">
        <v>100</v>
      </c>
      <c r="E95" s="39">
        <v>1.1191835896070983E-3</v>
      </c>
      <c r="F95" s="53">
        <v>0.97522451649296715</v>
      </c>
      <c r="G95" s="430"/>
    </row>
    <row r="96" spans="1:7" x14ac:dyDescent="0.25">
      <c r="A96" s="52">
        <v>87</v>
      </c>
      <c r="B96" s="38" t="s">
        <v>101</v>
      </c>
      <c r="C96" s="38" t="s">
        <v>14</v>
      </c>
      <c r="D96" s="38">
        <v>96.8</v>
      </c>
      <c r="E96" s="39">
        <v>1.0833697147396711E-3</v>
      </c>
      <c r="F96" s="53">
        <v>0.97630788620770681</v>
      </c>
      <c r="G96" s="430"/>
    </row>
    <row r="97" spans="1:7" x14ac:dyDescent="0.25">
      <c r="A97" s="52">
        <v>88</v>
      </c>
      <c r="B97" s="38" t="s">
        <v>102</v>
      </c>
      <c r="C97" s="38" t="s">
        <v>33</v>
      </c>
      <c r="D97" s="38">
        <v>95.744</v>
      </c>
      <c r="E97" s="39">
        <v>1.0715511360334202E-3</v>
      </c>
      <c r="F97" s="53">
        <v>0.97737943734374022</v>
      </c>
      <c r="G97" s="430"/>
    </row>
    <row r="98" spans="1:7" x14ac:dyDescent="0.25">
      <c r="A98" s="52">
        <v>89</v>
      </c>
      <c r="B98" s="38" t="s">
        <v>103</v>
      </c>
      <c r="C98" s="38" t="s">
        <v>14</v>
      </c>
      <c r="D98" s="38">
        <v>93.95</v>
      </c>
      <c r="E98" s="39">
        <v>1.0514729824358689E-3</v>
      </c>
      <c r="F98" s="53">
        <v>0.97843091032617613</v>
      </c>
      <c r="G98" s="430"/>
    </row>
    <row r="99" spans="1:7" x14ac:dyDescent="0.25">
      <c r="A99" s="52">
        <v>90</v>
      </c>
      <c r="B99" s="38" t="s">
        <v>104</v>
      </c>
      <c r="C99" s="38" t="s">
        <v>33</v>
      </c>
      <c r="D99" s="38">
        <v>93.73</v>
      </c>
      <c r="E99" s="39">
        <v>1.0490107785387332E-3</v>
      </c>
      <c r="F99" s="53">
        <v>0.97947992110471482</v>
      </c>
      <c r="G99" s="430"/>
    </row>
    <row r="100" spans="1:7" x14ac:dyDescent="0.25">
      <c r="A100" s="52">
        <v>91</v>
      </c>
      <c r="B100" s="38" t="s">
        <v>105</v>
      </c>
      <c r="C100" s="38" t="s">
        <v>14</v>
      </c>
      <c r="D100" s="38">
        <v>92.641000000000005</v>
      </c>
      <c r="E100" s="39">
        <v>1.0368228692479119E-3</v>
      </c>
      <c r="F100" s="53">
        <v>0.98051674397396271</v>
      </c>
      <c r="G100" s="430"/>
    </row>
    <row r="101" spans="1:7" x14ac:dyDescent="0.25">
      <c r="A101" s="52">
        <v>92</v>
      </c>
      <c r="B101" s="38" t="s">
        <v>106</v>
      </c>
      <c r="C101" s="38" t="s">
        <v>33</v>
      </c>
      <c r="D101" s="38">
        <v>88.02</v>
      </c>
      <c r="E101" s="39">
        <v>9.8510539557216791E-4</v>
      </c>
      <c r="F101" s="53">
        <v>0.98150184936953488</v>
      </c>
      <c r="G101" s="430"/>
    </row>
    <row r="102" spans="1:7" x14ac:dyDescent="0.25">
      <c r="A102" s="52">
        <v>93</v>
      </c>
      <c r="B102" s="38" t="s">
        <v>107</v>
      </c>
      <c r="C102" s="38" t="s">
        <v>108</v>
      </c>
      <c r="D102" s="38">
        <v>87.95</v>
      </c>
      <c r="E102" s="39">
        <v>9.8432196705944297E-4</v>
      </c>
      <c r="F102" s="53">
        <v>0.98248617133659433</v>
      </c>
      <c r="G102" s="430"/>
    </row>
    <row r="103" spans="1:7" x14ac:dyDescent="0.25">
      <c r="A103" s="52">
        <v>94</v>
      </c>
      <c r="B103" s="38" t="s">
        <v>109</v>
      </c>
      <c r="C103" s="38" t="s">
        <v>33</v>
      </c>
      <c r="D103" s="38">
        <v>87.7</v>
      </c>
      <c r="E103" s="39">
        <v>9.8152400808542524E-4</v>
      </c>
      <c r="F103" s="53">
        <v>0.9834676953446797</v>
      </c>
      <c r="G103" s="430"/>
    </row>
    <row r="104" spans="1:7" x14ac:dyDescent="0.25">
      <c r="A104" s="52">
        <v>95</v>
      </c>
      <c r="B104" s="38" t="s">
        <v>110</v>
      </c>
      <c r="C104" s="38" t="s">
        <v>14</v>
      </c>
      <c r="D104" s="38">
        <v>82.921999999999997</v>
      </c>
      <c r="E104" s="39">
        <v>9.2804941617399806E-4</v>
      </c>
      <c r="F104" s="53">
        <v>0.98439574476085367</v>
      </c>
      <c r="G104" s="430"/>
    </row>
    <row r="105" spans="1:7" x14ac:dyDescent="0.25">
      <c r="A105" s="52">
        <v>96</v>
      </c>
      <c r="B105" s="38" t="s">
        <v>111</v>
      </c>
      <c r="C105" s="38" t="s">
        <v>14</v>
      </c>
      <c r="D105" s="38">
        <v>80.816000000000003</v>
      </c>
      <c r="E105" s="39">
        <v>9.0447940977687262E-4</v>
      </c>
      <c r="F105" s="53">
        <v>0.98530022417063057</v>
      </c>
      <c r="G105" s="430"/>
    </row>
    <row r="106" spans="1:7" x14ac:dyDescent="0.25">
      <c r="A106" s="52">
        <v>97</v>
      </c>
      <c r="B106" s="38" t="s">
        <v>112</v>
      </c>
      <c r="C106" s="38" t="s">
        <v>5</v>
      </c>
      <c r="D106" s="38">
        <v>80.5</v>
      </c>
      <c r="E106" s="39">
        <v>9.0094278963371416E-4</v>
      </c>
      <c r="F106" s="53">
        <v>0.98620116696026427</v>
      </c>
      <c r="G106" s="430"/>
    </row>
    <row r="107" spans="1:7" x14ac:dyDescent="0.25">
      <c r="A107" s="52">
        <v>98</v>
      </c>
      <c r="B107" s="38" t="s">
        <v>113</v>
      </c>
      <c r="C107" s="38" t="s">
        <v>108</v>
      </c>
      <c r="D107" s="38">
        <v>78</v>
      </c>
      <c r="E107" s="39">
        <v>8.7296319989353666E-4</v>
      </c>
      <c r="F107" s="53">
        <v>0.98707413016015777</v>
      </c>
      <c r="G107" s="430"/>
    </row>
    <row r="108" spans="1:7" x14ac:dyDescent="0.25">
      <c r="A108" s="52">
        <v>99</v>
      </c>
      <c r="B108" s="38" t="s">
        <v>114</v>
      </c>
      <c r="C108" s="38" t="s">
        <v>108</v>
      </c>
      <c r="D108" s="38">
        <v>77.75</v>
      </c>
      <c r="E108" s="39">
        <v>8.7016524091951893E-4</v>
      </c>
      <c r="F108" s="53">
        <v>0.98794429540107731</v>
      </c>
      <c r="G108" s="430"/>
    </row>
    <row r="109" spans="1:7" x14ac:dyDescent="0.25">
      <c r="A109" s="52">
        <v>100</v>
      </c>
      <c r="B109" s="38" t="s">
        <v>115</v>
      </c>
      <c r="C109" s="38" t="s">
        <v>5</v>
      </c>
      <c r="D109" s="38">
        <v>75.273300000000006</v>
      </c>
      <c r="E109" s="39">
        <v>8.4244642095571999E-4</v>
      </c>
      <c r="F109" s="53">
        <v>0.98878674182203308</v>
      </c>
      <c r="G109" s="430"/>
    </row>
    <row r="110" spans="1:7" x14ac:dyDescent="0.25">
      <c r="A110" s="52">
        <v>101</v>
      </c>
      <c r="B110" s="38" t="s">
        <v>116</v>
      </c>
      <c r="C110" s="38" t="s">
        <v>14</v>
      </c>
      <c r="D110" s="38">
        <v>66.846000000000004</v>
      </c>
      <c r="E110" s="39">
        <v>7.4812946230876098E-4</v>
      </c>
      <c r="F110" s="53">
        <v>0.98953487128434181</v>
      </c>
      <c r="G110" s="430"/>
    </row>
    <row r="111" spans="1:7" x14ac:dyDescent="0.25">
      <c r="A111" s="52">
        <v>102</v>
      </c>
      <c r="B111" s="38" t="s">
        <v>117</v>
      </c>
      <c r="C111" s="38" t="s">
        <v>118</v>
      </c>
      <c r="D111" s="38">
        <v>57.28</v>
      </c>
      <c r="E111" s="39">
        <v>6.4106836012694591E-4</v>
      </c>
      <c r="F111" s="53">
        <v>0.99017593964446871</v>
      </c>
      <c r="G111" s="430"/>
    </row>
    <row r="112" spans="1:7" x14ac:dyDescent="0.25">
      <c r="A112" s="52">
        <v>103</v>
      </c>
      <c r="B112" s="38" t="s">
        <v>119</v>
      </c>
      <c r="C112" s="38" t="s">
        <v>14</v>
      </c>
      <c r="D112" s="38">
        <v>54.107999999999997</v>
      </c>
      <c r="E112" s="39">
        <v>6.0556785666460871E-4</v>
      </c>
      <c r="F112" s="53">
        <v>0.99078150750113336</v>
      </c>
      <c r="G112" s="430"/>
    </row>
    <row r="113" spans="1:7" x14ac:dyDescent="0.25">
      <c r="A113" s="52">
        <v>104</v>
      </c>
      <c r="B113" s="38" t="s">
        <v>120</v>
      </c>
      <c r="C113" s="38" t="s">
        <v>121</v>
      </c>
      <c r="D113" s="38">
        <v>52.5</v>
      </c>
      <c r="E113" s="39">
        <v>5.8757138454372656E-4</v>
      </c>
      <c r="F113" s="53">
        <v>0.99136907888567705</v>
      </c>
      <c r="G113" s="430"/>
    </row>
    <row r="114" spans="1:7" x14ac:dyDescent="0.25">
      <c r="A114" s="52">
        <v>105</v>
      </c>
      <c r="B114" s="38" t="s">
        <v>122</v>
      </c>
      <c r="C114" s="38" t="s">
        <v>83</v>
      </c>
      <c r="D114" s="38">
        <v>51.84</v>
      </c>
      <c r="E114" s="39">
        <v>5.8018477285231977E-4</v>
      </c>
      <c r="F114" s="53">
        <v>0.99194926365852931</v>
      </c>
      <c r="G114" s="430"/>
    </row>
    <row r="115" spans="1:7" x14ac:dyDescent="0.25">
      <c r="A115" s="52">
        <v>106</v>
      </c>
      <c r="B115" s="38" t="s">
        <v>123</v>
      </c>
      <c r="C115" s="38" t="s">
        <v>5</v>
      </c>
      <c r="D115" s="38">
        <v>51.58</v>
      </c>
      <c r="E115" s="39">
        <v>5.7727489551934132E-4</v>
      </c>
      <c r="F115" s="53">
        <v>0.9925265385540486</v>
      </c>
      <c r="G115" s="430"/>
    </row>
    <row r="116" spans="1:7" x14ac:dyDescent="0.25">
      <c r="A116" s="52">
        <v>107</v>
      </c>
      <c r="B116" s="38" t="s">
        <v>124</v>
      </c>
      <c r="C116" s="38" t="s">
        <v>14</v>
      </c>
      <c r="D116" s="38">
        <v>48.025599999999997</v>
      </c>
      <c r="E116" s="39">
        <v>5.3749463401034652E-4</v>
      </c>
      <c r="F116" s="53">
        <v>0.99306403318805891</v>
      </c>
      <c r="G116" s="430"/>
    </row>
    <row r="117" spans="1:7" x14ac:dyDescent="0.25">
      <c r="A117" s="52">
        <v>108</v>
      </c>
      <c r="B117" s="38" t="s">
        <v>125</v>
      </c>
      <c r="C117" s="38" t="s">
        <v>14</v>
      </c>
      <c r="D117" s="38">
        <v>46.79</v>
      </c>
      <c r="E117" s="39">
        <v>5.2366600157716125E-4</v>
      </c>
      <c r="F117" s="53">
        <v>0.99358769918963608</v>
      </c>
      <c r="G117" s="430"/>
    </row>
    <row r="118" spans="1:7" x14ac:dyDescent="0.25">
      <c r="A118" s="52">
        <v>109</v>
      </c>
      <c r="B118" s="38" t="s">
        <v>126</v>
      </c>
      <c r="C118" s="38" t="s">
        <v>83</v>
      </c>
      <c r="D118" s="38">
        <v>45.36</v>
      </c>
      <c r="E118" s="39">
        <v>5.0766167624577982E-4</v>
      </c>
      <c r="F118" s="53">
        <v>0.99409536086588191</v>
      </c>
      <c r="G118" s="430"/>
    </row>
    <row r="119" spans="1:7" x14ac:dyDescent="0.25">
      <c r="A119" s="52">
        <v>110</v>
      </c>
      <c r="B119" s="38" t="s">
        <v>127</v>
      </c>
      <c r="C119" s="38" t="s">
        <v>14</v>
      </c>
      <c r="D119" s="38">
        <v>39.862000000000002</v>
      </c>
      <c r="E119" s="39">
        <v>4.4612896248918157E-4</v>
      </c>
      <c r="F119" s="53">
        <v>0.99454148982837109</v>
      </c>
      <c r="G119" s="430"/>
    </row>
    <row r="120" spans="1:7" x14ac:dyDescent="0.25">
      <c r="A120" s="52">
        <v>111</v>
      </c>
      <c r="B120" s="38" t="s">
        <v>128</v>
      </c>
      <c r="C120" s="38" t="s">
        <v>129</v>
      </c>
      <c r="D120" s="38">
        <v>35.75</v>
      </c>
      <c r="E120" s="39">
        <v>4.0010813328453763E-4</v>
      </c>
      <c r="F120" s="53">
        <v>0.9949415979616556</v>
      </c>
      <c r="G120" s="430"/>
    </row>
    <row r="121" spans="1:7" x14ac:dyDescent="0.25">
      <c r="A121" s="52">
        <v>112</v>
      </c>
      <c r="B121" s="38" t="s">
        <v>130</v>
      </c>
      <c r="C121" s="38" t="s">
        <v>5</v>
      </c>
      <c r="D121" s="38">
        <v>31.62</v>
      </c>
      <c r="E121" s="39">
        <v>3.5388585103376447E-4</v>
      </c>
      <c r="F121" s="53">
        <v>0.9952954838126894</v>
      </c>
      <c r="G121" s="430"/>
    </row>
    <row r="122" spans="1:7" x14ac:dyDescent="0.25">
      <c r="A122" s="52">
        <v>113</v>
      </c>
      <c r="B122" s="38" t="s">
        <v>131</v>
      </c>
      <c r="C122" s="38" t="s">
        <v>5</v>
      </c>
      <c r="D122" s="38">
        <v>29.219999000000001</v>
      </c>
      <c r="E122" s="39">
        <v>3.2702543369135826E-4</v>
      </c>
      <c r="F122" s="53">
        <v>0.99562250924638074</v>
      </c>
      <c r="G122" s="430"/>
    </row>
    <row r="123" spans="1:7" x14ac:dyDescent="0.25">
      <c r="A123" s="52">
        <v>114</v>
      </c>
      <c r="B123" s="38" t="s">
        <v>132</v>
      </c>
      <c r="C123" s="38" t="s">
        <v>14</v>
      </c>
      <c r="D123" s="38">
        <v>27.254000000000001</v>
      </c>
      <c r="E123" s="39">
        <v>3.0502229551151858E-4</v>
      </c>
      <c r="F123" s="53">
        <v>0.99592753154189229</v>
      </c>
      <c r="G123" s="430"/>
    </row>
    <row r="124" spans="1:7" x14ac:dyDescent="0.25">
      <c r="A124" s="52">
        <v>115</v>
      </c>
      <c r="B124" s="38" t="s">
        <v>133</v>
      </c>
      <c r="C124" s="38" t="s">
        <v>5</v>
      </c>
      <c r="D124" s="38">
        <v>27.14</v>
      </c>
      <c r="E124" s="39">
        <v>3.0374642621936647E-4</v>
      </c>
      <c r="F124" s="53">
        <v>0.99623127796811162</v>
      </c>
      <c r="G124" s="430"/>
    </row>
    <row r="125" spans="1:7" x14ac:dyDescent="0.25">
      <c r="A125" s="52">
        <v>116</v>
      </c>
      <c r="B125" s="38" t="s">
        <v>134</v>
      </c>
      <c r="C125" s="38" t="s">
        <v>5</v>
      </c>
      <c r="D125" s="38">
        <v>26.2</v>
      </c>
      <c r="E125" s="39">
        <v>2.9322610047705972E-4</v>
      </c>
      <c r="F125" s="53">
        <v>0.99652450406858872</v>
      </c>
      <c r="G125" s="430"/>
    </row>
    <row r="126" spans="1:7" x14ac:dyDescent="0.25">
      <c r="A126" s="52">
        <v>117</v>
      </c>
      <c r="B126" s="38" t="s">
        <v>135</v>
      </c>
      <c r="C126" s="38" t="s">
        <v>5</v>
      </c>
      <c r="D126" s="38">
        <v>26.18</v>
      </c>
      <c r="E126" s="39">
        <v>2.9300226375913833E-4</v>
      </c>
      <c r="F126" s="53">
        <v>0.99681750633234789</v>
      </c>
      <c r="G126" s="430"/>
    </row>
    <row r="127" spans="1:7" x14ac:dyDescent="0.25">
      <c r="A127" s="52">
        <v>118</v>
      </c>
      <c r="B127" s="38" t="s">
        <v>136</v>
      </c>
      <c r="C127" s="38" t="s">
        <v>47</v>
      </c>
      <c r="D127" s="38">
        <v>24.15</v>
      </c>
      <c r="E127" s="39">
        <v>2.7028283689011423E-4</v>
      </c>
      <c r="F127" s="53">
        <v>0.99708778916923801</v>
      </c>
      <c r="G127" s="430"/>
    </row>
    <row r="128" spans="1:7" x14ac:dyDescent="0.25">
      <c r="A128" s="52">
        <v>119</v>
      </c>
      <c r="B128" s="38" t="s">
        <v>137</v>
      </c>
      <c r="C128" s="38" t="s">
        <v>83</v>
      </c>
      <c r="D128" s="38">
        <v>21.85</v>
      </c>
      <c r="E128" s="39">
        <v>2.44541614329151E-4</v>
      </c>
      <c r="F128" s="53">
        <v>0.9973323307835672</v>
      </c>
      <c r="G128" s="430"/>
    </row>
    <row r="129" spans="1:7" x14ac:dyDescent="0.25">
      <c r="A129" s="52">
        <v>120</v>
      </c>
      <c r="B129" s="38" t="s">
        <v>138</v>
      </c>
      <c r="C129" s="38" t="s">
        <v>5</v>
      </c>
      <c r="D129" s="38">
        <v>20.62</v>
      </c>
      <c r="E129" s="39">
        <v>2.3077565617698369E-4</v>
      </c>
      <c r="F129" s="53">
        <v>0.99756310643974422</v>
      </c>
      <c r="G129" s="430"/>
    </row>
    <row r="130" spans="1:7" x14ac:dyDescent="0.25">
      <c r="A130" s="52">
        <v>121</v>
      </c>
      <c r="B130" s="38" t="s">
        <v>139</v>
      </c>
      <c r="C130" s="38" t="s">
        <v>14</v>
      </c>
      <c r="D130" s="38">
        <v>20.542000000000002</v>
      </c>
      <c r="E130" s="39">
        <v>2.2990269297709016E-4</v>
      </c>
      <c r="F130" s="53">
        <v>0.99779300913272129</v>
      </c>
      <c r="G130" s="430"/>
    </row>
    <row r="131" spans="1:7" x14ac:dyDescent="0.25">
      <c r="A131" s="52">
        <v>122</v>
      </c>
      <c r="B131" s="38" t="s">
        <v>140</v>
      </c>
      <c r="C131" s="38" t="s">
        <v>80</v>
      </c>
      <c r="D131" s="38">
        <v>20.13</v>
      </c>
      <c r="E131" s="39">
        <v>2.2529165658790887E-4</v>
      </c>
      <c r="F131" s="53">
        <v>0.9980183007893092</v>
      </c>
      <c r="G131" s="430"/>
    </row>
    <row r="132" spans="1:7" x14ac:dyDescent="0.25">
      <c r="A132" s="52">
        <v>123</v>
      </c>
      <c r="B132" s="38" t="s">
        <v>141</v>
      </c>
      <c r="C132" s="38" t="s">
        <v>83</v>
      </c>
      <c r="D132" s="38">
        <v>15.88</v>
      </c>
      <c r="E132" s="39">
        <v>1.7772635402960721E-4</v>
      </c>
      <c r="F132" s="53">
        <v>0.99819602714333877</v>
      </c>
      <c r="G132" s="430"/>
    </row>
    <row r="133" spans="1:7" x14ac:dyDescent="0.25">
      <c r="A133" s="52">
        <v>124</v>
      </c>
      <c r="B133" s="38" t="s">
        <v>142</v>
      </c>
      <c r="C133" s="38" t="s">
        <v>5</v>
      </c>
      <c r="D133" s="38">
        <v>14.82</v>
      </c>
      <c r="E133" s="39">
        <v>1.6586300797977196E-4</v>
      </c>
      <c r="F133" s="53">
        <v>0.9983618901513186</v>
      </c>
      <c r="G133" s="430"/>
    </row>
    <row r="134" spans="1:7" x14ac:dyDescent="0.25">
      <c r="A134" s="52">
        <v>125</v>
      </c>
      <c r="B134" s="38" t="s">
        <v>143</v>
      </c>
      <c r="C134" s="38" t="s">
        <v>5</v>
      </c>
      <c r="D134" s="38">
        <v>13.9</v>
      </c>
      <c r="E134" s="39">
        <v>1.5556651895538666E-4</v>
      </c>
      <c r="F134" s="53">
        <v>0.9983618901513186</v>
      </c>
      <c r="G134" s="430"/>
    </row>
    <row r="135" spans="1:7" x14ac:dyDescent="0.25">
      <c r="A135" s="52">
        <v>126</v>
      </c>
      <c r="B135" s="38" t="s">
        <v>144</v>
      </c>
      <c r="C135" s="38" t="s">
        <v>83</v>
      </c>
      <c r="D135" s="38">
        <v>13.56</v>
      </c>
      <c r="E135" s="39">
        <v>1.5176129475072254E-4</v>
      </c>
      <c r="F135" s="53">
        <v>0.9983618901513186</v>
      </c>
      <c r="G135" s="430"/>
    </row>
    <row r="136" spans="1:7" x14ac:dyDescent="0.25">
      <c r="A136" s="52">
        <v>127</v>
      </c>
      <c r="B136" s="38" t="s">
        <v>145</v>
      </c>
      <c r="C136" s="38" t="s">
        <v>108</v>
      </c>
      <c r="D136" s="38">
        <v>12.8</v>
      </c>
      <c r="E136" s="39">
        <v>1.4325549946970858E-4</v>
      </c>
      <c r="F136" s="53">
        <v>0.9983618901513186</v>
      </c>
      <c r="G136" s="430"/>
    </row>
    <row r="137" spans="1:7" x14ac:dyDescent="0.25">
      <c r="A137" s="52">
        <v>128</v>
      </c>
      <c r="B137" s="38" t="s">
        <v>146</v>
      </c>
      <c r="C137" s="38" t="s">
        <v>5</v>
      </c>
      <c r="D137" s="38">
        <v>12.16</v>
      </c>
      <c r="E137" s="39">
        <v>1.3609272449622314E-4</v>
      </c>
      <c r="F137" s="53">
        <v>0.9983618901513186</v>
      </c>
      <c r="G137" s="430"/>
    </row>
    <row r="138" spans="1:7" x14ac:dyDescent="0.25">
      <c r="A138" s="52">
        <v>129</v>
      </c>
      <c r="B138" s="38" t="s">
        <v>147</v>
      </c>
      <c r="C138" s="38" t="s">
        <v>80</v>
      </c>
      <c r="D138" s="38">
        <v>11.814</v>
      </c>
      <c r="E138" s="39">
        <v>1.3222034927618261E-4</v>
      </c>
      <c r="F138" s="53">
        <v>0.9983618901513186</v>
      </c>
      <c r="G138" s="430"/>
    </row>
    <row r="139" spans="1:7" x14ac:dyDescent="0.25">
      <c r="A139" s="52">
        <v>130</v>
      </c>
      <c r="B139" s="38" t="s">
        <v>148</v>
      </c>
      <c r="C139" s="38" t="s">
        <v>5</v>
      </c>
      <c r="D139" s="38">
        <v>8.92</v>
      </c>
      <c r="E139" s="39">
        <v>9.9831176192953172E-5</v>
      </c>
      <c r="F139" s="53">
        <v>0.9983618901513186</v>
      </c>
      <c r="G139" s="430"/>
    </row>
    <row r="140" spans="1:7" x14ac:dyDescent="0.25">
      <c r="A140" s="52">
        <v>131</v>
      </c>
      <c r="B140" s="38" t="s">
        <v>149</v>
      </c>
      <c r="C140" s="38" t="s">
        <v>5</v>
      </c>
      <c r="D140" s="38">
        <v>8.7200000000000006</v>
      </c>
      <c r="E140" s="39">
        <v>9.7592809013738972E-5</v>
      </c>
      <c r="F140" s="53">
        <v>0.9983618901513186</v>
      </c>
      <c r="G140" s="430"/>
    </row>
    <row r="141" spans="1:7" x14ac:dyDescent="0.25">
      <c r="A141" s="52">
        <v>132</v>
      </c>
      <c r="B141" s="38" t="s">
        <v>150</v>
      </c>
      <c r="C141" s="38" t="s">
        <v>5</v>
      </c>
      <c r="D141" s="38">
        <v>8.5399999999999991</v>
      </c>
      <c r="E141" s="39">
        <v>9.557827855244619E-5</v>
      </c>
      <c r="F141" s="53">
        <v>0.9983618901513186</v>
      </c>
      <c r="G141" s="430"/>
    </row>
    <row r="142" spans="1:7" x14ac:dyDescent="0.25">
      <c r="A142" s="52">
        <v>133</v>
      </c>
      <c r="B142" s="38" t="s">
        <v>151</v>
      </c>
      <c r="C142" s="38" t="s">
        <v>5</v>
      </c>
      <c r="D142" s="38">
        <v>8.4600000000000009</v>
      </c>
      <c r="E142" s="39">
        <v>9.4682931680760521E-5</v>
      </c>
      <c r="F142" s="53">
        <v>0.9983618901513186</v>
      </c>
      <c r="G142" s="430"/>
    </row>
    <row r="143" spans="1:7" x14ac:dyDescent="0.25">
      <c r="A143" s="52">
        <v>134</v>
      </c>
      <c r="B143" s="38" t="s">
        <v>152</v>
      </c>
      <c r="C143" s="38" t="s">
        <v>5</v>
      </c>
      <c r="D143" s="38">
        <v>7.7</v>
      </c>
      <c r="E143" s="39">
        <v>8.6177136399746571E-5</v>
      </c>
      <c r="F143" s="53">
        <v>0.9983618901513186</v>
      </c>
      <c r="G143" s="430"/>
    </row>
    <row r="144" spans="1:7" x14ac:dyDescent="0.25">
      <c r="A144" s="52">
        <v>135</v>
      </c>
      <c r="B144" s="38" t="s">
        <v>153</v>
      </c>
      <c r="C144" s="38" t="s">
        <v>80</v>
      </c>
      <c r="D144" s="38">
        <v>6.2539999999999996</v>
      </c>
      <c r="E144" s="39">
        <v>6.9993741694027924E-5</v>
      </c>
      <c r="F144" s="53">
        <v>0.9983618901513186</v>
      </c>
      <c r="G144" s="430"/>
    </row>
    <row r="145" spans="1:7" x14ac:dyDescent="0.25">
      <c r="A145" s="52">
        <v>136</v>
      </c>
      <c r="B145" s="38" t="s">
        <v>154</v>
      </c>
      <c r="C145" s="38" t="s">
        <v>5</v>
      </c>
      <c r="D145" s="38">
        <v>6.08</v>
      </c>
      <c r="E145" s="39">
        <v>6.8046362248111572E-5</v>
      </c>
      <c r="F145" s="53">
        <v>0.9983618901513186</v>
      </c>
      <c r="G145" s="430"/>
    </row>
    <row r="146" spans="1:7" x14ac:dyDescent="0.25">
      <c r="A146" s="52">
        <v>137</v>
      </c>
      <c r="B146" s="38" t="s">
        <v>155</v>
      </c>
      <c r="C146" s="38" t="s">
        <v>5</v>
      </c>
      <c r="D146" s="38">
        <v>5.98</v>
      </c>
      <c r="E146" s="39">
        <v>6.6927178658504486E-5</v>
      </c>
      <c r="F146" s="53">
        <v>0.9983618901513186</v>
      </c>
      <c r="G146" s="430"/>
    </row>
    <row r="147" spans="1:7" x14ac:dyDescent="0.25">
      <c r="A147" s="52">
        <v>138</v>
      </c>
      <c r="B147" s="38" t="s">
        <v>156</v>
      </c>
      <c r="C147" s="38" t="s">
        <v>89</v>
      </c>
      <c r="D147" s="38">
        <v>5.1100000000000003</v>
      </c>
      <c r="E147" s="39">
        <v>5.7190281428922727E-5</v>
      </c>
      <c r="F147" s="53">
        <v>0.9983618901513186</v>
      </c>
      <c r="G147" s="430"/>
    </row>
    <row r="148" spans="1:7" x14ac:dyDescent="0.25">
      <c r="A148" s="52">
        <v>139</v>
      </c>
      <c r="B148" s="38" t="s">
        <v>157</v>
      </c>
      <c r="C148" s="38" t="s">
        <v>80</v>
      </c>
      <c r="D148" s="38">
        <v>4.3040000000000003</v>
      </c>
      <c r="E148" s="39">
        <v>4.8169661696689513E-5</v>
      </c>
      <c r="F148" s="53">
        <v>0.9983618901513186</v>
      </c>
      <c r="G148" s="430"/>
    </row>
    <row r="149" spans="1:7" x14ac:dyDescent="0.25">
      <c r="A149" s="52">
        <v>140</v>
      </c>
      <c r="B149" s="38" t="s">
        <v>158</v>
      </c>
      <c r="C149" s="38" t="s">
        <v>5</v>
      </c>
      <c r="D149" s="38">
        <v>3.06</v>
      </c>
      <c r="E149" s="39">
        <v>3.424701784197721E-5</v>
      </c>
      <c r="F149" s="53">
        <v>0.9983618901513186</v>
      </c>
      <c r="G149" s="430"/>
    </row>
    <row r="150" spans="1:7" x14ac:dyDescent="0.25">
      <c r="A150" s="52">
        <v>141</v>
      </c>
      <c r="B150" s="38" t="s">
        <v>159</v>
      </c>
      <c r="C150" s="38" t="s">
        <v>5</v>
      </c>
      <c r="D150" s="38">
        <v>3.04</v>
      </c>
      <c r="E150" s="39">
        <v>3.4023181124055786E-5</v>
      </c>
      <c r="F150" s="53">
        <v>0.9983618901513186</v>
      </c>
      <c r="G150" s="430"/>
    </row>
    <row r="151" spans="1:7" x14ac:dyDescent="0.25">
      <c r="A151" s="52">
        <v>142</v>
      </c>
      <c r="B151" s="38" t="s">
        <v>160</v>
      </c>
      <c r="C151" s="38" t="s">
        <v>5</v>
      </c>
      <c r="D151" s="38">
        <v>3</v>
      </c>
      <c r="E151" s="39">
        <v>3.3575507688212951E-5</v>
      </c>
      <c r="F151" s="53">
        <v>0.9983618901513186</v>
      </c>
      <c r="G151" s="430"/>
    </row>
    <row r="152" spans="1:7" x14ac:dyDescent="0.25">
      <c r="A152" s="52">
        <v>143</v>
      </c>
      <c r="B152" s="38" t="s">
        <v>161</v>
      </c>
      <c r="C152" s="38" t="s">
        <v>5</v>
      </c>
      <c r="D152" s="38">
        <v>2.96</v>
      </c>
      <c r="E152" s="39">
        <v>3.312783425237011E-5</v>
      </c>
      <c r="F152" s="53">
        <v>0.9983618901513186</v>
      </c>
      <c r="G152" s="430"/>
    </row>
    <row r="153" spans="1:7" x14ac:dyDescent="0.25">
      <c r="A153" s="52">
        <v>144</v>
      </c>
      <c r="B153" s="38" t="s">
        <v>162</v>
      </c>
      <c r="C153" s="38" t="s">
        <v>5</v>
      </c>
      <c r="D153" s="38">
        <v>6.0000000000000001E-3</v>
      </c>
      <c r="E153" s="39">
        <v>6.7151015376425894E-8</v>
      </c>
      <c r="F153" s="53">
        <v>0.9983618901513186</v>
      </c>
      <c r="G153" s="430"/>
    </row>
    <row r="154" spans="1:7" x14ac:dyDescent="0.25">
      <c r="A154" s="52">
        <v>145</v>
      </c>
      <c r="B154" s="38" t="s">
        <v>163</v>
      </c>
      <c r="C154" s="38" t="s">
        <v>5</v>
      </c>
      <c r="D154" s="38">
        <v>3.8E-3</v>
      </c>
      <c r="E154" s="39">
        <v>4.2528976405069733E-8</v>
      </c>
      <c r="F154" s="53">
        <v>0.9983618901513186</v>
      </c>
      <c r="G154" s="430"/>
    </row>
    <row r="155" spans="1:7" x14ac:dyDescent="0.25">
      <c r="A155" s="52">
        <v>146</v>
      </c>
      <c r="B155" s="38" t="s">
        <v>164</v>
      </c>
      <c r="C155" s="38" t="s">
        <v>5</v>
      </c>
      <c r="D155" s="38">
        <v>1.6999999999999999E-3</v>
      </c>
      <c r="E155" s="39">
        <v>1.902612102332067E-8</v>
      </c>
      <c r="F155" s="53">
        <v>0.9983618901513186</v>
      </c>
      <c r="G155" s="430"/>
    </row>
    <row r="156" spans="1:7" x14ac:dyDescent="0.25">
      <c r="A156" s="52">
        <v>147</v>
      </c>
      <c r="B156" s="38" t="s">
        <v>165</v>
      </c>
      <c r="C156" s="38" t="s">
        <v>33</v>
      </c>
      <c r="D156" s="38">
        <v>1E-3</v>
      </c>
      <c r="E156" s="39">
        <v>1.1191835896070984E-8</v>
      </c>
      <c r="F156" s="53">
        <v>0.9983618901513186</v>
      </c>
      <c r="G156" s="430"/>
    </row>
    <row r="157" spans="1:7" x14ac:dyDescent="0.25">
      <c r="A157" s="52">
        <v>148</v>
      </c>
      <c r="B157" s="38" t="s">
        <v>166</v>
      </c>
      <c r="C157" s="38" t="s">
        <v>14</v>
      </c>
      <c r="D157" s="38">
        <v>1E-3</v>
      </c>
      <c r="E157" s="39">
        <v>1.1191835896070984E-8</v>
      </c>
      <c r="F157" s="53">
        <v>0.9983618901513186</v>
      </c>
      <c r="G157" s="430"/>
    </row>
    <row r="158" spans="1:7" x14ac:dyDescent="0.25">
      <c r="A158" s="52">
        <v>149</v>
      </c>
      <c r="B158" s="38" t="s">
        <v>167</v>
      </c>
      <c r="C158" s="38" t="s">
        <v>14</v>
      </c>
      <c r="D158" s="38">
        <v>1E-3</v>
      </c>
      <c r="E158" s="39">
        <v>1.1191835896070984E-8</v>
      </c>
      <c r="F158" s="53">
        <v>0.9983618901513186</v>
      </c>
      <c r="G158" s="430"/>
    </row>
    <row r="159" spans="1:7" x14ac:dyDescent="0.25">
      <c r="A159" s="52">
        <v>150</v>
      </c>
      <c r="B159" s="38" t="s">
        <v>168</v>
      </c>
      <c r="C159" s="38" t="s">
        <v>5</v>
      </c>
      <c r="D159" s="38">
        <v>0</v>
      </c>
      <c r="E159" s="39">
        <v>0</v>
      </c>
      <c r="F159" s="53">
        <v>0.9983618901513186</v>
      </c>
      <c r="G159" s="430"/>
    </row>
    <row r="160" spans="1:7" x14ac:dyDescent="0.25">
      <c r="A160" s="52">
        <v>151</v>
      </c>
      <c r="B160" s="38" t="s">
        <v>169</v>
      </c>
      <c r="C160" s="38" t="s">
        <v>5</v>
      </c>
      <c r="D160" s="38">
        <v>0</v>
      </c>
      <c r="E160" s="39">
        <v>0</v>
      </c>
      <c r="F160" s="53">
        <v>0.9983618901513186</v>
      </c>
      <c r="G160" s="430"/>
    </row>
    <row r="161" spans="1:7" x14ac:dyDescent="0.25">
      <c r="A161" s="52">
        <v>152</v>
      </c>
      <c r="B161" s="38" t="s">
        <v>170</v>
      </c>
      <c r="C161" s="38" t="s">
        <v>5</v>
      </c>
      <c r="D161" s="38">
        <v>0</v>
      </c>
      <c r="E161" s="39">
        <v>0</v>
      </c>
      <c r="F161" s="53">
        <v>0.9983618901513186</v>
      </c>
      <c r="G161" s="430"/>
    </row>
    <row r="162" spans="1:7" x14ac:dyDescent="0.25">
      <c r="A162" s="52">
        <v>153</v>
      </c>
      <c r="B162" s="38" t="s">
        <v>171</v>
      </c>
      <c r="C162" s="38" t="s">
        <v>5</v>
      </c>
      <c r="D162" s="38">
        <v>0</v>
      </c>
      <c r="E162" s="39">
        <v>0</v>
      </c>
      <c r="F162" s="53">
        <v>0.9983618901513186</v>
      </c>
      <c r="G162" s="430"/>
    </row>
    <row r="163" spans="1:7" x14ac:dyDescent="0.25">
      <c r="A163" s="52">
        <v>154</v>
      </c>
      <c r="B163" s="38" t="s">
        <v>172</v>
      </c>
      <c r="C163" s="38" t="s">
        <v>5</v>
      </c>
      <c r="D163" s="38">
        <v>0</v>
      </c>
      <c r="E163" s="39">
        <v>0</v>
      </c>
      <c r="F163" s="53">
        <v>0.9983618901513186</v>
      </c>
      <c r="G163" s="430"/>
    </row>
    <row r="164" spans="1:7" x14ac:dyDescent="0.25">
      <c r="A164" s="52">
        <v>155</v>
      </c>
      <c r="B164" s="38" t="s">
        <v>173</v>
      </c>
      <c r="C164" s="38" t="s">
        <v>5</v>
      </c>
      <c r="D164" s="38">
        <v>0</v>
      </c>
      <c r="E164" s="39">
        <v>0</v>
      </c>
      <c r="F164" s="53">
        <v>0.9983618901513186</v>
      </c>
      <c r="G164" s="430"/>
    </row>
    <row r="165" spans="1:7" x14ac:dyDescent="0.25">
      <c r="A165" s="52">
        <v>156</v>
      </c>
      <c r="B165" s="38" t="s">
        <v>174</v>
      </c>
      <c r="C165" s="38" t="s">
        <v>5</v>
      </c>
      <c r="D165" s="38">
        <v>0</v>
      </c>
      <c r="E165" s="39">
        <v>0</v>
      </c>
      <c r="F165" s="53">
        <v>0.9983618901513186</v>
      </c>
      <c r="G165" s="430"/>
    </row>
    <row r="166" spans="1:7" x14ac:dyDescent="0.25">
      <c r="A166" s="52">
        <v>157</v>
      </c>
      <c r="B166" s="38" t="s">
        <v>175</v>
      </c>
      <c r="C166" s="38" t="s">
        <v>5</v>
      </c>
      <c r="D166" s="38">
        <v>0</v>
      </c>
      <c r="E166" s="39">
        <v>0</v>
      </c>
      <c r="F166" s="53">
        <v>0.9983618901513186</v>
      </c>
      <c r="G166" s="430"/>
    </row>
    <row r="167" spans="1:7" x14ac:dyDescent="0.25">
      <c r="A167" s="52">
        <v>158</v>
      </c>
      <c r="B167" s="38" t="s">
        <v>176</v>
      </c>
      <c r="C167" s="38" t="s">
        <v>5</v>
      </c>
      <c r="D167" s="38">
        <v>0</v>
      </c>
      <c r="E167" s="39">
        <v>0</v>
      </c>
      <c r="F167" s="53">
        <v>0.9983618901513186</v>
      </c>
      <c r="G167" s="430"/>
    </row>
    <row r="168" spans="1:7" x14ac:dyDescent="0.25">
      <c r="A168" s="52">
        <v>159</v>
      </c>
      <c r="B168" s="38" t="s">
        <v>177</v>
      </c>
      <c r="C168" s="38" t="s">
        <v>5</v>
      </c>
      <c r="D168" s="38">
        <v>0</v>
      </c>
      <c r="E168" s="39">
        <v>0</v>
      </c>
      <c r="F168" s="53">
        <v>0.9983618901513186</v>
      </c>
      <c r="G168" s="430"/>
    </row>
    <row r="169" spans="1:7" x14ac:dyDescent="0.25">
      <c r="A169" s="52">
        <v>160</v>
      </c>
      <c r="B169" s="38" t="s">
        <v>178</v>
      </c>
      <c r="C169" s="38" t="s">
        <v>33</v>
      </c>
      <c r="D169" s="38">
        <v>0</v>
      </c>
      <c r="E169" s="39">
        <v>0</v>
      </c>
      <c r="F169" s="53">
        <v>0.9983618901513186</v>
      </c>
      <c r="G169" s="430"/>
    </row>
    <row r="170" spans="1:7" x14ac:dyDescent="0.25">
      <c r="A170" s="52">
        <v>161</v>
      </c>
      <c r="B170" s="38" t="s">
        <v>179</v>
      </c>
      <c r="C170" s="38" t="s">
        <v>33</v>
      </c>
      <c r="D170" s="38">
        <v>0</v>
      </c>
      <c r="E170" s="39">
        <v>0</v>
      </c>
      <c r="F170" s="53">
        <v>0.9983618901513186</v>
      </c>
      <c r="G170" s="430"/>
    </row>
    <row r="171" spans="1:7" x14ac:dyDescent="0.25">
      <c r="A171" s="52">
        <v>162</v>
      </c>
      <c r="B171" s="38" t="s">
        <v>180</v>
      </c>
      <c r="C171" s="38" t="s">
        <v>33</v>
      </c>
      <c r="D171" s="38">
        <v>0</v>
      </c>
      <c r="E171" s="39">
        <v>0</v>
      </c>
      <c r="F171" s="53">
        <v>0.9983618901513186</v>
      </c>
      <c r="G171" s="430"/>
    </row>
    <row r="172" spans="1:7" x14ac:dyDescent="0.25">
      <c r="A172" s="52">
        <v>163</v>
      </c>
      <c r="B172" s="38" t="s">
        <v>181</v>
      </c>
      <c r="C172" s="38" t="s">
        <v>33</v>
      </c>
      <c r="D172" s="38">
        <v>0</v>
      </c>
      <c r="E172" s="39">
        <v>0</v>
      </c>
      <c r="F172" s="53">
        <v>0.9983618901513186</v>
      </c>
      <c r="G172" s="430"/>
    </row>
    <row r="173" spans="1:7" x14ac:dyDescent="0.25">
      <c r="A173" s="52">
        <v>164</v>
      </c>
      <c r="B173" s="38" t="s">
        <v>182</v>
      </c>
      <c r="C173" s="38" t="s">
        <v>14</v>
      </c>
      <c r="D173" s="38">
        <v>0</v>
      </c>
      <c r="E173" s="39">
        <v>0</v>
      </c>
      <c r="F173" s="53">
        <v>0.9983618901513186</v>
      </c>
      <c r="G173" s="430"/>
    </row>
    <row r="174" spans="1:7" x14ac:dyDescent="0.25">
      <c r="A174" s="52">
        <v>165</v>
      </c>
      <c r="B174" s="38" t="s">
        <v>183</v>
      </c>
      <c r="C174" s="38" t="s">
        <v>3</v>
      </c>
      <c r="D174" s="38">
        <v>0</v>
      </c>
      <c r="E174" s="39">
        <v>0</v>
      </c>
      <c r="F174" s="53">
        <v>0.9983618901513186</v>
      </c>
      <c r="G174" s="430"/>
    </row>
    <row r="175" spans="1:7" x14ac:dyDescent="0.25">
      <c r="A175" s="52">
        <v>166</v>
      </c>
      <c r="B175" s="38" t="s">
        <v>184</v>
      </c>
      <c r="C175" s="38" t="s">
        <v>83</v>
      </c>
      <c r="D175" s="38">
        <v>0</v>
      </c>
      <c r="E175" s="39">
        <v>0</v>
      </c>
      <c r="F175" s="53">
        <v>0.9983618901513186</v>
      </c>
      <c r="G175" s="430"/>
    </row>
    <row r="176" spans="1:7" x14ac:dyDescent="0.25">
      <c r="A176" s="52">
        <v>167</v>
      </c>
      <c r="B176" s="38" t="s">
        <v>185</v>
      </c>
      <c r="C176" s="38" t="s">
        <v>83</v>
      </c>
      <c r="D176" s="38">
        <v>0</v>
      </c>
      <c r="E176" s="39">
        <v>0</v>
      </c>
      <c r="F176" s="53">
        <v>0.9983618901513186</v>
      </c>
      <c r="G176" s="430"/>
    </row>
    <row r="177" spans="1:7" x14ac:dyDescent="0.25">
      <c r="A177" s="52">
        <v>168</v>
      </c>
      <c r="B177" s="38" t="s">
        <v>186</v>
      </c>
      <c r="C177" s="38" t="s">
        <v>83</v>
      </c>
      <c r="D177" s="38">
        <v>0</v>
      </c>
      <c r="E177" s="39">
        <v>0</v>
      </c>
      <c r="F177" s="53">
        <v>0.9983618901513186</v>
      </c>
      <c r="G177" s="430"/>
    </row>
    <row r="178" spans="1:7" x14ac:dyDescent="0.25">
      <c r="A178" s="52">
        <v>169</v>
      </c>
      <c r="B178" s="38" t="s">
        <v>187</v>
      </c>
      <c r="C178" s="38" t="s">
        <v>83</v>
      </c>
      <c r="D178" s="38">
        <v>0</v>
      </c>
      <c r="E178" s="39">
        <v>0</v>
      </c>
      <c r="F178" s="53">
        <v>0.9983618901513186</v>
      </c>
      <c r="G178" s="430"/>
    </row>
    <row r="179" spans="1:7" x14ac:dyDescent="0.25">
      <c r="A179" s="52">
        <v>170</v>
      </c>
      <c r="B179" s="38" t="s">
        <v>188</v>
      </c>
      <c r="C179" s="38" t="s">
        <v>83</v>
      </c>
      <c r="D179" s="38">
        <v>0</v>
      </c>
      <c r="E179" s="39">
        <v>0</v>
      </c>
      <c r="F179" s="53">
        <v>0.9983618901513186</v>
      </c>
      <c r="G179" s="430"/>
    </row>
    <row r="180" spans="1:7" x14ac:dyDescent="0.25">
      <c r="A180" s="52">
        <v>171</v>
      </c>
      <c r="B180" s="38" t="s">
        <v>189</v>
      </c>
      <c r="C180" s="38" t="s">
        <v>190</v>
      </c>
      <c r="D180" s="38">
        <v>0</v>
      </c>
      <c r="E180" s="39">
        <v>0</v>
      </c>
      <c r="F180" s="53">
        <v>0.9983618901513186</v>
      </c>
      <c r="G180" s="430"/>
    </row>
    <row r="181" spans="1:7" x14ac:dyDescent="0.25">
      <c r="A181" s="52">
        <v>172</v>
      </c>
      <c r="B181" s="38" t="s">
        <v>191</v>
      </c>
      <c r="C181" s="38" t="s">
        <v>80</v>
      </c>
      <c r="D181" s="38">
        <v>0</v>
      </c>
      <c r="E181" s="39">
        <v>0</v>
      </c>
      <c r="F181" s="53">
        <v>0.9983618901513186</v>
      </c>
      <c r="G181" s="430"/>
    </row>
    <row r="182" spans="1:7" x14ac:dyDescent="0.25">
      <c r="A182" s="52">
        <v>173</v>
      </c>
      <c r="B182" s="38" t="s">
        <v>192</v>
      </c>
      <c r="C182" s="38" t="s">
        <v>5</v>
      </c>
      <c r="D182" s="38">
        <v>0</v>
      </c>
      <c r="E182" s="39">
        <v>0</v>
      </c>
      <c r="F182" s="53">
        <v>0.9983618901513186</v>
      </c>
      <c r="G182" s="430"/>
    </row>
    <row r="183" spans="1:7" x14ac:dyDescent="0.25">
      <c r="A183" s="52">
        <v>174</v>
      </c>
      <c r="B183" s="38" t="s">
        <v>193</v>
      </c>
      <c r="C183" s="38" t="s">
        <v>129</v>
      </c>
      <c r="D183" s="38">
        <v>0</v>
      </c>
      <c r="E183" s="39">
        <v>0</v>
      </c>
      <c r="F183" s="53">
        <v>0.9983618901513186</v>
      </c>
      <c r="G183" s="430"/>
    </row>
    <row r="184" spans="1:7" x14ac:dyDescent="0.25">
      <c r="A184" s="52">
        <v>175</v>
      </c>
      <c r="B184" s="38" t="s">
        <v>194</v>
      </c>
      <c r="C184" s="38" t="s">
        <v>5</v>
      </c>
      <c r="D184" s="38">
        <v>0</v>
      </c>
      <c r="E184" s="39">
        <v>0</v>
      </c>
      <c r="F184" s="53">
        <v>0.9983618901513186</v>
      </c>
      <c r="G184" s="430"/>
    </row>
    <row r="185" spans="1:7" x14ac:dyDescent="0.25">
      <c r="A185" s="52">
        <v>176</v>
      </c>
      <c r="B185" s="38" t="s">
        <v>195</v>
      </c>
      <c r="C185" s="38" t="s">
        <v>5</v>
      </c>
      <c r="D185" s="38">
        <v>0</v>
      </c>
      <c r="E185" s="39">
        <v>0</v>
      </c>
      <c r="F185" s="53">
        <v>0.9983618901513186</v>
      </c>
      <c r="G185" s="430"/>
    </row>
    <row r="186" spans="1:7" x14ac:dyDescent="0.25">
      <c r="A186" s="52">
        <v>177</v>
      </c>
      <c r="B186" s="38" t="s">
        <v>196</v>
      </c>
      <c r="C186" s="38" t="s">
        <v>5</v>
      </c>
      <c r="D186" s="38">
        <v>0</v>
      </c>
      <c r="E186" s="39">
        <v>0</v>
      </c>
      <c r="F186" s="53">
        <v>0.9983618901513186</v>
      </c>
      <c r="G186" s="430"/>
    </row>
    <row r="187" spans="1:7" x14ac:dyDescent="0.25">
      <c r="A187" s="52">
        <v>178</v>
      </c>
      <c r="B187" s="38" t="s">
        <v>197</v>
      </c>
      <c r="C187" s="38" t="s">
        <v>5</v>
      </c>
      <c r="D187" s="38">
        <v>0</v>
      </c>
      <c r="E187" s="39">
        <v>0</v>
      </c>
      <c r="F187" s="53">
        <v>0.9983618901513186</v>
      </c>
      <c r="G187" s="430"/>
    </row>
    <row r="188" spans="1:7" x14ac:dyDescent="0.25">
      <c r="A188" s="52">
        <v>179</v>
      </c>
      <c r="B188" s="38" t="s">
        <v>198</v>
      </c>
      <c r="C188" s="38" t="s">
        <v>33</v>
      </c>
      <c r="D188" s="38">
        <v>0</v>
      </c>
      <c r="E188" s="39">
        <v>-1.1191835896070984E-8</v>
      </c>
      <c r="F188" s="53">
        <v>0.9983618901513186</v>
      </c>
      <c r="G188" s="430"/>
    </row>
    <row r="189" spans="1:7" x14ac:dyDescent="0.25">
      <c r="A189" s="52">
        <v>180</v>
      </c>
      <c r="B189" s="38" t="s">
        <v>199</v>
      </c>
      <c r="C189" s="38" t="s">
        <v>33</v>
      </c>
      <c r="D189" s="38">
        <v>0</v>
      </c>
      <c r="E189" s="39">
        <v>-1.1191835896070984E-8</v>
      </c>
      <c r="F189" s="53">
        <v>0.9983618901513186</v>
      </c>
      <c r="G189" s="430"/>
    </row>
    <row r="190" spans="1:7" x14ac:dyDescent="0.25">
      <c r="A190" s="52">
        <v>181</v>
      </c>
      <c r="B190" s="38" t="s">
        <v>200</v>
      </c>
      <c r="C190" s="38" t="s">
        <v>33</v>
      </c>
      <c r="D190" s="38">
        <v>0</v>
      </c>
      <c r="E190" s="39">
        <v>-4.4767343584283936E-8</v>
      </c>
      <c r="F190" s="53">
        <v>0.9983618901513186</v>
      </c>
      <c r="G190" s="430"/>
    </row>
    <row r="191" spans="1:7" ht="15.75" thickBot="1" x14ac:dyDescent="0.3">
      <c r="A191" s="54">
        <v>182</v>
      </c>
      <c r="B191" s="55" t="s">
        <v>201</v>
      </c>
      <c r="C191" s="55" t="s">
        <v>80</v>
      </c>
      <c r="D191" s="55">
        <v>0</v>
      </c>
      <c r="E191" s="56">
        <v>-4.4767343584283936E-8</v>
      </c>
      <c r="F191" s="57">
        <v>0.9983618901513186</v>
      </c>
      <c r="G191" s="431"/>
    </row>
    <row r="192" spans="1:7" ht="18.75" x14ac:dyDescent="0.3">
      <c r="A192" s="34" t="s">
        <v>215</v>
      </c>
      <c r="C192" t="s">
        <v>202</v>
      </c>
      <c r="D192" s="46">
        <v>89350.845498999945</v>
      </c>
      <c r="F192" s="47">
        <v>0.9983618901513186</v>
      </c>
    </row>
  </sheetData>
  <mergeCells count="6">
    <mergeCell ref="B6:F6"/>
    <mergeCell ref="G10:G29"/>
    <mergeCell ref="G30:G191"/>
    <mergeCell ref="A8:F8"/>
    <mergeCell ref="K8:P8"/>
    <mergeCell ref="L31:O3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O588"/>
  <sheetViews>
    <sheetView workbookViewId="0">
      <selection activeCell="A21" sqref="A21"/>
    </sheetView>
  </sheetViews>
  <sheetFormatPr baseColWidth="10" defaultRowHeight="15" x14ac:dyDescent="0.25"/>
  <sheetData>
    <row r="3" spans="2:15" x14ac:dyDescent="0.25">
      <c r="C3" t="s">
        <v>379</v>
      </c>
    </row>
    <row r="5" spans="2:15" x14ac:dyDescent="0.25">
      <c r="B5" s="16"/>
      <c r="C5" s="16" t="s">
        <v>204</v>
      </c>
      <c r="D5" s="16" t="s">
        <v>205</v>
      </c>
      <c r="E5" s="16" t="s">
        <v>206</v>
      </c>
      <c r="F5" s="16" t="s">
        <v>207</v>
      </c>
      <c r="G5" s="16" t="s">
        <v>208</v>
      </c>
      <c r="H5" s="16" t="s">
        <v>209</v>
      </c>
      <c r="I5" s="16" t="s">
        <v>210</v>
      </c>
      <c r="J5" s="16" t="s">
        <v>211</v>
      </c>
      <c r="K5" s="16" t="s">
        <v>212</v>
      </c>
      <c r="L5" s="16" t="s">
        <v>213</v>
      </c>
      <c r="M5" s="16" t="s">
        <v>219</v>
      </c>
      <c r="N5" s="16" t="s">
        <v>214</v>
      </c>
      <c r="O5" s="18"/>
    </row>
    <row r="6" spans="2:15" x14ac:dyDescent="0.25">
      <c r="B6" s="16">
        <v>2010</v>
      </c>
      <c r="C6" s="20">
        <v>34.68</v>
      </c>
      <c r="D6" s="20">
        <v>208.54</v>
      </c>
      <c r="E6" s="20">
        <v>69.290000000000006</v>
      </c>
      <c r="F6" s="20">
        <v>208.48</v>
      </c>
      <c r="G6" s="20">
        <v>74.7</v>
      </c>
      <c r="H6" s="20">
        <v>175.68</v>
      </c>
      <c r="I6" s="20">
        <v>376.42</v>
      </c>
      <c r="J6" s="21">
        <v>36.36</v>
      </c>
      <c r="K6" s="20">
        <v>57.52</v>
      </c>
      <c r="L6" s="20">
        <v>0</v>
      </c>
      <c r="M6" s="20">
        <v>71.02</v>
      </c>
      <c r="N6" s="21">
        <v>221.9</v>
      </c>
      <c r="O6" s="19"/>
    </row>
    <row r="7" spans="2:15" x14ac:dyDescent="0.25">
      <c r="B7" s="16">
        <v>2011</v>
      </c>
      <c r="C7" s="20">
        <v>50.95</v>
      </c>
      <c r="D7" s="20">
        <v>0</v>
      </c>
      <c r="E7" s="20">
        <v>3.47</v>
      </c>
      <c r="F7" s="20">
        <v>156.34</v>
      </c>
      <c r="G7" s="20">
        <v>263.94</v>
      </c>
      <c r="H7" s="20">
        <v>0</v>
      </c>
      <c r="I7" s="20">
        <v>209.31</v>
      </c>
      <c r="J7" s="21">
        <v>14.7</v>
      </c>
      <c r="K7" s="20">
        <v>0</v>
      </c>
      <c r="L7" s="20">
        <v>44.65</v>
      </c>
      <c r="M7" s="20">
        <v>182.81</v>
      </c>
      <c r="N7" s="21">
        <v>7.51</v>
      </c>
      <c r="O7" s="19"/>
    </row>
    <row r="8" spans="2:15" x14ac:dyDescent="0.25">
      <c r="B8" s="16">
        <v>2012</v>
      </c>
      <c r="C8" s="20">
        <v>28.92</v>
      </c>
      <c r="D8" s="20">
        <v>0</v>
      </c>
      <c r="E8" s="20">
        <v>212.95</v>
      </c>
      <c r="F8" s="20">
        <v>42.93</v>
      </c>
      <c r="G8" s="20">
        <v>91.42</v>
      </c>
      <c r="H8" s="20">
        <v>58.32</v>
      </c>
      <c r="I8" s="20">
        <v>0</v>
      </c>
      <c r="J8" s="21">
        <v>92.11</v>
      </c>
      <c r="K8" s="20">
        <v>4.4800000000000004</v>
      </c>
      <c r="L8" s="20">
        <v>63.06</v>
      </c>
      <c r="M8" s="20">
        <v>5.54</v>
      </c>
      <c r="N8" s="21">
        <v>0</v>
      </c>
      <c r="O8" s="19"/>
    </row>
    <row r="9" spans="2:15" x14ac:dyDescent="0.25">
      <c r="B9" s="16">
        <v>2013</v>
      </c>
      <c r="C9" s="20">
        <v>43.7</v>
      </c>
      <c r="D9" s="20">
        <v>53.28</v>
      </c>
      <c r="E9" s="20">
        <v>94.88</v>
      </c>
      <c r="F9" s="20">
        <v>27.63</v>
      </c>
      <c r="G9" s="20">
        <v>91.22</v>
      </c>
      <c r="H9" s="20">
        <v>0</v>
      </c>
      <c r="I9" s="20">
        <v>6.97</v>
      </c>
      <c r="J9" s="21">
        <v>105.47</v>
      </c>
      <c r="K9" s="20">
        <v>203.73</v>
      </c>
      <c r="L9" s="20">
        <v>24.1</v>
      </c>
      <c r="M9" s="20">
        <v>0</v>
      </c>
      <c r="N9" s="21">
        <v>0</v>
      </c>
      <c r="O9" s="19"/>
    </row>
    <row r="10" spans="2:15" x14ac:dyDescent="0.25">
      <c r="B10" s="16">
        <v>2014</v>
      </c>
      <c r="C10" s="20">
        <v>96.45</v>
      </c>
      <c r="D10" s="20">
        <v>0</v>
      </c>
      <c r="E10" s="20">
        <v>248.81</v>
      </c>
      <c r="F10" s="20">
        <v>0</v>
      </c>
      <c r="G10" s="20">
        <v>5.14</v>
      </c>
      <c r="H10" s="20">
        <v>0</v>
      </c>
      <c r="I10" s="20">
        <v>0</v>
      </c>
      <c r="J10" s="21">
        <v>0</v>
      </c>
      <c r="K10" s="20">
        <v>81.92</v>
      </c>
      <c r="L10" s="20">
        <v>123.12</v>
      </c>
      <c r="M10" s="20">
        <v>0</v>
      </c>
      <c r="N10" s="21">
        <v>0</v>
      </c>
    </row>
    <row r="11" spans="2:15" x14ac:dyDescent="0.25">
      <c r="B11" s="16">
        <v>2015</v>
      </c>
      <c r="C11" s="20">
        <v>57.48</v>
      </c>
      <c r="D11" s="20">
        <v>0</v>
      </c>
      <c r="E11" s="20">
        <v>28.75</v>
      </c>
      <c r="F11" s="20">
        <v>0</v>
      </c>
      <c r="G11" s="20">
        <v>0</v>
      </c>
      <c r="H11" s="20">
        <v>5.78</v>
      </c>
      <c r="I11" s="20">
        <v>60.08</v>
      </c>
      <c r="J11" s="21">
        <v>0</v>
      </c>
      <c r="K11" s="20">
        <v>69.08</v>
      </c>
      <c r="L11" s="20">
        <v>4.8600000000000003</v>
      </c>
      <c r="M11" s="20">
        <v>0</v>
      </c>
      <c r="N11" s="21">
        <v>0</v>
      </c>
    </row>
    <row r="12" spans="2:15" x14ac:dyDescent="0.25">
      <c r="B12" s="16">
        <v>2016</v>
      </c>
      <c r="C12" s="20">
        <v>11.65</v>
      </c>
      <c r="D12" s="20">
        <v>0</v>
      </c>
      <c r="E12" s="20">
        <v>41.22</v>
      </c>
      <c r="F12" s="20">
        <v>0</v>
      </c>
      <c r="G12" s="20">
        <v>0</v>
      </c>
      <c r="H12" s="20">
        <v>41.22</v>
      </c>
      <c r="I12" s="20">
        <v>376.42</v>
      </c>
      <c r="J12" s="21">
        <v>36.36</v>
      </c>
      <c r="K12" s="20">
        <v>57.52</v>
      </c>
      <c r="L12" s="20">
        <v>0</v>
      </c>
      <c r="M12" s="20">
        <v>71.02</v>
      </c>
      <c r="N12" s="21">
        <v>221.9</v>
      </c>
    </row>
    <row r="13" spans="2:15" x14ac:dyDescent="0.25">
      <c r="B13" s="6"/>
      <c r="C13" s="32"/>
      <c r="D13" s="32"/>
      <c r="E13" s="32"/>
      <c r="F13" s="32"/>
      <c r="G13" s="32"/>
      <c r="H13" s="32"/>
      <c r="I13" s="33"/>
      <c r="J13" s="33"/>
      <c r="K13" s="33"/>
      <c r="L13" s="33"/>
      <c r="M13" s="33"/>
      <c r="N13" s="33"/>
    </row>
    <row r="14" spans="2:15" x14ac:dyDescent="0.25">
      <c r="B14" s="6"/>
      <c r="C14" s="32"/>
      <c r="D14" s="32"/>
      <c r="E14" s="32"/>
      <c r="F14" s="32"/>
      <c r="G14" s="32"/>
      <c r="H14" s="32"/>
      <c r="I14" s="33"/>
      <c r="J14" s="33"/>
      <c r="K14" s="33"/>
      <c r="L14" s="33"/>
      <c r="M14" s="33"/>
      <c r="N14" s="33"/>
    </row>
    <row r="15" spans="2:15" x14ac:dyDescent="0.25">
      <c r="B15" s="443" t="s">
        <v>292</v>
      </c>
      <c r="C15" s="443"/>
      <c r="D15" s="443"/>
      <c r="E15" s="443"/>
      <c r="F15" s="443"/>
      <c r="G15" s="443"/>
      <c r="H15" s="443"/>
      <c r="I15" s="443"/>
      <c r="J15" s="443"/>
      <c r="K15" s="443"/>
      <c r="L15" s="443"/>
      <c r="M15" s="443"/>
      <c r="N15" s="33"/>
    </row>
    <row r="16" spans="2:15" x14ac:dyDescent="0.25">
      <c r="B16" s="443"/>
      <c r="C16" s="443"/>
      <c r="D16" s="443"/>
      <c r="E16" s="443"/>
      <c r="F16" s="443"/>
      <c r="G16" s="443"/>
      <c r="H16" s="443"/>
      <c r="I16" s="443"/>
      <c r="J16" s="443"/>
      <c r="K16" s="443"/>
      <c r="L16" s="443"/>
      <c r="M16" s="443"/>
      <c r="N16" s="33"/>
    </row>
    <row r="17" spans="2:14" x14ac:dyDescent="0.25">
      <c r="B17" s="443"/>
      <c r="C17" s="443"/>
      <c r="D17" s="443"/>
      <c r="E17" s="443"/>
      <c r="F17" s="443"/>
      <c r="G17" s="443"/>
      <c r="H17" s="443"/>
      <c r="I17" s="443"/>
      <c r="J17" s="443"/>
      <c r="K17" s="443"/>
      <c r="L17" s="443"/>
      <c r="M17" s="443"/>
      <c r="N17" s="33"/>
    </row>
    <row r="18" spans="2:14" x14ac:dyDescent="0.25">
      <c r="B18" s="443"/>
      <c r="C18" s="443"/>
      <c r="D18" s="443"/>
      <c r="E18" s="443"/>
      <c r="F18" s="443"/>
      <c r="G18" s="443"/>
      <c r="H18" s="443"/>
      <c r="I18" s="443"/>
      <c r="J18" s="443"/>
      <c r="K18" s="443"/>
      <c r="L18" s="443"/>
      <c r="M18" s="443"/>
      <c r="N18" s="33"/>
    </row>
    <row r="19" spans="2:14" x14ac:dyDescent="0.25">
      <c r="B19" s="6"/>
      <c r="C19" s="32"/>
      <c r="D19" s="32"/>
      <c r="E19" s="32"/>
      <c r="F19" s="32"/>
      <c r="G19" s="32"/>
      <c r="H19" s="32"/>
      <c r="I19" s="33"/>
      <c r="J19" s="33"/>
      <c r="K19" s="33"/>
      <c r="L19" s="33"/>
      <c r="M19" s="33"/>
      <c r="N19" s="33"/>
    </row>
    <row r="20" spans="2:14" x14ac:dyDescent="0.25">
      <c r="B20" s="6"/>
      <c r="C20" s="32"/>
      <c r="D20" s="32"/>
      <c r="E20" s="32"/>
      <c r="F20" s="32"/>
      <c r="G20" s="32"/>
      <c r="H20" s="32"/>
      <c r="I20" s="33"/>
      <c r="J20" s="33"/>
      <c r="K20" s="33"/>
      <c r="L20" s="33"/>
      <c r="M20" s="33"/>
      <c r="N20" s="33"/>
    </row>
    <row r="23" spans="2:14" x14ac:dyDescent="0.25">
      <c r="B23" s="16"/>
      <c r="C23" s="16" t="s">
        <v>220</v>
      </c>
      <c r="D23" s="16" t="s">
        <v>221</v>
      </c>
      <c r="E23" s="16" t="s">
        <v>222</v>
      </c>
      <c r="F23" s="16" t="s">
        <v>223</v>
      </c>
      <c r="I23" s="16" t="s">
        <v>273</v>
      </c>
      <c r="J23" s="16"/>
      <c r="K23" s="16"/>
      <c r="L23" s="16"/>
    </row>
    <row r="24" spans="2:14" x14ac:dyDescent="0.25">
      <c r="B24" s="16">
        <v>2010</v>
      </c>
      <c r="C24" s="22">
        <f t="shared" ref="C24:C30" si="0">+SUM(C6:E6)</f>
        <v>312.51</v>
      </c>
      <c r="D24" s="22">
        <f t="shared" ref="D24:D30" si="1">+SUM(F6:H6)</f>
        <v>458.86</v>
      </c>
      <c r="E24" s="22">
        <f t="shared" ref="E24:E30" si="2">+SUM(I6:K6)</f>
        <v>470.3</v>
      </c>
      <c r="F24" s="22">
        <f t="shared" ref="F24:F30" si="3">+SUM(L6:N6)</f>
        <v>292.92</v>
      </c>
      <c r="I24" s="16">
        <v>312.51</v>
      </c>
      <c r="J24" s="16">
        <v>458.86</v>
      </c>
      <c r="K24" s="16">
        <v>470.3</v>
      </c>
      <c r="L24" s="16">
        <v>292.92</v>
      </c>
    </row>
    <row r="25" spans="2:14" x14ac:dyDescent="0.25">
      <c r="B25" s="16">
        <v>2011</v>
      </c>
      <c r="C25" s="22">
        <f t="shared" si="0"/>
        <v>54.42</v>
      </c>
      <c r="D25" s="22">
        <f t="shared" si="1"/>
        <v>420.28</v>
      </c>
      <c r="E25" s="22">
        <f t="shared" si="2"/>
        <v>224.01</v>
      </c>
      <c r="F25" s="22">
        <f t="shared" si="3"/>
        <v>234.97</v>
      </c>
      <c r="I25" s="16">
        <v>54.42</v>
      </c>
      <c r="J25" s="16">
        <v>420.28</v>
      </c>
      <c r="K25" s="16">
        <v>224.01</v>
      </c>
      <c r="L25" s="16">
        <v>234.97</v>
      </c>
    </row>
    <row r="26" spans="2:14" x14ac:dyDescent="0.25">
      <c r="B26" s="16">
        <v>2012</v>
      </c>
      <c r="C26" s="22">
        <f t="shared" si="0"/>
        <v>241.87</v>
      </c>
      <c r="D26" s="22">
        <f t="shared" si="1"/>
        <v>192.67</v>
      </c>
      <c r="E26" s="22">
        <f t="shared" si="2"/>
        <v>96.59</v>
      </c>
      <c r="F26" s="22">
        <f t="shared" si="3"/>
        <v>68.600000000000009</v>
      </c>
      <c r="I26" s="16">
        <v>241.87</v>
      </c>
      <c r="J26" s="16">
        <v>192.67</v>
      </c>
      <c r="K26" s="16">
        <v>96.59</v>
      </c>
      <c r="L26" s="16">
        <v>68.600000000000009</v>
      </c>
    </row>
    <row r="27" spans="2:14" x14ac:dyDescent="0.25">
      <c r="B27" s="16">
        <v>2013</v>
      </c>
      <c r="C27" s="22">
        <f t="shared" si="0"/>
        <v>191.86</v>
      </c>
      <c r="D27" s="22">
        <f t="shared" si="1"/>
        <v>118.85</v>
      </c>
      <c r="E27" s="22">
        <f t="shared" si="2"/>
        <v>316.16999999999996</v>
      </c>
      <c r="F27" s="22">
        <f t="shared" si="3"/>
        <v>24.1</v>
      </c>
      <c r="I27" s="16">
        <v>191.86</v>
      </c>
      <c r="J27" s="16">
        <v>118.85</v>
      </c>
      <c r="K27" s="16">
        <v>316.16999999999996</v>
      </c>
      <c r="L27" s="16">
        <v>24.1</v>
      </c>
    </row>
    <row r="28" spans="2:14" x14ac:dyDescent="0.25">
      <c r="B28" s="16">
        <v>2014</v>
      </c>
      <c r="C28" s="22">
        <f t="shared" si="0"/>
        <v>345.26</v>
      </c>
      <c r="D28" s="22">
        <f t="shared" si="1"/>
        <v>5.14</v>
      </c>
      <c r="E28" s="22">
        <f t="shared" si="2"/>
        <v>81.92</v>
      </c>
      <c r="F28" s="22">
        <f t="shared" si="3"/>
        <v>123.12</v>
      </c>
      <c r="I28" s="16">
        <v>345.26</v>
      </c>
      <c r="J28" s="16">
        <v>5.14</v>
      </c>
      <c r="K28" s="16">
        <v>81.92</v>
      </c>
      <c r="L28" s="16">
        <v>123.12</v>
      </c>
    </row>
    <row r="29" spans="2:14" x14ac:dyDescent="0.25">
      <c r="B29" s="16">
        <v>2015</v>
      </c>
      <c r="C29" s="22">
        <f t="shared" si="0"/>
        <v>86.22999999999999</v>
      </c>
      <c r="D29" s="22">
        <f t="shared" si="1"/>
        <v>5.78</v>
      </c>
      <c r="E29" s="22">
        <f t="shared" si="2"/>
        <v>129.16</v>
      </c>
      <c r="F29" s="22">
        <f t="shared" si="3"/>
        <v>4.8600000000000003</v>
      </c>
      <c r="I29" s="16">
        <v>86.22999999999999</v>
      </c>
      <c r="J29" s="16">
        <v>5.78</v>
      </c>
      <c r="K29" s="16">
        <v>129.16</v>
      </c>
      <c r="L29" s="16">
        <v>4.8600000000000003</v>
      </c>
    </row>
    <row r="30" spans="2:14" x14ac:dyDescent="0.25">
      <c r="B30" s="16">
        <v>2016</v>
      </c>
      <c r="C30" s="22">
        <f t="shared" si="0"/>
        <v>52.87</v>
      </c>
      <c r="D30" s="22">
        <f t="shared" si="1"/>
        <v>41.22</v>
      </c>
      <c r="E30" s="22">
        <f t="shared" si="2"/>
        <v>470.3</v>
      </c>
      <c r="F30" s="22">
        <f t="shared" si="3"/>
        <v>292.92</v>
      </c>
      <c r="I30" s="16">
        <v>52.87</v>
      </c>
      <c r="J30" s="16">
        <v>41.22</v>
      </c>
      <c r="K30" s="16">
        <v>0</v>
      </c>
      <c r="L30" s="16">
        <v>0</v>
      </c>
    </row>
    <row r="35" spans="2:3" x14ac:dyDescent="0.25">
      <c r="B35" t="s">
        <v>224</v>
      </c>
      <c r="C35" t="s">
        <v>225</v>
      </c>
    </row>
    <row r="36" spans="2:3" x14ac:dyDescent="0.25">
      <c r="B36">
        <v>2010</v>
      </c>
      <c r="C36">
        <v>312.51</v>
      </c>
    </row>
    <row r="37" spans="2:3" x14ac:dyDescent="0.25">
      <c r="B37">
        <v>2010.25</v>
      </c>
      <c r="C37">
        <v>458.86</v>
      </c>
    </row>
    <row r="38" spans="2:3" x14ac:dyDescent="0.25">
      <c r="B38">
        <v>2010.5</v>
      </c>
      <c r="C38">
        <v>470.3</v>
      </c>
    </row>
    <row r="39" spans="2:3" x14ac:dyDescent="0.25">
      <c r="B39">
        <v>2010.75</v>
      </c>
      <c r="C39">
        <v>292.92</v>
      </c>
    </row>
    <row r="40" spans="2:3" x14ac:dyDescent="0.25">
      <c r="B40">
        <v>2011</v>
      </c>
      <c r="C40">
        <v>54.42</v>
      </c>
    </row>
    <row r="41" spans="2:3" x14ac:dyDescent="0.25">
      <c r="B41">
        <v>2011.25</v>
      </c>
      <c r="C41">
        <v>420.28</v>
      </c>
    </row>
    <row r="42" spans="2:3" x14ac:dyDescent="0.25">
      <c r="B42">
        <v>2011.5</v>
      </c>
      <c r="C42">
        <v>224.01</v>
      </c>
    </row>
    <row r="43" spans="2:3" x14ac:dyDescent="0.25">
      <c r="B43">
        <v>2011.75</v>
      </c>
      <c r="C43">
        <v>234.97</v>
      </c>
    </row>
    <row r="44" spans="2:3" x14ac:dyDescent="0.25">
      <c r="B44">
        <v>2012</v>
      </c>
      <c r="C44">
        <v>241.87</v>
      </c>
    </row>
    <row r="45" spans="2:3" x14ac:dyDescent="0.25">
      <c r="B45">
        <v>2012.25</v>
      </c>
      <c r="C45">
        <v>192.67</v>
      </c>
    </row>
    <row r="46" spans="2:3" x14ac:dyDescent="0.25">
      <c r="B46">
        <v>2012.5</v>
      </c>
      <c r="C46">
        <v>96.59</v>
      </c>
    </row>
    <row r="47" spans="2:3" x14ac:dyDescent="0.25">
      <c r="B47">
        <v>2012.75</v>
      </c>
      <c r="C47">
        <v>68.600000000000009</v>
      </c>
    </row>
    <row r="48" spans="2:3" x14ac:dyDescent="0.25">
      <c r="B48">
        <v>2013</v>
      </c>
      <c r="C48">
        <v>191.86</v>
      </c>
    </row>
    <row r="49" spans="2:3" x14ac:dyDescent="0.25">
      <c r="B49">
        <v>2013.25</v>
      </c>
      <c r="C49">
        <v>118.85</v>
      </c>
    </row>
    <row r="50" spans="2:3" x14ac:dyDescent="0.25">
      <c r="B50">
        <v>2013.5</v>
      </c>
      <c r="C50">
        <v>316.16999999999996</v>
      </c>
    </row>
    <row r="51" spans="2:3" x14ac:dyDescent="0.25">
      <c r="B51">
        <v>2013.75</v>
      </c>
      <c r="C51">
        <v>24.1</v>
      </c>
    </row>
    <row r="52" spans="2:3" x14ac:dyDescent="0.25">
      <c r="B52">
        <v>2014</v>
      </c>
      <c r="C52">
        <v>345.26</v>
      </c>
    </row>
    <row r="53" spans="2:3" x14ac:dyDescent="0.25">
      <c r="B53">
        <v>2014.25</v>
      </c>
      <c r="C53">
        <v>5.14</v>
      </c>
    </row>
    <row r="54" spans="2:3" x14ac:dyDescent="0.25">
      <c r="B54">
        <v>2014.5</v>
      </c>
      <c r="C54">
        <v>81.92</v>
      </c>
    </row>
    <row r="55" spans="2:3" x14ac:dyDescent="0.25">
      <c r="B55">
        <v>2014.75</v>
      </c>
      <c r="C55">
        <v>123.12</v>
      </c>
    </row>
    <row r="56" spans="2:3" x14ac:dyDescent="0.25">
      <c r="B56">
        <v>2015</v>
      </c>
      <c r="C56">
        <v>86.22999999999999</v>
      </c>
    </row>
    <row r="57" spans="2:3" x14ac:dyDescent="0.25">
      <c r="B57">
        <v>2015.25</v>
      </c>
      <c r="C57">
        <v>5.78</v>
      </c>
    </row>
    <row r="58" spans="2:3" x14ac:dyDescent="0.25">
      <c r="B58">
        <v>2015.5</v>
      </c>
      <c r="C58">
        <v>129.16</v>
      </c>
    </row>
    <row r="59" spans="2:3" x14ac:dyDescent="0.25">
      <c r="B59">
        <v>2015.75</v>
      </c>
      <c r="C59">
        <v>4.8600000000000003</v>
      </c>
    </row>
    <row r="60" spans="2:3" x14ac:dyDescent="0.25">
      <c r="B60">
        <v>2016</v>
      </c>
      <c r="C60">
        <v>52.87</v>
      </c>
    </row>
    <row r="61" spans="2:3" x14ac:dyDescent="0.25">
      <c r="B61">
        <v>2016.25</v>
      </c>
      <c r="C61">
        <v>41.22</v>
      </c>
    </row>
    <row r="66" spans="1:4" x14ac:dyDescent="0.25">
      <c r="A66" t="s">
        <v>234</v>
      </c>
    </row>
    <row r="68" spans="1:4" x14ac:dyDescent="0.25">
      <c r="A68" s="2" t="s">
        <v>226</v>
      </c>
      <c r="B68" t="s">
        <v>227</v>
      </c>
    </row>
    <row r="70" spans="1:4" x14ac:dyDescent="0.25">
      <c r="A70" t="s">
        <v>228</v>
      </c>
      <c r="C70" t="s">
        <v>229</v>
      </c>
    </row>
    <row r="71" spans="1:4" x14ac:dyDescent="0.25">
      <c r="A71" t="s">
        <v>230</v>
      </c>
      <c r="C71" t="s">
        <v>231</v>
      </c>
    </row>
    <row r="73" spans="1:4" x14ac:dyDescent="0.25">
      <c r="A73" t="s">
        <v>232</v>
      </c>
    </row>
    <row r="74" spans="1:4" x14ac:dyDescent="0.25">
      <c r="A74" s="441" t="s">
        <v>233</v>
      </c>
      <c r="B74" s="441"/>
      <c r="C74" s="441"/>
      <c r="D74" s="441"/>
    </row>
    <row r="75" spans="1:4" x14ac:dyDescent="0.25">
      <c r="A75" s="441"/>
      <c r="B75" s="441"/>
      <c r="C75" s="441"/>
      <c r="D75" s="441"/>
    </row>
    <row r="76" spans="1:4" x14ac:dyDescent="0.25">
      <c r="A76" s="441"/>
      <c r="B76" s="441"/>
      <c r="C76" s="441"/>
      <c r="D76" s="441"/>
    </row>
    <row r="78" spans="1:4" x14ac:dyDescent="0.25">
      <c r="A78" s="444" t="s">
        <v>293</v>
      </c>
      <c r="B78" s="444"/>
      <c r="C78" s="444"/>
      <c r="D78" s="444"/>
    </row>
    <row r="79" spans="1:4" x14ac:dyDescent="0.25">
      <c r="A79" s="444"/>
      <c r="B79" s="444"/>
      <c r="C79" s="444"/>
      <c r="D79" s="444"/>
    </row>
    <row r="80" spans="1:4" x14ac:dyDescent="0.25">
      <c r="A80" s="444"/>
      <c r="B80" s="444"/>
      <c r="C80" s="444"/>
      <c r="D80" s="444"/>
    </row>
    <row r="81" spans="1:8" x14ac:dyDescent="0.25">
      <c r="A81" s="444"/>
      <c r="B81" s="444"/>
      <c r="C81" s="444"/>
      <c r="D81" s="444"/>
    </row>
    <row r="88" spans="1:8" x14ac:dyDescent="0.25">
      <c r="A88" s="6"/>
      <c r="B88" s="6"/>
      <c r="C88" s="6"/>
      <c r="D88" s="6"/>
      <c r="E88" s="6"/>
      <c r="F88" s="6"/>
      <c r="G88" s="6"/>
      <c r="H88" s="6"/>
    </row>
    <row r="89" spans="1:8" x14ac:dyDescent="0.25">
      <c r="A89" s="6"/>
      <c r="B89" s="6"/>
      <c r="C89" s="6"/>
      <c r="D89" s="6"/>
      <c r="E89" s="6"/>
      <c r="F89" s="6"/>
      <c r="G89" s="6"/>
      <c r="H89" s="6"/>
    </row>
    <row r="90" spans="1:8" x14ac:dyDescent="0.25">
      <c r="A90" s="6"/>
      <c r="B90" s="6"/>
      <c r="C90" s="6"/>
      <c r="D90" s="6"/>
      <c r="E90" s="6"/>
      <c r="F90" s="6"/>
      <c r="G90" s="6"/>
      <c r="H90" s="6"/>
    </row>
    <row r="91" spans="1:8" x14ac:dyDescent="0.25">
      <c r="A91" t="s">
        <v>241</v>
      </c>
    </row>
    <row r="92" spans="1:8" ht="15.75" thickBot="1" x14ac:dyDescent="0.3"/>
    <row r="93" spans="1:8" x14ac:dyDescent="0.25">
      <c r="A93" s="8" t="s">
        <v>242</v>
      </c>
      <c r="B93" s="8"/>
    </row>
    <row r="94" spans="1:8" x14ac:dyDescent="0.25">
      <c r="A94" s="3" t="s">
        <v>243</v>
      </c>
      <c r="B94" s="3">
        <v>0.70029148470284985</v>
      </c>
    </row>
    <row r="95" spans="1:8" x14ac:dyDescent="0.25">
      <c r="A95" s="3" t="s">
        <v>244</v>
      </c>
      <c r="B95" s="10">
        <v>0.49040816354732197</v>
      </c>
    </row>
    <row r="96" spans="1:8" x14ac:dyDescent="0.25">
      <c r="A96" s="3" t="s">
        <v>245</v>
      </c>
      <c r="B96" s="9">
        <v>0.46917517036179363</v>
      </c>
      <c r="C96" t="s">
        <v>263</v>
      </c>
    </row>
    <row r="97" spans="1:9" x14ac:dyDescent="0.25">
      <c r="A97" s="3" t="s">
        <v>246</v>
      </c>
      <c r="B97" s="3">
        <v>104.99402213177379</v>
      </c>
    </row>
    <row r="98" spans="1:9" ht="15.75" thickBot="1" x14ac:dyDescent="0.3">
      <c r="A98" s="4" t="s">
        <v>247</v>
      </c>
      <c r="B98" s="4">
        <v>26</v>
      </c>
    </row>
    <row r="100" spans="1:9" ht="15.75" thickBot="1" x14ac:dyDescent="0.3">
      <c r="A100" t="s">
        <v>235</v>
      </c>
    </row>
    <row r="101" spans="1:9" x14ac:dyDescent="0.25">
      <c r="A101" s="5"/>
      <c r="B101" s="5" t="s">
        <v>237</v>
      </c>
      <c r="C101" s="5" t="s">
        <v>236</v>
      </c>
      <c r="D101" s="5" t="s">
        <v>238</v>
      </c>
      <c r="E101" s="5" t="s">
        <v>239</v>
      </c>
      <c r="F101" s="5" t="s">
        <v>251</v>
      </c>
    </row>
    <row r="102" spans="1:9" x14ac:dyDescent="0.25">
      <c r="A102" s="3" t="s">
        <v>248</v>
      </c>
      <c r="B102" s="3">
        <v>1</v>
      </c>
      <c r="C102" s="3">
        <v>254610.09375206841</v>
      </c>
      <c r="D102" s="3">
        <v>254610.09375206841</v>
      </c>
      <c r="E102" s="3">
        <v>23.096515845046696</v>
      </c>
      <c r="F102" s="3">
        <v>6.8031893979039016E-5</v>
      </c>
    </row>
    <row r="103" spans="1:9" x14ac:dyDescent="0.25">
      <c r="A103" s="3" t="s">
        <v>249</v>
      </c>
      <c r="B103" s="3">
        <v>24</v>
      </c>
      <c r="C103" s="3">
        <v>264569.87240177771</v>
      </c>
      <c r="D103" s="10">
        <v>11023.744683407405</v>
      </c>
      <c r="E103" s="3"/>
      <c r="F103" s="3"/>
    </row>
    <row r="104" spans="1:9" ht="15.75" thickBot="1" x14ac:dyDescent="0.3">
      <c r="A104" s="4" t="s">
        <v>215</v>
      </c>
      <c r="B104" s="4">
        <v>25</v>
      </c>
      <c r="C104" s="4">
        <v>519179.96615384612</v>
      </c>
      <c r="D104" s="4"/>
      <c r="E104" s="4"/>
      <c r="F104" s="4"/>
    </row>
    <row r="105" spans="1:9" ht="15.75" thickBot="1" x14ac:dyDescent="0.3"/>
    <row r="106" spans="1:9" x14ac:dyDescent="0.25">
      <c r="A106" s="5"/>
      <c r="B106" s="5" t="s">
        <v>252</v>
      </c>
      <c r="C106" s="5" t="s">
        <v>246</v>
      </c>
      <c r="D106" s="5" t="s">
        <v>253</v>
      </c>
      <c r="E106" s="5" t="s">
        <v>240</v>
      </c>
      <c r="F106" s="5" t="s">
        <v>254</v>
      </c>
      <c r="G106" s="5" t="s">
        <v>255</v>
      </c>
      <c r="H106" s="5" t="s">
        <v>256</v>
      </c>
      <c r="I106" s="5" t="s">
        <v>257</v>
      </c>
    </row>
    <row r="107" spans="1:9" x14ac:dyDescent="0.25">
      <c r="A107" s="3" t="s">
        <v>250</v>
      </c>
      <c r="B107" s="3">
        <v>106424.67413675206</v>
      </c>
      <c r="C107" s="3">
        <v>22107.903363912053</v>
      </c>
      <c r="D107" s="3">
        <v>4.8138745852523899</v>
      </c>
      <c r="E107" s="3">
        <v>6.666452157857201E-5</v>
      </c>
      <c r="F107" s="3">
        <v>60796.204183362584</v>
      </c>
      <c r="G107" s="3">
        <v>152053.14409014152</v>
      </c>
      <c r="H107" s="3">
        <v>60796.204183362584</v>
      </c>
      <c r="I107" s="3">
        <v>152053.14409014152</v>
      </c>
    </row>
    <row r="108" spans="1:9" ht="15.75" thickBot="1" x14ac:dyDescent="0.3">
      <c r="A108" s="4" t="s">
        <v>258</v>
      </c>
      <c r="B108" s="4">
        <v>-52.777627350427316</v>
      </c>
      <c r="C108" s="4">
        <v>10.981878310984763</v>
      </c>
      <c r="D108" s="4">
        <v>-4.8058834614508363</v>
      </c>
      <c r="E108" s="4">
        <v>6.8031893979039626E-5</v>
      </c>
      <c r="F108" s="4">
        <v>-75.443110200442774</v>
      </c>
      <c r="G108" s="4">
        <v>-30.112144500411855</v>
      </c>
      <c r="H108" s="4">
        <v>-75.443110200442774</v>
      </c>
      <c r="I108" s="4">
        <v>-30.112144500411855</v>
      </c>
    </row>
    <row r="112" spans="1:9" x14ac:dyDescent="0.25">
      <c r="A112" t="s">
        <v>259</v>
      </c>
      <c r="E112" s="6"/>
      <c r="F112" s="6"/>
      <c r="G112" s="6"/>
    </row>
    <row r="113" spans="1:7" ht="15.75" thickBot="1" x14ac:dyDescent="0.3">
      <c r="E113" s="6"/>
      <c r="F113" s="6"/>
      <c r="G113" s="6"/>
    </row>
    <row r="114" spans="1:7" x14ac:dyDescent="0.25">
      <c r="A114" s="5" t="s">
        <v>260</v>
      </c>
      <c r="B114" s="5" t="s">
        <v>261</v>
      </c>
      <c r="C114" s="5" t="s">
        <v>249</v>
      </c>
      <c r="E114" s="7"/>
      <c r="F114" s="7"/>
      <c r="G114" s="6"/>
    </row>
    <row r="115" spans="1:7" x14ac:dyDescent="0.25">
      <c r="A115" s="3">
        <v>1</v>
      </c>
      <c r="B115" s="3">
        <v>341.64316239315667</v>
      </c>
      <c r="C115" s="3">
        <v>-29.133162393156681</v>
      </c>
      <c r="E115" s="3"/>
      <c r="F115" s="3"/>
      <c r="G115" s="6"/>
    </row>
    <row r="116" spans="1:7" x14ac:dyDescent="0.25">
      <c r="A116" s="3">
        <v>2</v>
      </c>
      <c r="B116" s="3">
        <v>328.44875555555336</v>
      </c>
      <c r="C116" s="3">
        <v>130.41124444444665</v>
      </c>
      <c r="E116" s="3"/>
      <c r="F116" s="3"/>
      <c r="G116" s="6"/>
    </row>
    <row r="117" spans="1:7" x14ac:dyDescent="0.25">
      <c r="A117" s="3">
        <v>3</v>
      </c>
      <c r="B117" s="3">
        <v>315.2543487179355</v>
      </c>
      <c r="C117" s="3">
        <v>155.04565128206451</v>
      </c>
      <c r="E117" s="3"/>
      <c r="F117" s="3"/>
      <c r="G117" s="6"/>
    </row>
    <row r="118" spans="1:7" x14ac:dyDescent="0.25">
      <c r="A118" s="3">
        <v>4</v>
      </c>
      <c r="B118" s="3">
        <v>302.05994188033219</v>
      </c>
      <c r="C118" s="3">
        <v>-9.1399418803321737</v>
      </c>
      <c r="E118" s="3"/>
      <c r="F118" s="3"/>
      <c r="G118" s="6"/>
    </row>
    <row r="119" spans="1:7" x14ac:dyDescent="0.25">
      <c r="A119" s="3">
        <v>5</v>
      </c>
      <c r="B119" s="3">
        <v>288.86553504272888</v>
      </c>
      <c r="C119" s="3">
        <v>-234.44553504272886</v>
      </c>
      <c r="E119" s="3"/>
      <c r="F119" s="3"/>
      <c r="G119" s="6"/>
    </row>
    <row r="120" spans="1:7" x14ac:dyDescent="0.25">
      <c r="A120" s="3">
        <v>6</v>
      </c>
      <c r="B120" s="3">
        <v>275.67112820512557</v>
      </c>
      <c r="C120" s="3">
        <v>144.6088717948744</v>
      </c>
      <c r="E120" s="3"/>
      <c r="F120" s="3"/>
      <c r="G120" s="6"/>
    </row>
    <row r="121" spans="1:7" x14ac:dyDescent="0.25">
      <c r="A121" s="3">
        <v>7</v>
      </c>
      <c r="B121" s="3">
        <v>262.47672136750771</v>
      </c>
      <c r="C121" s="3">
        <v>-38.466721367507716</v>
      </c>
      <c r="E121" s="3"/>
      <c r="F121" s="3"/>
      <c r="G121" s="6"/>
    </row>
    <row r="122" spans="1:7" x14ac:dyDescent="0.25">
      <c r="A122" s="3">
        <v>8</v>
      </c>
      <c r="B122" s="3">
        <v>249.2823145299044</v>
      </c>
      <c r="C122" s="3">
        <v>-14.312314529904398</v>
      </c>
      <c r="E122" s="3"/>
      <c r="F122" s="3"/>
      <c r="G122" s="6"/>
    </row>
    <row r="123" spans="1:7" x14ac:dyDescent="0.25">
      <c r="A123" s="3">
        <v>9</v>
      </c>
      <c r="B123" s="3">
        <v>236.08790769230109</v>
      </c>
      <c r="C123" s="3">
        <v>5.7820923076989175</v>
      </c>
      <c r="E123" s="3"/>
      <c r="F123" s="3"/>
      <c r="G123" s="6"/>
    </row>
    <row r="124" spans="1:7" x14ac:dyDescent="0.25">
      <c r="A124" s="3">
        <v>10</v>
      </c>
      <c r="B124" s="3">
        <v>222.89350085469778</v>
      </c>
      <c r="C124" s="3">
        <v>-30.223500854697789</v>
      </c>
      <c r="E124" s="3"/>
      <c r="F124" s="3"/>
      <c r="G124" s="6"/>
    </row>
    <row r="125" spans="1:7" x14ac:dyDescent="0.25">
      <c r="A125" s="3">
        <v>11</v>
      </c>
      <c r="B125" s="3">
        <v>209.69909401707991</v>
      </c>
      <c r="C125" s="3">
        <v>-113.10909401707991</v>
      </c>
      <c r="E125" s="3"/>
      <c r="F125" s="3"/>
      <c r="G125" s="6"/>
    </row>
    <row r="126" spans="1:7" x14ac:dyDescent="0.25">
      <c r="A126" s="3">
        <v>12</v>
      </c>
      <c r="B126" s="3">
        <v>196.5046871794766</v>
      </c>
      <c r="C126" s="3">
        <v>-127.9046871794766</v>
      </c>
      <c r="E126" s="3"/>
      <c r="F126" s="3"/>
      <c r="G126" s="6"/>
    </row>
    <row r="127" spans="1:7" x14ac:dyDescent="0.25">
      <c r="A127" s="3">
        <v>13</v>
      </c>
      <c r="B127" s="3">
        <v>183.31028034187329</v>
      </c>
      <c r="C127" s="3">
        <v>8.549719658126719</v>
      </c>
      <c r="E127" s="3"/>
      <c r="F127" s="3"/>
      <c r="G127" s="6"/>
    </row>
    <row r="128" spans="1:7" x14ac:dyDescent="0.25">
      <c r="A128" s="3">
        <v>14</v>
      </c>
      <c r="B128" s="3">
        <v>170.11587350426998</v>
      </c>
      <c r="C128" s="3">
        <v>-51.26587350426999</v>
      </c>
      <c r="E128" s="3"/>
      <c r="F128" s="3"/>
      <c r="G128" s="6"/>
    </row>
    <row r="129" spans="1:7" x14ac:dyDescent="0.25">
      <c r="A129" s="3">
        <v>15</v>
      </c>
      <c r="B129" s="3">
        <v>156.92146666665212</v>
      </c>
      <c r="C129" s="3">
        <v>159.24853333334784</v>
      </c>
      <c r="E129" s="3"/>
      <c r="F129" s="3"/>
      <c r="G129" s="6"/>
    </row>
    <row r="130" spans="1:7" x14ac:dyDescent="0.25">
      <c r="A130" s="3">
        <v>16</v>
      </c>
      <c r="B130" s="3">
        <v>143.72705982904881</v>
      </c>
      <c r="C130" s="3">
        <v>-119.62705982904882</v>
      </c>
      <c r="E130" s="3"/>
      <c r="F130" s="3"/>
      <c r="G130" s="6"/>
    </row>
    <row r="131" spans="1:7" x14ac:dyDescent="0.25">
      <c r="A131" s="3">
        <v>17</v>
      </c>
      <c r="B131" s="3">
        <v>130.5326529914455</v>
      </c>
      <c r="C131" s="3">
        <v>214.72734700855449</v>
      </c>
      <c r="E131" s="3"/>
      <c r="F131" s="3"/>
      <c r="G131" s="6"/>
    </row>
    <row r="132" spans="1:7" x14ac:dyDescent="0.25">
      <c r="A132" s="3">
        <v>18</v>
      </c>
      <c r="B132" s="3">
        <v>117.33824615384219</v>
      </c>
      <c r="C132" s="3">
        <v>-112.19824615384219</v>
      </c>
      <c r="E132" s="3"/>
      <c r="F132" s="3"/>
      <c r="G132" s="6"/>
    </row>
    <row r="133" spans="1:7" x14ac:dyDescent="0.25">
      <c r="A133" s="3">
        <v>19</v>
      </c>
      <c r="B133" s="3">
        <v>104.14383931622433</v>
      </c>
      <c r="C133" s="3">
        <v>-22.223839316224328</v>
      </c>
      <c r="E133" s="3"/>
      <c r="F133" s="3"/>
      <c r="G133" s="6"/>
    </row>
    <row r="134" spans="1:7" x14ac:dyDescent="0.25">
      <c r="A134" s="3">
        <v>20</v>
      </c>
      <c r="B134" s="3">
        <v>90.94943247862102</v>
      </c>
      <c r="C134" s="3">
        <v>32.170567521378985</v>
      </c>
      <c r="E134" s="3"/>
      <c r="F134" s="3"/>
      <c r="G134" s="6"/>
    </row>
    <row r="135" spans="1:7" x14ac:dyDescent="0.25">
      <c r="A135" s="3">
        <v>21</v>
      </c>
      <c r="B135" s="3">
        <v>77.75502564101771</v>
      </c>
      <c r="C135" s="3">
        <v>8.4749743589822799</v>
      </c>
      <c r="E135" s="3"/>
      <c r="F135" s="3"/>
      <c r="G135" s="6"/>
    </row>
    <row r="136" spans="1:7" x14ac:dyDescent="0.25">
      <c r="A136" s="3">
        <v>22</v>
      </c>
      <c r="B136" s="3">
        <v>64.5606188034144</v>
      </c>
      <c r="C136" s="3">
        <v>-58.780618803414399</v>
      </c>
      <c r="E136" s="3"/>
      <c r="F136" s="3"/>
      <c r="G136" s="6"/>
    </row>
    <row r="137" spans="1:7" x14ac:dyDescent="0.25">
      <c r="A137" s="3">
        <v>23</v>
      </c>
      <c r="B137" s="3">
        <v>51.366211965796538</v>
      </c>
      <c r="C137" s="3">
        <v>77.793788034203459</v>
      </c>
      <c r="E137" s="3"/>
      <c r="F137" s="3"/>
      <c r="G137" s="6"/>
    </row>
    <row r="138" spans="1:7" x14ac:dyDescent="0.25">
      <c r="A138" s="3">
        <v>24</v>
      </c>
      <c r="B138" s="3">
        <v>38.171805128193228</v>
      </c>
      <c r="C138" s="3">
        <v>-33.311805128193228</v>
      </c>
      <c r="E138" s="3"/>
      <c r="F138" s="3"/>
      <c r="G138" s="6"/>
    </row>
    <row r="139" spans="1:7" x14ac:dyDescent="0.25">
      <c r="A139" s="3">
        <v>25</v>
      </c>
      <c r="B139" s="3">
        <v>24.977398290589917</v>
      </c>
      <c r="C139" s="3">
        <v>27.89260170941008</v>
      </c>
      <c r="E139" s="3"/>
      <c r="F139" s="3"/>
      <c r="G139" s="6"/>
    </row>
    <row r="140" spans="1:7" ht="15.75" thickBot="1" x14ac:dyDescent="0.3">
      <c r="A140" s="4">
        <v>26</v>
      </c>
      <c r="B140" s="4">
        <v>11.782991452986607</v>
      </c>
      <c r="C140" s="4">
        <v>29.437008547013392</v>
      </c>
      <c r="E140" s="3"/>
      <c r="F140" s="3"/>
      <c r="G140" s="6"/>
    </row>
    <row r="141" spans="1:7" x14ac:dyDescent="0.25">
      <c r="E141" s="6"/>
      <c r="F141" s="6"/>
      <c r="G141" s="6"/>
    </row>
    <row r="143" spans="1:7" x14ac:dyDescent="0.25">
      <c r="A143" s="3" t="s">
        <v>262</v>
      </c>
    </row>
    <row r="146" spans="1:9" x14ac:dyDescent="0.25">
      <c r="A146" s="10" t="s">
        <v>264</v>
      </c>
      <c r="B146" s="3" t="s">
        <v>271</v>
      </c>
    </row>
    <row r="147" spans="1:9" ht="15.75" thickBot="1" x14ac:dyDescent="0.3"/>
    <row r="148" spans="1:9" ht="30" x14ac:dyDescent="0.25">
      <c r="A148" s="11" t="s">
        <v>224</v>
      </c>
      <c r="B148" s="11" t="s">
        <v>225</v>
      </c>
      <c r="C148" s="12" t="s">
        <v>265</v>
      </c>
      <c r="D148" s="13" t="s">
        <v>266</v>
      </c>
      <c r="E148" s="13" t="s">
        <v>267</v>
      </c>
      <c r="F148" s="13" t="s">
        <v>268</v>
      </c>
      <c r="G148" s="12" t="s">
        <v>269</v>
      </c>
      <c r="H148" s="14" t="s">
        <v>270</v>
      </c>
      <c r="I148" s="12" t="s">
        <v>272</v>
      </c>
    </row>
    <row r="149" spans="1:9" x14ac:dyDescent="0.25">
      <c r="A149" s="16">
        <v>2010</v>
      </c>
      <c r="B149" s="16">
        <v>312.51</v>
      </c>
      <c r="C149" s="15">
        <f>+LN(A149)</f>
        <v>7.6058900010531216</v>
      </c>
      <c r="D149" s="15">
        <f>+SQRT(A149)</f>
        <v>44.83302354291979</v>
      </c>
      <c r="E149" s="15">
        <f>+A149^2</f>
        <v>4040100</v>
      </c>
      <c r="F149" s="29">
        <f>1/A149</f>
        <v>4.9751243781094524E-4</v>
      </c>
      <c r="G149" s="15">
        <f>+LN(B149)</f>
        <v>5.7446364686644671</v>
      </c>
      <c r="H149" s="16">
        <f>+SQRT(B149)</f>
        <v>17.677952370113456</v>
      </c>
      <c r="I149" s="16">
        <f>+LOG10(B149)</f>
        <v>2.494863918881161</v>
      </c>
    </row>
    <row r="150" spans="1:9" x14ac:dyDescent="0.25">
      <c r="A150" s="16">
        <v>2010.25</v>
      </c>
      <c r="B150" s="16">
        <v>458.86</v>
      </c>
      <c r="C150" s="15">
        <f>+LN(A150)</f>
        <v>7.6060143714282589</v>
      </c>
      <c r="D150" s="15">
        <f t="shared" ref="D150:D174" si="4">+SQRT(A150)</f>
        <v>44.835811579584458</v>
      </c>
      <c r="E150" s="15">
        <f t="shared" ref="E150:E174" si="5">+A150^2</f>
        <v>4041105.0625</v>
      </c>
      <c r="F150" s="29">
        <f t="shared" ref="F150:F174" si="6">1/A150</f>
        <v>4.9745056585001862E-4</v>
      </c>
      <c r="G150" s="15">
        <f t="shared" ref="G150:G174" si="7">+LN(B150)</f>
        <v>6.1287451526420158</v>
      </c>
      <c r="H150" s="16">
        <f t="shared" ref="H150:H174" si="8">+SQRT(B150)</f>
        <v>21.421017716252418</v>
      </c>
      <c r="I150" s="16">
        <f t="shared" ref="I150:I174" si="9">+LOG10(B150)</f>
        <v>2.6616802007837301</v>
      </c>
    </row>
    <row r="151" spans="1:9" x14ac:dyDescent="0.25">
      <c r="A151" s="16">
        <v>2010.5</v>
      </c>
      <c r="B151" s="16">
        <v>470.3</v>
      </c>
      <c r="C151" s="15">
        <f t="shared" ref="C151" si="10">+LN(A151)</f>
        <v>7.6061387263373286</v>
      </c>
      <c r="D151" s="15">
        <f t="shared" si="4"/>
        <v>44.838599442890718</v>
      </c>
      <c r="E151" s="15">
        <f t="shared" si="5"/>
        <v>4042110.25</v>
      </c>
      <c r="F151" s="29">
        <f t="shared" si="6"/>
        <v>4.9738870927629945E-4</v>
      </c>
      <c r="G151" s="15">
        <f t="shared" si="7"/>
        <v>6.1533707889510021</v>
      </c>
      <c r="H151" s="16">
        <f t="shared" si="8"/>
        <v>21.686401268998043</v>
      </c>
      <c r="I151" s="16">
        <f t="shared" si="9"/>
        <v>2.6723749787460793</v>
      </c>
    </row>
    <row r="152" spans="1:9" x14ac:dyDescent="0.25">
      <c r="A152" s="16">
        <v>2010.75</v>
      </c>
      <c r="B152" s="16">
        <v>292.92</v>
      </c>
      <c r="C152" s="15">
        <f>+LN(A152)</f>
        <v>7.6062630657841783</v>
      </c>
      <c r="D152" s="15">
        <f t="shared" si="4"/>
        <v>44.841387132870899</v>
      </c>
      <c r="E152" s="15">
        <f t="shared" si="5"/>
        <v>4043115.5625</v>
      </c>
      <c r="F152" s="29">
        <f t="shared" si="6"/>
        <v>4.973268680840482E-4</v>
      </c>
      <c r="G152" s="15">
        <f t="shared" si="7"/>
        <v>5.6798995341928693</v>
      </c>
      <c r="H152" s="16">
        <f t="shared" si="8"/>
        <v>17.114905784140326</v>
      </c>
      <c r="I152" s="16">
        <f t="shared" si="9"/>
        <v>2.4667490254648134</v>
      </c>
    </row>
    <row r="153" spans="1:9" x14ac:dyDescent="0.25">
      <c r="A153" s="16">
        <v>2011</v>
      </c>
      <c r="B153" s="16">
        <v>54.42</v>
      </c>
      <c r="C153" s="15">
        <f>+LN(A153)</f>
        <v>7.6063873897726522</v>
      </c>
      <c r="D153" s="15">
        <f t="shared" si="4"/>
        <v>44.844174649557324</v>
      </c>
      <c r="E153" s="15">
        <f t="shared" si="5"/>
        <v>4044121</v>
      </c>
      <c r="F153" s="29">
        <f t="shared" si="6"/>
        <v>4.9726504226752855E-4</v>
      </c>
      <c r="G153" s="15">
        <f t="shared" si="7"/>
        <v>3.9967317333551002</v>
      </c>
      <c r="H153" s="16">
        <f t="shared" si="8"/>
        <v>7.3769912566031959</v>
      </c>
      <c r="I153" s="16">
        <f t="shared" si="9"/>
        <v>1.735758537443739</v>
      </c>
    </row>
    <row r="154" spans="1:9" x14ac:dyDescent="0.25">
      <c r="A154" s="16">
        <v>2011.25</v>
      </c>
      <c r="B154" s="16">
        <v>420.28</v>
      </c>
      <c r="C154" s="15">
        <f>+LN(A154)</f>
        <v>7.6065116983065932</v>
      </c>
      <c r="D154" s="15">
        <f t="shared" si="4"/>
        <v>44.846961992982308</v>
      </c>
      <c r="E154" s="15">
        <f t="shared" si="5"/>
        <v>4045126.5625</v>
      </c>
      <c r="F154" s="29">
        <f t="shared" si="6"/>
        <v>4.9720323182100682E-4</v>
      </c>
      <c r="G154" s="15">
        <f t="shared" si="7"/>
        <v>6.0409211558205742</v>
      </c>
      <c r="H154" s="16">
        <f t="shared" si="8"/>
        <v>20.500731694259109</v>
      </c>
      <c r="I154" s="16">
        <f t="shared" si="9"/>
        <v>2.6235387235854897</v>
      </c>
    </row>
    <row r="155" spans="1:9" x14ac:dyDescent="0.25">
      <c r="A155" s="16">
        <v>2011.5</v>
      </c>
      <c r="B155" s="16">
        <v>224.01</v>
      </c>
      <c r="C155" s="15">
        <f t="shared" ref="C155:C174" si="11">+LN(A155)</f>
        <v>7.6066359913898429</v>
      </c>
      <c r="D155" s="15">
        <f t="shared" si="4"/>
        <v>44.84974916317816</v>
      </c>
      <c r="E155" s="15">
        <f t="shared" si="5"/>
        <v>4046132.25</v>
      </c>
      <c r="F155" s="29">
        <f t="shared" si="6"/>
        <v>4.9714143673875214E-4</v>
      </c>
      <c r="G155" s="15">
        <f t="shared" si="7"/>
        <v>5.4116906937157196</v>
      </c>
      <c r="H155" s="16">
        <f t="shared" si="8"/>
        <v>14.966963619919706</v>
      </c>
      <c r="I155" s="16">
        <f t="shared" si="9"/>
        <v>2.3502674060479181</v>
      </c>
    </row>
    <row r="156" spans="1:9" x14ac:dyDescent="0.25">
      <c r="A156" s="16">
        <v>2011.75</v>
      </c>
      <c r="B156" s="16">
        <v>234.97</v>
      </c>
      <c r="C156" s="15">
        <f t="shared" si="11"/>
        <v>7.6067602690262426</v>
      </c>
      <c r="D156" s="15">
        <f t="shared" si="4"/>
        <v>44.852536160177166</v>
      </c>
      <c r="E156" s="15">
        <f t="shared" si="5"/>
        <v>4047138.0625</v>
      </c>
      <c r="F156" s="29">
        <f t="shared" si="6"/>
        <v>4.9707965701503666E-4</v>
      </c>
      <c r="G156" s="15">
        <f t="shared" si="7"/>
        <v>5.4594578464205137</v>
      </c>
      <c r="H156" s="16">
        <f t="shared" si="8"/>
        <v>15.328731193415846</v>
      </c>
      <c r="I156" s="16">
        <f t="shared" si="9"/>
        <v>2.3710124168838402</v>
      </c>
    </row>
    <row r="157" spans="1:9" x14ac:dyDescent="0.25">
      <c r="A157" s="16">
        <v>2012</v>
      </c>
      <c r="B157" s="16">
        <v>241.87</v>
      </c>
      <c r="C157" s="15">
        <f t="shared" si="11"/>
        <v>7.60688453121963</v>
      </c>
      <c r="D157" s="15">
        <f t="shared" si="4"/>
        <v>44.855322984011607</v>
      </c>
      <c r="E157" s="15">
        <f t="shared" si="5"/>
        <v>4048144</v>
      </c>
      <c r="F157" s="29">
        <f t="shared" si="6"/>
        <v>4.9701789264413514E-4</v>
      </c>
      <c r="G157" s="15">
        <f t="shared" si="7"/>
        <v>5.4884003917357553</v>
      </c>
      <c r="H157" s="16">
        <f t="shared" si="8"/>
        <v>15.552170266557654</v>
      </c>
      <c r="I157" s="16">
        <f t="shared" si="9"/>
        <v>2.3835820046064842</v>
      </c>
    </row>
    <row r="158" spans="1:9" x14ac:dyDescent="0.25">
      <c r="A158" s="16">
        <v>2012.25</v>
      </c>
      <c r="B158" s="16">
        <v>192.67</v>
      </c>
      <c r="C158" s="15">
        <f t="shared" si="11"/>
        <v>7.6070087779738431</v>
      </c>
      <c r="D158" s="15">
        <f t="shared" si="4"/>
        <v>44.858109634713763</v>
      </c>
      <c r="E158" s="15">
        <f t="shared" si="5"/>
        <v>4049150.0625</v>
      </c>
      <c r="F158" s="29">
        <f t="shared" si="6"/>
        <v>4.9695614362032549E-4</v>
      </c>
      <c r="G158" s="15">
        <f t="shared" si="7"/>
        <v>5.2609788808926687</v>
      </c>
      <c r="H158" s="16">
        <f t="shared" si="8"/>
        <v>13.880561948278606</v>
      </c>
      <c r="I158" s="16">
        <f t="shared" si="9"/>
        <v>2.284814097381231</v>
      </c>
    </row>
    <row r="159" spans="1:9" x14ac:dyDescent="0.25">
      <c r="A159" s="16">
        <v>2012.5</v>
      </c>
      <c r="B159" s="16">
        <v>96.59</v>
      </c>
      <c r="C159" s="15">
        <f t="shared" si="11"/>
        <v>7.6071330092927187</v>
      </c>
      <c r="D159" s="15">
        <f t="shared" si="4"/>
        <v>44.860896112315899</v>
      </c>
      <c r="E159" s="15">
        <f t="shared" si="5"/>
        <v>4050156.25</v>
      </c>
      <c r="F159" s="29">
        <f t="shared" si="6"/>
        <v>4.9689440993788822E-4</v>
      </c>
      <c r="G159" s="15">
        <f t="shared" si="7"/>
        <v>4.5704752161912046</v>
      </c>
      <c r="H159" s="16">
        <f t="shared" si="8"/>
        <v>9.8280211639983772</v>
      </c>
      <c r="I159" s="16">
        <f t="shared" si="9"/>
        <v>1.9849321660674122</v>
      </c>
    </row>
    <row r="160" spans="1:9" x14ac:dyDescent="0.25">
      <c r="A160" s="16">
        <v>2012.75</v>
      </c>
      <c r="B160" s="16">
        <v>68.600000000000009</v>
      </c>
      <c r="C160" s="15">
        <f t="shared" si="11"/>
        <v>7.6072572251800903</v>
      </c>
      <c r="D160" s="15">
        <f t="shared" si="4"/>
        <v>44.863682416850267</v>
      </c>
      <c r="E160" s="15">
        <f t="shared" si="5"/>
        <v>4051162.5625</v>
      </c>
      <c r="F160" s="29">
        <f t="shared" si="6"/>
        <v>4.9683269159110665E-4</v>
      </c>
      <c r="G160" s="15">
        <f t="shared" si="7"/>
        <v>4.2282925347318399</v>
      </c>
      <c r="H160" s="16">
        <f t="shared" si="8"/>
        <v>8.2825116963394638</v>
      </c>
      <c r="I160" s="16">
        <f t="shared" si="9"/>
        <v>1.8363241157067518</v>
      </c>
    </row>
    <row r="161" spans="1:9" x14ac:dyDescent="0.25">
      <c r="A161" s="16">
        <v>2013</v>
      </c>
      <c r="B161" s="16">
        <v>191.86</v>
      </c>
      <c r="C161" s="15">
        <f t="shared" si="11"/>
        <v>7.6073814256397911</v>
      </c>
      <c r="D161" s="15">
        <f t="shared" si="4"/>
        <v>44.866468548349111</v>
      </c>
      <c r="E161" s="15">
        <f t="shared" si="5"/>
        <v>4052169</v>
      </c>
      <c r="F161" s="29">
        <f t="shared" si="6"/>
        <v>4.9677098857426726E-4</v>
      </c>
      <c r="G161" s="15">
        <f t="shared" si="7"/>
        <v>5.2567659393898012</v>
      </c>
      <c r="H161" s="16">
        <f t="shared" si="8"/>
        <v>13.851353724455961</v>
      </c>
      <c r="I161" s="16">
        <f t="shared" si="9"/>
        <v>2.282984440133955</v>
      </c>
    </row>
    <row r="162" spans="1:9" x14ac:dyDescent="0.25">
      <c r="A162" s="16">
        <v>2013.25</v>
      </c>
      <c r="B162" s="16">
        <v>118.85</v>
      </c>
      <c r="C162" s="15">
        <f t="shared" si="11"/>
        <v>7.6075056106756547</v>
      </c>
      <c r="D162" s="15">
        <f t="shared" si="4"/>
        <v>44.869254506844662</v>
      </c>
      <c r="E162" s="15">
        <f t="shared" si="5"/>
        <v>4053175.5625</v>
      </c>
      <c r="F162" s="29">
        <f t="shared" si="6"/>
        <v>4.9670930088165902E-4</v>
      </c>
      <c r="G162" s="15">
        <f t="shared" si="7"/>
        <v>4.7778621938062029</v>
      </c>
      <c r="H162" s="16">
        <f t="shared" si="8"/>
        <v>10.901834707974617</v>
      </c>
      <c r="I162" s="16">
        <f t="shared" si="9"/>
        <v>2.0749991860641992</v>
      </c>
    </row>
    <row r="163" spans="1:9" x14ac:dyDescent="0.25">
      <c r="A163" s="16">
        <v>2013.5</v>
      </c>
      <c r="B163" s="16">
        <v>316.16999999999996</v>
      </c>
      <c r="C163" s="15">
        <f t="shared" si="11"/>
        <v>7.6076297802915089</v>
      </c>
      <c r="D163" s="15">
        <f t="shared" si="4"/>
        <v>44.872040292369142</v>
      </c>
      <c r="E163" s="15">
        <f t="shared" si="5"/>
        <v>4054182.25</v>
      </c>
      <c r="F163" s="29">
        <f t="shared" si="6"/>
        <v>4.9664762850757391E-4</v>
      </c>
      <c r="G163" s="15">
        <f t="shared" si="7"/>
        <v>5.7562800436139545</v>
      </c>
      <c r="H163" s="16">
        <f t="shared" si="8"/>
        <v>17.78116981528493</v>
      </c>
      <c r="I163" s="16">
        <f t="shared" si="9"/>
        <v>2.4999206592313503</v>
      </c>
    </row>
    <row r="164" spans="1:9" x14ac:dyDescent="0.25">
      <c r="A164" s="16">
        <v>2013.75</v>
      </c>
      <c r="B164" s="16">
        <v>24.1</v>
      </c>
      <c r="C164" s="15">
        <f t="shared" si="11"/>
        <v>7.6077539344911838</v>
      </c>
      <c r="D164" s="15">
        <f t="shared" si="4"/>
        <v>44.874825904954776</v>
      </c>
      <c r="E164" s="15">
        <f t="shared" si="5"/>
        <v>4055189.0625</v>
      </c>
      <c r="F164" s="29">
        <f t="shared" si="6"/>
        <v>4.9658597144630666E-4</v>
      </c>
      <c r="G164" s="15">
        <f t="shared" si="7"/>
        <v>3.1822118404966093</v>
      </c>
      <c r="H164" s="16">
        <f t="shared" si="8"/>
        <v>4.9091750834534311</v>
      </c>
      <c r="I164" s="16">
        <f t="shared" si="9"/>
        <v>1.3820170425748683</v>
      </c>
    </row>
    <row r="165" spans="1:9" x14ac:dyDescent="0.25">
      <c r="A165" s="16">
        <v>2014</v>
      </c>
      <c r="B165" s="16">
        <v>345.26</v>
      </c>
      <c r="C165" s="15">
        <f t="shared" si="11"/>
        <v>7.6078780732785072</v>
      </c>
      <c r="D165" s="15">
        <f t="shared" si="4"/>
        <v>44.877611344633749</v>
      </c>
      <c r="E165" s="15">
        <f t="shared" si="5"/>
        <v>4056196</v>
      </c>
      <c r="F165" s="29">
        <f t="shared" si="6"/>
        <v>4.965243296921549E-4</v>
      </c>
      <c r="G165" s="15">
        <f t="shared" si="7"/>
        <v>5.8442977563884027</v>
      </c>
      <c r="H165" s="16">
        <f t="shared" si="8"/>
        <v>18.581173267584585</v>
      </c>
      <c r="I165" s="16">
        <f t="shared" si="9"/>
        <v>2.5381462661990386</v>
      </c>
    </row>
    <row r="166" spans="1:9" x14ac:dyDescent="0.25">
      <c r="A166" s="16">
        <v>2014.25</v>
      </c>
      <c r="B166" s="16">
        <v>5.14</v>
      </c>
      <c r="C166" s="15">
        <f t="shared" si="11"/>
        <v>7.6080021966573055</v>
      </c>
      <c r="D166" s="15">
        <f t="shared" si="4"/>
        <v>44.880396611438272</v>
      </c>
      <c r="E166" s="15">
        <f t="shared" si="5"/>
        <v>4057203.0625</v>
      </c>
      <c r="F166" s="29">
        <f t="shared" si="6"/>
        <v>4.9646270323941909E-4</v>
      </c>
      <c r="G166" s="15">
        <f t="shared" si="7"/>
        <v>1.6370530794670737</v>
      </c>
      <c r="H166" s="16">
        <f t="shared" si="8"/>
        <v>2.2671568097509267</v>
      </c>
      <c r="I166" s="16">
        <f t="shared" si="9"/>
        <v>0.71096311899527576</v>
      </c>
    </row>
    <row r="167" spans="1:9" x14ac:dyDescent="0.25">
      <c r="A167" s="16">
        <v>2014.5</v>
      </c>
      <c r="B167" s="16">
        <v>81.92</v>
      </c>
      <c r="C167" s="15">
        <f t="shared" si="11"/>
        <v>7.6081263046314023</v>
      </c>
      <c r="D167" s="15">
        <f t="shared" si="4"/>
        <v>44.883181705400524</v>
      </c>
      <c r="E167" s="15">
        <f t="shared" si="5"/>
        <v>4058210.25</v>
      </c>
      <c r="F167" s="29">
        <f t="shared" si="6"/>
        <v>4.9640109208240262E-4</v>
      </c>
      <c r="G167" s="15">
        <f t="shared" si="7"/>
        <v>4.4057431612911975</v>
      </c>
      <c r="H167" s="16">
        <f t="shared" si="8"/>
        <v>9.0509667991878082</v>
      </c>
      <c r="I167" s="16">
        <f t="shared" si="9"/>
        <v>1.9133899436317556</v>
      </c>
    </row>
    <row r="168" spans="1:9" x14ac:dyDescent="0.25">
      <c r="A168" s="16">
        <v>2014.75</v>
      </c>
      <c r="B168" s="16">
        <v>123.12</v>
      </c>
      <c r="C168" s="15">
        <f t="shared" si="11"/>
        <v>7.6082503972046203</v>
      </c>
      <c r="D168" s="15">
        <f t="shared" si="4"/>
        <v>44.885966626552673</v>
      </c>
      <c r="E168" s="15">
        <f t="shared" si="5"/>
        <v>4059217.5625</v>
      </c>
      <c r="F168" s="29">
        <f t="shared" si="6"/>
        <v>4.9633949621541136E-4</v>
      </c>
      <c r="G168" s="15">
        <f t="shared" si="7"/>
        <v>4.8131594895306238</v>
      </c>
      <c r="H168" s="16">
        <f t="shared" si="8"/>
        <v>11.095945205344158</v>
      </c>
      <c r="I168" s="16">
        <f t="shared" si="9"/>
        <v>2.0903286068234221</v>
      </c>
    </row>
    <row r="169" spans="1:9" x14ac:dyDescent="0.25">
      <c r="A169" s="16">
        <v>2015</v>
      </c>
      <c r="B169" s="16">
        <v>86.22999999999999</v>
      </c>
      <c r="C169" s="15">
        <f t="shared" si="11"/>
        <v>7.6083744743807831</v>
      </c>
      <c r="D169" s="15">
        <f t="shared" si="4"/>
        <v>44.888751374926883</v>
      </c>
      <c r="E169" s="15">
        <f t="shared" si="5"/>
        <v>4060225</v>
      </c>
      <c r="F169" s="29">
        <f t="shared" si="6"/>
        <v>4.9627791563275434E-4</v>
      </c>
      <c r="G169" s="15">
        <f t="shared" si="7"/>
        <v>4.4570181449642332</v>
      </c>
      <c r="H169" s="16">
        <f t="shared" si="8"/>
        <v>9.2860109842709093</v>
      </c>
      <c r="I169" s="16">
        <f t="shared" si="9"/>
        <v>1.935658386100634</v>
      </c>
    </row>
    <row r="170" spans="1:9" x14ac:dyDescent="0.25">
      <c r="A170" s="16">
        <v>2015.25</v>
      </c>
      <c r="B170" s="16">
        <v>5.78</v>
      </c>
      <c r="C170" s="15">
        <f t="shared" si="11"/>
        <v>7.6084985361637099</v>
      </c>
      <c r="D170" s="15">
        <f t="shared" si="4"/>
        <v>44.891535950555308</v>
      </c>
      <c r="E170" s="15">
        <f t="shared" si="5"/>
        <v>4061232.5625</v>
      </c>
      <c r="F170" s="29">
        <f t="shared" si="6"/>
        <v>4.9621635032874329E-4</v>
      </c>
      <c r="G170" s="15">
        <f t="shared" si="7"/>
        <v>1.7544036826842861</v>
      </c>
      <c r="H170" s="16">
        <f t="shared" si="8"/>
        <v>2.4041630560342617</v>
      </c>
      <c r="I170" s="16">
        <f t="shared" si="9"/>
        <v>0.76192783842052902</v>
      </c>
    </row>
    <row r="171" spans="1:9" x14ac:dyDescent="0.25">
      <c r="A171" s="16">
        <v>2015.5</v>
      </c>
      <c r="B171" s="16">
        <v>129.16</v>
      </c>
      <c r="C171" s="15">
        <f t="shared" si="11"/>
        <v>7.6086225825572207</v>
      </c>
      <c r="D171" s="15">
        <f t="shared" si="4"/>
        <v>44.894320353470107</v>
      </c>
      <c r="E171" s="15">
        <f t="shared" si="5"/>
        <v>4062240.25</v>
      </c>
      <c r="F171" s="29">
        <f t="shared" si="6"/>
        <v>4.9615480029769287E-4</v>
      </c>
      <c r="G171" s="15">
        <f t="shared" si="7"/>
        <v>4.8610519458900745</v>
      </c>
      <c r="H171" s="16">
        <f t="shared" si="8"/>
        <v>11.364858116140297</v>
      </c>
      <c r="I171" s="16">
        <f t="shared" si="9"/>
        <v>2.1111280363451241</v>
      </c>
    </row>
    <row r="172" spans="1:9" x14ac:dyDescent="0.25">
      <c r="A172" s="16">
        <v>2015.75</v>
      </c>
      <c r="B172" s="16">
        <v>4.8600000000000003</v>
      </c>
      <c r="C172" s="15">
        <f t="shared" si="11"/>
        <v>7.6087466135651312</v>
      </c>
      <c r="D172" s="15">
        <f t="shared" si="4"/>
        <v>44.897104583703388</v>
      </c>
      <c r="E172" s="15">
        <f t="shared" si="5"/>
        <v>4063248.0625</v>
      </c>
      <c r="F172" s="29">
        <f t="shared" si="6"/>
        <v>4.9609326553392034E-4</v>
      </c>
      <c r="G172" s="15">
        <f t="shared" si="7"/>
        <v>1.5810384379124025</v>
      </c>
      <c r="H172" s="16">
        <f t="shared" si="8"/>
        <v>2.2045407685048604</v>
      </c>
      <c r="I172" s="16">
        <f t="shared" si="9"/>
        <v>0.68663626926229337</v>
      </c>
    </row>
    <row r="173" spans="1:9" x14ac:dyDescent="0.25">
      <c r="A173" s="16">
        <v>2016</v>
      </c>
      <c r="B173" s="16">
        <v>52.87</v>
      </c>
      <c r="C173" s="15">
        <f t="shared" si="11"/>
        <v>7.6088706291912596</v>
      </c>
      <c r="D173" s="15">
        <f t="shared" si="4"/>
        <v>44.899888641287298</v>
      </c>
      <c r="E173" s="15">
        <f t="shared" si="5"/>
        <v>4064256</v>
      </c>
      <c r="F173" s="29">
        <f t="shared" si="6"/>
        <v>4.96031746031746E-4</v>
      </c>
      <c r="G173" s="15">
        <f t="shared" si="7"/>
        <v>3.9678360702473587</v>
      </c>
      <c r="H173" s="16">
        <f t="shared" si="8"/>
        <v>7.2711759709141957</v>
      </c>
      <c r="I173" s="16">
        <f t="shared" si="9"/>
        <v>1.7232093104051114</v>
      </c>
    </row>
    <row r="174" spans="1:9" x14ac:dyDescent="0.25">
      <c r="A174" s="16">
        <v>2016.25</v>
      </c>
      <c r="B174" s="16">
        <v>41.22</v>
      </c>
      <c r="C174" s="15">
        <f t="shared" si="11"/>
        <v>7.6089946294394188</v>
      </c>
      <c r="D174" s="15">
        <f t="shared" si="4"/>
        <v>44.902672526253937</v>
      </c>
      <c r="E174" s="15">
        <f t="shared" si="5"/>
        <v>4065264.0625</v>
      </c>
      <c r="F174" s="29">
        <f t="shared" si="6"/>
        <v>4.9597024178549287E-4</v>
      </c>
      <c r="G174" s="15">
        <f t="shared" si="7"/>
        <v>3.7189235754623131</v>
      </c>
      <c r="H174" s="16">
        <f t="shared" si="8"/>
        <v>6.4202803677098093</v>
      </c>
      <c r="I174" s="16">
        <f t="shared" si="9"/>
        <v>1.6151079874431939</v>
      </c>
    </row>
    <row r="175" spans="1:9" x14ac:dyDescent="0.25">
      <c r="C175" s="17">
        <f>+AVERAGE(C149:C174)</f>
        <v>7.6074430863435403</v>
      </c>
      <c r="D175" s="17">
        <f t="shared" ref="D175:E175" si="12">+AVERAGE(D149:D174)</f>
        <v>44.867856683953548</v>
      </c>
      <c r="E175" s="17">
        <f t="shared" si="12"/>
        <v>4052675.78125</v>
      </c>
      <c r="F175" s="30">
        <f>+AVERAGE(F149:F174)</f>
        <v>4.9674057372717825E-4</v>
      </c>
      <c r="G175" s="17">
        <f t="shared" ref="G175:I175" si="13">+AVERAGE(G149:G174)</f>
        <v>4.6222017599407019</v>
      </c>
      <c r="H175" s="17">
        <f t="shared" si="13"/>
        <v>11.961798640595649</v>
      </c>
      <c r="I175" s="17">
        <f t="shared" si="13"/>
        <v>2.007396718585746</v>
      </c>
    </row>
    <row r="180" spans="1:6" x14ac:dyDescent="0.25">
      <c r="A180" t="s">
        <v>274</v>
      </c>
    </row>
    <row r="181" spans="1:6" ht="15.75" thickBot="1" x14ac:dyDescent="0.3"/>
    <row r="182" spans="1:6" x14ac:dyDescent="0.25">
      <c r="A182" s="8" t="s">
        <v>242</v>
      </c>
      <c r="B182" s="8"/>
    </row>
    <row r="183" spans="1:6" x14ac:dyDescent="0.25">
      <c r="A183" s="3" t="s">
        <v>243</v>
      </c>
      <c r="B183" s="3">
        <v>0.63572313358823962</v>
      </c>
    </row>
    <row r="184" spans="1:6" x14ac:dyDescent="0.25">
      <c r="A184" s="3" t="s">
        <v>244</v>
      </c>
      <c r="B184" s="10">
        <v>0.4041439025792507</v>
      </c>
    </row>
    <row r="185" spans="1:6" x14ac:dyDescent="0.25">
      <c r="A185" s="3" t="s">
        <v>245</v>
      </c>
      <c r="B185" s="3">
        <v>0.37931656518671947</v>
      </c>
    </row>
    <row r="186" spans="1:6" x14ac:dyDescent="0.25">
      <c r="A186" s="3" t="s">
        <v>246</v>
      </c>
      <c r="B186" s="3">
        <v>0.45962199944679849</v>
      </c>
    </row>
    <row r="187" spans="1:6" ht="15.75" thickBot="1" x14ac:dyDescent="0.3">
      <c r="A187" s="4" t="s">
        <v>247</v>
      </c>
      <c r="B187" s="4">
        <v>26</v>
      </c>
    </row>
    <row r="189" spans="1:6" ht="15.75" thickBot="1" x14ac:dyDescent="0.3">
      <c r="A189" t="s">
        <v>235</v>
      </c>
    </row>
    <row r="190" spans="1:6" x14ac:dyDescent="0.25">
      <c r="A190" s="5"/>
      <c r="B190" s="5" t="s">
        <v>237</v>
      </c>
      <c r="C190" s="5" t="s">
        <v>236</v>
      </c>
      <c r="D190" s="5" t="s">
        <v>238</v>
      </c>
      <c r="E190" s="5" t="s">
        <v>239</v>
      </c>
      <c r="F190" s="5" t="s">
        <v>251</v>
      </c>
    </row>
    <row r="191" spans="1:6" x14ac:dyDescent="0.25">
      <c r="A191" s="3" t="s">
        <v>248</v>
      </c>
      <c r="B191" s="3">
        <v>1</v>
      </c>
      <c r="C191" s="3">
        <v>3.4388046085067252</v>
      </c>
      <c r="D191" s="3">
        <v>3.4388046085067252</v>
      </c>
      <c r="E191" s="3">
        <v>16.278181433214375</v>
      </c>
      <c r="F191" s="3">
        <v>4.8275100867493372E-4</v>
      </c>
    </row>
    <row r="192" spans="1:6" x14ac:dyDescent="0.25">
      <c r="A192" s="3" t="s">
        <v>249</v>
      </c>
      <c r="B192" s="3">
        <v>24</v>
      </c>
      <c r="C192" s="3">
        <v>5.0700571770113481</v>
      </c>
      <c r="D192" s="10">
        <v>0.21125238237547284</v>
      </c>
      <c r="E192" s="3"/>
      <c r="F192" s="3"/>
    </row>
    <row r="193" spans="1:9" ht="15.75" thickBot="1" x14ac:dyDescent="0.3">
      <c r="A193" s="4" t="s">
        <v>215</v>
      </c>
      <c r="B193" s="4">
        <v>25</v>
      </c>
      <c r="C193" s="4">
        <v>8.5088617855180733</v>
      </c>
      <c r="D193" s="4"/>
      <c r="E193" s="4"/>
      <c r="F193" s="4"/>
    </row>
    <row r="194" spans="1:9" ht="15.75" thickBot="1" x14ac:dyDescent="0.3"/>
    <row r="195" spans="1:9" x14ac:dyDescent="0.25">
      <c r="A195" s="5"/>
      <c r="B195" s="5" t="s">
        <v>252</v>
      </c>
      <c r="C195" s="5" t="s">
        <v>246</v>
      </c>
      <c r="D195" s="5" t="s">
        <v>253</v>
      </c>
      <c r="E195" s="5" t="s">
        <v>240</v>
      </c>
      <c r="F195" s="5" t="s">
        <v>254</v>
      </c>
      <c r="G195" s="5" t="s">
        <v>255</v>
      </c>
      <c r="H195" s="5" t="s">
        <v>256</v>
      </c>
      <c r="I195" s="5" t="s">
        <v>257</v>
      </c>
    </row>
    <row r="196" spans="1:9" x14ac:dyDescent="0.25">
      <c r="A196" s="3" t="s">
        <v>250</v>
      </c>
      <c r="B196" s="3">
        <v>392.47638409104968</v>
      </c>
      <c r="C196" s="3">
        <v>96.779593174788999</v>
      </c>
      <c r="D196" s="3">
        <v>4.0553630286729643</v>
      </c>
      <c r="E196" s="3">
        <v>4.580755881212132E-4</v>
      </c>
      <c r="F196" s="3">
        <v>192.73312094265719</v>
      </c>
      <c r="G196" s="3">
        <v>592.21964723944211</v>
      </c>
      <c r="H196" s="3">
        <v>192.73312094265719</v>
      </c>
      <c r="I196" s="3">
        <v>592.21964723944211</v>
      </c>
    </row>
    <row r="197" spans="1:9" ht="15.75" thickBot="1" x14ac:dyDescent="0.3">
      <c r="A197" s="4" t="s">
        <v>258</v>
      </c>
      <c r="B197" s="4">
        <v>-0.19396162055136362</v>
      </c>
      <c r="C197" s="4">
        <v>4.807428808319502E-2</v>
      </c>
      <c r="D197" s="4">
        <v>-4.0346228365504464</v>
      </c>
      <c r="E197" s="4">
        <v>4.8275100867493372E-4</v>
      </c>
      <c r="F197" s="4">
        <v>-0.29318207457756118</v>
      </c>
      <c r="G197" s="4">
        <v>-9.4741166525166093E-2</v>
      </c>
      <c r="H197" s="4">
        <v>-0.29318207457756118</v>
      </c>
      <c r="I197" s="4">
        <v>-9.4741166525166093E-2</v>
      </c>
    </row>
    <row r="201" spans="1:9" x14ac:dyDescent="0.25">
      <c r="A201" t="s">
        <v>259</v>
      </c>
    </row>
    <row r="202" spans="1:9" ht="15.75" thickBot="1" x14ac:dyDescent="0.3"/>
    <row r="203" spans="1:9" x14ac:dyDescent="0.25">
      <c r="A203" s="5" t="s">
        <v>260</v>
      </c>
      <c r="B203" s="5" t="s">
        <v>261</v>
      </c>
      <c r="C203" s="5" t="s">
        <v>249</v>
      </c>
    </row>
    <row r="204" spans="1:9" x14ac:dyDescent="0.25">
      <c r="A204" s="3">
        <v>1</v>
      </c>
      <c r="B204" s="3">
        <v>2.6135267828087763</v>
      </c>
      <c r="C204" s="3">
        <v>-0.11866286392761527</v>
      </c>
    </row>
    <row r="205" spans="1:9" x14ac:dyDescent="0.25">
      <c r="A205" s="3">
        <v>2</v>
      </c>
      <c r="B205" s="3">
        <v>2.5650363776709355</v>
      </c>
      <c r="C205" s="3">
        <v>9.6643823112794625E-2</v>
      </c>
    </row>
    <row r="206" spans="1:9" x14ac:dyDescent="0.25">
      <c r="A206" s="3">
        <v>3</v>
      </c>
      <c r="B206" s="3">
        <v>2.5165459725330948</v>
      </c>
      <c r="C206" s="3">
        <v>0.15582900621298457</v>
      </c>
    </row>
    <row r="207" spans="1:9" x14ac:dyDescent="0.25">
      <c r="A207" s="3">
        <v>4</v>
      </c>
      <c r="B207" s="3">
        <v>2.468055567395254</v>
      </c>
      <c r="C207" s="3">
        <v>-1.3065419304405523E-3</v>
      </c>
    </row>
    <row r="208" spans="1:9" x14ac:dyDescent="0.25">
      <c r="A208" s="3">
        <v>5</v>
      </c>
      <c r="B208" s="3">
        <v>2.4195651622574132</v>
      </c>
      <c r="C208" s="3">
        <v>-0.68380662481367427</v>
      </c>
    </row>
    <row r="209" spans="1:3" x14ac:dyDescent="0.25">
      <c r="A209" s="3">
        <v>6</v>
      </c>
      <c r="B209" s="3">
        <v>2.3710747571195725</v>
      </c>
      <c r="C209" s="3">
        <v>0.25246396646591718</v>
      </c>
    </row>
    <row r="210" spans="1:3" x14ac:dyDescent="0.25">
      <c r="A210" s="3">
        <v>7</v>
      </c>
      <c r="B210" s="3">
        <v>2.3225843519817317</v>
      </c>
      <c r="C210" s="3">
        <v>2.7683054066186319E-2</v>
      </c>
    </row>
    <row r="211" spans="1:3" x14ac:dyDescent="0.25">
      <c r="A211" s="3">
        <v>8</v>
      </c>
      <c r="B211" s="3">
        <v>2.274093946843891</v>
      </c>
      <c r="C211" s="3">
        <v>9.6918470039949245E-2</v>
      </c>
    </row>
    <row r="212" spans="1:3" x14ac:dyDescent="0.25">
      <c r="A212" s="3">
        <v>9</v>
      </c>
      <c r="B212" s="3">
        <v>2.2256035417060502</v>
      </c>
      <c r="C212" s="3">
        <v>0.15797846290043394</v>
      </c>
    </row>
    <row r="213" spans="1:3" x14ac:dyDescent="0.25">
      <c r="A213" s="3">
        <v>10</v>
      </c>
      <c r="B213" s="3">
        <v>2.1771131365682095</v>
      </c>
      <c r="C213" s="3">
        <v>0.1077009608130215</v>
      </c>
    </row>
    <row r="214" spans="1:3" x14ac:dyDescent="0.25">
      <c r="A214" s="3">
        <v>11</v>
      </c>
      <c r="B214" s="3">
        <v>2.1286227314303687</v>
      </c>
      <c r="C214" s="3">
        <v>-0.14369056536295655</v>
      </c>
    </row>
    <row r="215" spans="1:3" x14ac:dyDescent="0.25">
      <c r="A215" s="3">
        <v>12</v>
      </c>
      <c r="B215" s="3">
        <v>2.080132326292528</v>
      </c>
      <c r="C215" s="3">
        <v>-0.24380821058577617</v>
      </c>
    </row>
    <row r="216" spans="1:3" x14ac:dyDescent="0.25">
      <c r="A216" s="3">
        <v>13</v>
      </c>
      <c r="B216" s="3">
        <v>2.0316419211546872</v>
      </c>
      <c r="C216" s="3">
        <v>0.25134251897926774</v>
      </c>
    </row>
    <row r="217" spans="1:3" x14ac:dyDescent="0.25">
      <c r="A217" s="3">
        <v>14</v>
      </c>
      <c r="B217" s="3">
        <v>1.9831515160168465</v>
      </c>
      <c r="C217" s="3">
        <v>9.1847670047352725E-2</v>
      </c>
    </row>
    <row r="218" spans="1:3" x14ac:dyDescent="0.25">
      <c r="A218" s="3">
        <v>15</v>
      </c>
      <c r="B218" s="3">
        <v>1.9346611108790057</v>
      </c>
      <c r="C218" s="3">
        <v>0.5652595483523446</v>
      </c>
    </row>
    <row r="219" spans="1:3" x14ac:dyDescent="0.25">
      <c r="A219" s="3">
        <v>16</v>
      </c>
      <c r="B219" s="3">
        <v>1.886170705741165</v>
      </c>
      <c r="C219" s="3">
        <v>-0.50415366316629662</v>
      </c>
    </row>
    <row r="220" spans="1:3" x14ac:dyDescent="0.25">
      <c r="A220" s="3">
        <v>17</v>
      </c>
      <c r="B220" s="3">
        <v>1.8376803006033242</v>
      </c>
      <c r="C220" s="3">
        <v>0.70046596559571439</v>
      </c>
    </row>
    <row r="221" spans="1:3" x14ac:dyDescent="0.25">
      <c r="A221" s="3">
        <v>18</v>
      </c>
      <c r="B221" s="3">
        <v>1.7891898954654835</v>
      </c>
      <c r="C221" s="3">
        <v>-1.0782267764702076</v>
      </c>
    </row>
    <row r="222" spans="1:3" x14ac:dyDescent="0.25">
      <c r="A222" s="3">
        <v>19</v>
      </c>
      <c r="B222" s="3">
        <v>1.7406994903276427</v>
      </c>
      <c r="C222" s="3">
        <v>0.17269045330411292</v>
      </c>
    </row>
    <row r="223" spans="1:3" x14ac:dyDescent="0.25">
      <c r="A223" s="3">
        <v>20</v>
      </c>
      <c r="B223" s="3">
        <v>1.692209085189802</v>
      </c>
      <c r="C223" s="3">
        <v>0.39811952163362019</v>
      </c>
    </row>
    <row r="224" spans="1:3" x14ac:dyDescent="0.25">
      <c r="A224" s="3">
        <v>21</v>
      </c>
      <c r="B224" s="3">
        <v>1.6437186800519612</v>
      </c>
      <c r="C224" s="3">
        <v>0.29193970604867281</v>
      </c>
    </row>
    <row r="225" spans="1:3" x14ac:dyDescent="0.25">
      <c r="A225" s="3">
        <v>22</v>
      </c>
      <c r="B225" s="3">
        <v>1.5952282749141204</v>
      </c>
      <c r="C225" s="3">
        <v>-0.83330043649359142</v>
      </c>
    </row>
    <row r="226" spans="1:3" x14ac:dyDescent="0.25">
      <c r="A226" s="3">
        <v>23</v>
      </c>
      <c r="B226" s="3">
        <v>1.5467378697762797</v>
      </c>
      <c r="C226" s="3">
        <v>0.56439016656884444</v>
      </c>
    </row>
    <row r="227" spans="1:3" x14ac:dyDescent="0.25">
      <c r="A227" s="3">
        <v>24</v>
      </c>
      <c r="B227" s="3">
        <v>1.4982474646384389</v>
      </c>
      <c r="C227" s="3">
        <v>-0.81161119537614557</v>
      </c>
    </row>
    <row r="228" spans="1:3" x14ac:dyDescent="0.25">
      <c r="A228" s="3">
        <v>25</v>
      </c>
      <c r="B228" s="3">
        <v>1.4497570595005982</v>
      </c>
      <c r="C228" s="3">
        <v>0.27345225090451319</v>
      </c>
    </row>
    <row r="229" spans="1:3" ht="15.75" thickBot="1" x14ac:dyDescent="0.3">
      <c r="A229" s="4">
        <v>26</v>
      </c>
      <c r="B229" s="4">
        <v>1.4012666543627574</v>
      </c>
      <c r="C229" s="4">
        <v>0.21384133308043651</v>
      </c>
    </row>
    <row r="232" spans="1:3" x14ac:dyDescent="0.25">
      <c r="A232" t="s">
        <v>275</v>
      </c>
    </row>
    <row r="233" spans="1:3" ht="15.75" thickBot="1" x14ac:dyDescent="0.3"/>
    <row r="234" spans="1:3" x14ac:dyDescent="0.25">
      <c r="A234" s="8" t="s">
        <v>242</v>
      </c>
      <c r="B234" s="8"/>
    </row>
    <row r="235" spans="1:3" x14ac:dyDescent="0.25">
      <c r="A235" s="3" t="s">
        <v>243</v>
      </c>
      <c r="B235" s="3">
        <v>0.69998944686972187</v>
      </c>
    </row>
    <row r="236" spans="1:3" x14ac:dyDescent="0.25">
      <c r="A236" s="3" t="s">
        <v>244</v>
      </c>
      <c r="B236" s="10">
        <v>0.48998522572897918</v>
      </c>
    </row>
    <row r="237" spans="1:3" x14ac:dyDescent="0.25">
      <c r="A237" s="3" t="s">
        <v>245</v>
      </c>
      <c r="B237" s="3">
        <v>0.4687346101343533</v>
      </c>
    </row>
    <row r="238" spans="1:3" x14ac:dyDescent="0.25">
      <c r="A238" s="3" t="s">
        <v>246</v>
      </c>
      <c r="B238" s="3">
        <v>4.3104822209403206</v>
      </c>
    </row>
    <row r="239" spans="1:3" ht="15.75" thickBot="1" x14ac:dyDescent="0.3">
      <c r="A239" s="4" t="s">
        <v>247</v>
      </c>
      <c r="B239" s="4">
        <v>26</v>
      </c>
    </row>
    <row r="241" spans="1:9" ht="15.75" thickBot="1" x14ac:dyDescent="0.3">
      <c r="A241" t="s">
        <v>235</v>
      </c>
    </row>
    <row r="242" spans="1:9" x14ac:dyDescent="0.25">
      <c r="A242" s="5"/>
      <c r="B242" s="5" t="s">
        <v>237</v>
      </c>
      <c r="C242" s="5" t="s">
        <v>236</v>
      </c>
      <c r="D242" s="5" t="s">
        <v>238</v>
      </c>
      <c r="E242" s="5" t="s">
        <v>239</v>
      </c>
      <c r="F242" s="5" t="s">
        <v>251</v>
      </c>
    </row>
    <row r="243" spans="1:9" x14ac:dyDescent="0.25">
      <c r="A243" s="3" t="s">
        <v>248</v>
      </c>
      <c r="B243" s="3">
        <v>1</v>
      </c>
      <c r="C243" s="3">
        <v>428.41353787892194</v>
      </c>
      <c r="D243" s="3">
        <v>428.41353787892194</v>
      </c>
      <c r="E243" s="3">
        <v>23.057460314368168</v>
      </c>
      <c r="F243" s="3">
        <v>6.8738236030581261E-5</v>
      </c>
    </row>
    <row r="244" spans="1:9" x14ac:dyDescent="0.25">
      <c r="A244" s="3" t="s">
        <v>249</v>
      </c>
      <c r="B244" s="3">
        <v>24</v>
      </c>
      <c r="C244" s="3">
        <v>445.92616744902239</v>
      </c>
      <c r="D244" s="10">
        <v>18.580256977042598</v>
      </c>
      <c r="E244" s="3"/>
      <c r="F244" s="3"/>
    </row>
    <row r="245" spans="1:9" ht="15.75" thickBot="1" x14ac:dyDescent="0.3">
      <c r="A245" s="4" t="s">
        <v>215</v>
      </c>
      <c r="B245" s="4">
        <v>25</v>
      </c>
      <c r="C245" s="4">
        <v>874.33970532794433</v>
      </c>
      <c r="D245" s="4"/>
      <c r="E245" s="4"/>
      <c r="F245" s="4"/>
    </row>
    <row r="246" spans="1:9" ht="15.75" thickBot="1" x14ac:dyDescent="0.3"/>
    <row r="247" spans="1:9" x14ac:dyDescent="0.25">
      <c r="A247" s="5"/>
      <c r="B247" s="5" t="s">
        <v>252</v>
      </c>
      <c r="C247" s="5" t="s">
        <v>246</v>
      </c>
      <c r="D247" s="5" t="s">
        <v>253</v>
      </c>
      <c r="E247" s="5" t="s">
        <v>240</v>
      </c>
      <c r="F247" s="5" t="s">
        <v>254</v>
      </c>
      <c r="G247" s="5" t="s">
        <v>255</v>
      </c>
      <c r="H247" s="5" t="s">
        <v>256</v>
      </c>
      <c r="I247" s="5" t="s">
        <v>257</v>
      </c>
    </row>
    <row r="248" spans="1:9" x14ac:dyDescent="0.25">
      <c r="A248" s="3" t="s">
        <v>250</v>
      </c>
      <c r="B248" s="3">
        <v>4370.2343813133766</v>
      </c>
      <c r="C248" s="3">
        <v>907.63000080907227</v>
      </c>
      <c r="D248" s="3">
        <v>4.8149955129487756</v>
      </c>
      <c r="E248" s="3">
        <v>6.6474937723120603E-5</v>
      </c>
      <c r="F248" s="3">
        <v>2496.9781281530886</v>
      </c>
      <c r="G248" s="3">
        <v>6243.4906344736646</v>
      </c>
      <c r="H248" s="3">
        <v>2496.9781281530886</v>
      </c>
      <c r="I248" s="3">
        <v>6243.4906344736646</v>
      </c>
    </row>
    <row r="249" spans="1:9" ht="15.75" thickBot="1" x14ac:dyDescent="0.3">
      <c r="A249" s="4" t="s">
        <v>258</v>
      </c>
      <c r="B249" s="4">
        <v>-2.1649289451339491</v>
      </c>
      <c r="C249" s="4">
        <v>0.45085606066809142</v>
      </c>
      <c r="D249" s="4">
        <v>-4.8018184382969045</v>
      </c>
      <c r="E249" s="4">
        <v>6.873823603058202E-5</v>
      </c>
      <c r="F249" s="4">
        <v>-3.0954501202481008</v>
      </c>
      <c r="G249" s="4">
        <v>-1.2344077700197973</v>
      </c>
      <c r="H249" s="4">
        <v>-3.0954501202481008</v>
      </c>
      <c r="I249" s="4">
        <v>-1.2344077700197973</v>
      </c>
    </row>
    <row r="253" spans="1:9" x14ac:dyDescent="0.25">
      <c r="A253" t="s">
        <v>259</v>
      </c>
    </row>
    <row r="254" spans="1:9" ht="15.75" thickBot="1" x14ac:dyDescent="0.3"/>
    <row r="255" spans="1:9" x14ac:dyDescent="0.25">
      <c r="A255" s="5" t="s">
        <v>260</v>
      </c>
      <c r="B255" s="5" t="s">
        <v>261</v>
      </c>
      <c r="C255" s="5" t="s">
        <v>249</v>
      </c>
    </row>
    <row r="256" spans="1:9" x14ac:dyDescent="0.25">
      <c r="A256" s="3">
        <v>1</v>
      </c>
      <c r="B256" s="3">
        <v>18.727201594138933</v>
      </c>
      <c r="C256" s="3">
        <v>-1.0492492240254769</v>
      </c>
    </row>
    <row r="257" spans="1:3" x14ac:dyDescent="0.25">
      <c r="A257" s="3">
        <v>2</v>
      </c>
      <c r="B257" s="3">
        <v>18.185969357855356</v>
      </c>
      <c r="C257" s="3">
        <v>3.2350483583970622</v>
      </c>
    </row>
    <row r="258" spans="1:3" x14ac:dyDescent="0.25">
      <c r="A258" s="3">
        <v>3</v>
      </c>
      <c r="B258" s="3">
        <v>17.644737121571779</v>
      </c>
      <c r="C258" s="3">
        <v>4.041664147426264</v>
      </c>
    </row>
    <row r="259" spans="1:3" x14ac:dyDescent="0.25">
      <c r="A259" s="3">
        <v>4</v>
      </c>
      <c r="B259" s="3">
        <v>17.103504885288203</v>
      </c>
      <c r="C259" s="3">
        <v>1.1400898852123476E-2</v>
      </c>
    </row>
    <row r="260" spans="1:3" x14ac:dyDescent="0.25">
      <c r="A260" s="3">
        <v>5</v>
      </c>
      <c r="B260" s="3">
        <v>16.562272649004626</v>
      </c>
      <c r="C260" s="3">
        <v>-9.1852813924014303</v>
      </c>
    </row>
    <row r="261" spans="1:3" x14ac:dyDescent="0.25">
      <c r="A261" s="3">
        <v>6</v>
      </c>
      <c r="B261" s="3">
        <v>16.021040412721959</v>
      </c>
      <c r="C261" s="3">
        <v>4.4796912815371499</v>
      </c>
    </row>
    <row r="262" spans="1:3" x14ac:dyDescent="0.25">
      <c r="A262" s="3">
        <v>7</v>
      </c>
      <c r="B262" s="3">
        <v>15.479808176438382</v>
      </c>
      <c r="C262" s="3">
        <v>-0.51284455651867589</v>
      </c>
    </row>
    <row r="263" spans="1:3" x14ac:dyDescent="0.25">
      <c r="A263" s="3">
        <v>8</v>
      </c>
      <c r="B263" s="3">
        <v>14.938575940154806</v>
      </c>
      <c r="C263" s="3">
        <v>0.39015525326104061</v>
      </c>
    </row>
    <row r="264" spans="1:3" x14ac:dyDescent="0.25">
      <c r="A264" s="3">
        <v>9</v>
      </c>
      <c r="B264" s="3">
        <v>14.397343703871229</v>
      </c>
      <c r="C264" s="3">
        <v>1.1548265626864254</v>
      </c>
    </row>
    <row r="265" spans="1:3" x14ac:dyDescent="0.25">
      <c r="A265" s="3">
        <v>10</v>
      </c>
      <c r="B265" s="3">
        <v>13.856111467587652</v>
      </c>
      <c r="C265" s="3">
        <v>2.4450480690953569E-2</v>
      </c>
    </row>
    <row r="266" spans="1:3" x14ac:dyDescent="0.25">
      <c r="A266" s="3">
        <v>11</v>
      </c>
      <c r="B266" s="3">
        <v>13.314879231304076</v>
      </c>
      <c r="C266" s="3">
        <v>-3.4868580673056986</v>
      </c>
    </row>
    <row r="267" spans="1:3" x14ac:dyDescent="0.25">
      <c r="A267" s="3">
        <v>12</v>
      </c>
      <c r="B267" s="3">
        <v>12.773646995020499</v>
      </c>
      <c r="C267" s="3">
        <v>-4.4911352986810353</v>
      </c>
    </row>
    <row r="268" spans="1:3" x14ac:dyDescent="0.25">
      <c r="A268" s="3">
        <v>13</v>
      </c>
      <c r="B268" s="3">
        <v>12.232414758736923</v>
      </c>
      <c r="C268" s="3">
        <v>1.6189389657190389</v>
      </c>
    </row>
    <row r="269" spans="1:3" x14ac:dyDescent="0.25">
      <c r="A269" s="3">
        <v>14</v>
      </c>
      <c r="B269" s="3">
        <v>11.691182522453346</v>
      </c>
      <c r="C269" s="3">
        <v>-0.78934781447872915</v>
      </c>
    </row>
    <row r="270" spans="1:3" x14ac:dyDescent="0.25">
      <c r="A270" s="3">
        <v>15</v>
      </c>
      <c r="B270" s="3">
        <v>11.149950286169769</v>
      </c>
      <c r="C270" s="3">
        <v>6.6312195291151603</v>
      </c>
    </row>
    <row r="271" spans="1:3" x14ac:dyDescent="0.25">
      <c r="A271" s="3">
        <v>16</v>
      </c>
      <c r="B271" s="3">
        <v>10.608718049887102</v>
      </c>
      <c r="C271" s="3">
        <v>-5.699542966433671</v>
      </c>
    </row>
    <row r="272" spans="1:3" x14ac:dyDescent="0.25">
      <c r="A272" s="3">
        <v>17</v>
      </c>
      <c r="B272" s="3">
        <v>10.067485813603525</v>
      </c>
      <c r="C272" s="3">
        <v>8.5136874539810599</v>
      </c>
    </row>
    <row r="273" spans="1:3" x14ac:dyDescent="0.25">
      <c r="A273" s="3">
        <v>18</v>
      </c>
      <c r="B273" s="3">
        <v>9.5262535773199488</v>
      </c>
      <c r="C273" s="3">
        <v>-7.2590967675690221</v>
      </c>
    </row>
    <row r="274" spans="1:3" x14ac:dyDescent="0.25">
      <c r="A274" s="3">
        <v>19</v>
      </c>
      <c r="B274" s="3">
        <v>8.9850213410363722</v>
      </c>
      <c r="C274" s="3">
        <v>6.5945458151436043E-2</v>
      </c>
    </row>
    <row r="275" spans="1:3" x14ac:dyDescent="0.25">
      <c r="A275" s="3">
        <v>20</v>
      </c>
      <c r="B275" s="3">
        <v>8.4437891047527955</v>
      </c>
      <c r="C275" s="3">
        <v>2.6521561005913625</v>
      </c>
    </row>
    <row r="276" spans="1:3" x14ac:dyDescent="0.25">
      <c r="A276" s="3">
        <v>21</v>
      </c>
      <c r="B276" s="3">
        <v>7.9025568684692189</v>
      </c>
      <c r="C276" s="3">
        <v>1.3834541158016904</v>
      </c>
    </row>
    <row r="277" spans="1:3" x14ac:dyDescent="0.25">
      <c r="A277" s="3">
        <v>22</v>
      </c>
      <c r="B277" s="3">
        <v>7.3613246321856423</v>
      </c>
      <c r="C277" s="3">
        <v>-4.9571615761513801</v>
      </c>
    </row>
    <row r="278" spans="1:3" x14ac:dyDescent="0.25">
      <c r="A278" s="3">
        <v>23</v>
      </c>
      <c r="B278" s="3">
        <v>6.8200923959020656</v>
      </c>
      <c r="C278" s="3">
        <v>4.5447657202382317</v>
      </c>
    </row>
    <row r="279" spans="1:3" x14ac:dyDescent="0.25">
      <c r="A279" s="3">
        <v>24</v>
      </c>
      <c r="B279" s="3">
        <v>6.278860159618489</v>
      </c>
      <c r="C279" s="3">
        <v>-4.0743193911136286</v>
      </c>
    </row>
    <row r="280" spans="1:3" x14ac:dyDescent="0.25">
      <c r="A280" s="3">
        <v>25</v>
      </c>
      <c r="B280" s="3">
        <v>5.7376279233349123</v>
      </c>
      <c r="C280" s="3">
        <v>1.5335480475792833</v>
      </c>
    </row>
    <row r="281" spans="1:3" ht="15.75" thickBot="1" x14ac:dyDescent="0.3">
      <c r="A281" s="4">
        <v>26</v>
      </c>
      <c r="B281" s="4">
        <v>5.1963956870522452</v>
      </c>
      <c r="C281" s="4">
        <v>1.2238846806575641</v>
      </c>
    </row>
    <row r="284" spans="1:3" x14ac:dyDescent="0.25">
      <c r="A284" t="s">
        <v>276</v>
      </c>
    </row>
    <row r="285" spans="1:3" ht="15.75" thickBot="1" x14ac:dyDescent="0.3"/>
    <row r="286" spans="1:3" x14ac:dyDescent="0.25">
      <c r="A286" s="8" t="s">
        <v>242</v>
      </c>
      <c r="B286" s="8"/>
    </row>
    <row r="287" spans="1:3" x14ac:dyDescent="0.25">
      <c r="A287" s="3" t="s">
        <v>243</v>
      </c>
      <c r="B287" s="3">
        <v>0.63572313358823962</v>
      </c>
    </row>
    <row r="288" spans="1:3" x14ac:dyDescent="0.25">
      <c r="A288" s="3" t="s">
        <v>244</v>
      </c>
      <c r="B288" s="10">
        <v>0.40414390257925076</v>
      </c>
    </row>
    <row r="289" spans="1:9" x14ac:dyDescent="0.25">
      <c r="A289" s="3" t="s">
        <v>245</v>
      </c>
      <c r="B289" s="3">
        <v>0.37931656518671958</v>
      </c>
    </row>
    <row r="290" spans="1:9" x14ac:dyDescent="0.25">
      <c r="A290" s="3" t="s">
        <v>246</v>
      </c>
      <c r="B290" s="3">
        <v>1.0583187643383156</v>
      </c>
    </row>
    <row r="291" spans="1:9" ht="15.75" thickBot="1" x14ac:dyDescent="0.3">
      <c r="A291" s="4" t="s">
        <v>247</v>
      </c>
      <c r="B291" s="4">
        <v>26</v>
      </c>
    </row>
    <row r="293" spans="1:9" ht="15.75" thickBot="1" x14ac:dyDescent="0.3">
      <c r="A293" t="s">
        <v>235</v>
      </c>
    </row>
    <row r="294" spans="1:9" x14ac:dyDescent="0.25">
      <c r="A294" s="5"/>
      <c r="B294" s="5" t="s">
        <v>237</v>
      </c>
      <c r="C294" s="5" t="s">
        <v>236</v>
      </c>
      <c r="D294" s="5" t="s">
        <v>238</v>
      </c>
      <c r="E294" s="5" t="s">
        <v>239</v>
      </c>
      <c r="F294" s="5" t="s">
        <v>251</v>
      </c>
    </row>
    <row r="295" spans="1:9" x14ac:dyDescent="0.25">
      <c r="A295" s="3" t="s">
        <v>248</v>
      </c>
      <c r="B295" s="3">
        <v>1</v>
      </c>
      <c r="C295" s="3">
        <v>18.232191656146217</v>
      </c>
      <c r="D295" s="3">
        <v>18.232191656146217</v>
      </c>
      <c r="E295" s="3">
        <v>16.278181433214378</v>
      </c>
      <c r="F295" s="3">
        <v>4.8275100867493372E-4</v>
      </c>
    </row>
    <row r="296" spans="1:9" x14ac:dyDescent="0.25">
      <c r="A296" s="3" t="s">
        <v>249</v>
      </c>
      <c r="B296" s="3">
        <v>24</v>
      </c>
      <c r="C296" s="3">
        <v>26.880926566813901</v>
      </c>
      <c r="D296" s="10">
        <v>1.1200386069505792</v>
      </c>
      <c r="E296" s="3"/>
      <c r="F296" s="3"/>
    </row>
    <row r="297" spans="1:9" ht="15.75" thickBot="1" x14ac:dyDescent="0.3">
      <c r="A297" s="4" t="s">
        <v>215</v>
      </c>
      <c r="B297" s="4">
        <v>25</v>
      </c>
      <c r="C297" s="4">
        <v>45.113118222960118</v>
      </c>
      <c r="D297" s="4"/>
      <c r="E297" s="4"/>
      <c r="F297" s="4"/>
    </row>
    <row r="298" spans="1:9" ht="15.75" thickBot="1" x14ac:dyDescent="0.3"/>
    <row r="299" spans="1:9" x14ac:dyDescent="0.25">
      <c r="A299" s="5"/>
      <c r="B299" s="5" t="s">
        <v>252</v>
      </c>
      <c r="C299" s="5" t="s">
        <v>246</v>
      </c>
      <c r="D299" s="5" t="s">
        <v>253</v>
      </c>
      <c r="E299" s="5" t="s">
        <v>240</v>
      </c>
      <c r="F299" s="5" t="s">
        <v>254</v>
      </c>
      <c r="G299" s="5" t="s">
        <v>255</v>
      </c>
      <c r="H299" s="5" t="s">
        <v>256</v>
      </c>
      <c r="I299" s="5" t="s">
        <v>257</v>
      </c>
    </row>
    <row r="300" spans="1:9" x14ac:dyDescent="0.25">
      <c r="A300" s="3" t="s">
        <v>250</v>
      </c>
      <c r="B300" s="3">
        <v>903.71027136025668</v>
      </c>
      <c r="C300" s="3">
        <v>222.8432485502974</v>
      </c>
      <c r="D300" s="3">
        <v>4.0553630286729661</v>
      </c>
      <c r="E300" s="3">
        <v>4.5807558812121114E-4</v>
      </c>
      <c r="F300" s="3">
        <v>443.78441120878131</v>
      </c>
      <c r="G300" s="3">
        <v>1363.6361315117319</v>
      </c>
      <c r="H300" s="3">
        <v>443.78441120878131</v>
      </c>
      <c r="I300" s="3">
        <v>1363.6361315117319</v>
      </c>
    </row>
    <row r="301" spans="1:9" ht="15.75" thickBot="1" x14ac:dyDescent="0.3">
      <c r="A301" s="4" t="s">
        <v>258</v>
      </c>
      <c r="B301" s="4">
        <v>-0.44661313609453757</v>
      </c>
      <c r="C301" s="4">
        <v>0.11069513909666613</v>
      </c>
      <c r="D301" s="4">
        <v>-4.0346228365504482</v>
      </c>
      <c r="E301" s="4">
        <v>4.8275100867493318E-4</v>
      </c>
      <c r="F301" s="4">
        <v>-0.67507667445536101</v>
      </c>
      <c r="G301" s="4">
        <v>-0.21814959773371415</v>
      </c>
      <c r="H301" s="4">
        <v>-0.67507667445536101</v>
      </c>
      <c r="I301" s="4">
        <v>-0.21814959773371415</v>
      </c>
    </row>
    <row r="305" spans="1:3" x14ac:dyDescent="0.25">
      <c r="A305" t="s">
        <v>259</v>
      </c>
    </row>
    <row r="306" spans="1:3" ht="15.75" thickBot="1" x14ac:dyDescent="0.3"/>
    <row r="307" spans="1:3" x14ac:dyDescent="0.25">
      <c r="A307" s="5" t="s">
        <v>260</v>
      </c>
      <c r="B307" s="5" t="s">
        <v>261</v>
      </c>
      <c r="C307" s="5" t="s">
        <v>249</v>
      </c>
    </row>
    <row r="308" spans="1:3" x14ac:dyDescent="0.25">
      <c r="A308" s="3">
        <v>1</v>
      </c>
      <c r="B308" s="3">
        <v>6.0178678102362255</v>
      </c>
      <c r="C308" s="3">
        <v>-0.27323134157175843</v>
      </c>
    </row>
    <row r="309" spans="1:3" x14ac:dyDescent="0.25">
      <c r="A309" s="3">
        <v>2</v>
      </c>
      <c r="B309" s="3">
        <v>5.9062145262125796</v>
      </c>
      <c r="C309" s="3">
        <v>0.22253062642943622</v>
      </c>
    </row>
    <row r="310" spans="1:3" x14ac:dyDescent="0.25">
      <c r="A310" s="3">
        <v>3</v>
      </c>
      <c r="B310" s="3">
        <v>5.7945612421889336</v>
      </c>
      <c r="C310" s="3">
        <v>0.35880954676206844</v>
      </c>
    </row>
    <row r="311" spans="1:3" x14ac:dyDescent="0.25">
      <c r="A311" s="3">
        <v>4</v>
      </c>
      <c r="B311" s="3">
        <v>5.6829079581652877</v>
      </c>
      <c r="C311" s="3">
        <v>-3.0084239724184059E-3</v>
      </c>
    </row>
    <row r="312" spans="1:3" x14ac:dyDescent="0.25">
      <c r="A312" s="3">
        <v>5</v>
      </c>
      <c r="B312" s="3">
        <v>5.5712546741416418</v>
      </c>
      <c r="C312" s="3">
        <v>-1.5745229407865415</v>
      </c>
    </row>
    <row r="313" spans="1:3" x14ac:dyDescent="0.25">
      <c r="A313" s="3">
        <v>6</v>
      </c>
      <c r="B313" s="3">
        <v>5.4596013901179958</v>
      </c>
      <c r="C313" s="3">
        <v>0.58131976570257837</v>
      </c>
    </row>
    <row r="314" spans="1:3" x14ac:dyDescent="0.25">
      <c r="A314" s="3">
        <v>7</v>
      </c>
      <c r="B314" s="3">
        <v>5.3479481060943499</v>
      </c>
      <c r="C314" s="3">
        <v>6.3742587621369751E-2</v>
      </c>
    </row>
    <row r="315" spans="1:3" x14ac:dyDescent="0.25">
      <c r="A315" s="3">
        <v>8</v>
      </c>
      <c r="B315" s="3">
        <v>5.236294822070704</v>
      </c>
      <c r="C315" s="3">
        <v>0.22316302434980972</v>
      </c>
    </row>
    <row r="316" spans="1:3" x14ac:dyDescent="0.25">
      <c r="A316" s="3">
        <v>9</v>
      </c>
      <c r="B316" s="3">
        <v>5.124641538047058</v>
      </c>
      <c r="C316" s="3">
        <v>0.36375885368869731</v>
      </c>
    </row>
    <row r="317" spans="1:3" x14ac:dyDescent="0.25">
      <c r="A317" s="3">
        <v>10</v>
      </c>
      <c r="B317" s="3">
        <v>5.0129882540234121</v>
      </c>
      <c r="C317" s="3">
        <v>0.24799062686925666</v>
      </c>
    </row>
    <row r="318" spans="1:3" x14ac:dyDescent="0.25">
      <c r="A318" s="3">
        <v>11</v>
      </c>
      <c r="B318" s="3">
        <v>4.9013349699998798</v>
      </c>
      <c r="C318" s="3">
        <v>-0.33085975380867527</v>
      </c>
    </row>
    <row r="319" spans="1:3" x14ac:dyDescent="0.25">
      <c r="A319" s="3">
        <v>12</v>
      </c>
      <c r="B319" s="3">
        <v>4.7896816859762339</v>
      </c>
      <c r="C319" s="3">
        <v>-0.56138915124439404</v>
      </c>
    </row>
    <row r="320" spans="1:3" x14ac:dyDescent="0.25">
      <c r="A320" s="3">
        <v>13</v>
      </c>
      <c r="B320" s="3">
        <v>4.678028401952588</v>
      </c>
      <c r="C320" s="3">
        <v>0.57873753743721323</v>
      </c>
    </row>
    <row r="321" spans="1:3" x14ac:dyDescent="0.25">
      <c r="A321" s="3">
        <v>14</v>
      </c>
      <c r="B321" s="3">
        <v>4.566375117928942</v>
      </c>
      <c r="C321" s="3">
        <v>0.2114870758772609</v>
      </c>
    </row>
    <row r="322" spans="1:3" x14ac:dyDescent="0.25">
      <c r="A322" s="3">
        <v>15</v>
      </c>
      <c r="B322" s="3">
        <v>4.4547218339052961</v>
      </c>
      <c r="C322" s="3">
        <v>1.3015582097086584</v>
      </c>
    </row>
    <row r="323" spans="1:3" x14ac:dyDescent="0.25">
      <c r="A323" s="3">
        <v>16</v>
      </c>
      <c r="B323" s="3">
        <v>4.3430685498816501</v>
      </c>
      <c r="C323" s="3">
        <v>-1.1608567093850408</v>
      </c>
    </row>
    <row r="324" spans="1:3" x14ac:dyDescent="0.25">
      <c r="A324" s="3">
        <v>17</v>
      </c>
      <c r="B324" s="3">
        <v>4.2314152658580042</v>
      </c>
      <c r="C324" s="3">
        <v>1.6128824905303984</v>
      </c>
    </row>
    <row r="325" spans="1:3" x14ac:dyDescent="0.25">
      <c r="A325" s="3">
        <v>18</v>
      </c>
      <c r="B325" s="3">
        <v>4.1197619818343583</v>
      </c>
      <c r="C325" s="3">
        <v>-2.4827089023672846</v>
      </c>
    </row>
    <row r="326" spans="1:3" x14ac:dyDescent="0.25">
      <c r="A326" s="3">
        <v>19</v>
      </c>
      <c r="B326" s="3">
        <v>4.0081086978107123</v>
      </c>
      <c r="C326" s="3">
        <v>0.39763446348048515</v>
      </c>
    </row>
    <row r="327" spans="1:3" x14ac:dyDescent="0.25">
      <c r="A327" s="3">
        <v>20</v>
      </c>
      <c r="B327" s="3">
        <v>3.8964554137870664</v>
      </c>
      <c r="C327" s="3">
        <v>0.91670407574355739</v>
      </c>
    </row>
    <row r="328" spans="1:3" x14ac:dyDescent="0.25">
      <c r="A328" s="3">
        <v>21</v>
      </c>
      <c r="B328" s="3">
        <v>3.7848021297635341</v>
      </c>
      <c r="C328" s="3">
        <v>0.67221601520069907</v>
      </c>
    </row>
    <row r="329" spans="1:3" x14ac:dyDescent="0.25">
      <c r="A329" s="3">
        <v>22</v>
      </c>
      <c r="B329" s="3">
        <v>3.6731488457398882</v>
      </c>
      <c r="C329" s="3">
        <v>-1.9187451630556021</v>
      </c>
    </row>
    <row r="330" spans="1:3" x14ac:dyDescent="0.25">
      <c r="A330" s="3">
        <v>23</v>
      </c>
      <c r="B330" s="3">
        <v>3.5614955617162423</v>
      </c>
      <c r="C330" s="3">
        <v>1.2995563841738322</v>
      </c>
    </row>
    <row r="331" spans="1:3" x14ac:dyDescent="0.25">
      <c r="A331" s="3">
        <v>24</v>
      </c>
      <c r="B331" s="3">
        <v>3.4498422776925963</v>
      </c>
      <c r="C331" s="3">
        <v>-1.8688038397801938</v>
      </c>
    </row>
    <row r="332" spans="1:3" x14ac:dyDescent="0.25">
      <c r="A332" s="3">
        <v>25</v>
      </c>
      <c r="B332" s="3">
        <v>3.3381889936689504</v>
      </c>
      <c r="C332" s="3">
        <v>0.62964707657840835</v>
      </c>
    </row>
    <row r="333" spans="1:3" ht="15.75" thickBot="1" x14ac:dyDescent="0.3">
      <c r="A333" s="4">
        <v>26</v>
      </c>
      <c r="B333" s="4">
        <v>3.2265357096453045</v>
      </c>
      <c r="C333" s="4">
        <v>0.49238786581700866</v>
      </c>
    </row>
    <row r="336" spans="1:3" x14ac:dyDescent="0.25">
      <c r="A336" t="s">
        <v>290</v>
      </c>
    </row>
    <row r="337" spans="1:9" ht="15.75" thickBot="1" x14ac:dyDescent="0.3"/>
    <row r="338" spans="1:9" x14ac:dyDescent="0.25">
      <c r="A338" s="8" t="s">
        <v>242</v>
      </c>
      <c r="B338" s="8"/>
    </row>
    <row r="339" spans="1:9" x14ac:dyDescent="0.25">
      <c r="A339" s="3" t="s">
        <v>243</v>
      </c>
      <c r="B339" s="3">
        <v>0.70040562093112546</v>
      </c>
    </row>
    <row r="340" spans="1:9" x14ac:dyDescent="0.25">
      <c r="A340" s="3" t="s">
        <v>244</v>
      </c>
      <c r="B340" s="10">
        <v>0.49056803383191538</v>
      </c>
    </row>
    <row r="341" spans="1:9" x14ac:dyDescent="0.25">
      <c r="A341" s="3" t="s">
        <v>245</v>
      </c>
      <c r="B341" s="3">
        <v>0.46934170190824515</v>
      </c>
    </row>
    <row r="342" spans="1:9" x14ac:dyDescent="0.25">
      <c r="A342" s="3" t="s">
        <v>246</v>
      </c>
      <c r="B342" s="3">
        <v>104.97755136076185</v>
      </c>
    </row>
    <row r="343" spans="1:9" ht="15.75" thickBot="1" x14ac:dyDescent="0.3">
      <c r="A343" s="4" t="s">
        <v>247</v>
      </c>
      <c r="B343" s="4">
        <v>26</v>
      </c>
    </row>
    <row r="345" spans="1:9" ht="15.75" thickBot="1" x14ac:dyDescent="0.3">
      <c r="A345" t="s">
        <v>235</v>
      </c>
    </row>
    <row r="346" spans="1:9" x14ac:dyDescent="0.25">
      <c r="A346" s="5"/>
      <c r="B346" s="5" t="s">
        <v>237</v>
      </c>
      <c r="C346" s="5" t="s">
        <v>236</v>
      </c>
      <c r="D346" s="5" t="s">
        <v>238</v>
      </c>
      <c r="E346" s="5" t="s">
        <v>239</v>
      </c>
      <c r="F346" s="5" t="s">
        <v>251</v>
      </c>
    </row>
    <row r="347" spans="1:9" x14ac:dyDescent="0.25">
      <c r="A347" s="3" t="s">
        <v>248</v>
      </c>
      <c r="B347" s="3">
        <v>1</v>
      </c>
      <c r="C347" s="3">
        <v>254693.09520101268</v>
      </c>
      <c r="D347" s="3">
        <v>254693.09520101268</v>
      </c>
      <c r="E347" s="3">
        <v>23.111295705541409</v>
      </c>
      <c r="F347" s="3">
        <v>6.7766650642707261E-5</v>
      </c>
    </row>
    <row r="348" spans="1:9" x14ac:dyDescent="0.25">
      <c r="A348" s="3" t="s">
        <v>249</v>
      </c>
      <c r="B348" s="3">
        <v>24</v>
      </c>
      <c r="C348" s="3">
        <v>264486.87095283344</v>
      </c>
      <c r="D348" s="10">
        <v>11020.286289701393</v>
      </c>
      <c r="E348" s="3"/>
      <c r="F348" s="3"/>
    </row>
    <row r="349" spans="1:9" ht="15.75" thickBot="1" x14ac:dyDescent="0.3">
      <c r="A349" s="4" t="s">
        <v>215</v>
      </c>
      <c r="B349" s="4">
        <v>25</v>
      </c>
      <c r="C349" s="4">
        <v>519179.96615384612</v>
      </c>
      <c r="D349" s="4"/>
      <c r="E349" s="4"/>
      <c r="F349" s="4"/>
    </row>
    <row r="350" spans="1:9" ht="15.75" thickBot="1" x14ac:dyDescent="0.3"/>
    <row r="351" spans="1:9" x14ac:dyDescent="0.25">
      <c r="A351" s="5"/>
      <c r="B351" s="5" t="s">
        <v>252</v>
      </c>
      <c r="C351" s="5" t="s">
        <v>246</v>
      </c>
      <c r="D351" s="5" t="s">
        <v>253</v>
      </c>
      <c r="E351" s="5" t="s">
        <v>240</v>
      </c>
      <c r="F351" s="5" t="s">
        <v>254</v>
      </c>
      <c r="G351" s="5" t="s">
        <v>255</v>
      </c>
      <c r="H351" s="5" t="s">
        <v>256</v>
      </c>
      <c r="I351" s="5" t="s">
        <v>257</v>
      </c>
    </row>
    <row r="352" spans="1:9" x14ac:dyDescent="0.25">
      <c r="A352" s="3" t="s">
        <v>250</v>
      </c>
      <c r="B352" s="3">
        <v>-106088.45456015543</v>
      </c>
      <c r="C352" s="3">
        <v>22104.412313570814</v>
      </c>
      <c r="D352" s="3">
        <v>-4.7994243436647865</v>
      </c>
      <c r="E352" s="3">
        <v>6.9157676301692656E-5</v>
      </c>
      <c r="F352" s="3">
        <v>-151709.71933976703</v>
      </c>
      <c r="G352" s="3">
        <v>-60467.189780543813</v>
      </c>
      <c r="H352" s="3">
        <v>-151709.71933976703</v>
      </c>
      <c r="I352" s="3">
        <v>-60467.189780543813</v>
      </c>
    </row>
    <row r="353" spans="1:9" ht="15.75" thickBot="1" x14ac:dyDescent="0.3">
      <c r="A353" s="4" t="s">
        <v>258</v>
      </c>
      <c r="B353" s="4">
        <v>213924880.02287057</v>
      </c>
      <c r="C353" s="4">
        <v>44498887.135590754</v>
      </c>
      <c r="D353" s="4">
        <v>4.8074208995615724</v>
      </c>
      <c r="E353" s="4">
        <v>6.7766650642707397E-5</v>
      </c>
      <c r="F353" s="4">
        <v>122083690.86967696</v>
      </c>
      <c r="G353" s="4">
        <v>305766069.17606419</v>
      </c>
      <c r="H353" s="4">
        <v>122083690.86967696</v>
      </c>
      <c r="I353" s="4">
        <v>305766069.17606419</v>
      </c>
    </row>
    <row r="357" spans="1:9" x14ac:dyDescent="0.25">
      <c r="A357" t="s">
        <v>259</v>
      </c>
    </row>
    <row r="358" spans="1:9" ht="15.75" thickBot="1" x14ac:dyDescent="0.3"/>
    <row r="359" spans="1:9" x14ac:dyDescent="0.25">
      <c r="A359" s="5" t="s">
        <v>260</v>
      </c>
      <c r="B359" s="5" t="s">
        <v>261</v>
      </c>
      <c r="C359" s="5" t="s">
        <v>249</v>
      </c>
    </row>
    <row r="360" spans="1:9" x14ac:dyDescent="0.25">
      <c r="A360" s="3">
        <v>1</v>
      </c>
      <c r="B360" s="3">
        <v>341.83400843688287</v>
      </c>
      <c r="C360" s="3">
        <v>-29.324008436882878</v>
      </c>
    </row>
    <row r="361" spans="1:9" x14ac:dyDescent="0.25">
      <c r="A361" s="3">
        <v>2</v>
      </c>
      <c r="B361" s="3">
        <v>328.59805661888095</v>
      </c>
      <c r="C361" s="3">
        <v>130.26194338111907</v>
      </c>
    </row>
    <row r="362" spans="1:9" x14ac:dyDescent="0.25">
      <c r="A362" s="3">
        <v>3</v>
      </c>
      <c r="B362" s="3">
        <v>315.36539650738996</v>
      </c>
      <c r="C362" s="3">
        <v>154.93460349261005</v>
      </c>
    </row>
    <row r="363" spans="1:9" x14ac:dyDescent="0.25">
      <c r="A363" s="3">
        <v>4</v>
      </c>
      <c r="B363" s="3">
        <v>302.13602687456296</v>
      </c>
      <c r="C363" s="3">
        <v>-9.2160268745629423</v>
      </c>
    </row>
    <row r="364" spans="1:9" x14ac:dyDescent="0.25">
      <c r="A364" s="3">
        <v>5</v>
      </c>
      <c r="B364" s="3">
        <v>288.90994649328059</v>
      </c>
      <c r="C364" s="3">
        <v>-234.48994649328057</v>
      </c>
    </row>
    <row r="365" spans="1:9" x14ac:dyDescent="0.25">
      <c r="A365" s="3">
        <v>6</v>
      </c>
      <c r="B365" s="3">
        <v>275.68715413696191</v>
      </c>
      <c r="C365" s="3">
        <v>144.59284586303806</v>
      </c>
    </row>
    <row r="366" spans="1:9" x14ac:dyDescent="0.25">
      <c r="A366" s="3">
        <v>7</v>
      </c>
      <c r="B366" s="3">
        <v>262.46764857962262</v>
      </c>
      <c r="C366" s="3">
        <v>-38.457648579622628</v>
      </c>
    </row>
    <row r="367" spans="1:9" x14ac:dyDescent="0.25">
      <c r="A367" s="3">
        <v>8</v>
      </c>
      <c r="B367" s="3">
        <v>249.2514285959478</v>
      </c>
      <c r="C367" s="3">
        <v>-14.281428595947801</v>
      </c>
    </row>
    <row r="368" spans="1:9" x14ac:dyDescent="0.25">
      <c r="A368" s="3">
        <v>9</v>
      </c>
      <c r="B368" s="3">
        <v>236.0384929611464</v>
      </c>
      <c r="C368" s="3">
        <v>5.8315070388536014</v>
      </c>
    </row>
    <row r="369" spans="1:3" x14ac:dyDescent="0.25">
      <c r="A369" s="3">
        <v>10</v>
      </c>
      <c r="B369" s="3">
        <v>222.82884045114042</v>
      </c>
      <c r="C369" s="3">
        <v>-30.158840451140435</v>
      </c>
    </row>
    <row r="370" spans="1:3" x14ac:dyDescent="0.25">
      <c r="A370" s="3">
        <v>11</v>
      </c>
      <c r="B370" s="3">
        <v>209.62246984237572</v>
      </c>
      <c r="C370" s="3">
        <v>-113.03246984237572</v>
      </c>
    </row>
    <row r="371" spans="1:3" x14ac:dyDescent="0.25">
      <c r="A371" s="3">
        <v>12</v>
      </c>
      <c r="B371" s="3">
        <v>196.4193799119239</v>
      </c>
      <c r="C371" s="3">
        <v>-127.81937991192389</v>
      </c>
    </row>
    <row r="372" spans="1:3" x14ac:dyDescent="0.25">
      <c r="A372" s="3">
        <v>13</v>
      </c>
      <c r="B372" s="3">
        <v>183.21956943749683</v>
      </c>
      <c r="C372" s="3">
        <v>8.6404305625031839</v>
      </c>
    </row>
    <row r="373" spans="1:3" x14ac:dyDescent="0.25">
      <c r="A373" s="3">
        <v>14</v>
      </c>
      <c r="B373" s="3">
        <v>170.02303719740303</v>
      </c>
      <c r="C373" s="3">
        <v>-51.173037197403033</v>
      </c>
    </row>
    <row r="374" spans="1:3" x14ac:dyDescent="0.25">
      <c r="A374" s="3">
        <v>15</v>
      </c>
      <c r="B374" s="3">
        <v>156.82978197051852</v>
      </c>
      <c r="C374" s="3">
        <v>159.34021802948143</v>
      </c>
    </row>
    <row r="375" spans="1:3" x14ac:dyDescent="0.25">
      <c r="A375" s="3">
        <v>16</v>
      </c>
      <c r="B375" s="3">
        <v>143.63980253635964</v>
      </c>
      <c r="C375" s="3">
        <v>-119.53980253635964</v>
      </c>
    </row>
    <row r="376" spans="1:3" x14ac:dyDescent="0.25">
      <c r="A376" s="3">
        <v>17</v>
      </c>
      <c r="B376" s="3">
        <v>130.45309767503932</v>
      </c>
      <c r="C376" s="3">
        <v>214.80690232496067</v>
      </c>
    </row>
    <row r="377" spans="1:3" x14ac:dyDescent="0.25">
      <c r="A377" s="3">
        <v>18</v>
      </c>
      <c r="B377" s="3">
        <v>117.26966616729624</v>
      </c>
      <c r="C377" s="3">
        <v>-112.12966616729624</v>
      </c>
    </row>
    <row r="378" spans="1:3" x14ac:dyDescent="0.25">
      <c r="A378" s="3">
        <v>19</v>
      </c>
      <c r="B378" s="3">
        <v>104.08950679448026</v>
      </c>
      <c r="C378" s="3">
        <v>-22.169506794480256</v>
      </c>
    </row>
    <row r="379" spans="1:3" x14ac:dyDescent="0.25">
      <c r="A379" s="3">
        <v>20</v>
      </c>
      <c r="B379" s="3">
        <v>90.912618338465109</v>
      </c>
      <c r="C379" s="3">
        <v>32.207381661534896</v>
      </c>
    </row>
    <row r="380" spans="1:3" x14ac:dyDescent="0.25">
      <c r="A380" s="3">
        <v>21</v>
      </c>
      <c r="B380" s="3">
        <v>77.738999581823009</v>
      </c>
      <c r="C380" s="3">
        <v>8.4910004181769807</v>
      </c>
    </row>
    <row r="381" spans="1:3" x14ac:dyDescent="0.25">
      <c r="A381" s="3">
        <v>22</v>
      </c>
      <c r="B381" s="3">
        <v>64.568649307693704</v>
      </c>
      <c r="C381" s="3">
        <v>-58.788649307693703</v>
      </c>
    </row>
    <row r="382" spans="1:3" x14ac:dyDescent="0.25">
      <c r="A382" s="3">
        <v>23</v>
      </c>
      <c r="B382" s="3">
        <v>51.401566299828119</v>
      </c>
      <c r="C382" s="3">
        <v>77.758433700171878</v>
      </c>
    </row>
    <row r="383" spans="1:3" x14ac:dyDescent="0.25">
      <c r="A383" s="3">
        <v>24</v>
      </c>
      <c r="B383" s="3">
        <v>38.237749342559255</v>
      </c>
      <c r="C383" s="3">
        <v>-33.377749342559255</v>
      </c>
    </row>
    <row r="384" spans="1:3" x14ac:dyDescent="0.25">
      <c r="A384" s="3">
        <v>25</v>
      </c>
      <c r="B384" s="3">
        <v>25.077197220845846</v>
      </c>
      <c r="C384" s="3">
        <v>27.792802779154151</v>
      </c>
    </row>
    <row r="385" spans="1:3" ht="15.75" thickBot="1" x14ac:dyDescent="0.3">
      <c r="A385" s="4">
        <v>26</v>
      </c>
      <c r="B385" s="4">
        <v>11.919908720243257</v>
      </c>
      <c r="C385" s="4">
        <v>29.300091279756742</v>
      </c>
    </row>
    <row r="393" spans="1:3" x14ac:dyDescent="0.25">
      <c r="A393" t="s">
        <v>277</v>
      </c>
    </row>
    <row r="394" spans="1:3" ht="15.75" thickBot="1" x14ac:dyDescent="0.3"/>
    <row r="395" spans="1:3" x14ac:dyDescent="0.25">
      <c r="A395" s="8" t="s">
        <v>242</v>
      </c>
      <c r="B395" s="8"/>
    </row>
    <row r="396" spans="1:3" x14ac:dyDescent="0.25">
      <c r="A396" s="3" t="s">
        <v>243</v>
      </c>
      <c r="B396" s="3">
        <v>0.70023426760686458</v>
      </c>
    </row>
    <row r="397" spans="1:3" x14ac:dyDescent="0.25">
      <c r="A397" s="3" t="s">
        <v>244</v>
      </c>
      <c r="B397" s="10">
        <v>0.49032802953092208</v>
      </c>
    </row>
    <row r="398" spans="1:3" x14ac:dyDescent="0.25">
      <c r="A398" s="3" t="s">
        <v>245</v>
      </c>
      <c r="B398" s="3">
        <v>0.46909169742804385</v>
      </c>
    </row>
    <row r="399" spans="1:3" x14ac:dyDescent="0.25">
      <c r="A399" s="3" t="s">
        <v>246</v>
      </c>
      <c r="B399" s="3">
        <v>105.00227703437751</v>
      </c>
    </row>
    <row r="400" spans="1:3" ht="15.75" thickBot="1" x14ac:dyDescent="0.3">
      <c r="A400" s="4" t="s">
        <v>247</v>
      </c>
      <c r="B400" s="4">
        <v>26</v>
      </c>
    </row>
    <row r="402" spans="1:9" ht="15.75" thickBot="1" x14ac:dyDescent="0.3">
      <c r="A402" t="s">
        <v>235</v>
      </c>
    </row>
    <row r="403" spans="1:9" x14ac:dyDescent="0.25">
      <c r="A403" s="5"/>
      <c r="B403" s="5" t="s">
        <v>237</v>
      </c>
      <c r="C403" s="5" t="s">
        <v>236</v>
      </c>
      <c r="D403" s="5" t="s">
        <v>238</v>
      </c>
      <c r="E403" s="5" t="s">
        <v>239</v>
      </c>
      <c r="F403" s="5" t="s">
        <v>251</v>
      </c>
    </row>
    <row r="404" spans="1:9" x14ac:dyDescent="0.25">
      <c r="A404" s="3" t="s">
        <v>248</v>
      </c>
      <c r="B404" s="3">
        <v>1</v>
      </c>
      <c r="C404" s="3">
        <v>254568.48977614619</v>
      </c>
      <c r="D404" s="3">
        <v>254568.48977614619</v>
      </c>
      <c r="E404" s="3">
        <v>23.089111017644424</v>
      </c>
      <c r="F404" s="3">
        <v>6.8165206713215496E-5</v>
      </c>
    </row>
    <row r="405" spans="1:9" x14ac:dyDescent="0.25">
      <c r="A405" s="3" t="s">
        <v>249</v>
      </c>
      <c r="B405" s="3">
        <v>24</v>
      </c>
      <c r="C405" s="3">
        <v>264611.47637769993</v>
      </c>
      <c r="D405" s="10">
        <v>11025.478182404164</v>
      </c>
      <c r="E405" s="3"/>
      <c r="F405" s="3"/>
    </row>
    <row r="406" spans="1:9" ht="15.75" thickBot="1" x14ac:dyDescent="0.3">
      <c r="A406" s="4" t="s">
        <v>215</v>
      </c>
      <c r="B406" s="4">
        <v>25</v>
      </c>
      <c r="C406" s="4">
        <v>519179.96615384612</v>
      </c>
      <c r="D406" s="4"/>
      <c r="E406" s="4"/>
      <c r="F406" s="4"/>
    </row>
    <row r="407" spans="1:9" ht="15.75" thickBot="1" x14ac:dyDescent="0.3"/>
    <row r="408" spans="1:9" x14ac:dyDescent="0.25">
      <c r="A408" s="5"/>
      <c r="B408" s="5" t="s">
        <v>252</v>
      </c>
      <c r="C408" s="5" t="s">
        <v>246</v>
      </c>
      <c r="D408" s="5" t="s">
        <v>253</v>
      </c>
      <c r="E408" s="5" t="s">
        <v>240</v>
      </c>
      <c r="F408" s="5" t="s">
        <v>254</v>
      </c>
      <c r="G408" s="5" t="s">
        <v>255</v>
      </c>
      <c r="H408" s="5" t="s">
        <v>256</v>
      </c>
      <c r="I408" s="5" t="s">
        <v>257</v>
      </c>
    </row>
    <row r="409" spans="1:9" x14ac:dyDescent="0.25">
      <c r="A409" s="3" t="s">
        <v>250</v>
      </c>
      <c r="B409" s="3">
        <v>53296.394621511608</v>
      </c>
      <c r="C409" s="3">
        <v>11054.843792246671</v>
      </c>
      <c r="D409" s="3">
        <v>4.8210897976587512</v>
      </c>
      <c r="E409" s="3">
        <v>6.5453637062391879E-5</v>
      </c>
      <c r="F409" s="3">
        <v>30480.318419671199</v>
      </c>
      <c r="G409" s="3">
        <v>76112.470823352021</v>
      </c>
      <c r="H409" s="3">
        <v>30480.318419671199</v>
      </c>
      <c r="I409" s="3">
        <v>76112.470823352021</v>
      </c>
    </row>
    <row r="410" spans="1:9" ht="15.75" thickBot="1" x14ac:dyDescent="0.3">
      <c r="A410" s="4" t="s">
        <v>258</v>
      </c>
      <c r="B410" s="4">
        <v>-1.3107310925376909E-2</v>
      </c>
      <c r="C410" s="4">
        <v>2.7277841133234834E-3</v>
      </c>
      <c r="D410" s="4">
        <v>-4.8051130077912196</v>
      </c>
      <c r="E410" s="4">
        <v>6.8165206713216255E-5</v>
      </c>
      <c r="F410" s="4">
        <v>-1.8737180633297025E-2</v>
      </c>
      <c r="G410" s="4">
        <v>-7.4774412174567935E-3</v>
      </c>
      <c r="H410" s="4">
        <v>-1.8737180633297025E-2</v>
      </c>
      <c r="I410" s="4">
        <v>-7.4774412174567935E-3</v>
      </c>
    </row>
    <row r="414" spans="1:9" x14ac:dyDescent="0.25">
      <c r="A414" t="s">
        <v>259</v>
      </c>
    </row>
    <row r="415" spans="1:9" ht="15.75" thickBot="1" x14ac:dyDescent="0.3"/>
    <row r="416" spans="1:9" x14ac:dyDescent="0.25">
      <c r="A416" s="5" t="s">
        <v>260</v>
      </c>
      <c r="B416" s="5" t="s">
        <v>261</v>
      </c>
      <c r="C416" s="5" t="s">
        <v>249</v>
      </c>
    </row>
    <row r="417" spans="1:3" x14ac:dyDescent="0.25">
      <c r="A417" s="3">
        <v>1</v>
      </c>
      <c r="B417" s="3">
        <v>341.54775189635984</v>
      </c>
      <c r="C417" s="3">
        <v>-29.03775189635985</v>
      </c>
    </row>
    <row r="418" spans="1:3" x14ac:dyDescent="0.25">
      <c r="A418" s="3">
        <v>2</v>
      </c>
      <c r="B418" s="3">
        <v>328.37408520941972</v>
      </c>
      <c r="C418" s="3">
        <v>130.4859147905803</v>
      </c>
    </row>
    <row r="419" spans="1:3" x14ac:dyDescent="0.25">
      <c r="A419" s="3">
        <v>3</v>
      </c>
      <c r="B419" s="3">
        <v>315.19878010862158</v>
      </c>
      <c r="C419" s="3">
        <v>155.10121989137843</v>
      </c>
    </row>
    <row r="420" spans="1:3" x14ac:dyDescent="0.25">
      <c r="A420" s="3">
        <v>4</v>
      </c>
      <c r="B420" s="3">
        <v>302.02183659395087</v>
      </c>
      <c r="C420" s="3">
        <v>-9.1018365939508499</v>
      </c>
    </row>
    <row r="421" spans="1:3" x14ac:dyDescent="0.25">
      <c r="A421" s="3">
        <v>5</v>
      </c>
      <c r="B421" s="3">
        <v>288.84325466541486</v>
      </c>
      <c r="C421" s="3">
        <v>-234.42325466541485</v>
      </c>
    </row>
    <row r="422" spans="1:3" x14ac:dyDescent="0.25">
      <c r="A422" s="3">
        <v>6</v>
      </c>
      <c r="B422" s="3">
        <v>275.66303432302084</v>
      </c>
      <c r="C422" s="3">
        <v>144.61696567697913</v>
      </c>
    </row>
    <row r="423" spans="1:3" x14ac:dyDescent="0.25">
      <c r="A423" s="3">
        <v>7</v>
      </c>
      <c r="B423" s="3">
        <v>262.48117556675425</v>
      </c>
      <c r="C423" s="3">
        <v>-38.471175566754255</v>
      </c>
    </row>
    <row r="424" spans="1:3" x14ac:dyDescent="0.25">
      <c r="A424" s="3">
        <v>8</v>
      </c>
      <c r="B424" s="3">
        <v>249.29767839662236</v>
      </c>
      <c r="C424" s="3">
        <v>-14.32767839662236</v>
      </c>
    </row>
    <row r="425" spans="1:3" x14ac:dyDescent="0.25">
      <c r="A425" s="3">
        <v>9</v>
      </c>
      <c r="B425" s="3">
        <v>236.11254281262518</v>
      </c>
      <c r="C425" s="3">
        <v>5.7574571873748255</v>
      </c>
    </row>
    <row r="426" spans="1:3" x14ac:dyDescent="0.25">
      <c r="A426" s="3">
        <v>10</v>
      </c>
      <c r="B426" s="3">
        <v>222.92576881476271</v>
      </c>
      <c r="C426" s="3">
        <v>-30.255768814762718</v>
      </c>
    </row>
    <row r="427" spans="1:3" x14ac:dyDescent="0.25">
      <c r="A427" s="3">
        <v>11</v>
      </c>
      <c r="B427" s="3">
        <v>209.73735640303494</v>
      </c>
      <c r="C427" s="3">
        <v>-113.14735640303493</v>
      </c>
    </row>
    <row r="428" spans="1:3" x14ac:dyDescent="0.25">
      <c r="A428" s="3">
        <v>12</v>
      </c>
      <c r="B428" s="3">
        <v>196.54730557744188</v>
      </c>
      <c r="C428" s="3">
        <v>-127.94730557744187</v>
      </c>
    </row>
    <row r="429" spans="1:3" x14ac:dyDescent="0.25">
      <c r="A429" s="3">
        <v>13</v>
      </c>
      <c r="B429" s="3">
        <v>183.35561633798352</v>
      </c>
      <c r="C429" s="3">
        <v>8.5043836620164939</v>
      </c>
    </row>
    <row r="430" spans="1:3" x14ac:dyDescent="0.25">
      <c r="A430" s="3">
        <v>14</v>
      </c>
      <c r="B430" s="3">
        <v>170.16228868465987</v>
      </c>
      <c r="C430" s="3">
        <v>-51.312288684659876</v>
      </c>
    </row>
    <row r="431" spans="1:3" x14ac:dyDescent="0.25">
      <c r="A431" s="3">
        <v>15</v>
      </c>
      <c r="B431" s="3">
        <v>156.96732261747093</v>
      </c>
      <c r="C431" s="3">
        <v>159.20267738252903</v>
      </c>
    </row>
    <row r="432" spans="1:3" x14ac:dyDescent="0.25">
      <c r="A432" s="3">
        <v>16</v>
      </c>
      <c r="B432" s="3">
        <v>143.77071813640941</v>
      </c>
      <c r="C432" s="3">
        <v>-119.67071813640942</v>
      </c>
    </row>
    <row r="433" spans="1:3" x14ac:dyDescent="0.25">
      <c r="A433" s="3">
        <v>17</v>
      </c>
      <c r="B433" s="3">
        <v>130.57247524148988</v>
      </c>
      <c r="C433" s="3">
        <v>214.68752475851011</v>
      </c>
    </row>
    <row r="434" spans="1:3" x14ac:dyDescent="0.25">
      <c r="A434" s="3">
        <v>18</v>
      </c>
      <c r="B434" s="3">
        <v>117.37259393270506</v>
      </c>
      <c r="C434" s="3">
        <v>-112.23259393270506</v>
      </c>
    </row>
    <row r="435" spans="1:3" x14ac:dyDescent="0.25">
      <c r="A435" s="3">
        <v>19</v>
      </c>
      <c r="B435" s="3">
        <v>104.17107421004766</v>
      </c>
      <c r="C435" s="3">
        <v>-22.251074210047662</v>
      </c>
    </row>
    <row r="436" spans="1:3" x14ac:dyDescent="0.25">
      <c r="A436" s="3">
        <v>20</v>
      </c>
      <c r="B436" s="3">
        <v>90.967916073532251</v>
      </c>
      <c r="C436" s="3">
        <v>32.152083926467753</v>
      </c>
    </row>
    <row r="437" spans="1:3" x14ac:dyDescent="0.25">
      <c r="A437" s="3">
        <v>21</v>
      </c>
      <c r="B437" s="3">
        <v>77.763119523144269</v>
      </c>
      <c r="C437" s="3">
        <v>8.4668804768557209</v>
      </c>
    </row>
    <row r="438" spans="1:3" x14ac:dyDescent="0.25">
      <c r="A438" s="3">
        <v>22</v>
      </c>
      <c r="B438" s="3">
        <v>64.556684558898269</v>
      </c>
      <c r="C438" s="3">
        <v>-58.776684558898268</v>
      </c>
    </row>
    <row r="439" spans="1:3" x14ac:dyDescent="0.25">
      <c r="A439" s="3">
        <v>23</v>
      </c>
      <c r="B439" s="3">
        <v>51.348611180779699</v>
      </c>
      <c r="C439" s="3">
        <v>77.811388819220298</v>
      </c>
    </row>
    <row r="440" spans="1:3" x14ac:dyDescent="0.25">
      <c r="A440" s="3">
        <v>24</v>
      </c>
      <c r="B440" s="3">
        <v>38.138899388803111</v>
      </c>
      <c r="C440" s="3">
        <v>-33.278899388803111</v>
      </c>
    </row>
    <row r="441" spans="1:3" x14ac:dyDescent="0.25">
      <c r="A441" s="3">
        <v>25</v>
      </c>
      <c r="B441" s="3">
        <v>24.927549182953953</v>
      </c>
      <c r="C441" s="3">
        <v>27.942450817046044</v>
      </c>
    </row>
    <row r="442" spans="1:3" ht="15.75" thickBot="1" x14ac:dyDescent="0.3">
      <c r="A442" s="4">
        <v>26</v>
      </c>
      <c r="B442" s="4">
        <v>11.714560563239502</v>
      </c>
      <c r="C442" s="4">
        <v>29.505439436760497</v>
      </c>
    </row>
    <row r="446" spans="1:3" x14ac:dyDescent="0.25">
      <c r="A446" t="s">
        <v>278</v>
      </c>
    </row>
    <row r="447" spans="1:3" ht="15.75" thickBot="1" x14ac:dyDescent="0.3"/>
    <row r="448" spans="1:3" x14ac:dyDescent="0.25">
      <c r="A448" s="8" t="s">
        <v>242</v>
      </c>
      <c r="B448" s="8"/>
    </row>
    <row r="449" spans="1:9" x14ac:dyDescent="0.25">
      <c r="A449" s="3" t="s">
        <v>243</v>
      </c>
      <c r="B449" s="3">
        <v>0.70032005601561942</v>
      </c>
    </row>
    <row r="450" spans="1:9" x14ac:dyDescent="0.25">
      <c r="A450" s="3" t="s">
        <v>244</v>
      </c>
      <c r="B450" s="10">
        <v>0.49044818085772035</v>
      </c>
    </row>
    <row r="451" spans="1:9" x14ac:dyDescent="0.25">
      <c r="A451" s="3" t="s">
        <v>245</v>
      </c>
      <c r="B451" s="3">
        <v>0.46921685506012539</v>
      </c>
    </row>
    <row r="452" spans="1:9" x14ac:dyDescent="0.25">
      <c r="A452" s="3" t="s">
        <v>246</v>
      </c>
      <c r="B452" s="3">
        <v>104.98989955703665</v>
      </c>
    </row>
    <row r="453" spans="1:9" ht="15.75" thickBot="1" x14ac:dyDescent="0.3">
      <c r="A453" s="4" t="s">
        <v>247</v>
      </c>
      <c r="B453" s="4">
        <v>26</v>
      </c>
    </row>
    <row r="455" spans="1:9" ht="15.75" thickBot="1" x14ac:dyDescent="0.3">
      <c r="A455" t="s">
        <v>235</v>
      </c>
    </row>
    <row r="456" spans="1:9" x14ac:dyDescent="0.25">
      <c r="A456" s="5"/>
      <c r="B456" s="5" t="s">
        <v>237</v>
      </c>
      <c r="C456" s="5" t="s">
        <v>236</v>
      </c>
      <c r="D456" s="5" t="s">
        <v>238</v>
      </c>
      <c r="E456" s="5" t="s">
        <v>239</v>
      </c>
      <c r="F456" s="5" t="s">
        <v>251</v>
      </c>
    </row>
    <row r="457" spans="1:9" x14ac:dyDescent="0.25">
      <c r="A457" s="3" t="s">
        <v>248</v>
      </c>
      <c r="B457" s="3">
        <v>1</v>
      </c>
      <c r="C457" s="3">
        <v>254630.86993792665</v>
      </c>
      <c r="D457" s="3">
        <v>254630.86993792665</v>
      </c>
      <c r="E457" s="3">
        <v>23.100214538334516</v>
      </c>
      <c r="F457" s="3">
        <v>6.7965410643235769E-5</v>
      </c>
    </row>
    <row r="458" spans="1:9" x14ac:dyDescent="0.25">
      <c r="A458" s="3" t="s">
        <v>249</v>
      </c>
      <c r="B458" s="3">
        <v>24</v>
      </c>
      <c r="C458" s="3">
        <v>264549.09621591948</v>
      </c>
      <c r="D458" s="10">
        <v>11022.879008996644</v>
      </c>
      <c r="E458" s="3"/>
      <c r="F458" s="3"/>
    </row>
    <row r="459" spans="1:9" ht="15.75" thickBot="1" x14ac:dyDescent="0.3">
      <c r="A459" s="4" t="s">
        <v>215</v>
      </c>
      <c r="B459" s="4">
        <v>25</v>
      </c>
      <c r="C459" s="4">
        <v>519179.96615384612</v>
      </c>
      <c r="D459" s="4"/>
      <c r="E459" s="4"/>
      <c r="F459" s="4"/>
    </row>
    <row r="460" spans="1:9" ht="15.75" thickBot="1" x14ac:dyDescent="0.3"/>
    <row r="461" spans="1:9" x14ac:dyDescent="0.25">
      <c r="A461" s="5"/>
      <c r="B461" s="5" t="s">
        <v>252</v>
      </c>
      <c r="C461" s="5" t="s">
        <v>246</v>
      </c>
      <c r="D461" s="5" t="s">
        <v>253</v>
      </c>
      <c r="E461" s="5" t="s">
        <v>240</v>
      </c>
      <c r="F461" s="5" t="s">
        <v>254</v>
      </c>
      <c r="G461" s="5" t="s">
        <v>255</v>
      </c>
      <c r="H461" s="5" t="s">
        <v>256</v>
      </c>
      <c r="I461" s="5" t="s">
        <v>257</v>
      </c>
    </row>
    <row r="462" spans="1:9" x14ac:dyDescent="0.25">
      <c r="A462" s="3" t="s">
        <v>250</v>
      </c>
      <c r="B462" s="3">
        <v>212681.23582757823</v>
      </c>
      <c r="C462" s="3">
        <v>44214.041855813433</v>
      </c>
      <c r="D462" s="3">
        <v>4.8102644974452629</v>
      </c>
      <c r="E462" s="3">
        <v>6.7278797894034089E-5</v>
      </c>
      <c r="F462" s="3">
        <v>121427.93843760357</v>
      </c>
      <c r="G462" s="3">
        <v>303934.53321755287</v>
      </c>
      <c r="H462" s="3">
        <v>121427.93843760357</v>
      </c>
      <c r="I462" s="3">
        <v>303934.53321755287</v>
      </c>
    </row>
    <row r="463" spans="1:9" ht="15.75" thickBot="1" x14ac:dyDescent="0.3">
      <c r="A463" s="4" t="s">
        <v>258</v>
      </c>
      <c r="B463" s="4">
        <v>-4736.2307552937973</v>
      </c>
      <c r="C463" s="4">
        <v>985.42788377178169</v>
      </c>
      <c r="D463" s="4">
        <v>-4.8062682549286126</v>
      </c>
      <c r="E463" s="4">
        <v>6.7965410643235647E-5</v>
      </c>
      <c r="F463" s="4">
        <v>-6770.0539471985267</v>
      </c>
      <c r="G463" s="4">
        <v>-2702.4075633890679</v>
      </c>
      <c r="H463" s="4">
        <v>-6770.0539471985267</v>
      </c>
      <c r="I463" s="4">
        <v>-2702.4075633890679</v>
      </c>
    </row>
    <row r="467" spans="1:3" x14ac:dyDescent="0.25">
      <c r="A467" t="s">
        <v>259</v>
      </c>
    </row>
    <row r="468" spans="1:3" ht="15.75" thickBot="1" x14ac:dyDescent="0.3"/>
    <row r="469" spans="1:3" x14ac:dyDescent="0.25">
      <c r="A469" s="5" t="s">
        <v>260</v>
      </c>
      <c r="B469" s="5" t="s">
        <v>261</v>
      </c>
      <c r="C469" s="5" t="s">
        <v>249</v>
      </c>
    </row>
    <row r="470" spans="1:3" x14ac:dyDescent="0.25">
      <c r="A470" s="3">
        <v>1</v>
      </c>
      <c r="B470" s="3">
        <v>341.69087079062592</v>
      </c>
      <c r="C470" s="3">
        <v>-29.180870790625931</v>
      </c>
    </row>
    <row r="471" spans="1:3" x14ac:dyDescent="0.25">
      <c r="A471" s="3">
        <v>2</v>
      </c>
      <c r="B471" s="3">
        <v>328.48608579253778</v>
      </c>
      <c r="C471" s="3">
        <v>130.37391420746224</v>
      </c>
    </row>
    <row r="472" spans="1:3" x14ac:dyDescent="0.25">
      <c r="A472" s="3">
        <v>3</v>
      </c>
      <c r="B472" s="3">
        <v>315.28212185989833</v>
      </c>
      <c r="C472" s="3">
        <v>155.01787814010169</v>
      </c>
    </row>
    <row r="473" spans="1:3" x14ac:dyDescent="0.25">
      <c r="A473" s="3">
        <v>4</v>
      </c>
      <c r="B473" s="3">
        <v>302.0789788395341</v>
      </c>
      <c r="C473" s="3">
        <v>-9.1589788395340861</v>
      </c>
    </row>
    <row r="474" spans="1:3" x14ac:dyDescent="0.25">
      <c r="A474" s="3">
        <v>5</v>
      </c>
      <c r="B474" s="3">
        <v>288.87665657838807</v>
      </c>
      <c r="C474" s="3">
        <v>-234.45665657838805</v>
      </c>
    </row>
    <row r="475" spans="1:3" x14ac:dyDescent="0.25">
      <c r="A475" s="3">
        <v>6</v>
      </c>
      <c r="B475" s="3">
        <v>275.67515492340317</v>
      </c>
      <c r="C475" s="3">
        <v>144.6048450765968</v>
      </c>
    </row>
    <row r="476" spans="1:3" x14ac:dyDescent="0.25">
      <c r="A476" s="3">
        <v>7</v>
      </c>
      <c r="B476" s="3">
        <v>262.47447372158058</v>
      </c>
      <c r="C476" s="3">
        <v>-38.464473721580589</v>
      </c>
    </row>
    <row r="477" spans="1:3" x14ac:dyDescent="0.25">
      <c r="A477" s="3">
        <v>8</v>
      </c>
      <c r="B477" s="3">
        <v>249.27461281997967</v>
      </c>
      <c r="C477" s="3">
        <v>-14.304612819979667</v>
      </c>
    </row>
    <row r="478" spans="1:3" x14ac:dyDescent="0.25">
      <c r="A478" s="3">
        <v>9</v>
      </c>
      <c r="B478" s="3">
        <v>236.07557206571801</v>
      </c>
      <c r="C478" s="3">
        <v>5.7944279342819982</v>
      </c>
    </row>
    <row r="479" spans="1:3" x14ac:dyDescent="0.25">
      <c r="A479" s="3">
        <v>10</v>
      </c>
      <c r="B479" s="3">
        <v>222.87735130591318</v>
      </c>
      <c r="C479" s="3">
        <v>-30.207351305913193</v>
      </c>
    </row>
    <row r="480" spans="1:3" x14ac:dyDescent="0.25">
      <c r="A480" s="3">
        <v>11</v>
      </c>
      <c r="B480" s="3">
        <v>209.67995038771187</v>
      </c>
      <c r="C480" s="3">
        <v>-113.08995038771187</v>
      </c>
    </row>
    <row r="481" spans="1:3" x14ac:dyDescent="0.25">
      <c r="A481" s="3">
        <v>12</v>
      </c>
      <c r="B481" s="3">
        <v>196.48336915843538</v>
      </c>
      <c r="C481" s="3">
        <v>-127.88336915843537</v>
      </c>
    </row>
    <row r="482" spans="1:3" x14ac:dyDescent="0.25">
      <c r="A482" s="3">
        <v>13</v>
      </c>
      <c r="B482" s="3">
        <v>183.28760746531771</v>
      </c>
      <c r="C482" s="3">
        <v>8.572392534682308</v>
      </c>
    </row>
    <row r="483" spans="1:3" x14ac:dyDescent="0.25">
      <c r="A483" s="3">
        <v>14</v>
      </c>
      <c r="B483" s="3">
        <v>170.09266515570926</v>
      </c>
      <c r="C483" s="3">
        <v>-51.242665155709261</v>
      </c>
    </row>
    <row r="484" spans="1:3" x14ac:dyDescent="0.25">
      <c r="A484" s="3">
        <v>15</v>
      </c>
      <c r="B484" s="3">
        <v>156.89854207701865</v>
      </c>
      <c r="C484" s="3">
        <v>159.27145792298131</v>
      </c>
    </row>
    <row r="485" spans="1:3" x14ac:dyDescent="0.25">
      <c r="A485" s="3">
        <v>16</v>
      </c>
      <c r="B485" s="3">
        <v>143.70523807662539</v>
      </c>
      <c r="C485" s="3">
        <v>-119.6052380766254</v>
      </c>
    </row>
    <row r="486" spans="1:3" x14ac:dyDescent="0.25">
      <c r="A486" s="3">
        <v>17</v>
      </c>
      <c r="B486" s="3">
        <v>130.51275300205452</v>
      </c>
      <c r="C486" s="3">
        <v>214.74724699794547</v>
      </c>
    </row>
    <row r="487" spans="1:3" x14ac:dyDescent="0.25">
      <c r="A487" s="3">
        <v>18</v>
      </c>
      <c r="B487" s="3">
        <v>117.32108670077287</v>
      </c>
      <c r="C487" s="3">
        <v>-112.18108670077287</v>
      </c>
    </row>
    <row r="488" spans="1:3" x14ac:dyDescent="0.25">
      <c r="A488" s="3">
        <v>19</v>
      </c>
      <c r="B488" s="3">
        <v>104.13023902036366</v>
      </c>
      <c r="C488" s="3">
        <v>-22.210239020363659</v>
      </c>
    </row>
    <row r="489" spans="1:3" x14ac:dyDescent="0.25">
      <c r="A489" s="3">
        <v>20</v>
      </c>
      <c r="B489" s="3">
        <v>90.940209808497457</v>
      </c>
      <c r="C489" s="3">
        <v>32.179790191502548</v>
      </c>
    </row>
    <row r="490" spans="1:3" x14ac:dyDescent="0.25">
      <c r="A490" s="3">
        <v>21</v>
      </c>
      <c r="B490" s="3">
        <v>77.750998912786599</v>
      </c>
      <c r="C490" s="3">
        <v>8.4790010872133905</v>
      </c>
    </row>
    <row r="491" spans="1:3" x14ac:dyDescent="0.25">
      <c r="A491" s="3">
        <v>22</v>
      </c>
      <c r="B491" s="3">
        <v>64.562606181018054</v>
      </c>
      <c r="C491" s="3">
        <v>-58.782606181018053</v>
      </c>
    </row>
    <row r="492" spans="1:3" x14ac:dyDescent="0.25">
      <c r="A492" s="3">
        <v>23</v>
      </c>
      <c r="B492" s="3">
        <v>51.375031460804166</v>
      </c>
      <c r="C492" s="3">
        <v>77.78496853919583</v>
      </c>
    </row>
    <row r="493" spans="1:3" x14ac:dyDescent="0.25">
      <c r="A493" s="3">
        <v>24</v>
      </c>
      <c r="B493" s="3">
        <v>38.188274600135628</v>
      </c>
      <c r="C493" s="3">
        <v>-33.328274600135629</v>
      </c>
    </row>
    <row r="494" spans="1:3" x14ac:dyDescent="0.25">
      <c r="A494" s="3">
        <v>25</v>
      </c>
      <c r="B494" s="3">
        <v>25.002335446712095</v>
      </c>
      <c r="C494" s="3">
        <v>27.867664553287902</v>
      </c>
    </row>
    <row r="495" spans="1:3" ht="15.75" thickBot="1" x14ac:dyDescent="0.3">
      <c r="A495" s="4">
        <v>26</v>
      </c>
      <c r="B495" s="4">
        <v>11.817213848495157</v>
      </c>
      <c r="C495" s="4">
        <v>29.402786151504841</v>
      </c>
    </row>
    <row r="499" spans="1:6" x14ac:dyDescent="0.25">
      <c r="A499" t="s">
        <v>279</v>
      </c>
    </row>
    <row r="500" spans="1:6" ht="15.75" thickBot="1" x14ac:dyDescent="0.3"/>
    <row r="501" spans="1:6" x14ac:dyDescent="0.25">
      <c r="A501" s="8" t="s">
        <v>242</v>
      </c>
      <c r="B501" s="8"/>
    </row>
    <row r="502" spans="1:6" x14ac:dyDescent="0.25">
      <c r="A502" s="3" t="s">
        <v>243</v>
      </c>
      <c r="B502" s="3">
        <v>0.70034860249580089</v>
      </c>
    </row>
    <row r="503" spans="1:6" x14ac:dyDescent="0.25">
      <c r="A503" s="3" t="s">
        <v>244</v>
      </c>
      <c r="B503" s="10">
        <v>0.49048816501782139</v>
      </c>
    </row>
    <row r="504" spans="1:6" x14ac:dyDescent="0.25">
      <c r="A504" s="3" t="s">
        <v>245</v>
      </c>
      <c r="B504" s="3">
        <v>0.46925850522689733</v>
      </c>
    </row>
    <row r="505" spans="1:6" x14ac:dyDescent="0.25">
      <c r="A505" s="3" t="s">
        <v>246</v>
      </c>
      <c r="B505" s="3">
        <v>104.98578023575215</v>
      </c>
    </row>
    <row r="506" spans="1:6" ht="15.75" thickBot="1" x14ac:dyDescent="0.3">
      <c r="A506" s="4" t="s">
        <v>247</v>
      </c>
      <c r="B506" s="4">
        <v>26</v>
      </c>
    </row>
    <row r="508" spans="1:6" ht="15.75" thickBot="1" x14ac:dyDescent="0.3">
      <c r="A508" t="s">
        <v>235</v>
      </c>
    </row>
    <row r="509" spans="1:6" x14ac:dyDescent="0.25">
      <c r="A509" s="5"/>
      <c r="B509" s="5" t="s">
        <v>237</v>
      </c>
      <c r="C509" s="5" t="s">
        <v>236</v>
      </c>
      <c r="D509" s="5" t="s">
        <v>238</v>
      </c>
      <c r="E509" s="5" t="s">
        <v>239</v>
      </c>
      <c r="F509" s="5" t="s">
        <v>251</v>
      </c>
    </row>
    <row r="510" spans="1:6" x14ac:dyDescent="0.25">
      <c r="A510" s="3" t="s">
        <v>248</v>
      </c>
      <c r="B510" s="3">
        <v>1</v>
      </c>
      <c r="C510" s="3">
        <v>254651.6289128146</v>
      </c>
      <c r="D510" s="3">
        <v>254651.6289128146</v>
      </c>
      <c r="E510" s="3">
        <v>23.103910747901388</v>
      </c>
      <c r="F510" s="3">
        <v>6.7899042426055475E-5</v>
      </c>
    </row>
    <row r="511" spans="1:6" x14ac:dyDescent="0.25">
      <c r="A511" s="3" t="s">
        <v>249</v>
      </c>
      <c r="B511" s="3">
        <v>24</v>
      </c>
      <c r="C511" s="3">
        <v>264528.33724103152</v>
      </c>
      <c r="D511" s="10">
        <v>11022.014051709646</v>
      </c>
      <c r="E511" s="3"/>
      <c r="F511" s="3"/>
    </row>
    <row r="512" spans="1:6" ht="15.75" thickBot="1" x14ac:dyDescent="0.3">
      <c r="A512" s="4" t="s">
        <v>215</v>
      </c>
      <c r="B512" s="4">
        <v>25</v>
      </c>
      <c r="C512" s="4">
        <v>519179.96615384612</v>
      </c>
      <c r="D512" s="4"/>
      <c r="E512" s="4"/>
      <c r="F512" s="4"/>
    </row>
    <row r="513" spans="1:9" ht="15.75" thickBot="1" x14ac:dyDescent="0.3"/>
    <row r="514" spans="1:9" x14ac:dyDescent="0.25">
      <c r="A514" s="5"/>
      <c r="B514" s="5" t="s">
        <v>252</v>
      </c>
      <c r="C514" s="5" t="s">
        <v>246</v>
      </c>
      <c r="D514" s="5" t="s">
        <v>253</v>
      </c>
      <c r="E514" s="5" t="s">
        <v>240</v>
      </c>
      <c r="F514" s="5" t="s">
        <v>254</v>
      </c>
      <c r="G514" s="5" t="s">
        <v>255</v>
      </c>
      <c r="H514" s="5" t="s">
        <v>256</v>
      </c>
      <c r="I514" s="5" t="s">
        <v>257</v>
      </c>
    </row>
    <row r="515" spans="1:9" x14ac:dyDescent="0.25">
      <c r="A515" s="3" t="s">
        <v>250</v>
      </c>
      <c r="B515" s="3">
        <v>808517.46543210582</v>
      </c>
      <c r="C515" s="3">
        <v>168171.24075786269</v>
      </c>
      <c r="D515" s="3">
        <v>4.8077035157053416</v>
      </c>
      <c r="E515" s="3">
        <v>6.771800596903415E-5</v>
      </c>
      <c r="F515" s="3">
        <v>461429.08352475264</v>
      </c>
      <c r="G515" s="3">
        <v>1155605.847339459</v>
      </c>
      <c r="H515" s="3">
        <v>461429.08352475264</v>
      </c>
      <c r="I515" s="3">
        <v>1155605.847339459</v>
      </c>
    </row>
    <row r="516" spans="1:9" ht="15.75" thickBot="1" x14ac:dyDescent="0.3">
      <c r="A516" s="4" t="s">
        <v>258</v>
      </c>
      <c r="B516" s="4">
        <v>-106256.56257702029</v>
      </c>
      <c r="C516" s="4">
        <v>22106.144941046183</v>
      </c>
      <c r="D516" s="4">
        <v>-4.8066527592391539</v>
      </c>
      <c r="E516" s="4">
        <v>6.7899042426055854E-5</v>
      </c>
      <c r="F516" s="4">
        <v>-151881.40332398616</v>
      </c>
      <c r="G516" s="4">
        <v>-60631.721830054419</v>
      </c>
      <c r="H516" s="4">
        <v>-151881.40332398616</v>
      </c>
      <c r="I516" s="4">
        <v>-60631.721830054419</v>
      </c>
    </row>
    <row r="520" spans="1:9" x14ac:dyDescent="0.25">
      <c r="A520" t="s">
        <v>259</v>
      </c>
    </row>
    <row r="521" spans="1:9" ht="15.75" thickBot="1" x14ac:dyDescent="0.3"/>
    <row r="522" spans="1:9" x14ac:dyDescent="0.25">
      <c r="A522" s="5" t="s">
        <v>260</v>
      </c>
      <c r="B522" s="5" t="s">
        <v>261</v>
      </c>
      <c r="C522" s="5" t="s">
        <v>249</v>
      </c>
    </row>
    <row r="523" spans="1:9" x14ac:dyDescent="0.25">
      <c r="A523" s="3">
        <v>1</v>
      </c>
      <c r="B523" s="3">
        <v>341.73858127184212</v>
      </c>
      <c r="C523" s="3">
        <v>-29.228581271842131</v>
      </c>
    </row>
    <row r="524" spans="1:9" x14ac:dyDescent="0.25">
      <c r="A524" s="3">
        <v>2</v>
      </c>
      <c r="B524" s="3">
        <v>328.52341272344347</v>
      </c>
      <c r="C524" s="3">
        <v>130.33658727655654</v>
      </c>
    </row>
    <row r="525" spans="1:9" x14ac:dyDescent="0.25">
      <c r="A525" s="3">
        <v>3</v>
      </c>
      <c r="B525" s="3">
        <v>315.30988754611462</v>
      </c>
      <c r="C525" s="3">
        <v>154.99011245388539</v>
      </c>
    </row>
    <row r="526" spans="1:9" x14ac:dyDescent="0.25">
      <c r="A526" s="3">
        <v>4</v>
      </c>
      <c r="B526" s="3">
        <v>302.09800533112139</v>
      </c>
      <c r="C526" s="3">
        <v>-9.1780053311213692</v>
      </c>
    </row>
    <row r="527" spans="1:9" x14ac:dyDescent="0.25">
      <c r="A527" s="3">
        <v>5</v>
      </c>
      <c r="B527" s="3">
        <v>288.88776566996239</v>
      </c>
      <c r="C527" s="3">
        <v>-234.46776566996238</v>
      </c>
    </row>
    <row r="528" spans="1:9" x14ac:dyDescent="0.25">
      <c r="A528" s="3">
        <v>6</v>
      </c>
      <c r="B528" s="3">
        <v>275.67916815436911</v>
      </c>
      <c r="C528" s="3">
        <v>144.60083184563086</v>
      </c>
    </row>
    <row r="529" spans="1:3" x14ac:dyDescent="0.25">
      <c r="A529" s="3">
        <v>7</v>
      </c>
      <c r="B529" s="3">
        <v>262.47221237618942</v>
      </c>
      <c r="C529" s="3">
        <v>-38.462212376189427</v>
      </c>
    </row>
    <row r="530" spans="1:3" x14ac:dyDescent="0.25">
      <c r="A530" s="3">
        <v>8</v>
      </c>
      <c r="B530" s="3">
        <v>249.26689792715479</v>
      </c>
      <c r="C530" s="3">
        <v>-14.296897927154788</v>
      </c>
    </row>
    <row r="531" spans="1:3" x14ac:dyDescent="0.25">
      <c r="A531" s="3">
        <v>9</v>
      </c>
      <c r="B531" s="3">
        <v>236.06322439957876</v>
      </c>
      <c r="C531" s="3">
        <v>5.806775600421247</v>
      </c>
    </row>
    <row r="532" spans="1:3" x14ac:dyDescent="0.25">
      <c r="A532" s="3">
        <v>10</v>
      </c>
      <c r="B532" s="3">
        <v>222.86119138554204</v>
      </c>
      <c r="C532" s="3">
        <v>-30.191191385542055</v>
      </c>
    </row>
    <row r="533" spans="1:3" x14ac:dyDescent="0.25">
      <c r="A533" s="3">
        <v>11</v>
      </c>
      <c r="B533" s="3">
        <v>209.66079847735818</v>
      </c>
      <c r="C533" s="3">
        <v>-113.07079847735818</v>
      </c>
    </row>
    <row r="534" spans="1:3" x14ac:dyDescent="0.25">
      <c r="A534" s="3">
        <v>12</v>
      </c>
      <c r="B534" s="3">
        <v>196.46204526780639</v>
      </c>
      <c r="C534" s="3">
        <v>-127.86204526780638</v>
      </c>
    </row>
    <row r="535" spans="1:3" x14ac:dyDescent="0.25">
      <c r="A535" s="3">
        <v>13</v>
      </c>
      <c r="B535" s="3">
        <v>183.26493134954944</v>
      </c>
      <c r="C535" s="3">
        <v>8.5950686504505711</v>
      </c>
    </row>
    <row r="536" spans="1:3" x14ac:dyDescent="0.25">
      <c r="A536" s="3">
        <v>14</v>
      </c>
      <c r="B536" s="3">
        <v>170.06945631513372</v>
      </c>
      <c r="C536" s="3">
        <v>-51.219456315133726</v>
      </c>
    </row>
    <row r="537" spans="1:3" x14ac:dyDescent="0.25">
      <c r="A537" s="3">
        <v>15</v>
      </c>
      <c r="B537" s="3">
        <v>156.87561975803692</v>
      </c>
      <c r="C537" s="3">
        <v>159.29438024196304</v>
      </c>
    </row>
    <row r="538" spans="1:3" x14ac:dyDescent="0.25">
      <c r="A538" s="3">
        <v>16</v>
      </c>
      <c r="B538" s="3">
        <v>143.68342127103824</v>
      </c>
      <c r="C538" s="3">
        <v>-119.58342127103825</v>
      </c>
    </row>
    <row r="539" spans="1:3" x14ac:dyDescent="0.25">
      <c r="A539" s="3">
        <v>17</v>
      </c>
      <c r="B539" s="3">
        <v>130.49286044761539</v>
      </c>
      <c r="C539" s="3">
        <v>214.76713955238461</v>
      </c>
    </row>
    <row r="540" spans="1:3" x14ac:dyDescent="0.25">
      <c r="A540" s="3">
        <v>18</v>
      </c>
      <c r="B540" s="3">
        <v>117.30393688101321</v>
      </c>
      <c r="C540" s="3">
        <v>-112.16393688101321</v>
      </c>
    </row>
    <row r="541" spans="1:3" x14ac:dyDescent="0.25">
      <c r="A541" s="3">
        <v>19</v>
      </c>
      <c r="B541" s="3">
        <v>104.11665016505867</v>
      </c>
      <c r="C541" s="3">
        <v>-22.196650165058671</v>
      </c>
    </row>
    <row r="542" spans="1:3" x14ac:dyDescent="0.25">
      <c r="A542" s="3">
        <v>20</v>
      </c>
      <c r="B542" s="3">
        <v>90.930999893578701</v>
      </c>
      <c r="C542" s="3">
        <v>32.189000106421304</v>
      </c>
    </row>
    <row r="543" spans="1:3" x14ac:dyDescent="0.25">
      <c r="A543" s="3">
        <v>21</v>
      </c>
      <c r="B543" s="3">
        <v>77.746985660283826</v>
      </c>
      <c r="C543" s="3">
        <v>8.4830143397161635</v>
      </c>
    </row>
    <row r="544" spans="1:3" x14ac:dyDescent="0.25">
      <c r="A544" s="3">
        <v>22</v>
      </c>
      <c r="B544" s="3">
        <v>64.564607059350237</v>
      </c>
      <c r="C544" s="3">
        <v>-58.784607059350236</v>
      </c>
    </row>
    <row r="545" spans="1:4" x14ac:dyDescent="0.25">
      <c r="A545" s="3">
        <v>23</v>
      </c>
      <c r="B545" s="3">
        <v>51.383863684721291</v>
      </c>
      <c r="C545" s="3">
        <v>77.776136315278706</v>
      </c>
    </row>
    <row r="546" spans="1:4" x14ac:dyDescent="0.25">
      <c r="A546" s="3">
        <v>24</v>
      </c>
      <c r="B546" s="3">
        <v>38.204755131271668</v>
      </c>
      <c r="C546" s="3">
        <v>-33.344755131271668</v>
      </c>
    </row>
    <row r="547" spans="1:4" x14ac:dyDescent="0.25">
      <c r="A547" s="3">
        <v>25</v>
      </c>
      <c r="B547" s="3">
        <v>25.02728099306114</v>
      </c>
      <c r="C547" s="3">
        <v>27.842719006938857</v>
      </c>
    </row>
    <row r="548" spans="1:4" ht="15.75" thickBot="1" x14ac:dyDescent="0.3">
      <c r="A548" s="4">
        <v>26</v>
      </c>
      <c r="B548" s="4">
        <v>11.851440864847973</v>
      </c>
      <c r="C548" s="4">
        <v>29.368559135152026</v>
      </c>
    </row>
    <row r="551" spans="1:4" x14ac:dyDescent="0.25">
      <c r="A551" s="23" t="s">
        <v>280</v>
      </c>
      <c r="B551" s="23"/>
      <c r="C551" s="23"/>
      <c r="D551" s="23"/>
    </row>
    <row r="553" spans="1:4" ht="60" x14ac:dyDescent="0.25">
      <c r="A553" s="24" t="s">
        <v>281</v>
      </c>
      <c r="B553" s="24" t="s">
        <v>282</v>
      </c>
      <c r="C553" s="25" t="s">
        <v>289</v>
      </c>
    </row>
    <row r="554" spans="1:4" x14ac:dyDescent="0.25">
      <c r="A554" s="26" t="s">
        <v>283</v>
      </c>
      <c r="B554" s="16">
        <f>+B95</f>
        <v>0.49040816354732197</v>
      </c>
      <c r="C554" s="16">
        <f>+D103</f>
        <v>11023.744683407405</v>
      </c>
    </row>
    <row r="555" spans="1:4" x14ac:dyDescent="0.25">
      <c r="A555" s="26" t="s">
        <v>284</v>
      </c>
      <c r="B555" s="16">
        <f>+B503</f>
        <v>0.49048816501782139</v>
      </c>
      <c r="C555" s="16">
        <f>+D511</f>
        <v>11022.014051709646</v>
      </c>
    </row>
    <row r="556" spans="1:4" x14ac:dyDescent="0.25">
      <c r="A556" s="26" t="s">
        <v>285</v>
      </c>
      <c r="B556" s="16">
        <f>+B397</f>
        <v>0.49032802953092208</v>
      </c>
      <c r="C556" s="16">
        <f>+D405</f>
        <v>11025.478182404164</v>
      </c>
    </row>
    <row r="557" spans="1:4" x14ac:dyDescent="0.25">
      <c r="A557" s="26" t="s">
        <v>268</v>
      </c>
      <c r="B557" s="31">
        <f>+B340</f>
        <v>0.49056803383191538</v>
      </c>
      <c r="C557" s="31">
        <f>+D348</f>
        <v>11020.286289701393</v>
      </c>
    </row>
    <row r="558" spans="1:4" x14ac:dyDescent="0.25">
      <c r="A558" s="26" t="s">
        <v>286</v>
      </c>
      <c r="B558" s="16">
        <f>+B450</f>
        <v>0.49044818085772035</v>
      </c>
      <c r="C558" s="16">
        <f>+D458</f>
        <v>11022.879008996644</v>
      </c>
    </row>
    <row r="559" spans="1:4" x14ac:dyDescent="0.25">
      <c r="A559" s="26" t="s">
        <v>287</v>
      </c>
      <c r="B559" s="16">
        <f>+B288</f>
        <v>0.40414390257925076</v>
      </c>
      <c r="C559" s="16">
        <f>+D296</f>
        <v>1.1200386069505792</v>
      </c>
    </row>
    <row r="560" spans="1:4" x14ac:dyDescent="0.25">
      <c r="A560" s="26" t="s">
        <v>270</v>
      </c>
      <c r="B560" s="16">
        <f>+B236</f>
        <v>0.48998522572897918</v>
      </c>
      <c r="C560" s="16">
        <f>+D244</f>
        <v>18.580256977042598</v>
      </c>
    </row>
    <row r="561" spans="1:4" x14ac:dyDescent="0.25">
      <c r="A561" s="26" t="s">
        <v>272</v>
      </c>
      <c r="B561" s="27">
        <f>+B184</f>
        <v>0.4041439025792507</v>
      </c>
      <c r="C561" s="27">
        <f>+D192</f>
        <v>0.21125238237547284</v>
      </c>
    </row>
    <row r="562" spans="1:4" x14ac:dyDescent="0.25">
      <c r="A562" s="28" t="s">
        <v>288</v>
      </c>
    </row>
    <row r="563" spans="1:4" ht="15" customHeight="1" x14ac:dyDescent="0.25">
      <c r="A563" s="442" t="s">
        <v>291</v>
      </c>
      <c r="B563" s="442"/>
      <c r="C563" s="442"/>
      <c r="D563" s="442"/>
    </row>
    <row r="564" spans="1:4" x14ac:dyDescent="0.25">
      <c r="A564" s="442"/>
      <c r="B564" s="442"/>
      <c r="C564" s="442"/>
      <c r="D564" s="442"/>
    </row>
    <row r="565" spans="1:4" x14ac:dyDescent="0.25">
      <c r="A565" s="442"/>
      <c r="B565" s="442"/>
      <c r="C565" s="442"/>
      <c r="D565" s="442"/>
    </row>
    <row r="566" spans="1:4" x14ac:dyDescent="0.25">
      <c r="A566" s="442"/>
      <c r="B566" s="442"/>
      <c r="C566" s="442"/>
      <c r="D566" s="442"/>
    </row>
    <row r="570" spans="1:4" x14ac:dyDescent="0.25">
      <c r="A570" t="s">
        <v>294</v>
      </c>
    </row>
    <row r="588" spans="1:1" x14ac:dyDescent="0.25">
      <c r="A588" t="s">
        <v>295</v>
      </c>
    </row>
  </sheetData>
  <sortState ref="F107:F132">
    <sortCondition ref="F107"/>
  </sortState>
  <mergeCells count="4">
    <mergeCell ref="A74:D76"/>
    <mergeCell ref="A563:D566"/>
    <mergeCell ref="B15:M18"/>
    <mergeCell ref="A78:D8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3"/>
  <sheetViews>
    <sheetView topLeftCell="B1" workbookViewId="0">
      <selection activeCell="J14" sqref="J14"/>
    </sheetView>
  </sheetViews>
  <sheetFormatPr baseColWidth="10" defaultRowHeight="15" x14ac:dyDescent="0.25"/>
  <sheetData>
    <row r="1" spans="2:15" x14ac:dyDescent="0.25">
      <c r="D1" t="s">
        <v>218</v>
      </c>
    </row>
    <row r="3" spans="2:15" x14ac:dyDescent="0.25">
      <c r="B3" s="151"/>
      <c r="C3" s="151"/>
      <c r="D3" s="151" t="s">
        <v>204</v>
      </c>
      <c r="E3" s="151" t="s">
        <v>205</v>
      </c>
      <c r="F3" s="151" t="s">
        <v>206</v>
      </c>
      <c r="G3" s="151" t="s">
        <v>207</v>
      </c>
      <c r="H3" s="151" t="s">
        <v>208</v>
      </c>
      <c r="I3" s="151" t="s">
        <v>209</v>
      </c>
      <c r="J3" s="151" t="s">
        <v>210</v>
      </c>
      <c r="K3" s="151" t="s">
        <v>211</v>
      </c>
      <c r="L3" s="151" t="s">
        <v>212</v>
      </c>
      <c r="M3" s="151" t="s">
        <v>213</v>
      </c>
      <c r="N3" s="151" t="s">
        <v>219</v>
      </c>
      <c r="O3" s="151" t="s">
        <v>214</v>
      </c>
    </row>
    <row r="4" spans="2:15" x14ac:dyDescent="0.25">
      <c r="B4" s="151"/>
      <c r="C4" s="151">
        <v>2016</v>
      </c>
      <c r="D4" s="154">
        <v>2240</v>
      </c>
      <c r="E4" s="154">
        <v>0</v>
      </c>
      <c r="F4" s="154">
        <v>2433.1999999999998</v>
      </c>
      <c r="G4" s="154">
        <v>2354.8000000000002</v>
      </c>
      <c r="H4" s="154">
        <v>0</v>
      </c>
      <c r="I4" s="154">
        <v>2798.6</v>
      </c>
      <c r="J4" s="153">
        <v>3660.95</v>
      </c>
      <c r="K4" s="153">
        <v>5117.01</v>
      </c>
      <c r="L4" s="153">
        <v>2539.1999999999998</v>
      </c>
      <c r="M4" s="153">
        <v>1206.1199999999999</v>
      </c>
      <c r="N4" s="153">
        <v>2332.0700000000002</v>
      </c>
      <c r="O4" s="153">
        <v>1609.5</v>
      </c>
    </row>
    <row r="5" spans="2:15" x14ac:dyDescent="0.25">
      <c r="B5" s="151"/>
      <c r="C5" s="151">
        <v>2015</v>
      </c>
      <c r="D5" s="153">
        <v>2081.4499999999998</v>
      </c>
      <c r="E5" s="153">
        <v>2791.73</v>
      </c>
      <c r="F5" s="153">
        <v>5392.23</v>
      </c>
      <c r="G5" s="153">
        <v>4557.95</v>
      </c>
      <c r="H5" s="153">
        <v>4299.97</v>
      </c>
      <c r="I5" s="153">
        <v>4079.11</v>
      </c>
      <c r="J5" s="153">
        <v>10018.6</v>
      </c>
      <c r="K5" s="153">
        <v>5570.9</v>
      </c>
      <c r="L5" s="153">
        <v>5157.7</v>
      </c>
      <c r="M5" s="153">
        <v>8171.8</v>
      </c>
      <c r="N5" s="153">
        <v>67.099999999999994</v>
      </c>
      <c r="O5" s="153">
        <v>0</v>
      </c>
    </row>
    <row r="6" spans="2:15" x14ac:dyDescent="0.25">
      <c r="B6" s="151"/>
      <c r="C6" s="151">
        <v>2014</v>
      </c>
      <c r="D6" s="153">
        <v>1457</v>
      </c>
      <c r="E6" s="153">
        <v>2002.89</v>
      </c>
      <c r="F6" s="153">
        <v>2423.5</v>
      </c>
      <c r="G6" s="153">
        <v>450</v>
      </c>
      <c r="H6" s="153">
        <v>4002</v>
      </c>
      <c r="I6" s="153">
        <v>2400</v>
      </c>
      <c r="J6" s="153">
        <v>1250.5999999999999</v>
      </c>
      <c r="K6" s="153">
        <v>3332.23</v>
      </c>
      <c r="L6" s="153">
        <v>3250.9</v>
      </c>
      <c r="M6" s="153">
        <v>3960.2</v>
      </c>
      <c r="N6" s="153">
        <v>3005.69</v>
      </c>
      <c r="O6" s="153">
        <v>4501.3599999999997</v>
      </c>
    </row>
    <row r="7" spans="2:15" x14ac:dyDescent="0.25">
      <c r="B7" s="151"/>
      <c r="C7" s="151">
        <v>2013</v>
      </c>
      <c r="D7" s="153">
        <v>4035.2</v>
      </c>
      <c r="E7" s="153">
        <v>3396.18</v>
      </c>
      <c r="F7" s="153">
        <v>3038.77</v>
      </c>
      <c r="G7" s="153">
        <v>4477</v>
      </c>
      <c r="H7" s="153">
        <v>7972.56</v>
      </c>
      <c r="I7" s="153">
        <v>4515</v>
      </c>
      <c r="J7" s="153">
        <v>4581.38</v>
      </c>
      <c r="K7" s="153">
        <v>3815.32</v>
      </c>
      <c r="L7" s="153">
        <v>3541.34</v>
      </c>
      <c r="M7" s="153">
        <v>7559.5</v>
      </c>
      <c r="N7" s="153">
        <v>5140.12</v>
      </c>
      <c r="O7" s="153">
        <v>927.72</v>
      </c>
    </row>
    <row r="8" spans="2:15" x14ac:dyDescent="0.25">
      <c r="B8" s="151"/>
      <c r="C8" s="151">
        <v>2012</v>
      </c>
      <c r="D8" s="153">
        <v>2661.57</v>
      </c>
      <c r="E8" s="153">
        <v>3943.05</v>
      </c>
      <c r="F8" s="153">
        <v>4363.2</v>
      </c>
      <c r="G8" s="153">
        <v>4232.3999999999996</v>
      </c>
      <c r="H8" s="153">
        <v>4796.3100000000004</v>
      </c>
      <c r="I8" s="153">
        <v>2675.09</v>
      </c>
      <c r="J8" s="153">
        <v>3660.95</v>
      </c>
      <c r="K8" s="153">
        <v>5117.01</v>
      </c>
      <c r="L8" s="153">
        <v>2539.1999999999998</v>
      </c>
      <c r="M8" s="153">
        <v>1206.1199999999999</v>
      </c>
      <c r="N8" s="153">
        <v>2332.0700000000002</v>
      </c>
      <c r="O8" s="153">
        <v>1609.5</v>
      </c>
    </row>
    <row r="9" spans="2:15" x14ac:dyDescent="0.25">
      <c r="B9" s="151"/>
      <c r="C9" s="151">
        <v>2011</v>
      </c>
      <c r="D9" s="153">
        <v>1488</v>
      </c>
      <c r="E9" s="153">
        <v>2052.89</v>
      </c>
      <c r="F9" s="153">
        <v>2351.1</v>
      </c>
      <c r="G9" s="153">
        <v>280</v>
      </c>
      <c r="H9" s="153">
        <v>4585</v>
      </c>
      <c r="I9" s="153">
        <v>2415</v>
      </c>
      <c r="J9" s="153">
        <v>3445.4</v>
      </c>
      <c r="K9" s="153">
        <v>482.4</v>
      </c>
      <c r="L9" s="153">
        <v>2023.05</v>
      </c>
      <c r="M9" s="153">
        <v>934.15</v>
      </c>
      <c r="N9" s="153">
        <v>1885.95</v>
      </c>
      <c r="O9" s="153">
        <v>1537.65</v>
      </c>
    </row>
    <row r="10" spans="2:15" x14ac:dyDescent="0.25">
      <c r="B10" s="151"/>
      <c r="C10" s="151">
        <v>2010</v>
      </c>
      <c r="D10" s="153">
        <v>1571.05</v>
      </c>
      <c r="E10" s="153">
        <v>3596.64</v>
      </c>
      <c r="F10" s="153">
        <v>4211.0200000000004</v>
      </c>
      <c r="G10" s="153">
        <v>5115.32</v>
      </c>
      <c r="H10" s="153">
        <v>1799.71</v>
      </c>
      <c r="I10" s="153">
        <v>2445.6</v>
      </c>
      <c r="J10" s="153">
        <v>1180.5999999999999</v>
      </c>
      <c r="K10" s="153">
        <v>3416.75</v>
      </c>
      <c r="L10" s="153">
        <v>3301.9</v>
      </c>
      <c r="M10" s="153">
        <v>3954.7</v>
      </c>
      <c r="N10" s="153">
        <v>3067.69</v>
      </c>
      <c r="O10" s="153">
        <v>4498.3999999999996</v>
      </c>
    </row>
    <row r="11" spans="2:15" x14ac:dyDescent="0.25">
      <c r="D11" s="36"/>
      <c r="E11" s="36"/>
      <c r="F11" s="36"/>
      <c r="G11" s="36"/>
      <c r="H11" s="36"/>
      <c r="I11" s="36"/>
      <c r="J11" s="36"/>
      <c r="K11" s="19"/>
      <c r="L11" s="36"/>
      <c r="M11" s="36"/>
      <c r="N11" s="36"/>
      <c r="O11" s="19"/>
    </row>
    <row r="12" spans="2:15" x14ac:dyDescent="0.25">
      <c r="D12" s="36"/>
      <c r="E12" s="36"/>
      <c r="F12" s="36"/>
      <c r="G12" s="36"/>
      <c r="H12" s="36"/>
      <c r="I12" s="36"/>
      <c r="J12" s="36"/>
      <c r="K12" s="19"/>
      <c r="L12" s="36"/>
      <c r="M12" s="36"/>
      <c r="N12" s="36"/>
      <c r="O12" s="19"/>
    </row>
    <row r="13" spans="2:15" x14ac:dyDescent="0.25">
      <c r="D13" s="36"/>
      <c r="E13" s="36"/>
      <c r="F13" s="36"/>
      <c r="G13" s="36"/>
      <c r="H13" s="36"/>
      <c r="I13" s="36"/>
      <c r="J13" s="36"/>
      <c r="K13" s="19"/>
      <c r="L13" s="36"/>
      <c r="M13" s="36"/>
      <c r="N13" s="36"/>
      <c r="O13" s="19"/>
    </row>
    <row r="14" spans="2:15" x14ac:dyDescent="0.25">
      <c r="D14" s="16"/>
      <c r="E14" s="16" t="s">
        <v>220</v>
      </c>
      <c r="F14" s="16" t="s">
        <v>221</v>
      </c>
      <c r="G14" s="16" t="s">
        <v>222</v>
      </c>
      <c r="H14" s="16" t="s">
        <v>223</v>
      </c>
      <c r="I14" s="36"/>
      <c r="J14" s="36"/>
      <c r="K14" s="19"/>
      <c r="L14" s="36"/>
      <c r="M14" s="36"/>
      <c r="N14" s="36"/>
      <c r="O14" s="19"/>
    </row>
    <row r="15" spans="2:15" x14ac:dyDescent="0.25">
      <c r="D15" s="16">
        <v>2016</v>
      </c>
      <c r="E15" s="22">
        <f>+SUM(D4:F4)</f>
        <v>4673.2</v>
      </c>
      <c r="F15" s="22">
        <f>+SUM(G4:I4)</f>
        <v>5153.3999999999996</v>
      </c>
      <c r="G15" s="22">
        <f>+SUM(J4:L4)</f>
        <v>11317.16</v>
      </c>
      <c r="H15" s="22">
        <f>+SUM(M4:O4)</f>
        <v>5147.6900000000005</v>
      </c>
      <c r="I15" s="36"/>
      <c r="J15" s="36"/>
      <c r="K15" s="19"/>
      <c r="L15" s="36" t="s">
        <v>220</v>
      </c>
      <c r="M15" s="36" t="s">
        <v>221</v>
      </c>
      <c r="N15" s="36" t="s">
        <v>222</v>
      </c>
      <c r="O15" s="19" t="s">
        <v>223</v>
      </c>
    </row>
    <row r="16" spans="2:15" x14ac:dyDescent="0.25">
      <c r="D16" s="16">
        <v>2015</v>
      </c>
      <c r="E16" s="22">
        <f t="shared" ref="E16:E21" si="0">+SUM(D5:F5)</f>
        <v>10265.41</v>
      </c>
      <c r="F16" s="22">
        <f t="shared" ref="F16:F21" si="1">+SUM(G5:I5)</f>
        <v>12937.03</v>
      </c>
      <c r="G16" s="22">
        <f t="shared" ref="G16:G21" si="2">+SUM(J5:L5)</f>
        <v>20747.2</v>
      </c>
      <c r="H16" s="22">
        <f t="shared" ref="H16:H21" si="3">+SUM(M5:O5)</f>
        <v>8238.9</v>
      </c>
      <c r="I16" s="36"/>
      <c r="J16" s="36"/>
      <c r="K16" s="19">
        <v>2016</v>
      </c>
      <c r="L16" s="36">
        <v>4673.2</v>
      </c>
      <c r="M16" s="36">
        <v>5153.3999999999996</v>
      </c>
      <c r="N16" s="36">
        <v>0</v>
      </c>
      <c r="O16" s="19">
        <v>0</v>
      </c>
    </row>
    <row r="17" spans="2:15" x14ac:dyDescent="0.25">
      <c r="D17" s="16">
        <v>2014</v>
      </c>
      <c r="E17" s="22">
        <f t="shared" si="0"/>
        <v>5883.39</v>
      </c>
      <c r="F17" s="22">
        <f t="shared" si="1"/>
        <v>6852</v>
      </c>
      <c r="G17" s="22">
        <f t="shared" si="2"/>
        <v>7833.73</v>
      </c>
      <c r="H17" s="22">
        <f t="shared" si="3"/>
        <v>11467.25</v>
      </c>
      <c r="I17" s="36"/>
      <c r="J17" s="36"/>
      <c r="K17" s="19">
        <v>2015</v>
      </c>
      <c r="L17" s="36">
        <v>10265.41</v>
      </c>
      <c r="M17" s="36">
        <v>12937.03</v>
      </c>
      <c r="N17" s="36">
        <v>20747.2</v>
      </c>
      <c r="O17" s="19">
        <v>8238.9</v>
      </c>
    </row>
    <row r="18" spans="2:15" x14ac:dyDescent="0.25">
      <c r="D18" s="16">
        <v>2013</v>
      </c>
      <c r="E18" s="22">
        <f t="shared" si="0"/>
        <v>10470.15</v>
      </c>
      <c r="F18" s="22">
        <f t="shared" si="1"/>
        <v>16964.560000000001</v>
      </c>
      <c r="G18" s="22">
        <f t="shared" si="2"/>
        <v>11938.04</v>
      </c>
      <c r="H18" s="22">
        <f t="shared" si="3"/>
        <v>13627.339999999998</v>
      </c>
      <c r="I18" s="36"/>
      <c r="J18" s="36"/>
      <c r="K18" s="19">
        <v>2014</v>
      </c>
      <c r="L18" s="36">
        <v>113.56</v>
      </c>
      <c r="M18" s="36">
        <v>121.69999999999999</v>
      </c>
      <c r="N18" s="36">
        <v>49.68</v>
      </c>
      <c r="O18" s="19">
        <v>37.82</v>
      </c>
    </row>
    <row r="19" spans="2:15" x14ac:dyDescent="0.25">
      <c r="D19" s="16">
        <v>2012</v>
      </c>
      <c r="E19" s="22">
        <f t="shared" si="0"/>
        <v>10967.82</v>
      </c>
      <c r="F19" s="22">
        <f t="shared" si="1"/>
        <v>11703.8</v>
      </c>
      <c r="G19" s="22">
        <f t="shared" si="2"/>
        <v>11317.16</v>
      </c>
      <c r="H19" s="22">
        <f t="shared" si="3"/>
        <v>5147.6900000000005</v>
      </c>
      <c r="I19" s="36"/>
      <c r="J19" s="36"/>
      <c r="K19" s="19">
        <v>2013</v>
      </c>
      <c r="L19" s="36">
        <v>10470.15</v>
      </c>
      <c r="M19" s="36">
        <v>16964.560000000001</v>
      </c>
      <c r="N19" s="36">
        <v>11938.04</v>
      </c>
      <c r="O19" s="19">
        <v>13627.339999999998</v>
      </c>
    </row>
    <row r="20" spans="2:15" x14ac:dyDescent="0.25">
      <c r="D20" s="16">
        <v>2011</v>
      </c>
      <c r="E20" s="22">
        <f t="shared" si="0"/>
        <v>5891.99</v>
      </c>
      <c r="F20" s="22">
        <f t="shared" si="1"/>
        <v>7280</v>
      </c>
      <c r="G20" s="22">
        <f t="shared" si="2"/>
        <v>5950.85</v>
      </c>
      <c r="H20" s="22">
        <f t="shared" si="3"/>
        <v>4357.75</v>
      </c>
      <c r="I20" s="36"/>
      <c r="J20" s="36"/>
      <c r="K20" s="19">
        <v>2012</v>
      </c>
      <c r="L20" s="36">
        <v>10967.82</v>
      </c>
      <c r="M20" s="36">
        <v>11703.8</v>
      </c>
      <c r="N20" s="36">
        <v>11317.16</v>
      </c>
      <c r="O20" s="19">
        <v>5147.6900000000005</v>
      </c>
    </row>
    <row r="21" spans="2:15" x14ac:dyDescent="0.25">
      <c r="D21" s="16">
        <v>2010</v>
      </c>
      <c r="E21" s="22">
        <f t="shared" si="0"/>
        <v>9378.7099999999991</v>
      </c>
      <c r="F21" s="22">
        <f t="shared" si="1"/>
        <v>9360.6299999999992</v>
      </c>
      <c r="G21" s="22">
        <f t="shared" si="2"/>
        <v>7899.25</v>
      </c>
      <c r="H21" s="22">
        <f t="shared" si="3"/>
        <v>11520.789999999999</v>
      </c>
      <c r="I21" s="36"/>
      <c r="J21" s="36"/>
      <c r="K21" s="19">
        <v>2011</v>
      </c>
      <c r="L21" s="36">
        <v>5891.99</v>
      </c>
      <c r="M21" s="36">
        <v>7280</v>
      </c>
      <c r="N21" s="36">
        <v>5950.85</v>
      </c>
      <c r="O21" s="19">
        <v>4357.75</v>
      </c>
    </row>
    <row r="22" spans="2:15" x14ac:dyDescent="0.25">
      <c r="D22" s="36"/>
      <c r="E22" s="36"/>
      <c r="F22" s="36"/>
      <c r="G22" s="36"/>
      <c r="H22" s="36"/>
      <c r="I22" s="36"/>
      <c r="J22" s="36"/>
      <c r="K22" s="19">
        <v>2010</v>
      </c>
      <c r="L22" s="36">
        <v>9378.7099999999991</v>
      </c>
      <c r="M22" s="36">
        <v>9360.6299999999992</v>
      </c>
      <c r="N22" s="36">
        <v>7899.25</v>
      </c>
      <c r="O22" s="19">
        <v>11520.789999999999</v>
      </c>
    </row>
    <row r="23" spans="2:15" x14ac:dyDescent="0.25">
      <c r="D23" s="36"/>
      <c r="E23" s="36"/>
      <c r="F23" s="36"/>
      <c r="G23" s="36"/>
      <c r="H23" s="36"/>
      <c r="I23" s="36"/>
      <c r="J23" s="36"/>
      <c r="K23" s="19"/>
      <c r="L23" s="36"/>
      <c r="M23" s="36"/>
      <c r="N23" s="36"/>
      <c r="O23" s="19"/>
    </row>
    <row r="24" spans="2:15" x14ac:dyDescent="0.25">
      <c r="D24" s="36"/>
      <c r="E24" s="36"/>
      <c r="F24" s="36"/>
      <c r="G24" s="36"/>
      <c r="H24" s="36"/>
      <c r="I24" s="36"/>
      <c r="J24" s="36"/>
      <c r="K24" s="19"/>
      <c r="L24" s="36"/>
      <c r="M24" s="36"/>
      <c r="N24" s="36"/>
      <c r="O24" s="19"/>
    </row>
    <row r="25" spans="2:15" x14ac:dyDescent="0.25">
      <c r="B25" t="s">
        <v>310</v>
      </c>
      <c r="C25" t="s">
        <v>218</v>
      </c>
      <c r="D25" t="s">
        <v>217</v>
      </c>
      <c r="E25" t="s">
        <v>216</v>
      </c>
      <c r="F25" s="36"/>
      <c r="G25" s="36"/>
      <c r="H25" s="36"/>
      <c r="I25" s="36"/>
      <c r="J25" s="36"/>
      <c r="K25" s="19"/>
      <c r="L25" s="36"/>
      <c r="M25" s="36"/>
      <c r="N25" s="36"/>
      <c r="O25" s="19"/>
    </row>
    <row r="26" spans="2:15" x14ac:dyDescent="0.25">
      <c r="B26">
        <v>2010</v>
      </c>
      <c r="C26" s="36">
        <v>9378.7099999999991</v>
      </c>
      <c r="D26">
        <v>312.51</v>
      </c>
      <c r="E26">
        <v>995.83000000000015</v>
      </c>
      <c r="F26" s="36"/>
      <c r="G26" s="36"/>
      <c r="H26" s="36"/>
      <c r="I26" s="36"/>
      <c r="J26" s="36"/>
      <c r="K26" s="19"/>
      <c r="L26" s="36"/>
      <c r="M26" s="36"/>
      <c r="N26" s="36"/>
      <c r="O26" s="19"/>
    </row>
    <row r="27" spans="2:15" x14ac:dyDescent="0.25">
      <c r="B27">
        <v>2010.25</v>
      </c>
      <c r="C27" s="36">
        <v>9360.6299999999992</v>
      </c>
      <c r="D27">
        <v>458.86</v>
      </c>
      <c r="E27">
        <v>515.75</v>
      </c>
      <c r="F27" s="36"/>
      <c r="G27" s="36"/>
      <c r="H27" s="36"/>
      <c r="I27" s="36"/>
      <c r="J27" s="36"/>
      <c r="K27" s="19"/>
      <c r="L27" s="36"/>
      <c r="M27" s="36"/>
      <c r="N27" s="36"/>
      <c r="O27" s="19"/>
    </row>
    <row r="28" spans="2:15" x14ac:dyDescent="0.25">
      <c r="B28">
        <v>2010.5</v>
      </c>
      <c r="C28" s="36">
        <v>7899.25</v>
      </c>
      <c r="D28">
        <v>470.3</v>
      </c>
      <c r="E28">
        <v>1096.98</v>
      </c>
      <c r="F28" s="36"/>
      <c r="G28" s="36"/>
      <c r="H28" s="36"/>
      <c r="I28" s="36"/>
      <c r="J28" s="36"/>
      <c r="K28" s="19"/>
      <c r="L28" s="36"/>
      <c r="M28" s="36"/>
      <c r="N28" s="36"/>
      <c r="O28" s="19"/>
    </row>
    <row r="29" spans="2:15" x14ac:dyDescent="0.25">
      <c r="B29">
        <v>2010.75</v>
      </c>
      <c r="C29" s="19">
        <v>11520.789999999999</v>
      </c>
      <c r="D29">
        <v>292.92</v>
      </c>
      <c r="E29">
        <v>737.49</v>
      </c>
      <c r="F29" s="36"/>
      <c r="G29" s="36"/>
      <c r="H29" s="36"/>
      <c r="I29" s="36"/>
      <c r="J29" s="36"/>
      <c r="K29" s="19"/>
      <c r="L29" s="36"/>
      <c r="M29" s="36"/>
      <c r="N29" s="36"/>
      <c r="O29" s="19"/>
    </row>
    <row r="30" spans="2:15" x14ac:dyDescent="0.25">
      <c r="B30">
        <v>2011</v>
      </c>
      <c r="C30" s="36">
        <v>5891.99</v>
      </c>
      <c r="D30">
        <v>54.42</v>
      </c>
      <c r="E30">
        <v>558.88</v>
      </c>
      <c r="F30" s="36"/>
      <c r="G30" s="36"/>
      <c r="H30" s="36"/>
      <c r="I30" s="36"/>
      <c r="J30" s="36"/>
      <c r="K30" s="19"/>
      <c r="L30" s="36"/>
      <c r="M30" s="36"/>
      <c r="N30" s="36"/>
      <c r="O30" s="19"/>
    </row>
    <row r="31" spans="2:15" x14ac:dyDescent="0.25">
      <c r="B31">
        <v>2011.25</v>
      </c>
      <c r="C31" s="36">
        <v>7280</v>
      </c>
      <c r="D31">
        <v>420.28</v>
      </c>
      <c r="E31">
        <v>584.15</v>
      </c>
      <c r="F31" s="36"/>
      <c r="G31" s="36"/>
      <c r="H31" s="36"/>
      <c r="I31" s="36"/>
      <c r="J31" s="36"/>
      <c r="K31" s="19"/>
      <c r="L31" s="36"/>
      <c r="M31" s="36"/>
      <c r="N31" s="36"/>
      <c r="O31" s="19"/>
    </row>
    <row r="32" spans="2:15" x14ac:dyDescent="0.25">
      <c r="B32">
        <v>2011.5</v>
      </c>
      <c r="C32" s="36">
        <v>5950.85</v>
      </c>
      <c r="D32">
        <v>224.01</v>
      </c>
      <c r="E32">
        <v>598.57999999999993</v>
      </c>
      <c r="F32" s="36"/>
      <c r="G32" s="36"/>
      <c r="H32" s="36"/>
      <c r="I32" s="36"/>
      <c r="J32" s="36"/>
      <c r="K32" s="19"/>
      <c r="L32" s="36"/>
      <c r="M32" s="36"/>
      <c r="N32" s="36"/>
      <c r="O32" s="19"/>
    </row>
    <row r="33" spans="2:15" x14ac:dyDescent="0.25">
      <c r="B33">
        <v>2011.75</v>
      </c>
      <c r="C33" s="19">
        <v>4357.75</v>
      </c>
      <c r="D33">
        <v>234.97</v>
      </c>
      <c r="E33">
        <v>341.58</v>
      </c>
      <c r="F33" s="36"/>
      <c r="G33" s="36"/>
      <c r="H33" s="36"/>
      <c r="I33" s="36"/>
      <c r="J33" s="36"/>
      <c r="K33" s="19"/>
      <c r="L33" s="36"/>
      <c r="M33" s="36"/>
      <c r="N33" s="36"/>
      <c r="O33" s="19"/>
    </row>
    <row r="34" spans="2:15" x14ac:dyDescent="0.25">
      <c r="B34">
        <v>2012</v>
      </c>
      <c r="C34" s="36">
        <v>10967.82</v>
      </c>
      <c r="D34">
        <v>241.87</v>
      </c>
      <c r="E34">
        <v>606.39</v>
      </c>
      <c r="F34" s="36"/>
      <c r="G34" s="36"/>
      <c r="H34" s="36"/>
      <c r="I34" s="36"/>
      <c r="J34" s="36"/>
      <c r="K34" s="19"/>
      <c r="L34" s="36"/>
      <c r="M34" s="36"/>
      <c r="N34" s="36"/>
      <c r="O34" s="19"/>
    </row>
    <row r="35" spans="2:15" x14ac:dyDescent="0.25">
      <c r="B35">
        <v>2012.25</v>
      </c>
      <c r="C35" s="36">
        <v>11703.8</v>
      </c>
      <c r="D35">
        <v>192.67</v>
      </c>
      <c r="E35">
        <v>537.71</v>
      </c>
      <c r="F35" s="36"/>
      <c r="G35" s="36"/>
      <c r="H35" s="36"/>
      <c r="I35" s="36"/>
      <c r="J35" s="36"/>
      <c r="K35" s="19"/>
      <c r="L35" s="36"/>
      <c r="M35" s="36"/>
      <c r="N35" s="36"/>
      <c r="O35" s="19"/>
    </row>
    <row r="36" spans="2:15" x14ac:dyDescent="0.25">
      <c r="B36">
        <v>2012.5</v>
      </c>
      <c r="C36" s="36">
        <v>11317.16</v>
      </c>
      <c r="D36">
        <v>96.59</v>
      </c>
      <c r="E36">
        <v>544.22</v>
      </c>
      <c r="F36" s="36"/>
      <c r="G36" s="36"/>
      <c r="H36" s="36"/>
      <c r="I36" s="36"/>
      <c r="J36" s="36"/>
      <c r="K36" s="19"/>
      <c r="L36" s="36"/>
      <c r="M36" s="36"/>
      <c r="N36" s="36"/>
      <c r="O36" s="19"/>
    </row>
    <row r="37" spans="2:15" x14ac:dyDescent="0.25">
      <c r="B37">
        <v>2012.75</v>
      </c>
      <c r="C37" s="19">
        <v>5147.6900000000005</v>
      </c>
      <c r="D37">
        <v>68.600000000000009</v>
      </c>
      <c r="E37">
        <v>519.29</v>
      </c>
      <c r="F37" s="36"/>
      <c r="G37" s="36"/>
      <c r="H37" s="36"/>
      <c r="I37" s="36"/>
      <c r="J37" s="36"/>
      <c r="K37" s="19"/>
      <c r="L37" s="36"/>
      <c r="M37" s="36"/>
      <c r="N37" s="36"/>
      <c r="O37" s="19"/>
    </row>
    <row r="38" spans="2:15" x14ac:dyDescent="0.25">
      <c r="B38">
        <v>2013</v>
      </c>
      <c r="C38" s="36">
        <v>10470.15</v>
      </c>
      <c r="D38">
        <v>191.86</v>
      </c>
      <c r="E38">
        <v>64.36</v>
      </c>
      <c r="F38" s="36"/>
      <c r="G38" s="36"/>
      <c r="H38" s="36"/>
      <c r="I38" s="36"/>
      <c r="J38" s="36"/>
      <c r="K38" s="19"/>
      <c r="L38" s="36"/>
      <c r="M38" s="36"/>
      <c r="N38" s="36"/>
      <c r="O38" s="19"/>
    </row>
    <row r="39" spans="2:15" x14ac:dyDescent="0.25">
      <c r="B39">
        <v>2013.25</v>
      </c>
      <c r="C39" s="36">
        <v>16964.560000000001</v>
      </c>
      <c r="D39">
        <v>118.85</v>
      </c>
      <c r="E39">
        <v>85.9</v>
      </c>
      <c r="F39" s="36"/>
      <c r="G39" s="36"/>
      <c r="H39" s="36"/>
      <c r="I39" s="36"/>
      <c r="J39" s="36"/>
      <c r="K39" s="19"/>
      <c r="L39" s="36"/>
      <c r="M39" s="36"/>
      <c r="N39" s="36"/>
      <c r="O39" s="19"/>
    </row>
    <row r="40" spans="2:15" x14ac:dyDescent="0.25">
      <c r="B40">
        <v>2013.5</v>
      </c>
      <c r="C40" s="36">
        <v>11938.04</v>
      </c>
      <c r="D40">
        <v>316.16999999999996</v>
      </c>
      <c r="E40">
        <v>103.05000000000001</v>
      </c>
      <c r="F40" s="36"/>
      <c r="G40" s="36"/>
      <c r="H40" s="36"/>
      <c r="I40" s="36"/>
      <c r="J40" s="36"/>
      <c r="K40" s="19"/>
      <c r="L40" s="36"/>
      <c r="M40" s="36"/>
      <c r="N40" s="36"/>
      <c r="O40" s="19"/>
    </row>
    <row r="41" spans="2:15" x14ac:dyDescent="0.25">
      <c r="B41">
        <v>2013.75</v>
      </c>
      <c r="C41" s="19">
        <v>13627.339999999998</v>
      </c>
      <c r="D41">
        <v>24.1</v>
      </c>
      <c r="E41">
        <v>70.19</v>
      </c>
      <c r="F41" s="36"/>
      <c r="G41" s="36"/>
      <c r="H41" s="36"/>
      <c r="I41" s="36"/>
      <c r="J41" s="36"/>
      <c r="K41" s="19"/>
      <c r="L41" s="36"/>
      <c r="M41" s="36"/>
      <c r="N41" s="36"/>
      <c r="O41" s="19"/>
    </row>
    <row r="42" spans="2:15" x14ac:dyDescent="0.25">
      <c r="B42">
        <v>2014</v>
      </c>
      <c r="C42" s="36">
        <v>113.56</v>
      </c>
      <c r="D42">
        <v>345.26</v>
      </c>
      <c r="E42">
        <v>140.34</v>
      </c>
      <c r="F42" s="36"/>
      <c r="G42" s="36"/>
      <c r="H42" s="36"/>
      <c r="I42" s="36"/>
      <c r="J42" s="36"/>
      <c r="K42" s="19"/>
      <c r="L42" s="36"/>
      <c r="M42" s="36"/>
      <c r="N42" s="36"/>
      <c r="O42" s="19"/>
    </row>
    <row r="43" spans="2:15" x14ac:dyDescent="0.25">
      <c r="B43">
        <v>2014.25</v>
      </c>
      <c r="C43" s="36">
        <v>121.69999999999999</v>
      </c>
      <c r="D43">
        <v>5.14</v>
      </c>
      <c r="E43">
        <v>52.94</v>
      </c>
      <c r="F43" s="36"/>
      <c r="G43" s="36"/>
      <c r="H43" s="36"/>
      <c r="I43" s="36"/>
      <c r="J43" s="36"/>
      <c r="K43" s="19"/>
      <c r="L43" s="36"/>
      <c r="M43" s="36"/>
      <c r="N43" s="36"/>
      <c r="O43" s="19"/>
    </row>
    <row r="44" spans="2:15" x14ac:dyDescent="0.25">
      <c r="B44">
        <v>2014.5</v>
      </c>
      <c r="C44" s="36">
        <v>49.68</v>
      </c>
      <c r="D44">
        <v>81.92</v>
      </c>
      <c r="E44">
        <v>180.5</v>
      </c>
      <c r="F44" s="36"/>
      <c r="G44" s="36"/>
      <c r="H44" s="36"/>
      <c r="I44" s="36"/>
      <c r="J44" s="36"/>
      <c r="K44" s="19"/>
      <c r="L44" s="36"/>
      <c r="M44" s="36"/>
      <c r="N44" s="36"/>
      <c r="O44" s="19"/>
    </row>
    <row r="45" spans="2:15" x14ac:dyDescent="0.25">
      <c r="B45">
        <v>2014.75</v>
      </c>
      <c r="C45" s="19">
        <v>37.82</v>
      </c>
      <c r="D45">
        <v>123.12</v>
      </c>
      <c r="E45">
        <v>38.739999999999995</v>
      </c>
      <c r="F45" s="36"/>
      <c r="G45" s="36"/>
      <c r="H45" s="36"/>
      <c r="I45" s="36"/>
      <c r="J45" s="36"/>
      <c r="K45" s="19"/>
      <c r="L45" s="36"/>
      <c r="M45" s="36"/>
      <c r="N45" s="36"/>
      <c r="O45" s="19"/>
    </row>
    <row r="46" spans="2:15" x14ac:dyDescent="0.25">
      <c r="B46">
        <v>2015</v>
      </c>
      <c r="C46" s="36">
        <v>10265.41</v>
      </c>
      <c r="D46">
        <v>86.22999999999999</v>
      </c>
      <c r="E46">
        <v>176</v>
      </c>
      <c r="F46" s="36"/>
      <c r="G46" s="36"/>
      <c r="H46" s="36"/>
      <c r="I46" s="36"/>
      <c r="J46" s="36"/>
      <c r="K46" s="19"/>
      <c r="L46" s="36"/>
      <c r="M46" s="36"/>
      <c r="N46" s="36"/>
      <c r="O46" s="19"/>
    </row>
    <row r="47" spans="2:15" x14ac:dyDescent="0.25">
      <c r="B47">
        <v>2015.25</v>
      </c>
      <c r="C47" s="36">
        <v>12937.03</v>
      </c>
      <c r="D47">
        <v>5.78</v>
      </c>
      <c r="E47">
        <v>40.4</v>
      </c>
      <c r="F47" s="36"/>
      <c r="G47" s="36"/>
      <c r="H47" s="36"/>
      <c r="I47" s="36"/>
      <c r="J47" s="36"/>
      <c r="K47" s="19"/>
      <c r="L47" s="36"/>
      <c r="M47" s="36"/>
      <c r="N47" s="36"/>
      <c r="O47" s="19"/>
    </row>
    <row r="48" spans="2:15" x14ac:dyDescent="0.25">
      <c r="B48">
        <v>2015.5</v>
      </c>
      <c r="C48" s="36">
        <v>20747.2</v>
      </c>
      <c r="D48">
        <v>129.16</v>
      </c>
      <c r="E48">
        <v>90.7</v>
      </c>
      <c r="F48" s="36"/>
      <c r="G48" s="36"/>
      <c r="H48" s="36"/>
      <c r="I48" s="36"/>
      <c r="J48" s="36"/>
      <c r="K48" s="19"/>
      <c r="L48" s="36"/>
      <c r="M48" s="36"/>
      <c r="N48" s="36"/>
      <c r="O48" s="19"/>
    </row>
    <row r="49" spans="1:15" x14ac:dyDescent="0.25">
      <c r="B49">
        <v>2015.75</v>
      </c>
      <c r="C49" s="19">
        <v>8238.9</v>
      </c>
      <c r="D49">
        <v>4.8600000000000003</v>
      </c>
      <c r="E49">
        <v>41.68</v>
      </c>
      <c r="F49" s="36"/>
      <c r="G49" s="36"/>
      <c r="H49" s="36"/>
      <c r="I49" s="36"/>
      <c r="J49" s="36"/>
      <c r="K49" s="19"/>
      <c r="L49" s="36"/>
      <c r="M49" s="36"/>
      <c r="N49" s="36"/>
      <c r="O49" s="19"/>
    </row>
    <row r="50" spans="1:15" x14ac:dyDescent="0.25">
      <c r="B50">
        <v>2016</v>
      </c>
      <c r="C50" s="36">
        <v>66.759999999999991</v>
      </c>
      <c r="D50">
        <v>52.87</v>
      </c>
      <c r="E50">
        <v>42.1</v>
      </c>
      <c r="F50" s="36"/>
      <c r="G50" s="36"/>
      <c r="H50" s="36"/>
      <c r="I50" s="36"/>
      <c r="J50" s="36"/>
      <c r="K50" s="19"/>
      <c r="L50" s="36"/>
      <c r="M50" s="36"/>
      <c r="N50" s="36"/>
      <c r="O50" s="19"/>
    </row>
    <row r="51" spans="1:15" x14ac:dyDescent="0.25">
      <c r="B51">
        <v>2016.25</v>
      </c>
      <c r="C51" s="36">
        <v>73.62</v>
      </c>
      <c r="D51">
        <v>41.22</v>
      </c>
      <c r="E51">
        <v>38.08</v>
      </c>
      <c r="F51" s="36"/>
      <c r="G51" s="36"/>
      <c r="H51" s="36"/>
      <c r="I51" s="36"/>
      <c r="J51" s="36"/>
      <c r="K51" s="19"/>
      <c r="L51" s="36"/>
      <c r="M51" s="36"/>
      <c r="N51" s="36"/>
      <c r="O51" s="19"/>
    </row>
    <row r="52" spans="1:15" x14ac:dyDescent="0.25">
      <c r="D52" s="36"/>
      <c r="E52" s="36"/>
      <c r="F52" s="36"/>
      <c r="G52" s="36"/>
      <c r="H52" s="36"/>
      <c r="I52" s="36"/>
      <c r="J52" s="36"/>
      <c r="K52" s="19"/>
      <c r="L52" s="36"/>
      <c r="M52" s="36"/>
      <c r="N52" s="36"/>
      <c r="O52" s="19"/>
    </row>
    <row r="55" spans="1:15" x14ac:dyDescent="0.25">
      <c r="A55" t="s">
        <v>309</v>
      </c>
      <c r="B55" t="s">
        <v>307</v>
      </c>
      <c r="C55" t="s">
        <v>308</v>
      </c>
    </row>
    <row r="56" spans="1:15" x14ac:dyDescent="0.25">
      <c r="A56">
        <v>2010</v>
      </c>
      <c r="B56" s="108">
        <v>40179</v>
      </c>
      <c r="C56" s="109">
        <v>1571.05</v>
      </c>
    </row>
    <row r="57" spans="1:15" x14ac:dyDescent="0.25">
      <c r="B57" s="108">
        <v>40210</v>
      </c>
      <c r="C57" s="110">
        <v>3596.64</v>
      </c>
    </row>
    <row r="58" spans="1:15" x14ac:dyDescent="0.25">
      <c r="B58" s="108">
        <v>40238</v>
      </c>
      <c r="C58" s="110">
        <v>4211.0200000000004</v>
      </c>
    </row>
    <row r="59" spans="1:15" x14ac:dyDescent="0.25">
      <c r="B59" s="108">
        <v>40269</v>
      </c>
      <c r="C59" s="110">
        <v>5115.32</v>
      </c>
    </row>
    <row r="60" spans="1:15" x14ac:dyDescent="0.25">
      <c r="B60" s="108">
        <v>40299</v>
      </c>
      <c r="C60" s="110">
        <v>1799.71</v>
      </c>
    </row>
    <row r="61" spans="1:15" x14ac:dyDescent="0.25">
      <c r="B61" s="108">
        <v>40330</v>
      </c>
      <c r="C61" s="110">
        <v>2445.6</v>
      </c>
    </row>
    <row r="62" spans="1:15" x14ac:dyDescent="0.25">
      <c r="B62" s="108">
        <v>40360</v>
      </c>
      <c r="C62" s="110">
        <v>1180.5999999999999</v>
      </c>
    </row>
    <row r="63" spans="1:15" x14ac:dyDescent="0.25">
      <c r="B63" s="108">
        <v>40391</v>
      </c>
      <c r="C63" s="111">
        <v>3416.75</v>
      </c>
    </row>
    <row r="64" spans="1:15" x14ac:dyDescent="0.25">
      <c r="B64" s="108">
        <v>40422</v>
      </c>
      <c r="C64" s="110">
        <v>3301.9</v>
      </c>
    </row>
    <row r="65" spans="1:3" x14ac:dyDescent="0.25">
      <c r="B65" s="108">
        <v>40452</v>
      </c>
      <c r="C65" s="110">
        <v>3954.7</v>
      </c>
    </row>
    <row r="66" spans="1:3" x14ac:dyDescent="0.25">
      <c r="B66" s="108">
        <v>40483</v>
      </c>
      <c r="C66" s="110">
        <v>3067.69</v>
      </c>
    </row>
    <row r="67" spans="1:3" x14ac:dyDescent="0.25">
      <c r="B67" s="108">
        <v>40513</v>
      </c>
      <c r="C67" s="111">
        <v>4498.3999999999996</v>
      </c>
    </row>
    <row r="68" spans="1:3" x14ac:dyDescent="0.25">
      <c r="A68">
        <v>2011</v>
      </c>
      <c r="B68" s="108">
        <v>40544</v>
      </c>
      <c r="C68" s="110">
        <v>1488</v>
      </c>
    </row>
    <row r="69" spans="1:3" x14ac:dyDescent="0.25">
      <c r="B69" s="108">
        <v>40575</v>
      </c>
      <c r="C69" s="110">
        <v>2052.89</v>
      </c>
    </row>
    <row r="70" spans="1:3" x14ac:dyDescent="0.25">
      <c r="B70" s="108">
        <v>40603</v>
      </c>
      <c r="C70" s="110">
        <v>2351.1</v>
      </c>
    </row>
    <row r="71" spans="1:3" x14ac:dyDescent="0.25">
      <c r="B71" s="108">
        <v>40634</v>
      </c>
      <c r="C71" s="110">
        <v>280</v>
      </c>
    </row>
    <row r="72" spans="1:3" x14ac:dyDescent="0.25">
      <c r="B72" s="108">
        <v>40664</v>
      </c>
      <c r="C72" s="110">
        <v>4585</v>
      </c>
    </row>
    <row r="73" spans="1:3" x14ac:dyDescent="0.25">
      <c r="B73" s="108">
        <v>40695</v>
      </c>
      <c r="C73" s="110">
        <v>2415</v>
      </c>
    </row>
    <row r="74" spans="1:3" x14ac:dyDescent="0.25">
      <c r="B74" s="108">
        <v>40725</v>
      </c>
      <c r="C74" s="110">
        <v>3445.4</v>
      </c>
    </row>
    <row r="75" spans="1:3" x14ac:dyDescent="0.25">
      <c r="B75" s="108">
        <v>40756</v>
      </c>
      <c r="C75" s="111">
        <v>482.4</v>
      </c>
    </row>
    <row r="76" spans="1:3" x14ac:dyDescent="0.25">
      <c r="B76" s="108">
        <v>40787</v>
      </c>
      <c r="C76" s="110">
        <v>2023.05</v>
      </c>
    </row>
    <row r="77" spans="1:3" x14ac:dyDescent="0.25">
      <c r="B77" s="108">
        <v>40817</v>
      </c>
      <c r="C77" s="110">
        <v>934.15</v>
      </c>
    </row>
    <row r="78" spans="1:3" x14ac:dyDescent="0.25">
      <c r="B78" s="108">
        <v>40848</v>
      </c>
      <c r="C78" s="110">
        <v>1885.95</v>
      </c>
    </row>
    <row r="79" spans="1:3" x14ac:dyDescent="0.25">
      <c r="B79" s="108">
        <v>40878</v>
      </c>
      <c r="C79" s="111">
        <v>1537.65</v>
      </c>
    </row>
    <row r="80" spans="1:3" x14ac:dyDescent="0.25">
      <c r="A80">
        <v>2012</v>
      </c>
      <c r="B80" s="108">
        <v>40909</v>
      </c>
      <c r="C80" s="110">
        <v>2661.57</v>
      </c>
    </row>
    <row r="81" spans="1:3" x14ac:dyDescent="0.25">
      <c r="B81" s="108">
        <v>40940</v>
      </c>
      <c r="C81" s="110">
        <v>3943.05</v>
      </c>
    </row>
    <row r="82" spans="1:3" x14ac:dyDescent="0.25">
      <c r="B82" s="108">
        <v>40969</v>
      </c>
      <c r="C82" s="110">
        <v>4363.2</v>
      </c>
    </row>
    <row r="83" spans="1:3" x14ac:dyDescent="0.25">
      <c r="B83" s="108">
        <v>41000</v>
      </c>
      <c r="C83" s="110">
        <v>4232.3999999999996</v>
      </c>
    </row>
    <row r="84" spans="1:3" x14ac:dyDescent="0.25">
      <c r="B84" s="108">
        <v>41030</v>
      </c>
      <c r="C84" s="110">
        <v>4796.3100000000004</v>
      </c>
    </row>
    <row r="85" spans="1:3" x14ac:dyDescent="0.25">
      <c r="B85" s="108">
        <v>41061</v>
      </c>
      <c r="C85" s="110">
        <v>2675.09</v>
      </c>
    </row>
    <row r="86" spans="1:3" x14ac:dyDescent="0.25">
      <c r="B86" s="108">
        <v>41091</v>
      </c>
      <c r="C86" s="110">
        <v>3660.95</v>
      </c>
    </row>
    <row r="87" spans="1:3" x14ac:dyDescent="0.25">
      <c r="B87" s="108">
        <v>41122</v>
      </c>
      <c r="C87" s="111">
        <v>5117.01</v>
      </c>
    </row>
    <row r="88" spans="1:3" x14ac:dyDescent="0.25">
      <c r="B88" s="108">
        <v>41153</v>
      </c>
      <c r="C88" s="110">
        <v>2539.1999999999998</v>
      </c>
    </row>
    <row r="89" spans="1:3" x14ac:dyDescent="0.25">
      <c r="B89" s="108">
        <v>41183</v>
      </c>
      <c r="C89" s="110">
        <v>1206.1199999999999</v>
      </c>
    </row>
    <row r="90" spans="1:3" x14ac:dyDescent="0.25">
      <c r="B90" s="108">
        <v>41214</v>
      </c>
      <c r="C90" s="110">
        <v>2332.0700000000002</v>
      </c>
    </row>
    <row r="91" spans="1:3" x14ac:dyDescent="0.25">
      <c r="B91" s="108">
        <v>41244</v>
      </c>
      <c r="C91" s="111">
        <v>1609.5</v>
      </c>
    </row>
    <row r="92" spans="1:3" x14ac:dyDescent="0.25">
      <c r="A92">
        <v>2013</v>
      </c>
      <c r="B92" s="108">
        <v>41275</v>
      </c>
      <c r="C92" s="110">
        <v>4035.2</v>
      </c>
    </row>
    <row r="93" spans="1:3" x14ac:dyDescent="0.25">
      <c r="B93" s="108">
        <v>41306</v>
      </c>
      <c r="C93" s="110">
        <v>3396.18</v>
      </c>
    </row>
    <row r="94" spans="1:3" x14ac:dyDescent="0.25">
      <c r="B94" s="108">
        <v>41334</v>
      </c>
      <c r="C94" s="110">
        <v>3038.77</v>
      </c>
    </row>
    <row r="95" spans="1:3" x14ac:dyDescent="0.25">
      <c r="B95" s="108">
        <v>41365</v>
      </c>
      <c r="C95" s="110">
        <v>4477</v>
      </c>
    </row>
    <row r="96" spans="1:3" x14ac:dyDescent="0.25">
      <c r="B96" s="108">
        <v>41395</v>
      </c>
      <c r="C96" s="110">
        <v>7972.56</v>
      </c>
    </row>
    <row r="97" spans="1:3" x14ac:dyDescent="0.25">
      <c r="B97" s="108">
        <v>41426</v>
      </c>
      <c r="C97" s="110">
        <v>4515</v>
      </c>
    </row>
    <row r="98" spans="1:3" x14ac:dyDescent="0.25">
      <c r="B98" s="108">
        <v>41456</v>
      </c>
      <c r="C98" s="110">
        <v>4581.38</v>
      </c>
    </row>
    <row r="99" spans="1:3" x14ac:dyDescent="0.25">
      <c r="B99" s="108">
        <v>41487</v>
      </c>
      <c r="C99" s="111">
        <v>3815.32</v>
      </c>
    </row>
    <row r="100" spans="1:3" x14ac:dyDescent="0.25">
      <c r="B100" s="108">
        <v>41518</v>
      </c>
      <c r="C100" s="110">
        <v>3541.34</v>
      </c>
    </row>
    <row r="101" spans="1:3" x14ac:dyDescent="0.25">
      <c r="B101" s="108">
        <v>41548</v>
      </c>
      <c r="C101" s="110">
        <v>7559.5</v>
      </c>
    </row>
    <row r="102" spans="1:3" x14ac:dyDescent="0.25">
      <c r="B102" s="108">
        <v>41579</v>
      </c>
      <c r="C102" s="110">
        <v>5140.12</v>
      </c>
    </row>
    <row r="103" spans="1:3" x14ac:dyDescent="0.25">
      <c r="B103" s="108">
        <v>41609</v>
      </c>
      <c r="C103" s="111">
        <v>927.72</v>
      </c>
    </row>
    <row r="104" spans="1:3" x14ac:dyDescent="0.25">
      <c r="A104">
        <v>2014</v>
      </c>
      <c r="B104" s="108">
        <v>41640</v>
      </c>
      <c r="C104" s="110">
        <v>34.64</v>
      </c>
    </row>
    <row r="105" spans="1:3" x14ac:dyDescent="0.25">
      <c r="B105" s="108">
        <v>41671</v>
      </c>
      <c r="C105" s="110">
        <v>0</v>
      </c>
    </row>
    <row r="106" spans="1:3" x14ac:dyDescent="0.25">
      <c r="B106" s="108">
        <v>41699</v>
      </c>
      <c r="C106" s="110">
        <v>78.92</v>
      </c>
    </row>
    <row r="107" spans="1:3" x14ac:dyDescent="0.25">
      <c r="B107" s="108">
        <v>41730</v>
      </c>
      <c r="C107" s="110">
        <v>27.94</v>
      </c>
    </row>
    <row r="108" spans="1:3" x14ac:dyDescent="0.25">
      <c r="B108" s="108">
        <v>41760</v>
      </c>
      <c r="C108" s="110">
        <v>54.14</v>
      </c>
    </row>
    <row r="109" spans="1:3" x14ac:dyDescent="0.25">
      <c r="B109" s="108">
        <v>41791</v>
      </c>
      <c r="C109" s="110">
        <v>39.619999999999997</v>
      </c>
    </row>
    <row r="110" spans="1:3" x14ac:dyDescent="0.25">
      <c r="B110" s="108">
        <v>41821</v>
      </c>
      <c r="C110" s="110">
        <v>49.68</v>
      </c>
    </row>
    <row r="111" spans="1:3" x14ac:dyDescent="0.25">
      <c r="B111" s="108">
        <v>41852</v>
      </c>
      <c r="C111" s="111">
        <v>0</v>
      </c>
    </row>
    <row r="112" spans="1:3" x14ac:dyDescent="0.25">
      <c r="B112" s="108">
        <v>41883</v>
      </c>
      <c r="C112" s="110">
        <v>0</v>
      </c>
    </row>
    <row r="113" spans="1:3" x14ac:dyDescent="0.25">
      <c r="B113" s="108">
        <v>41913</v>
      </c>
      <c r="C113" s="110">
        <v>34.799999999999997</v>
      </c>
    </row>
    <row r="114" spans="1:3" x14ac:dyDescent="0.25">
      <c r="B114" s="108">
        <v>41944</v>
      </c>
      <c r="C114" s="110">
        <v>3.02</v>
      </c>
    </row>
    <row r="115" spans="1:3" x14ac:dyDescent="0.25">
      <c r="B115" s="108">
        <v>41974</v>
      </c>
      <c r="C115" s="111">
        <v>0</v>
      </c>
    </row>
    <row r="116" spans="1:3" x14ac:dyDescent="0.25">
      <c r="A116">
        <v>2015</v>
      </c>
      <c r="B116" s="108">
        <v>42005</v>
      </c>
      <c r="C116" s="110">
        <v>2081.4499999999998</v>
      </c>
    </row>
    <row r="117" spans="1:3" x14ac:dyDescent="0.25">
      <c r="B117" s="108">
        <v>42036</v>
      </c>
      <c r="C117" s="110">
        <v>2791.73</v>
      </c>
    </row>
    <row r="118" spans="1:3" x14ac:dyDescent="0.25">
      <c r="B118" s="108">
        <v>42064</v>
      </c>
      <c r="C118" s="110">
        <v>5392.23</v>
      </c>
    </row>
    <row r="119" spans="1:3" x14ac:dyDescent="0.25">
      <c r="B119" s="108">
        <v>42095</v>
      </c>
      <c r="C119" s="110">
        <v>4557.95</v>
      </c>
    </row>
    <row r="120" spans="1:3" x14ac:dyDescent="0.25">
      <c r="B120" s="108">
        <v>42125</v>
      </c>
      <c r="C120" s="110">
        <v>4299.97</v>
      </c>
    </row>
    <row r="121" spans="1:3" x14ac:dyDescent="0.25">
      <c r="B121" s="108">
        <v>42156</v>
      </c>
      <c r="C121" s="110">
        <v>4079.11</v>
      </c>
    </row>
    <row r="122" spans="1:3" x14ac:dyDescent="0.25">
      <c r="B122" s="108">
        <v>42186</v>
      </c>
      <c r="C122" s="110">
        <v>10018.6</v>
      </c>
    </row>
    <row r="123" spans="1:3" x14ac:dyDescent="0.25">
      <c r="B123" s="108">
        <v>42217</v>
      </c>
      <c r="C123" s="111">
        <v>5570.9</v>
      </c>
    </row>
    <row r="124" spans="1:3" x14ac:dyDescent="0.25">
      <c r="B124" s="108">
        <v>42248</v>
      </c>
      <c r="C124" s="110">
        <v>5157.7</v>
      </c>
    </row>
    <row r="125" spans="1:3" x14ac:dyDescent="0.25">
      <c r="B125" s="108">
        <v>42278</v>
      </c>
      <c r="C125" s="110">
        <v>8171.8</v>
      </c>
    </row>
    <row r="126" spans="1:3" x14ac:dyDescent="0.25">
      <c r="B126" s="108">
        <v>42309</v>
      </c>
      <c r="C126" s="110">
        <v>67.099999999999994</v>
      </c>
    </row>
    <row r="127" spans="1:3" x14ac:dyDescent="0.25">
      <c r="B127" s="108">
        <v>42339</v>
      </c>
      <c r="C127" s="111">
        <v>0</v>
      </c>
    </row>
    <row r="128" spans="1:3" x14ac:dyDescent="0.25">
      <c r="A128">
        <v>2016</v>
      </c>
      <c r="B128" s="108">
        <v>42370</v>
      </c>
      <c r="C128" s="112">
        <v>2240</v>
      </c>
    </row>
    <row r="129" spans="2:3" x14ac:dyDescent="0.25">
      <c r="B129" s="108">
        <v>42401</v>
      </c>
      <c r="C129" s="112">
        <v>0</v>
      </c>
    </row>
    <row r="130" spans="2:3" x14ac:dyDescent="0.25">
      <c r="B130" s="108">
        <v>42430</v>
      </c>
      <c r="C130" s="112">
        <v>2433.1999999999998</v>
      </c>
    </row>
    <row r="131" spans="2:3" x14ac:dyDescent="0.25">
      <c r="B131" s="108">
        <v>42461</v>
      </c>
      <c r="C131" s="112">
        <v>2354.8000000000002</v>
      </c>
    </row>
    <row r="132" spans="2:3" x14ac:dyDescent="0.25">
      <c r="B132" s="108">
        <v>42491</v>
      </c>
      <c r="C132" s="112">
        <v>0</v>
      </c>
    </row>
    <row r="133" spans="2:3" x14ac:dyDescent="0.25">
      <c r="B133" s="108">
        <v>42522</v>
      </c>
      <c r="C133" s="112">
        <v>2798.6</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
  <sheetViews>
    <sheetView workbookViewId="0">
      <selection activeCell="I21" sqref="I21:I22"/>
    </sheetView>
  </sheetViews>
  <sheetFormatPr baseColWidth="10" defaultRowHeight="15" x14ac:dyDescent="0.25"/>
  <sheetData>
    <row r="1" spans="1:13" x14ac:dyDescent="0.25">
      <c r="B1" t="s">
        <v>381</v>
      </c>
    </row>
    <row r="3" spans="1:13" x14ac:dyDescent="0.25">
      <c r="B3" t="s">
        <v>204</v>
      </c>
      <c r="C3" t="s">
        <v>205</v>
      </c>
      <c r="D3" t="s">
        <v>206</v>
      </c>
      <c r="E3" t="s">
        <v>207</v>
      </c>
      <c r="F3" t="s">
        <v>208</v>
      </c>
      <c r="G3" t="s">
        <v>209</v>
      </c>
      <c r="H3" t="s">
        <v>210</v>
      </c>
      <c r="I3" t="s">
        <v>211</v>
      </c>
      <c r="J3" t="s">
        <v>212</v>
      </c>
      <c r="K3" t="s">
        <v>213</v>
      </c>
      <c r="L3" t="s">
        <v>219</v>
      </c>
      <c r="M3" t="s">
        <v>214</v>
      </c>
    </row>
    <row r="4" spans="1:13" x14ac:dyDescent="0.25">
      <c r="A4">
        <v>2010</v>
      </c>
      <c r="B4" s="36">
        <v>245.13</v>
      </c>
      <c r="C4" s="36">
        <v>409.04</v>
      </c>
      <c r="D4" s="36">
        <v>341.66</v>
      </c>
      <c r="E4" s="36">
        <v>165.68</v>
      </c>
      <c r="F4" s="36">
        <v>250.85</v>
      </c>
      <c r="G4" s="36">
        <v>99.22</v>
      </c>
      <c r="H4" s="36">
        <v>241.01</v>
      </c>
      <c r="I4" s="19">
        <v>427.57</v>
      </c>
      <c r="J4" s="36">
        <v>428.4</v>
      </c>
      <c r="K4" s="36">
        <v>336.26</v>
      </c>
      <c r="L4" s="36">
        <v>163.41</v>
      </c>
      <c r="M4" s="19">
        <v>237.82</v>
      </c>
    </row>
    <row r="5" spans="1:13" x14ac:dyDescent="0.25">
      <c r="A5">
        <v>2011</v>
      </c>
      <c r="B5" s="36">
        <v>219.61</v>
      </c>
      <c r="C5" s="36">
        <v>208.93</v>
      </c>
      <c r="D5" s="36">
        <v>130.34</v>
      </c>
      <c r="E5" s="36">
        <v>208.72</v>
      </c>
      <c r="F5" s="36">
        <v>113.34</v>
      </c>
      <c r="G5" s="36">
        <v>262.08999999999997</v>
      </c>
      <c r="H5" s="36">
        <v>247.22</v>
      </c>
      <c r="I5" s="19">
        <v>80.150000000000006</v>
      </c>
      <c r="J5" s="36">
        <v>271.20999999999998</v>
      </c>
      <c r="K5" s="36">
        <v>98.01</v>
      </c>
      <c r="L5" s="36">
        <v>176.86</v>
      </c>
      <c r="M5" s="19">
        <v>66.709999999999994</v>
      </c>
    </row>
    <row r="6" spans="1:13" x14ac:dyDescent="0.25">
      <c r="A6">
        <v>2012</v>
      </c>
      <c r="B6" s="36">
        <v>264.14999999999998</v>
      </c>
      <c r="C6" s="36">
        <v>129.44</v>
      </c>
      <c r="D6" s="36">
        <v>212.8</v>
      </c>
      <c r="E6" s="36">
        <v>125.46</v>
      </c>
      <c r="F6" s="36">
        <v>248.76</v>
      </c>
      <c r="G6" s="36">
        <v>163.49</v>
      </c>
      <c r="H6" s="36">
        <v>89.9</v>
      </c>
      <c r="I6" s="19">
        <v>342.73</v>
      </c>
      <c r="J6" s="36">
        <v>111.59</v>
      </c>
      <c r="K6" s="36">
        <v>34.020000000000003</v>
      </c>
      <c r="L6" s="36">
        <v>245.56</v>
      </c>
      <c r="M6" s="19">
        <v>239.71</v>
      </c>
    </row>
    <row r="7" spans="1:13" x14ac:dyDescent="0.25">
      <c r="A7">
        <v>2013</v>
      </c>
      <c r="B7" s="36">
        <v>39.93</v>
      </c>
      <c r="C7" s="36">
        <v>11.62</v>
      </c>
      <c r="D7" s="36">
        <v>12.81</v>
      </c>
      <c r="E7" s="36">
        <v>11.06</v>
      </c>
      <c r="F7" s="36">
        <v>63.55</v>
      </c>
      <c r="G7" s="36">
        <v>11.29</v>
      </c>
      <c r="H7" s="36">
        <v>17.52</v>
      </c>
      <c r="I7" s="19">
        <v>50.13</v>
      </c>
      <c r="J7" s="36">
        <v>35.4</v>
      </c>
      <c r="K7" s="36">
        <v>29.21</v>
      </c>
      <c r="L7" s="36">
        <v>25.06</v>
      </c>
      <c r="M7" s="19">
        <v>15.92</v>
      </c>
    </row>
    <row r="8" spans="1:13" x14ac:dyDescent="0.25">
      <c r="A8">
        <v>2014</v>
      </c>
      <c r="B8" s="36">
        <v>82.96</v>
      </c>
      <c r="C8" s="36">
        <v>34.06</v>
      </c>
      <c r="D8" s="36">
        <v>23.32</v>
      </c>
      <c r="E8" s="36">
        <v>8.8800000000000008</v>
      </c>
      <c r="F8" s="36">
        <v>14.8</v>
      </c>
      <c r="G8" s="36">
        <v>29.26</v>
      </c>
      <c r="H8" s="36">
        <v>77.48</v>
      </c>
      <c r="I8" s="19">
        <v>38.340000000000003</v>
      </c>
      <c r="J8" s="36">
        <v>64.680000000000007</v>
      </c>
      <c r="K8" s="36">
        <v>20.86</v>
      </c>
      <c r="L8" s="36">
        <v>17.88</v>
      </c>
      <c r="M8" s="19">
        <v>0</v>
      </c>
    </row>
    <row r="9" spans="1:13" x14ac:dyDescent="0.25">
      <c r="A9">
        <v>2015</v>
      </c>
      <c r="B9" s="36">
        <v>15.82</v>
      </c>
      <c r="C9" s="36">
        <v>47.96</v>
      </c>
      <c r="D9" s="36">
        <v>112.22</v>
      </c>
      <c r="E9" s="36">
        <v>7.36</v>
      </c>
      <c r="F9" s="36">
        <v>19.62</v>
      </c>
      <c r="G9" s="36">
        <v>13.42</v>
      </c>
      <c r="H9" s="36">
        <v>8.5399999999999991</v>
      </c>
      <c r="I9" s="19">
        <v>8.4</v>
      </c>
      <c r="J9" s="36">
        <v>73.760000000000005</v>
      </c>
      <c r="K9" s="36">
        <v>36.619999999999997</v>
      </c>
      <c r="L9" s="36">
        <v>5.0599999999999996</v>
      </c>
      <c r="M9" s="19">
        <v>0</v>
      </c>
    </row>
    <row r="10" spans="1:13" x14ac:dyDescent="0.25">
      <c r="A10">
        <v>2016</v>
      </c>
      <c r="B10" s="36">
        <v>17.28</v>
      </c>
      <c r="C10" s="36">
        <v>1.2</v>
      </c>
      <c r="D10" s="36">
        <v>23.62</v>
      </c>
      <c r="E10" s="36">
        <v>9.1</v>
      </c>
      <c r="F10" s="36">
        <v>10.24</v>
      </c>
      <c r="G10" s="36">
        <v>18.739999999999998</v>
      </c>
      <c r="H10" s="36">
        <v>17.28</v>
      </c>
      <c r="I10" s="36">
        <v>1.2</v>
      </c>
      <c r="J10" s="36">
        <v>23.62</v>
      </c>
      <c r="K10" s="36">
        <v>9.1</v>
      </c>
      <c r="L10" s="36">
        <v>10.24</v>
      </c>
      <c r="M10" s="36">
        <v>18.739999999999998</v>
      </c>
    </row>
    <row r="14" spans="1:13" x14ac:dyDescent="0.25">
      <c r="B14" s="16"/>
      <c r="C14" s="16" t="s">
        <v>220</v>
      </c>
      <c r="D14" s="16" t="s">
        <v>221</v>
      </c>
      <c r="E14" s="16" t="s">
        <v>222</v>
      </c>
      <c r="F14" s="16" t="s">
        <v>223</v>
      </c>
      <c r="I14" t="s">
        <v>220</v>
      </c>
      <c r="J14" t="s">
        <v>221</v>
      </c>
      <c r="K14" t="s">
        <v>222</v>
      </c>
      <c r="L14" t="s">
        <v>223</v>
      </c>
    </row>
    <row r="15" spans="1:13" x14ac:dyDescent="0.25">
      <c r="B15" s="16">
        <v>2010</v>
      </c>
      <c r="C15" s="22">
        <f>+SUM(B4:D4)</f>
        <v>995.83000000000015</v>
      </c>
      <c r="D15" s="22">
        <f>+SUM(E4:G4)</f>
        <v>515.75</v>
      </c>
      <c r="E15" s="22">
        <f>+SUM(H4:J4)</f>
        <v>1096.98</v>
      </c>
      <c r="F15" s="22">
        <f>+SUM(K4:M4)</f>
        <v>737.49</v>
      </c>
      <c r="H15">
        <v>2010</v>
      </c>
      <c r="I15">
        <v>995.83000000000015</v>
      </c>
      <c r="J15">
        <v>515.75</v>
      </c>
      <c r="K15">
        <v>1096.98</v>
      </c>
      <c r="L15">
        <v>737.49</v>
      </c>
    </row>
    <row r="16" spans="1:13" x14ac:dyDescent="0.25">
      <c r="B16" s="16">
        <v>2011</v>
      </c>
      <c r="C16" s="22">
        <f t="shared" ref="C16:C21" si="0">+SUM(B5:D5)</f>
        <v>558.88</v>
      </c>
      <c r="D16" s="22">
        <f t="shared" ref="D16:D21" si="1">+SUM(E5:G5)</f>
        <v>584.15</v>
      </c>
      <c r="E16" s="22">
        <f t="shared" ref="E16:E21" si="2">+SUM(H5:J5)</f>
        <v>598.57999999999993</v>
      </c>
      <c r="F16" s="22">
        <f t="shared" ref="F16:F21" si="3">+SUM(K5:M5)</f>
        <v>341.58</v>
      </c>
      <c r="H16">
        <v>2011</v>
      </c>
      <c r="I16">
        <v>558.88</v>
      </c>
      <c r="J16">
        <v>584.15</v>
      </c>
      <c r="K16">
        <v>598.57999999999993</v>
      </c>
      <c r="L16">
        <v>341.58</v>
      </c>
    </row>
    <row r="17" spans="1:12" x14ac:dyDescent="0.25">
      <c r="B17" s="16">
        <v>2012</v>
      </c>
      <c r="C17" s="22">
        <f t="shared" si="0"/>
        <v>606.39</v>
      </c>
      <c r="D17" s="22">
        <f t="shared" si="1"/>
        <v>537.71</v>
      </c>
      <c r="E17" s="22">
        <f t="shared" si="2"/>
        <v>544.22</v>
      </c>
      <c r="F17" s="22">
        <f t="shared" si="3"/>
        <v>519.29</v>
      </c>
      <c r="H17">
        <v>2012</v>
      </c>
      <c r="I17">
        <v>606.39</v>
      </c>
      <c r="J17">
        <v>537.71</v>
      </c>
      <c r="K17">
        <v>544.22</v>
      </c>
      <c r="L17">
        <v>519.29</v>
      </c>
    </row>
    <row r="18" spans="1:12" x14ac:dyDescent="0.25">
      <c r="B18" s="16">
        <v>2013</v>
      </c>
      <c r="C18" s="22">
        <f t="shared" si="0"/>
        <v>64.36</v>
      </c>
      <c r="D18" s="22">
        <f t="shared" si="1"/>
        <v>85.9</v>
      </c>
      <c r="E18" s="22">
        <f t="shared" si="2"/>
        <v>103.05000000000001</v>
      </c>
      <c r="F18" s="22">
        <f t="shared" si="3"/>
        <v>70.19</v>
      </c>
      <c r="H18">
        <v>2013</v>
      </c>
      <c r="I18">
        <v>64.36</v>
      </c>
      <c r="J18">
        <v>85.9</v>
      </c>
      <c r="K18">
        <v>103.05000000000001</v>
      </c>
      <c r="L18">
        <v>70.19</v>
      </c>
    </row>
    <row r="19" spans="1:12" x14ac:dyDescent="0.25">
      <c r="B19" s="16">
        <v>2014</v>
      </c>
      <c r="C19" s="22">
        <f t="shared" si="0"/>
        <v>140.34</v>
      </c>
      <c r="D19" s="22">
        <f t="shared" si="1"/>
        <v>52.94</v>
      </c>
      <c r="E19" s="22">
        <f t="shared" si="2"/>
        <v>180.5</v>
      </c>
      <c r="F19" s="22">
        <f t="shared" si="3"/>
        <v>38.739999999999995</v>
      </c>
      <c r="H19">
        <v>2014</v>
      </c>
      <c r="I19">
        <v>140.34</v>
      </c>
      <c r="J19">
        <v>52.94</v>
      </c>
      <c r="K19">
        <v>180.5</v>
      </c>
      <c r="L19">
        <v>38.739999999999995</v>
      </c>
    </row>
    <row r="20" spans="1:12" x14ac:dyDescent="0.25">
      <c r="B20" s="16">
        <v>2015</v>
      </c>
      <c r="C20" s="22">
        <f t="shared" si="0"/>
        <v>176</v>
      </c>
      <c r="D20" s="22">
        <f t="shared" si="1"/>
        <v>40.4</v>
      </c>
      <c r="E20" s="22">
        <f t="shared" si="2"/>
        <v>90.7</v>
      </c>
      <c r="F20" s="22">
        <f t="shared" si="3"/>
        <v>41.68</v>
      </c>
      <c r="H20">
        <v>2015</v>
      </c>
      <c r="I20">
        <v>176</v>
      </c>
      <c r="J20">
        <v>40.4</v>
      </c>
      <c r="K20">
        <v>90.7</v>
      </c>
      <c r="L20">
        <v>41.68</v>
      </c>
    </row>
    <row r="21" spans="1:12" x14ac:dyDescent="0.25">
      <c r="B21" s="16">
        <v>2016</v>
      </c>
      <c r="C21" s="22">
        <f t="shared" si="0"/>
        <v>42.1</v>
      </c>
      <c r="D21" s="22">
        <f t="shared" si="1"/>
        <v>38.08</v>
      </c>
      <c r="E21" s="22">
        <f t="shared" si="2"/>
        <v>42.1</v>
      </c>
      <c r="F21" s="22">
        <f t="shared" si="3"/>
        <v>38.08</v>
      </c>
      <c r="H21">
        <v>2016</v>
      </c>
      <c r="I21">
        <v>42.1</v>
      </c>
      <c r="J21">
        <v>38.08</v>
      </c>
      <c r="K21">
        <v>0</v>
      </c>
      <c r="L21">
        <v>0</v>
      </c>
    </row>
    <row r="24" spans="1:12" x14ac:dyDescent="0.25">
      <c r="A24" t="s">
        <v>310</v>
      </c>
      <c r="B24" t="s">
        <v>216</v>
      </c>
    </row>
    <row r="25" spans="1:12" x14ac:dyDescent="0.25">
      <c r="A25">
        <v>2010</v>
      </c>
      <c r="B25">
        <v>995.83000000000015</v>
      </c>
    </row>
    <row r="26" spans="1:12" x14ac:dyDescent="0.25">
      <c r="A26">
        <v>2010.25</v>
      </c>
      <c r="B26">
        <v>515.75</v>
      </c>
    </row>
    <row r="27" spans="1:12" x14ac:dyDescent="0.25">
      <c r="A27">
        <v>2010.5</v>
      </c>
      <c r="B27">
        <v>1096.98</v>
      </c>
    </row>
    <row r="28" spans="1:12" x14ac:dyDescent="0.25">
      <c r="A28">
        <v>2010.75</v>
      </c>
      <c r="B28">
        <v>737.49</v>
      </c>
    </row>
    <row r="29" spans="1:12" x14ac:dyDescent="0.25">
      <c r="A29">
        <v>2011</v>
      </c>
      <c r="B29">
        <v>558.88</v>
      </c>
    </row>
    <row r="30" spans="1:12" x14ac:dyDescent="0.25">
      <c r="A30">
        <v>2011.25</v>
      </c>
      <c r="B30">
        <v>584.15</v>
      </c>
    </row>
    <row r="31" spans="1:12" x14ac:dyDescent="0.25">
      <c r="A31">
        <v>2011.5</v>
      </c>
      <c r="B31">
        <v>598.57999999999993</v>
      </c>
    </row>
    <row r="32" spans="1:12" x14ac:dyDescent="0.25">
      <c r="A32">
        <v>2011.75</v>
      </c>
      <c r="B32">
        <v>341.58</v>
      </c>
    </row>
    <row r="33" spans="1:2" x14ac:dyDescent="0.25">
      <c r="A33">
        <v>2012</v>
      </c>
      <c r="B33">
        <v>606.39</v>
      </c>
    </row>
    <row r="34" spans="1:2" x14ac:dyDescent="0.25">
      <c r="A34">
        <v>2012.25</v>
      </c>
      <c r="B34">
        <v>537.71</v>
      </c>
    </row>
    <row r="35" spans="1:2" x14ac:dyDescent="0.25">
      <c r="A35">
        <v>2012.5</v>
      </c>
      <c r="B35">
        <v>544.22</v>
      </c>
    </row>
    <row r="36" spans="1:2" x14ac:dyDescent="0.25">
      <c r="A36">
        <v>2012.75</v>
      </c>
      <c r="B36">
        <v>519.29</v>
      </c>
    </row>
    <row r="37" spans="1:2" x14ac:dyDescent="0.25">
      <c r="A37">
        <v>2013</v>
      </c>
      <c r="B37">
        <v>64.36</v>
      </c>
    </row>
    <row r="38" spans="1:2" x14ac:dyDescent="0.25">
      <c r="A38">
        <v>2013.25</v>
      </c>
      <c r="B38">
        <v>85.9</v>
      </c>
    </row>
    <row r="39" spans="1:2" x14ac:dyDescent="0.25">
      <c r="A39">
        <v>2013.5</v>
      </c>
      <c r="B39">
        <v>103.05000000000001</v>
      </c>
    </row>
    <row r="40" spans="1:2" x14ac:dyDescent="0.25">
      <c r="A40">
        <v>2013.75</v>
      </c>
      <c r="B40">
        <v>70.19</v>
      </c>
    </row>
    <row r="41" spans="1:2" x14ac:dyDescent="0.25">
      <c r="A41">
        <v>2014</v>
      </c>
      <c r="B41">
        <v>140.34</v>
      </c>
    </row>
    <row r="42" spans="1:2" x14ac:dyDescent="0.25">
      <c r="A42">
        <v>2014.25</v>
      </c>
      <c r="B42">
        <v>52.94</v>
      </c>
    </row>
    <row r="43" spans="1:2" x14ac:dyDescent="0.25">
      <c r="A43">
        <v>2014.5</v>
      </c>
      <c r="B43">
        <v>180.5</v>
      </c>
    </row>
    <row r="44" spans="1:2" x14ac:dyDescent="0.25">
      <c r="A44">
        <v>2014.75</v>
      </c>
      <c r="B44">
        <v>38.739999999999995</v>
      </c>
    </row>
    <row r="45" spans="1:2" x14ac:dyDescent="0.25">
      <c r="A45">
        <v>2015</v>
      </c>
      <c r="B45">
        <v>176</v>
      </c>
    </row>
    <row r="46" spans="1:2" x14ac:dyDescent="0.25">
      <c r="A46">
        <v>2015.25</v>
      </c>
      <c r="B46">
        <v>40.4</v>
      </c>
    </row>
    <row r="47" spans="1:2" x14ac:dyDescent="0.25">
      <c r="A47">
        <v>2015.5</v>
      </c>
      <c r="B47">
        <v>90.7</v>
      </c>
    </row>
    <row r="48" spans="1:2" x14ac:dyDescent="0.25">
      <c r="A48">
        <v>2015.75</v>
      </c>
      <c r="B48">
        <v>41.68</v>
      </c>
    </row>
    <row r="49" spans="1:2" x14ac:dyDescent="0.25">
      <c r="A49">
        <v>2016</v>
      </c>
      <c r="B49">
        <v>42.1</v>
      </c>
    </row>
    <row r="50" spans="1:2" x14ac:dyDescent="0.25">
      <c r="A50">
        <v>2016.25</v>
      </c>
      <c r="B50">
        <v>38.08</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30"/>
  <sheetViews>
    <sheetView zoomScale="60" zoomScaleNormal="60" workbookViewId="0">
      <selection activeCell="I44" sqref="I44"/>
    </sheetView>
  </sheetViews>
  <sheetFormatPr baseColWidth="10" defaultRowHeight="15" x14ac:dyDescent="0.25"/>
  <sheetData>
    <row r="2" spans="1:2" x14ac:dyDescent="0.25">
      <c r="A2" t="s">
        <v>306</v>
      </c>
    </row>
    <row r="4" spans="1:2" x14ac:dyDescent="0.25">
      <c r="A4" t="s">
        <v>224</v>
      </c>
      <c r="B4" t="s">
        <v>225</v>
      </c>
    </row>
    <row r="5" spans="1:2" x14ac:dyDescent="0.25">
      <c r="A5">
        <v>2010</v>
      </c>
      <c r="B5">
        <v>312.51</v>
      </c>
    </row>
    <row r="6" spans="1:2" x14ac:dyDescent="0.25">
      <c r="A6">
        <v>2010.25</v>
      </c>
      <c r="B6">
        <v>458.86</v>
      </c>
    </row>
    <row r="7" spans="1:2" x14ac:dyDescent="0.25">
      <c r="A7">
        <v>2010.5</v>
      </c>
      <c r="B7">
        <v>470.3</v>
      </c>
    </row>
    <row r="8" spans="1:2" x14ac:dyDescent="0.25">
      <c r="A8">
        <v>2010.75</v>
      </c>
      <c r="B8">
        <v>292.92</v>
      </c>
    </row>
    <row r="9" spans="1:2" x14ac:dyDescent="0.25">
      <c r="A9">
        <v>2011</v>
      </c>
      <c r="B9">
        <v>54.42</v>
      </c>
    </row>
    <row r="10" spans="1:2" x14ac:dyDescent="0.25">
      <c r="A10">
        <v>2011.25</v>
      </c>
      <c r="B10">
        <v>420.28</v>
      </c>
    </row>
    <row r="11" spans="1:2" x14ac:dyDescent="0.25">
      <c r="A11">
        <v>2011.5</v>
      </c>
      <c r="B11">
        <v>224.01</v>
      </c>
    </row>
    <row r="12" spans="1:2" x14ac:dyDescent="0.25">
      <c r="A12">
        <v>2011.75</v>
      </c>
      <c r="B12">
        <v>234.97</v>
      </c>
    </row>
    <row r="13" spans="1:2" x14ac:dyDescent="0.25">
      <c r="A13">
        <v>2012</v>
      </c>
      <c r="B13">
        <v>241.87</v>
      </c>
    </row>
    <row r="14" spans="1:2" x14ac:dyDescent="0.25">
      <c r="A14">
        <v>2012.25</v>
      </c>
      <c r="B14">
        <v>192.67</v>
      </c>
    </row>
    <row r="15" spans="1:2" x14ac:dyDescent="0.25">
      <c r="A15">
        <v>2012.5</v>
      </c>
      <c r="B15">
        <v>96.59</v>
      </c>
    </row>
    <row r="16" spans="1:2" x14ac:dyDescent="0.25">
      <c r="A16">
        <v>2012.75</v>
      </c>
      <c r="B16">
        <v>68.600000000000009</v>
      </c>
    </row>
    <row r="17" spans="1:2" x14ac:dyDescent="0.25">
      <c r="A17">
        <v>2013</v>
      </c>
      <c r="B17">
        <v>191.86</v>
      </c>
    </row>
    <row r="18" spans="1:2" x14ac:dyDescent="0.25">
      <c r="A18">
        <v>2013.25</v>
      </c>
      <c r="B18">
        <v>118.85</v>
      </c>
    </row>
    <row r="19" spans="1:2" x14ac:dyDescent="0.25">
      <c r="A19">
        <v>2013.5</v>
      </c>
      <c r="B19">
        <v>316.16999999999996</v>
      </c>
    </row>
    <row r="20" spans="1:2" x14ac:dyDescent="0.25">
      <c r="A20">
        <v>2013.75</v>
      </c>
      <c r="B20">
        <v>24.1</v>
      </c>
    </row>
    <row r="21" spans="1:2" x14ac:dyDescent="0.25">
      <c r="A21">
        <v>2014</v>
      </c>
      <c r="B21">
        <v>345.26</v>
      </c>
    </row>
    <row r="22" spans="1:2" x14ac:dyDescent="0.25">
      <c r="A22">
        <v>2014.25</v>
      </c>
      <c r="B22">
        <v>5.14</v>
      </c>
    </row>
    <row r="23" spans="1:2" x14ac:dyDescent="0.25">
      <c r="A23">
        <v>2014.5</v>
      </c>
      <c r="B23">
        <v>81.92</v>
      </c>
    </row>
    <row r="24" spans="1:2" x14ac:dyDescent="0.25">
      <c r="A24">
        <v>2014.75</v>
      </c>
      <c r="B24">
        <v>123.12</v>
      </c>
    </row>
    <row r="25" spans="1:2" x14ac:dyDescent="0.25">
      <c r="A25">
        <v>2015</v>
      </c>
      <c r="B25">
        <v>86.22999999999999</v>
      </c>
    </row>
    <row r="26" spans="1:2" x14ac:dyDescent="0.25">
      <c r="A26">
        <v>2015.25</v>
      </c>
      <c r="B26">
        <v>5.78</v>
      </c>
    </row>
    <row r="27" spans="1:2" x14ac:dyDescent="0.25">
      <c r="A27">
        <v>2015.5</v>
      </c>
      <c r="B27">
        <v>129.16</v>
      </c>
    </row>
    <row r="28" spans="1:2" x14ac:dyDescent="0.25">
      <c r="A28">
        <v>2015.75</v>
      </c>
      <c r="B28">
        <v>4.8600000000000003</v>
      </c>
    </row>
    <row r="29" spans="1:2" x14ac:dyDescent="0.25">
      <c r="A29">
        <v>2016</v>
      </c>
      <c r="B29">
        <v>52.87</v>
      </c>
    </row>
    <row r="30" spans="1:2" x14ac:dyDescent="0.25">
      <c r="A30">
        <v>2016.25</v>
      </c>
      <c r="B30">
        <v>41.22</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Y108"/>
  <sheetViews>
    <sheetView topLeftCell="A76" workbookViewId="0">
      <selection activeCell="G82" sqref="G82:J86"/>
    </sheetView>
  </sheetViews>
  <sheetFormatPr baseColWidth="10" defaultRowHeight="15" x14ac:dyDescent="0.25"/>
  <cols>
    <col min="3" max="3" width="11.5703125" bestFit="1" customWidth="1"/>
    <col min="4" max="4" width="11.42578125" customWidth="1"/>
    <col min="5" max="5" width="11.5703125" bestFit="1" customWidth="1"/>
    <col min="6" max="6" width="13.5703125" customWidth="1"/>
    <col min="18" max="18" width="12.5703125" style="104" customWidth="1"/>
    <col min="21" max="21" width="13.140625" customWidth="1"/>
    <col min="23" max="23" width="12.7109375" customWidth="1"/>
    <col min="24" max="24" width="12.85546875" customWidth="1"/>
  </cols>
  <sheetData>
    <row r="2" spans="1:25" x14ac:dyDescent="0.25">
      <c r="R2" s="100">
        <v>0.1</v>
      </c>
      <c r="S2" s="92">
        <v>0.9</v>
      </c>
      <c r="T2" s="92">
        <v>0.82</v>
      </c>
    </row>
    <row r="3" spans="1:25" ht="105" x14ac:dyDescent="0.25">
      <c r="A3" s="95" t="s">
        <v>329</v>
      </c>
      <c r="B3" s="95" t="s">
        <v>322</v>
      </c>
      <c r="C3" s="95" t="s">
        <v>337</v>
      </c>
      <c r="D3" s="95" t="s">
        <v>336</v>
      </c>
      <c r="E3" s="95" t="s">
        <v>335</v>
      </c>
      <c r="F3" s="95" t="s">
        <v>334</v>
      </c>
      <c r="G3" s="95" t="s">
        <v>330</v>
      </c>
      <c r="H3" s="95" t="s">
        <v>333</v>
      </c>
      <c r="I3" s="95" t="s">
        <v>332</v>
      </c>
      <c r="J3" s="95" t="s">
        <v>331</v>
      </c>
      <c r="K3" s="95" t="s">
        <v>431</v>
      </c>
      <c r="L3" s="95" t="s">
        <v>432</v>
      </c>
      <c r="M3" s="95" t="s">
        <v>433</v>
      </c>
      <c r="N3" s="95" t="s">
        <v>434</v>
      </c>
      <c r="O3" s="95" t="s">
        <v>325</v>
      </c>
      <c r="P3" s="95" t="s">
        <v>323</v>
      </c>
      <c r="Q3" s="95" t="s">
        <v>324</v>
      </c>
      <c r="R3" s="101" t="s">
        <v>326</v>
      </c>
      <c r="S3" s="97" t="s">
        <v>327</v>
      </c>
      <c r="T3" s="97" t="s">
        <v>328</v>
      </c>
      <c r="U3" s="97" t="s">
        <v>338</v>
      </c>
      <c r="V3" s="95" t="s">
        <v>340</v>
      </c>
      <c r="W3" s="95" t="s">
        <v>341</v>
      </c>
      <c r="X3" s="95" t="s">
        <v>342</v>
      </c>
    </row>
    <row r="4" spans="1:25" x14ac:dyDescent="0.25">
      <c r="A4">
        <v>1</v>
      </c>
      <c r="B4" s="96">
        <v>40179</v>
      </c>
      <c r="C4" s="126">
        <v>1571.05</v>
      </c>
      <c r="D4" s="126">
        <v>245.13</v>
      </c>
      <c r="E4" s="126">
        <v>34.68</v>
      </c>
      <c r="F4" s="121">
        <f t="shared" ref="F4:F35" si="0">+C4+D4+E4</f>
        <v>1850.86</v>
      </c>
      <c r="G4" s="94"/>
      <c r="H4" s="94"/>
      <c r="I4" s="94"/>
      <c r="J4" s="94"/>
      <c r="K4" s="94"/>
      <c r="L4" s="94"/>
      <c r="M4" s="94"/>
      <c r="N4" s="94"/>
      <c r="O4" s="47">
        <f>+C4/$F$4</f>
        <v>0.84882162886441981</v>
      </c>
      <c r="P4" s="47">
        <f>+D4/F4</f>
        <v>0.13244113547215888</v>
      </c>
      <c r="Q4" s="47">
        <f>+E4/F4</f>
        <v>1.873723566342133E-2</v>
      </c>
      <c r="R4" s="102">
        <f>+C4*(10%)</f>
        <v>157.10500000000002</v>
      </c>
      <c r="S4" s="16">
        <f>+D4*(90%)</f>
        <v>220.61699999999999</v>
      </c>
      <c r="T4" s="16">
        <f>+E4*(25%)</f>
        <v>8.67</v>
      </c>
      <c r="U4" s="99">
        <f>SUM(R4:T4)</f>
        <v>386.392</v>
      </c>
      <c r="V4" s="22"/>
      <c r="W4" s="16"/>
      <c r="X4" s="16"/>
    </row>
    <row r="5" spans="1:25" x14ac:dyDescent="0.25">
      <c r="A5">
        <v>2</v>
      </c>
      <c r="B5" s="96">
        <v>40210</v>
      </c>
      <c r="C5" s="127">
        <v>3596.64</v>
      </c>
      <c r="D5" s="127">
        <v>409.04</v>
      </c>
      <c r="E5" s="127">
        <v>208.54</v>
      </c>
      <c r="F5" s="121">
        <f t="shared" si="0"/>
        <v>4214.22</v>
      </c>
      <c r="G5" s="22"/>
      <c r="H5" s="22"/>
      <c r="I5" s="22"/>
      <c r="J5" s="22"/>
      <c r="K5" s="22"/>
      <c r="L5" s="22"/>
      <c r="M5" s="22"/>
      <c r="N5" s="22"/>
      <c r="O5" s="93">
        <f>+C5/F5</f>
        <v>0.85345330808548192</v>
      </c>
      <c r="P5" s="93">
        <f>+D5/F5</f>
        <v>9.7061852489903233E-2</v>
      </c>
      <c r="Q5" s="93">
        <f>+E5/F5</f>
        <v>4.9484839424614749E-2</v>
      </c>
      <c r="R5" s="102">
        <f>+C5*(10%)</f>
        <v>359.66399999999999</v>
      </c>
      <c r="S5" s="16">
        <f>+D5*(90%)</f>
        <v>368.13600000000002</v>
      </c>
      <c r="T5" s="16">
        <f>+E5*(25%)</f>
        <v>52.134999999999998</v>
      </c>
      <c r="U5" s="99">
        <f t="shared" ref="U5:U68" si="1">SUM(R5:T5)</f>
        <v>779.93499999999995</v>
      </c>
      <c r="V5" s="22"/>
      <c r="W5" s="16"/>
      <c r="X5" s="16"/>
    </row>
    <row r="6" spans="1:25" x14ac:dyDescent="0.25">
      <c r="A6">
        <v>3</v>
      </c>
      <c r="B6" s="96">
        <v>40238</v>
      </c>
      <c r="C6" s="127">
        <v>4211.0200000000004</v>
      </c>
      <c r="D6" s="127">
        <v>341.66</v>
      </c>
      <c r="E6" s="127">
        <v>69.290000000000006</v>
      </c>
      <c r="F6" s="121">
        <f t="shared" si="0"/>
        <v>4621.97</v>
      </c>
      <c r="G6" s="22"/>
      <c r="H6" s="22"/>
      <c r="I6" s="22"/>
      <c r="J6" s="22"/>
      <c r="K6" s="22">
        <f>+C4+C5+C6</f>
        <v>9378.7099999999991</v>
      </c>
      <c r="L6" s="22">
        <f t="shared" ref="L6:N6" si="2">+D4+D5+D6</f>
        <v>995.83000000000015</v>
      </c>
      <c r="M6" s="22">
        <f t="shared" si="2"/>
        <v>312.51</v>
      </c>
      <c r="N6" s="22">
        <f t="shared" si="2"/>
        <v>10687.05</v>
      </c>
      <c r="O6" s="93">
        <f t="shared" ref="O6:O36" si="3">+C6/F6</f>
        <v>0.91108769637189346</v>
      </c>
      <c r="P6" s="93">
        <f t="shared" ref="P6:P35" si="4">+D6/F6</f>
        <v>7.3920860585421369E-2</v>
      </c>
      <c r="Q6" s="93">
        <f t="shared" ref="Q6:Q35" si="5">+E6/F6</f>
        <v>1.4991443042685262E-2</v>
      </c>
      <c r="R6" s="102">
        <f t="shared" ref="R6:R18" si="6">+C6*(10%)</f>
        <v>421.10200000000009</v>
      </c>
      <c r="S6" s="16">
        <f t="shared" ref="S6:S35" si="7">+D6*(90%)</f>
        <v>307.49400000000003</v>
      </c>
      <c r="T6" s="16">
        <f t="shared" ref="T6:T35" si="8">+E6*(25%)</f>
        <v>17.322500000000002</v>
      </c>
      <c r="U6" s="99">
        <f t="shared" si="1"/>
        <v>745.91850000000011</v>
      </c>
      <c r="V6" s="22"/>
      <c r="W6" s="16"/>
      <c r="X6" s="99">
        <f>+SUM(R4:R6)</f>
        <v>937.87100000000009</v>
      </c>
    </row>
    <row r="7" spans="1:25" x14ac:dyDescent="0.25">
      <c r="A7">
        <v>4</v>
      </c>
      <c r="B7" s="96">
        <v>40269</v>
      </c>
      <c r="C7" s="127">
        <v>5115.32</v>
      </c>
      <c r="D7" s="127">
        <v>165.68</v>
      </c>
      <c r="E7" s="127">
        <v>208.48</v>
      </c>
      <c r="F7" s="121">
        <f t="shared" si="0"/>
        <v>5489.48</v>
      </c>
      <c r="G7" s="22"/>
      <c r="H7" s="22"/>
      <c r="I7" s="22"/>
      <c r="J7" s="22"/>
      <c r="K7" s="22"/>
      <c r="L7" s="22"/>
      <c r="M7" s="22"/>
      <c r="N7" s="22"/>
      <c r="O7" s="93">
        <f t="shared" si="3"/>
        <v>0.93184053863025285</v>
      </c>
      <c r="P7" s="93">
        <f t="shared" si="4"/>
        <v>3.0181365083760216E-2</v>
      </c>
      <c r="Q7" s="93">
        <f t="shared" si="5"/>
        <v>3.7978096285987015E-2</v>
      </c>
      <c r="R7" s="102">
        <f t="shared" si="6"/>
        <v>511.53199999999998</v>
      </c>
      <c r="S7" s="16">
        <f t="shared" si="7"/>
        <v>149.11200000000002</v>
      </c>
      <c r="T7" s="16">
        <f t="shared" si="8"/>
        <v>52.12</v>
      </c>
      <c r="U7" s="99">
        <f t="shared" si="1"/>
        <v>712.76400000000001</v>
      </c>
      <c r="V7" s="22"/>
      <c r="W7" s="16"/>
      <c r="X7" s="16"/>
    </row>
    <row r="8" spans="1:25" x14ac:dyDescent="0.25">
      <c r="A8">
        <v>5</v>
      </c>
      <c r="B8" s="96">
        <v>40299</v>
      </c>
      <c r="C8" s="127">
        <v>1799.71</v>
      </c>
      <c r="D8" s="127">
        <v>250.85</v>
      </c>
      <c r="E8" s="127">
        <v>74.7</v>
      </c>
      <c r="F8" s="121">
        <f t="shared" si="0"/>
        <v>2125.2599999999998</v>
      </c>
      <c r="G8" s="22"/>
      <c r="H8" s="22"/>
      <c r="I8" s="22"/>
      <c r="J8" s="22"/>
      <c r="K8" s="22"/>
      <c r="L8" s="22"/>
      <c r="M8" s="22"/>
      <c r="N8" s="22"/>
      <c r="O8" s="93">
        <f t="shared" si="3"/>
        <v>0.84681874217742781</v>
      </c>
      <c r="P8" s="93">
        <f t="shared" si="4"/>
        <v>0.11803261718566201</v>
      </c>
      <c r="Q8" s="93">
        <f t="shared" si="5"/>
        <v>3.5148640636910311E-2</v>
      </c>
      <c r="R8" s="102">
        <f t="shared" si="6"/>
        <v>179.971</v>
      </c>
      <c r="S8" s="16">
        <f t="shared" si="7"/>
        <v>225.76499999999999</v>
      </c>
      <c r="T8" s="16">
        <f t="shared" si="8"/>
        <v>18.675000000000001</v>
      </c>
      <c r="U8" s="99">
        <f t="shared" si="1"/>
        <v>424.411</v>
      </c>
      <c r="V8" s="22"/>
      <c r="W8" s="16"/>
      <c r="X8" s="16"/>
    </row>
    <row r="9" spans="1:25" x14ac:dyDescent="0.25">
      <c r="A9">
        <v>6</v>
      </c>
      <c r="B9" s="96">
        <v>40330</v>
      </c>
      <c r="C9" s="127">
        <v>2445.6</v>
      </c>
      <c r="D9" s="127">
        <v>99.22</v>
      </c>
      <c r="E9" s="127">
        <v>175.68</v>
      </c>
      <c r="F9" s="121">
        <f t="shared" si="0"/>
        <v>2720.4999999999995</v>
      </c>
      <c r="G9" s="22"/>
      <c r="H9" s="22"/>
      <c r="I9" s="22"/>
      <c r="J9" s="22"/>
      <c r="K9" s="22">
        <f>+C7+C8+C9</f>
        <v>9360.6299999999992</v>
      </c>
      <c r="L9" s="22">
        <f t="shared" ref="L9:N9" si="9">+D7+D8+D9</f>
        <v>515.75</v>
      </c>
      <c r="M9" s="22">
        <f t="shared" si="9"/>
        <v>458.86</v>
      </c>
      <c r="N9" s="22">
        <f t="shared" si="9"/>
        <v>10335.24</v>
      </c>
      <c r="O9" s="93">
        <f t="shared" si="3"/>
        <v>0.89895239845616626</v>
      </c>
      <c r="P9" s="93">
        <f t="shared" si="4"/>
        <v>3.6471236904980706E-2</v>
      </c>
      <c r="Q9" s="93">
        <f t="shared" si="5"/>
        <v>6.4576364638853162E-2</v>
      </c>
      <c r="R9" s="102">
        <f t="shared" si="6"/>
        <v>244.56</v>
      </c>
      <c r="S9" s="16">
        <f t="shared" si="7"/>
        <v>89.298000000000002</v>
      </c>
      <c r="T9" s="16">
        <f t="shared" si="8"/>
        <v>43.92</v>
      </c>
      <c r="U9" s="99">
        <f t="shared" si="1"/>
        <v>377.77800000000002</v>
      </c>
      <c r="V9" s="22"/>
      <c r="W9" s="99">
        <f>+SUM(R4:R9)</f>
        <v>1873.934</v>
      </c>
      <c r="X9" s="99">
        <f>+SUM(R7:R9)</f>
        <v>936.06299999999987</v>
      </c>
    </row>
    <row r="10" spans="1:25" x14ac:dyDescent="0.25">
      <c r="A10">
        <v>7</v>
      </c>
      <c r="B10" s="96">
        <v>40360</v>
      </c>
      <c r="C10" s="127">
        <v>1180.5999999999999</v>
      </c>
      <c r="D10" s="127">
        <v>241.01</v>
      </c>
      <c r="E10" s="127">
        <v>376.42</v>
      </c>
      <c r="F10" s="121">
        <f t="shared" si="0"/>
        <v>1798.03</v>
      </c>
      <c r="G10" s="22"/>
      <c r="H10" s="22"/>
      <c r="I10" s="22"/>
      <c r="J10" s="22"/>
      <c r="K10" s="22"/>
      <c r="L10" s="22"/>
      <c r="M10" s="22"/>
      <c r="N10" s="22"/>
      <c r="O10" s="93">
        <f t="shared" si="3"/>
        <v>0.65660750932965517</v>
      </c>
      <c r="P10" s="93">
        <f t="shared" si="4"/>
        <v>0.13404114503095055</v>
      </c>
      <c r="Q10" s="93">
        <f t="shared" si="5"/>
        <v>0.20935134563939423</v>
      </c>
      <c r="R10" s="102">
        <f t="shared" si="6"/>
        <v>118.06</v>
      </c>
      <c r="S10" s="16">
        <f t="shared" si="7"/>
        <v>216.90899999999999</v>
      </c>
      <c r="T10" s="16">
        <f t="shared" si="8"/>
        <v>94.105000000000004</v>
      </c>
      <c r="U10" s="99">
        <f t="shared" si="1"/>
        <v>429.07400000000001</v>
      </c>
      <c r="V10" s="22"/>
      <c r="W10" s="99"/>
      <c r="X10" s="16"/>
    </row>
    <row r="11" spans="1:25" x14ac:dyDescent="0.25">
      <c r="A11">
        <v>8</v>
      </c>
      <c r="B11" s="96">
        <v>40391</v>
      </c>
      <c r="C11" s="128">
        <v>3416.75</v>
      </c>
      <c r="D11" s="128">
        <v>427.57</v>
      </c>
      <c r="E11" s="128">
        <v>36.36</v>
      </c>
      <c r="F11" s="121">
        <f t="shared" si="0"/>
        <v>3880.6800000000003</v>
      </c>
      <c r="G11" s="22"/>
      <c r="H11" s="22"/>
      <c r="I11" s="22"/>
      <c r="J11" s="22"/>
      <c r="K11" s="22"/>
      <c r="L11" s="22"/>
      <c r="M11" s="22"/>
      <c r="N11" s="22"/>
      <c r="O11" s="93">
        <f t="shared" si="3"/>
        <v>0.88045136419390413</v>
      </c>
      <c r="P11" s="93">
        <f t="shared" si="4"/>
        <v>0.11017914386138511</v>
      </c>
      <c r="Q11" s="93">
        <f t="shared" si="5"/>
        <v>9.36949194471072E-3</v>
      </c>
      <c r="R11" s="102">
        <f t="shared" si="6"/>
        <v>341.67500000000001</v>
      </c>
      <c r="S11" s="16">
        <f t="shared" si="7"/>
        <v>384.81299999999999</v>
      </c>
      <c r="T11" s="16">
        <f t="shared" si="8"/>
        <v>9.09</v>
      </c>
      <c r="U11" s="99">
        <f t="shared" si="1"/>
        <v>735.57800000000009</v>
      </c>
      <c r="V11" s="22"/>
      <c r="W11" s="99"/>
      <c r="X11" s="16"/>
    </row>
    <row r="12" spans="1:25" x14ac:dyDescent="0.25">
      <c r="A12">
        <v>9</v>
      </c>
      <c r="B12" s="96">
        <v>40422</v>
      </c>
      <c r="C12" s="127">
        <v>3301.9</v>
      </c>
      <c r="D12" s="127">
        <v>428.4</v>
      </c>
      <c r="E12" s="127">
        <v>57.52</v>
      </c>
      <c r="F12" s="121">
        <f t="shared" si="0"/>
        <v>3787.82</v>
      </c>
      <c r="G12" s="22"/>
      <c r="H12" s="22"/>
      <c r="I12" s="22"/>
      <c r="J12" s="22"/>
      <c r="K12" s="22">
        <f>+C10+C11+C12</f>
        <v>7899.25</v>
      </c>
      <c r="L12" s="22">
        <f t="shared" ref="L12:N12" si="10">+D10+D11+D12</f>
        <v>1096.98</v>
      </c>
      <c r="M12" s="22">
        <f t="shared" si="10"/>
        <v>470.3</v>
      </c>
      <c r="N12" s="22">
        <f t="shared" si="10"/>
        <v>9466.5300000000007</v>
      </c>
      <c r="O12" s="93">
        <f t="shared" si="3"/>
        <v>0.87171512901880233</v>
      </c>
      <c r="P12" s="93">
        <f t="shared" si="4"/>
        <v>0.11309935530199428</v>
      </c>
      <c r="Q12" s="93">
        <f t="shared" si="5"/>
        <v>1.5185515679203341E-2</v>
      </c>
      <c r="R12" s="102">
        <f t="shared" si="6"/>
        <v>330.19000000000005</v>
      </c>
      <c r="S12" s="16">
        <f t="shared" si="7"/>
        <v>385.56</v>
      </c>
      <c r="T12" s="16">
        <f t="shared" si="8"/>
        <v>14.38</v>
      </c>
      <c r="U12" s="99">
        <f t="shared" si="1"/>
        <v>730.13</v>
      </c>
      <c r="V12" s="22"/>
      <c r="W12" s="99"/>
      <c r="X12" s="99">
        <f>+SUM(R10:R12)</f>
        <v>789.92500000000007</v>
      </c>
    </row>
    <row r="13" spans="1:25" x14ac:dyDescent="0.25">
      <c r="A13">
        <v>10</v>
      </c>
      <c r="B13" s="96">
        <v>40452</v>
      </c>
      <c r="C13" s="127">
        <v>3954.7</v>
      </c>
      <c r="D13" s="127">
        <v>336.26</v>
      </c>
      <c r="E13" s="127">
        <v>0</v>
      </c>
      <c r="F13" s="121">
        <f t="shared" si="0"/>
        <v>4290.96</v>
      </c>
      <c r="G13" s="22"/>
      <c r="H13" s="22"/>
      <c r="I13" s="22"/>
      <c r="J13" s="22"/>
      <c r="K13" s="22"/>
      <c r="L13" s="22"/>
      <c r="M13" s="22"/>
      <c r="N13" s="22"/>
      <c r="O13" s="93">
        <f t="shared" si="3"/>
        <v>0.92163525178514827</v>
      </c>
      <c r="P13" s="93">
        <f t="shared" si="4"/>
        <v>7.836474821485169E-2</v>
      </c>
      <c r="Q13" s="93">
        <f t="shared" si="5"/>
        <v>0</v>
      </c>
      <c r="R13" s="102">
        <f t="shared" si="6"/>
        <v>395.47</v>
      </c>
      <c r="S13" s="16">
        <f t="shared" si="7"/>
        <v>302.63400000000001</v>
      </c>
      <c r="T13" s="16">
        <f t="shared" si="8"/>
        <v>0</v>
      </c>
      <c r="U13" s="99">
        <f t="shared" si="1"/>
        <v>698.10400000000004</v>
      </c>
      <c r="V13" s="22"/>
      <c r="W13" s="99"/>
      <c r="X13" s="16"/>
    </row>
    <row r="14" spans="1:25" x14ac:dyDescent="0.25">
      <c r="A14">
        <v>11</v>
      </c>
      <c r="B14" s="96">
        <v>40483</v>
      </c>
      <c r="C14" s="127">
        <v>3067.69</v>
      </c>
      <c r="D14" s="127">
        <v>163.41</v>
      </c>
      <c r="E14" s="127">
        <v>71.02</v>
      </c>
      <c r="F14" s="121">
        <f t="shared" si="0"/>
        <v>3302.12</v>
      </c>
      <c r="G14" s="22"/>
      <c r="H14" s="22"/>
      <c r="I14" s="22"/>
      <c r="J14" s="22"/>
      <c r="K14" s="22"/>
      <c r="L14" s="22"/>
      <c r="M14" s="22"/>
      <c r="N14" s="22"/>
      <c r="O14" s="93">
        <f t="shared" si="3"/>
        <v>0.92900621418967211</v>
      </c>
      <c r="P14" s="93">
        <f t="shared" si="4"/>
        <v>4.9486390561215218E-2</v>
      </c>
      <c r="Q14" s="93">
        <f t="shared" si="5"/>
        <v>2.1507395249112691E-2</v>
      </c>
      <c r="R14" s="102">
        <f t="shared" si="6"/>
        <v>306.76900000000001</v>
      </c>
      <c r="S14" s="16">
        <f t="shared" si="7"/>
        <v>147.06899999999999</v>
      </c>
      <c r="T14" s="16">
        <f t="shared" si="8"/>
        <v>17.754999999999999</v>
      </c>
      <c r="U14" s="99">
        <f t="shared" si="1"/>
        <v>471.59299999999996</v>
      </c>
      <c r="V14" s="22"/>
      <c r="W14" s="99"/>
      <c r="X14" s="16"/>
    </row>
    <row r="15" spans="1:25" x14ac:dyDescent="0.25">
      <c r="A15">
        <v>12</v>
      </c>
      <c r="B15" s="96">
        <v>40513</v>
      </c>
      <c r="C15" s="128">
        <v>4498.3999999999996</v>
      </c>
      <c r="D15" s="128">
        <v>237.82</v>
      </c>
      <c r="E15" s="128">
        <v>221.9</v>
      </c>
      <c r="F15" s="121">
        <f t="shared" si="0"/>
        <v>4958.119999999999</v>
      </c>
      <c r="G15" s="22">
        <f>+SUM(C4:C15)</f>
        <v>38159.379999999997</v>
      </c>
      <c r="H15" s="22">
        <f>+SUM(D4:D15)</f>
        <v>3346.0500000000006</v>
      </c>
      <c r="I15" s="22">
        <f>+SUM(E4:E15)</f>
        <v>1534.5900000000001</v>
      </c>
      <c r="J15" s="22">
        <f t="shared" ref="J15" si="11">+SUM(F4:F15)</f>
        <v>43040.020000000004</v>
      </c>
      <c r="K15" s="22">
        <f t="shared" ref="K15:K69" si="12">+C13+C14+C15</f>
        <v>11520.789999999999</v>
      </c>
      <c r="L15" s="22">
        <f t="shared" ref="L15" si="13">+D13+D14+D15</f>
        <v>737.49</v>
      </c>
      <c r="M15" s="22">
        <f t="shared" ref="M15" si="14">+E13+E14+E15</f>
        <v>292.92</v>
      </c>
      <c r="N15" s="22">
        <f t="shared" ref="N15" si="15">+F13+F14+F15</f>
        <v>12551.199999999999</v>
      </c>
      <c r="O15" s="93">
        <f t="shared" si="3"/>
        <v>0.90727937202003994</v>
      </c>
      <c r="P15" s="93">
        <f t="shared" si="4"/>
        <v>4.7965761215944765E-2</v>
      </c>
      <c r="Q15" s="93">
        <f t="shared" si="5"/>
        <v>4.4754866764015404E-2</v>
      </c>
      <c r="R15" s="102">
        <f t="shared" si="6"/>
        <v>449.84</v>
      </c>
      <c r="S15" s="16">
        <f t="shared" si="7"/>
        <v>214.03800000000001</v>
      </c>
      <c r="T15" s="16">
        <f t="shared" si="8"/>
        <v>55.475000000000001</v>
      </c>
      <c r="U15" s="99">
        <f t="shared" si="1"/>
        <v>719.35299999999995</v>
      </c>
      <c r="V15" s="22">
        <f>+SUM(R4:R15)</f>
        <v>3815.9380000000001</v>
      </c>
      <c r="W15" s="99">
        <f>+SUM(R10:R15)</f>
        <v>1942.0039999999999</v>
      </c>
      <c r="X15" s="99">
        <f>+SUM(R13:R15)</f>
        <v>1152.079</v>
      </c>
      <c r="Y15" s="98">
        <f>+X15+X12+X9+X6</f>
        <v>3815.9380000000001</v>
      </c>
    </row>
    <row r="16" spans="1:25" x14ac:dyDescent="0.25">
      <c r="A16">
        <v>13</v>
      </c>
      <c r="B16" s="96">
        <v>40544</v>
      </c>
      <c r="C16" s="127">
        <v>1488</v>
      </c>
      <c r="D16" s="127">
        <v>219.61</v>
      </c>
      <c r="E16" s="127">
        <v>50.95</v>
      </c>
      <c r="F16" s="121">
        <f t="shared" si="0"/>
        <v>1758.5600000000002</v>
      </c>
      <c r="G16" s="22"/>
      <c r="H16" s="22"/>
      <c r="I16" s="22"/>
      <c r="J16" s="22"/>
      <c r="K16" s="22"/>
      <c r="L16" s="22"/>
      <c r="M16" s="22"/>
      <c r="N16" s="22"/>
      <c r="O16" s="93">
        <f t="shared" si="3"/>
        <v>0.84614684742061674</v>
      </c>
      <c r="P16" s="93">
        <f t="shared" si="4"/>
        <v>0.12488058411427531</v>
      </c>
      <c r="Q16" s="93">
        <f t="shared" si="5"/>
        <v>2.8972568465107814E-2</v>
      </c>
      <c r="R16" s="102">
        <f t="shared" si="6"/>
        <v>148.80000000000001</v>
      </c>
      <c r="S16" s="16">
        <f t="shared" si="7"/>
        <v>197.64900000000003</v>
      </c>
      <c r="T16" s="16">
        <f t="shared" si="8"/>
        <v>12.737500000000001</v>
      </c>
      <c r="U16" s="99">
        <f t="shared" si="1"/>
        <v>359.18650000000008</v>
      </c>
      <c r="V16" s="22"/>
      <c r="W16" s="99"/>
      <c r="X16" s="16"/>
    </row>
    <row r="17" spans="1:24" x14ac:dyDescent="0.25">
      <c r="A17">
        <v>14</v>
      </c>
      <c r="B17" s="96">
        <v>40575</v>
      </c>
      <c r="C17" s="127">
        <v>2052.89</v>
      </c>
      <c r="D17" s="127">
        <v>208.93</v>
      </c>
      <c r="E17" s="127">
        <v>0</v>
      </c>
      <c r="F17" s="121">
        <f t="shared" si="0"/>
        <v>2261.8199999999997</v>
      </c>
      <c r="G17" s="22"/>
      <c r="H17" s="22"/>
      <c r="I17" s="22"/>
      <c r="J17" s="22"/>
      <c r="K17" s="22"/>
      <c r="L17" s="22"/>
      <c r="M17" s="22"/>
      <c r="N17" s="22"/>
      <c r="O17" s="93">
        <f t="shared" si="3"/>
        <v>0.90762748582999542</v>
      </c>
      <c r="P17" s="93">
        <f t="shared" si="4"/>
        <v>9.2372514170004708E-2</v>
      </c>
      <c r="Q17" s="93">
        <f t="shared" si="5"/>
        <v>0</v>
      </c>
      <c r="R17" s="102">
        <f t="shared" si="6"/>
        <v>205.28899999999999</v>
      </c>
      <c r="S17" s="16">
        <f t="shared" si="7"/>
        <v>188.03700000000001</v>
      </c>
      <c r="T17" s="16">
        <f t="shared" si="8"/>
        <v>0</v>
      </c>
      <c r="U17" s="99">
        <f t="shared" si="1"/>
        <v>393.32600000000002</v>
      </c>
      <c r="V17" s="22"/>
      <c r="W17" s="99"/>
      <c r="X17" s="16"/>
    </row>
    <row r="18" spans="1:24" x14ac:dyDescent="0.25">
      <c r="A18">
        <v>15</v>
      </c>
      <c r="B18" s="96">
        <v>40603</v>
      </c>
      <c r="C18" s="127">
        <v>2351.1</v>
      </c>
      <c r="D18" s="127">
        <v>130.34</v>
      </c>
      <c r="E18" s="127">
        <v>3.47</v>
      </c>
      <c r="F18" s="121">
        <f t="shared" si="0"/>
        <v>2484.91</v>
      </c>
      <c r="G18" s="22"/>
      <c r="H18" s="22"/>
      <c r="I18" s="22"/>
      <c r="J18" s="22"/>
      <c r="K18" s="22">
        <f t="shared" si="12"/>
        <v>5891.99</v>
      </c>
      <c r="L18" s="22">
        <f t="shared" ref="L18" si="16">+D16+D17+D18</f>
        <v>558.88</v>
      </c>
      <c r="M18" s="22">
        <f t="shared" ref="M18" si="17">+E16+E17+E18</f>
        <v>54.42</v>
      </c>
      <c r="N18" s="22">
        <f t="shared" ref="N18" si="18">+F16+F17+F18</f>
        <v>6505.29</v>
      </c>
      <c r="O18" s="93">
        <f t="shared" si="3"/>
        <v>0.9461509672382501</v>
      </c>
      <c r="P18" s="93">
        <f t="shared" si="4"/>
        <v>5.2452603917244489E-2</v>
      </c>
      <c r="Q18" s="93">
        <f t="shared" si="5"/>
        <v>1.3964288445054349E-3</v>
      </c>
      <c r="R18" s="102">
        <f t="shared" si="6"/>
        <v>235.11</v>
      </c>
      <c r="S18" s="16">
        <f t="shared" si="7"/>
        <v>117.30600000000001</v>
      </c>
      <c r="T18" s="16">
        <f t="shared" si="8"/>
        <v>0.86750000000000005</v>
      </c>
      <c r="U18" s="99">
        <f t="shared" si="1"/>
        <v>353.28350000000006</v>
      </c>
      <c r="V18" s="22"/>
      <c r="W18" s="16"/>
      <c r="X18" s="99">
        <f>+SUM(R16:R18)</f>
        <v>589.19900000000007</v>
      </c>
    </row>
    <row r="19" spans="1:24" x14ac:dyDescent="0.25">
      <c r="A19">
        <v>16</v>
      </c>
      <c r="B19" s="96">
        <v>40634</v>
      </c>
      <c r="C19" s="127">
        <v>280</v>
      </c>
      <c r="D19" s="127">
        <v>208.72</v>
      </c>
      <c r="E19" s="127">
        <v>156.34</v>
      </c>
      <c r="F19" s="121">
        <f t="shared" si="0"/>
        <v>645.06000000000006</v>
      </c>
      <c r="G19" s="22"/>
      <c r="H19" s="22"/>
      <c r="I19" s="22"/>
      <c r="J19" s="22"/>
      <c r="K19" s="22"/>
      <c r="L19" s="22"/>
      <c r="M19" s="22"/>
      <c r="N19" s="22"/>
      <c r="O19" s="93">
        <f t="shared" si="3"/>
        <v>0.43406814869934573</v>
      </c>
      <c r="P19" s="93">
        <f t="shared" si="4"/>
        <v>0.32356679998759802</v>
      </c>
      <c r="Q19" s="93">
        <f t="shared" si="5"/>
        <v>0.24236505131305613</v>
      </c>
      <c r="R19" s="105">
        <f>+C19*(100%)</f>
        <v>280</v>
      </c>
      <c r="S19" s="16">
        <f t="shared" si="7"/>
        <v>187.84800000000001</v>
      </c>
      <c r="T19" s="16">
        <f t="shared" si="8"/>
        <v>39.085000000000001</v>
      </c>
      <c r="U19" s="99">
        <f t="shared" si="1"/>
        <v>506.93299999999999</v>
      </c>
      <c r="V19" s="22"/>
      <c r="W19" s="16"/>
      <c r="X19" s="16"/>
    </row>
    <row r="20" spans="1:24" x14ac:dyDescent="0.25">
      <c r="A20">
        <v>17</v>
      </c>
      <c r="B20" s="96">
        <v>40664</v>
      </c>
      <c r="C20" s="127">
        <v>4585</v>
      </c>
      <c r="D20" s="127">
        <v>113.34</v>
      </c>
      <c r="E20" s="127">
        <v>263.94</v>
      </c>
      <c r="F20" s="121">
        <f t="shared" si="0"/>
        <v>4962.28</v>
      </c>
      <c r="G20" s="22"/>
      <c r="H20" s="22"/>
      <c r="I20" s="22"/>
      <c r="J20" s="22"/>
      <c r="K20" s="22"/>
      <c r="L20" s="22"/>
      <c r="M20" s="22"/>
      <c r="N20" s="22"/>
      <c r="O20" s="93">
        <f t="shared" si="3"/>
        <v>0.92397043294614578</v>
      </c>
      <c r="P20" s="93">
        <f t="shared" si="4"/>
        <v>2.2840307278106035E-2</v>
      </c>
      <c r="Q20" s="93">
        <f t="shared" si="5"/>
        <v>5.3189259775748246E-2</v>
      </c>
      <c r="R20" s="102">
        <f>+C20*(10%)</f>
        <v>458.5</v>
      </c>
      <c r="S20" s="16">
        <f t="shared" si="7"/>
        <v>102.006</v>
      </c>
      <c r="T20" s="16">
        <f t="shared" si="8"/>
        <v>65.984999999999999</v>
      </c>
      <c r="U20" s="99">
        <f t="shared" si="1"/>
        <v>626.49099999999999</v>
      </c>
      <c r="V20" s="22"/>
      <c r="W20" s="16"/>
      <c r="X20" s="16"/>
    </row>
    <row r="21" spans="1:24" x14ac:dyDescent="0.25">
      <c r="A21">
        <v>18</v>
      </c>
      <c r="B21" s="96">
        <v>40695</v>
      </c>
      <c r="C21" s="127">
        <v>2415</v>
      </c>
      <c r="D21" s="127">
        <v>262.08999999999997</v>
      </c>
      <c r="E21" s="127">
        <v>0</v>
      </c>
      <c r="F21" s="121">
        <f t="shared" si="0"/>
        <v>2677.09</v>
      </c>
      <c r="G21" s="22"/>
      <c r="H21" s="22"/>
      <c r="I21" s="22"/>
      <c r="J21" s="22"/>
      <c r="K21" s="22">
        <f t="shared" si="12"/>
        <v>7280</v>
      </c>
      <c r="L21" s="22">
        <f t="shared" ref="L21" si="19">+D19+D20+D21</f>
        <v>584.15</v>
      </c>
      <c r="M21" s="22">
        <f t="shared" ref="M21" si="20">+E19+E20+E21</f>
        <v>420.28</v>
      </c>
      <c r="N21" s="22">
        <f t="shared" ref="N21" si="21">+F19+F20+F21</f>
        <v>8284.43</v>
      </c>
      <c r="O21" s="93">
        <f t="shared" si="3"/>
        <v>0.90209892084315424</v>
      </c>
      <c r="P21" s="93">
        <f t="shared" si="4"/>
        <v>9.7901079156845663E-2</v>
      </c>
      <c r="Q21" s="93">
        <f t="shared" si="5"/>
        <v>0</v>
      </c>
      <c r="R21" s="102">
        <f>+C21*(10%)</f>
        <v>241.5</v>
      </c>
      <c r="S21" s="16">
        <f t="shared" si="7"/>
        <v>235.88099999999997</v>
      </c>
      <c r="T21" s="16">
        <f t="shared" si="8"/>
        <v>0</v>
      </c>
      <c r="U21" s="99">
        <f t="shared" si="1"/>
        <v>477.38099999999997</v>
      </c>
      <c r="V21" s="22"/>
      <c r="W21" s="99">
        <f>+SUM(R16:R21)</f>
        <v>1569.1990000000001</v>
      </c>
      <c r="X21" s="99">
        <f>+SUM(R19:R21)</f>
        <v>980</v>
      </c>
    </row>
    <row r="22" spans="1:24" x14ac:dyDescent="0.25">
      <c r="A22">
        <v>19</v>
      </c>
      <c r="B22" s="96">
        <v>40725</v>
      </c>
      <c r="C22" s="127">
        <v>3445.4</v>
      </c>
      <c r="D22" s="127">
        <v>247.22</v>
      </c>
      <c r="E22" s="127">
        <v>209.31</v>
      </c>
      <c r="F22" s="121">
        <f t="shared" si="0"/>
        <v>3901.93</v>
      </c>
      <c r="G22" s="22"/>
      <c r="H22" s="22"/>
      <c r="I22" s="22"/>
      <c r="J22" s="22"/>
      <c r="K22" s="22"/>
      <c r="L22" s="22"/>
      <c r="M22" s="22"/>
      <c r="N22" s="22"/>
      <c r="O22" s="93">
        <f t="shared" si="3"/>
        <v>0.8829989261724327</v>
      </c>
      <c r="P22" s="93">
        <f t="shared" si="4"/>
        <v>6.3358389309905616E-2</v>
      </c>
      <c r="Q22" s="93">
        <f t="shared" si="5"/>
        <v>5.3642684517661778E-2</v>
      </c>
      <c r="R22" s="102">
        <f>+C22*(10%)</f>
        <v>344.54</v>
      </c>
      <c r="S22" s="16">
        <f t="shared" si="7"/>
        <v>222.49799999999999</v>
      </c>
      <c r="T22" s="16">
        <f t="shared" si="8"/>
        <v>52.327500000000001</v>
      </c>
      <c r="U22" s="99">
        <f t="shared" si="1"/>
        <v>619.3655</v>
      </c>
      <c r="V22" s="22"/>
      <c r="W22" s="16"/>
      <c r="X22" s="16"/>
    </row>
    <row r="23" spans="1:24" x14ac:dyDescent="0.25">
      <c r="A23">
        <v>20</v>
      </c>
      <c r="B23" s="96">
        <v>40756</v>
      </c>
      <c r="C23" s="128">
        <v>482.4</v>
      </c>
      <c r="D23" s="128">
        <v>80.150000000000006</v>
      </c>
      <c r="E23" s="128">
        <v>14.7</v>
      </c>
      <c r="F23" s="121">
        <f t="shared" si="0"/>
        <v>577.25</v>
      </c>
      <c r="G23" s="22"/>
      <c r="H23" s="22"/>
      <c r="I23" s="22"/>
      <c r="J23" s="22"/>
      <c r="K23" s="22"/>
      <c r="L23" s="22"/>
      <c r="M23" s="22"/>
      <c r="N23" s="22"/>
      <c r="O23" s="93">
        <f t="shared" si="3"/>
        <v>0.83568644434820261</v>
      </c>
      <c r="P23" s="93">
        <f t="shared" si="4"/>
        <v>0.13884798614118668</v>
      </c>
      <c r="Q23" s="93">
        <f t="shared" si="5"/>
        <v>2.5465569510610651E-2</v>
      </c>
      <c r="R23" s="105">
        <f>+C23*(50%)</f>
        <v>241.2</v>
      </c>
      <c r="S23" s="16">
        <f t="shared" si="7"/>
        <v>72.135000000000005</v>
      </c>
      <c r="T23" s="16">
        <f t="shared" si="8"/>
        <v>3.6749999999999998</v>
      </c>
      <c r="U23" s="99">
        <f t="shared" si="1"/>
        <v>317.01</v>
      </c>
      <c r="V23" s="22"/>
      <c r="W23" s="16"/>
      <c r="X23" s="16"/>
    </row>
    <row r="24" spans="1:24" x14ac:dyDescent="0.25">
      <c r="A24">
        <v>21</v>
      </c>
      <c r="B24" s="96">
        <v>40787</v>
      </c>
      <c r="C24" s="127">
        <v>2023.05</v>
      </c>
      <c r="D24" s="127">
        <v>271.20999999999998</v>
      </c>
      <c r="E24" s="127">
        <v>0</v>
      </c>
      <c r="F24" s="121">
        <f t="shared" si="0"/>
        <v>2294.2599999999998</v>
      </c>
      <c r="G24" s="22"/>
      <c r="H24" s="22"/>
      <c r="I24" s="22"/>
      <c r="J24" s="22"/>
      <c r="K24" s="22">
        <f t="shared" si="12"/>
        <v>5950.85</v>
      </c>
      <c r="L24" s="22">
        <f t="shared" ref="L24" si="22">+D22+D23+D24</f>
        <v>598.57999999999993</v>
      </c>
      <c r="M24" s="22">
        <f t="shared" ref="M24" si="23">+E22+E23+E24</f>
        <v>224.01</v>
      </c>
      <c r="N24" s="22">
        <f t="shared" ref="N24" si="24">+F22+F23+F24</f>
        <v>6773.4400000000005</v>
      </c>
      <c r="O24" s="93">
        <f t="shared" si="3"/>
        <v>0.88178759164174947</v>
      </c>
      <c r="P24" s="93">
        <f t="shared" si="4"/>
        <v>0.1182124083582506</v>
      </c>
      <c r="Q24" s="93">
        <f t="shared" si="5"/>
        <v>0</v>
      </c>
      <c r="R24" s="102">
        <f>+C24*(10%)</f>
        <v>202.30500000000001</v>
      </c>
      <c r="S24" s="16">
        <f t="shared" si="7"/>
        <v>244.089</v>
      </c>
      <c r="T24" s="16">
        <f t="shared" si="8"/>
        <v>0</v>
      </c>
      <c r="U24" s="99">
        <f t="shared" si="1"/>
        <v>446.39400000000001</v>
      </c>
      <c r="V24" s="22"/>
      <c r="W24" s="16"/>
      <c r="X24" s="99">
        <f>+SUM(R22:R24)</f>
        <v>788.04500000000007</v>
      </c>
    </row>
    <row r="25" spans="1:24" x14ac:dyDescent="0.25">
      <c r="A25">
        <v>22</v>
      </c>
      <c r="B25" s="96">
        <v>40817</v>
      </c>
      <c r="C25" s="127">
        <v>934.15</v>
      </c>
      <c r="D25" s="127">
        <v>98.01</v>
      </c>
      <c r="E25" s="127">
        <v>44.65</v>
      </c>
      <c r="F25" s="121">
        <f t="shared" si="0"/>
        <v>1076.8100000000002</v>
      </c>
      <c r="G25" s="22"/>
      <c r="H25" s="22"/>
      <c r="I25" s="22"/>
      <c r="J25" s="22"/>
      <c r="K25" s="22"/>
      <c r="L25" s="22"/>
      <c r="M25" s="22"/>
      <c r="N25" s="22"/>
      <c r="O25" s="93">
        <f t="shared" si="3"/>
        <v>0.86751608918936474</v>
      </c>
      <c r="P25" s="93">
        <f t="shared" si="4"/>
        <v>9.1018842692768442E-2</v>
      </c>
      <c r="Q25" s="93">
        <f t="shared" si="5"/>
        <v>4.1465068117866655E-2</v>
      </c>
      <c r="R25" s="105">
        <f>+C25*(40%)</f>
        <v>373.66</v>
      </c>
      <c r="S25" s="16">
        <f t="shared" si="7"/>
        <v>88.209000000000003</v>
      </c>
      <c r="T25" s="16">
        <f t="shared" si="8"/>
        <v>11.1625</v>
      </c>
      <c r="U25" s="99">
        <f t="shared" si="1"/>
        <v>473.03150000000005</v>
      </c>
      <c r="V25" s="22"/>
      <c r="W25" s="16"/>
      <c r="X25" s="16"/>
    </row>
    <row r="26" spans="1:24" x14ac:dyDescent="0.25">
      <c r="A26">
        <v>23</v>
      </c>
      <c r="B26" s="96">
        <v>40848</v>
      </c>
      <c r="C26" s="127">
        <v>1885.95</v>
      </c>
      <c r="D26" s="127">
        <v>176.86</v>
      </c>
      <c r="E26" s="127">
        <v>182.81</v>
      </c>
      <c r="F26" s="121">
        <f t="shared" si="0"/>
        <v>2245.62</v>
      </c>
      <c r="G26" s="22"/>
      <c r="H26" s="22"/>
      <c r="I26" s="22"/>
      <c r="J26" s="22"/>
      <c r="K26" s="22"/>
      <c r="L26" s="22"/>
      <c r="M26" s="22"/>
      <c r="N26" s="22"/>
      <c r="O26" s="93">
        <f t="shared" si="3"/>
        <v>0.83983487856360384</v>
      </c>
      <c r="P26" s="93">
        <f t="shared" si="4"/>
        <v>7.8757759549701212E-2</v>
      </c>
      <c r="Q26" s="93">
        <f t="shared" si="5"/>
        <v>8.1407361886694993E-2</v>
      </c>
      <c r="R26" s="105">
        <f>+C26*(18%)</f>
        <v>339.471</v>
      </c>
      <c r="S26" s="16">
        <f t="shared" si="7"/>
        <v>159.17400000000001</v>
      </c>
      <c r="T26" s="16">
        <f t="shared" si="8"/>
        <v>45.702500000000001</v>
      </c>
      <c r="U26" s="99">
        <f t="shared" si="1"/>
        <v>544.34749999999997</v>
      </c>
      <c r="V26" s="22"/>
      <c r="W26" s="16"/>
      <c r="X26" s="16"/>
    </row>
    <row r="27" spans="1:24" x14ac:dyDescent="0.25">
      <c r="A27">
        <v>24</v>
      </c>
      <c r="B27" s="96">
        <v>40878</v>
      </c>
      <c r="C27" s="128">
        <v>1537.65</v>
      </c>
      <c r="D27" s="128">
        <v>66.709999999999994</v>
      </c>
      <c r="E27" s="128">
        <v>7.51</v>
      </c>
      <c r="F27" s="121">
        <f t="shared" si="0"/>
        <v>1611.8700000000001</v>
      </c>
      <c r="G27" s="22">
        <f>+SUM(C16:C27)</f>
        <v>23480.590000000004</v>
      </c>
      <c r="H27" s="22">
        <f>+SUM(D16:D27)</f>
        <v>2083.19</v>
      </c>
      <c r="I27" s="22">
        <f>+SUM(E16:E27)</f>
        <v>933.68000000000006</v>
      </c>
      <c r="J27" s="22">
        <f t="shared" ref="J27" si="25">+SUM(F16:F27)</f>
        <v>26497.46</v>
      </c>
      <c r="K27" s="22">
        <f t="shared" si="12"/>
        <v>4357.75</v>
      </c>
      <c r="L27" s="22">
        <f t="shared" ref="L27" si="26">+D25+D26+D27</f>
        <v>341.58</v>
      </c>
      <c r="M27" s="22">
        <f t="shared" ref="M27" si="27">+E25+E26+E27</f>
        <v>234.97</v>
      </c>
      <c r="N27" s="22">
        <f t="shared" ref="N27" si="28">+F25+F26+F27</f>
        <v>4934.3</v>
      </c>
      <c r="O27" s="93">
        <f t="shared" si="3"/>
        <v>0.95395410299838079</v>
      </c>
      <c r="P27" s="93">
        <f t="shared" si="4"/>
        <v>4.1386712327917255E-2</v>
      </c>
      <c r="Q27" s="93">
        <f t="shared" si="5"/>
        <v>4.6591846737019729E-3</v>
      </c>
      <c r="R27" s="105">
        <f>+C27*(20%)</f>
        <v>307.53000000000003</v>
      </c>
      <c r="S27" s="16">
        <f t="shared" si="7"/>
        <v>60.038999999999994</v>
      </c>
      <c r="T27" s="16">
        <f t="shared" si="8"/>
        <v>1.8774999999999999</v>
      </c>
      <c r="U27" s="99">
        <f t="shared" si="1"/>
        <v>369.44650000000001</v>
      </c>
      <c r="V27" s="22">
        <f>+SUM(R16:R27)</f>
        <v>3377.9049999999997</v>
      </c>
      <c r="W27" s="99">
        <f>+SUM(R22:R27)</f>
        <v>1808.7060000000001</v>
      </c>
      <c r="X27" s="99">
        <f>+SUM(R25:R27)</f>
        <v>1020.6610000000001</v>
      </c>
    </row>
    <row r="28" spans="1:24" x14ac:dyDescent="0.25">
      <c r="A28">
        <v>25</v>
      </c>
      <c r="B28" s="96">
        <v>40909</v>
      </c>
      <c r="C28" s="127">
        <v>2661.57</v>
      </c>
      <c r="D28" s="127">
        <v>264.14999999999998</v>
      </c>
      <c r="E28" s="127">
        <v>28.92</v>
      </c>
      <c r="F28" s="121">
        <f t="shared" si="0"/>
        <v>2954.6400000000003</v>
      </c>
      <c r="G28" s="22"/>
      <c r="H28" s="22"/>
      <c r="I28" s="22"/>
      <c r="J28" s="22"/>
      <c r="K28" s="22"/>
      <c r="L28" s="22"/>
      <c r="M28" s="22"/>
      <c r="N28" s="22"/>
      <c r="O28" s="93">
        <f t="shared" si="3"/>
        <v>0.90081025099504508</v>
      </c>
      <c r="P28" s="93">
        <f t="shared" si="4"/>
        <v>8.9401754528470462E-2</v>
      </c>
      <c r="Q28" s="93">
        <f t="shared" si="5"/>
        <v>9.7879944764844452E-3</v>
      </c>
      <c r="R28" s="102">
        <f t="shared" ref="R28:R36" si="29">+C28*(10%)</f>
        <v>266.15700000000004</v>
      </c>
      <c r="S28" s="16">
        <f t="shared" si="7"/>
        <v>237.73499999999999</v>
      </c>
      <c r="T28" s="16">
        <f t="shared" si="8"/>
        <v>7.23</v>
      </c>
      <c r="U28" s="99">
        <f t="shared" si="1"/>
        <v>511.12200000000007</v>
      </c>
      <c r="V28" s="22"/>
      <c r="W28" s="16"/>
      <c r="X28" s="16"/>
    </row>
    <row r="29" spans="1:24" x14ac:dyDescent="0.25">
      <c r="A29">
        <v>26</v>
      </c>
      <c r="B29" s="96">
        <v>40940</v>
      </c>
      <c r="C29" s="127">
        <v>3943.05</v>
      </c>
      <c r="D29" s="127">
        <v>129.44</v>
      </c>
      <c r="E29" s="127">
        <v>0</v>
      </c>
      <c r="F29" s="121">
        <f t="shared" si="0"/>
        <v>4072.4900000000002</v>
      </c>
      <c r="G29" s="22"/>
      <c r="H29" s="22"/>
      <c r="I29" s="22"/>
      <c r="J29" s="22"/>
      <c r="K29" s="22"/>
      <c r="L29" s="22"/>
      <c r="M29" s="22"/>
      <c r="N29" s="22"/>
      <c r="O29" s="93">
        <f t="shared" si="3"/>
        <v>0.96821600544138842</v>
      </c>
      <c r="P29" s="93">
        <f t="shared" si="4"/>
        <v>3.1783994558611563E-2</v>
      </c>
      <c r="Q29" s="93">
        <f t="shared" si="5"/>
        <v>0</v>
      </c>
      <c r="R29" s="102">
        <f t="shared" si="29"/>
        <v>394.30500000000006</v>
      </c>
      <c r="S29" s="16">
        <f t="shared" si="7"/>
        <v>116.496</v>
      </c>
      <c r="T29" s="16">
        <f t="shared" si="8"/>
        <v>0</v>
      </c>
      <c r="U29" s="99">
        <f t="shared" si="1"/>
        <v>510.80100000000004</v>
      </c>
      <c r="V29" s="22"/>
      <c r="W29" s="16"/>
      <c r="X29" s="16"/>
    </row>
    <row r="30" spans="1:24" x14ac:dyDescent="0.25">
      <c r="A30">
        <v>27</v>
      </c>
      <c r="B30" s="96">
        <v>40969</v>
      </c>
      <c r="C30" s="127">
        <v>4363.2</v>
      </c>
      <c r="D30" s="127">
        <v>212.8</v>
      </c>
      <c r="E30" s="127">
        <v>212.95</v>
      </c>
      <c r="F30" s="121">
        <f t="shared" si="0"/>
        <v>4788.95</v>
      </c>
      <c r="G30" s="22"/>
      <c r="H30" s="22"/>
      <c r="I30" s="22"/>
      <c r="J30" s="22"/>
      <c r="K30" s="22">
        <f t="shared" si="12"/>
        <v>10967.82</v>
      </c>
      <c r="L30" s="22">
        <f t="shared" ref="L30" si="30">+D28+D29+D30</f>
        <v>606.39</v>
      </c>
      <c r="M30" s="22">
        <f t="shared" ref="M30" si="31">+E28+E29+E30</f>
        <v>241.87</v>
      </c>
      <c r="N30" s="22">
        <f t="shared" ref="N30" si="32">+F28+F29+F30</f>
        <v>11816.080000000002</v>
      </c>
      <c r="O30" s="93">
        <f t="shared" si="3"/>
        <v>0.91109742219066814</v>
      </c>
      <c r="P30" s="93">
        <f t="shared" si="4"/>
        <v>4.4435627851616748E-2</v>
      </c>
      <c r="Q30" s="93">
        <f t="shared" si="5"/>
        <v>4.4466949957715156E-2</v>
      </c>
      <c r="R30" s="102">
        <f t="shared" si="29"/>
        <v>436.32</v>
      </c>
      <c r="S30" s="16">
        <f t="shared" si="7"/>
        <v>191.52</v>
      </c>
      <c r="T30" s="16">
        <f t="shared" si="8"/>
        <v>53.237499999999997</v>
      </c>
      <c r="U30" s="99">
        <f t="shared" si="1"/>
        <v>681.07749999999999</v>
      </c>
      <c r="V30" s="22"/>
      <c r="W30" s="16"/>
      <c r="X30" s="99">
        <f>+SUM(R28:R30)</f>
        <v>1096.7820000000002</v>
      </c>
    </row>
    <row r="31" spans="1:24" x14ac:dyDescent="0.25">
      <c r="A31">
        <v>28</v>
      </c>
      <c r="B31" s="96">
        <v>41000</v>
      </c>
      <c r="C31" s="127">
        <v>4232.3999999999996</v>
      </c>
      <c r="D31" s="127">
        <v>125.46</v>
      </c>
      <c r="E31" s="127">
        <v>42.93</v>
      </c>
      <c r="F31" s="121">
        <f t="shared" si="0"/>
        <v>4400.79</v>
      </c>
      <c r="G31" s="22"/>
      <c r="H31" s="22"/>
      <c r="I31" s="22"/>
      <c r="J31" s="22"/>
      <c r="K31" s="22"/>
      <c r="L31" s="22"/>
      <c r="M31" s="22"/>
      <c r="N31" s="22"/>
      <c r="O31" s="93">
        <f t="shared" si="3"/>
        <v>0.96173641550721567</v>
      </c>
      <c r="P31" s="93">
        <f t="shared" si="4"/>
        <v>2.8508517788851547E-2</v>
      </c>
      <c r="Q31" s="93">
        <f t="shared" si="5"/>
        <v>9.7550667039327035E-3</v>
      </c>
      <c r="R31" s="102">
        <f t="shared" si="29"/>
        <v>423.24</v>
      </c>
      <c r="S31" s="16">
        <f t="shared" si="7"/>
        <v>112.914</v>
      </c>
      <c r="T31" s="16">
        <f t="shared" si="8"/>
        <v>10.7325</v>
      </c>
      <c r="U31" s="99">
        <f t="shared" si="1"/>
        <v>546.88649999999996</v>
      </c>
      <c r="V31" s="22"/>
      <c r="W31" s="16"/>
      <c r="X31" s="16"/>
    </row>
    <row r="32" spans="1:24" x14ac:dyDescent="0.25">
      <c r="A32">
        <v>29</v>
      </c>
      <c r="B32" s="96">
        <v>41030</v>
      </c>
      <c r="C32" s="127">
        <v>4796.3100000000004</v>
      </c>
      <c r="D32" s="127">
        <v>248.76</v>
      </c>
      <c r="E32" s="127">
        <v>91.42</v>
      </c>
      <c r="F32" s="121">
        <f t="shared" si="0"/>
        <v>5136.4900000000007</v>
      </c>
      <c r="G32" s="22"/>
      <c r="H32" s="22"/>
      <c r="I32" s="22"/>
      <c r="J32" s="22"/>
      <c r="K32" s="22"/>
      <c r="L32" s="22"/>
      <c r="M32" s="22"/>
      <c r="N32" s="22"/>
      <c r="O32" s="93">
        <f t="shared" si="3"/>
        <v>0.93377189481533107</v>
      </c>
      <c r="P32" s="93">
        <f t="shared" si="4"/>
        <v>4.8429958979770225E-2</v>
      </c>
      <c r="Q32" s="93">
        <f t="shared" si="5"/>
        <v>1.7798146204898675E-2</v>
      </c>
      <c r="R32" s="102">
        <f t="shared" si="29"/>
        <v>479.63100000000009</v>
      </c>
      <c r="S32" s="16">
        <f t="shared" si="7"/>
        <v>223.88399999999999</v>
      </c>
      <c r="T32" s="16">
        <f t="shared" si="8"/>
        <v>22.855</v>
      </c>
      <c r="U32" s="99">
        <f t="shared" si="1"/>
        <v>726.37000000000012</v>
      </c>
      <c r="V32" s="22"/>
      <c r="W32" s="16"/>
      <c r="X32" s="16"/>
    </row>
    <row r="33" spans="1:24" x14ac:dyDescent="0.25">
      <c r="A33">
        <v>30</v>
      </c>
      <c r="B33" s="96">
        <v>41061</v>
      </c>
      <c r="C33" s="127">
        <v>2675.09</v>
      </c>
      <c r="D33" s="127">
        <v>163.49</v>
      </c>
      <c r="E33" s="127">
        <v>58.32</v>
      </c>
      <c r="F33" s="121">
        <f t="shared" si="0"/>
        <v>2896.9</v>
      </c>
      <c r="G33" s="22"/>
      <c r="H33" s="22"/>
      <c r="I33" s="22"/>
      <c r="J33" s="22"/>
      <c r="K33" s="22">
        <f t="shared" si="12"/>
        <v>11703.8</v>
      </c>
      <c r="L33" s="22">
        <f t="shared" ref="L33" si="33">+D31+D32+D33</f>
        <v>537.71</v>
      </c>
      <c r="M33" s="22">
        <f t="shared" ref="M33" si="34">+E31+E32+E33</f>
        <v>192.67</v>
      </c>
      <c r="N33" s="22">
        <f t="shared" ref="N33" si="35">+F31+F32+F33</f>
        <v>12434.18</v>
      </c>
      <c r="O33" s="93">
        <f t="shared" si="3"/>
        <v>0.92343194449238841</v>
      </c>
      <c r="P33" s="93">
        <f t="shared" si="4"/>
        <v>5.643619041043875E-2</v>
      </c>
      <c r="Q33" s="93">
        <f t="shared" si="5"/>
        <v>2.0131865097172838E-2</v>
      </c>
      <c r="R33" s="102">
        <f t="shared" si="29"/>
        <v>267.50900000000001</v>
      </c>
      <c r="S33" s="16">
        <f t="shared" si="7"/>
        <v>147.14100000000002</v>
      </c>
      <c r="T33" s="16">
        <f t="shared" si="8"/>
        <v>14.58</v>
      </c>
      <c r="U33" s="99">
        <f t="shared" si="1"/>
        <v>429.23</v>
      </c>
      <c r="V33" s="22"/>
      <c r="W33" s="99">
        <f>+SUM(R28:R33)</f>
        <v>2267.1620000000003</v>
      </c>
      <c r="X33" s="99">
        <f>+SUM(R31:R33)</f>
        <v>1170.3800000000001</v>
      </c>
    </row>
    <row r="34" spans="1:24" x14ac:dyDescent="0.25">
      <c r="A34">
        <v>31</v>
      </c>
      <c r="B34" s="96">
        <v>41091</v>
      </c>
      <c r="C34" s="127">
        <v>3660.95</v>
      </c>
      <c r="D34" s="127">
        <v>89.9</v>
      </c>
      <c r="E34" s="127">
        <v>0</v>
      </c>
      <c r="F34" s="121">
        <f t="shared" si="0"/>
        <v>3750.85</v>
      </c>
      <c r="G34" s="22"/>
      <c r="H34" s="22"/>
      <c r="I34" s="22"/>
      <c r="J34" s="22"/>
      <c r="K34" s="22"/>
      <c r="L34" s="22"/>
      <c r="M34" s="22"/>
      <c r="N34" s="22"/>
      <c r="O34" s="93">
        <f t="shared" si="3"/>
        <v>0.97603209939080471</v>
      </c>
      <c r="P34" s="93">
        <f t="shared" si="4"/>
        <v>2.396790060919525E-2</v>
      </c>
      <c r="Q34" s="93">
        <f t="shared" si="5"/>
        <v>0</v>
      </c>
      <c r="R34" s="102">
        <f t="shared" si="29"/>
        <v>366.09500000000003</v>
      </c>
      <c r="S34" s="16">
        <f t="shared" si="7"/>
        <v>80.910000000000011</v>
      </c>
      <c r="T34" s="16">
        <f t="shared" si="8"/>
        <v>0</v>
      </c>
      <c r="U34" s="99">
        <f t="shared" si="1"/>
        <v>447.00500000000005</v>
      </c>
      <c r="V34" s="22"/>
      <c r="W34" s="16"/>
      <c r="X34" s="16"/>
    </row>
    <row r="35" spans="1:24" x14ac:dyDescent="0.25">
      <c r="A35">
        <v>32</v>
      </c>
      <c r="B35" s="96">
        <v>41122</v>
      </c>
      <c r="C35" s="128">
        <v>5117.01</v>
      </c>
      <c r="D35" s="128">
        <v>342.73</v>
      </c>
      <c r="E35" s="128">
        <v>92.11</v>
      </c>
      <c r="F35" s="121">
        <f t="shared" si="0"/>
        <v>5551.8499999999995</v>
      </c>
      <c r="G35" s="22"/>
      <c r="H35" s="22"/>
      <c r="I35" s="22"/>
      <c r="J35" s="22"/>
      <c r="K35" s="22"/>
      <c r="L35" s="22"/>
      <c r="M35" s="22"/>
      <c r="N35" s="22"/>
      <c r="O35" s="93">
        <f t="shared" si="3"/>
        <v>0.92167655826436246</v>
      </c>
      <c r="P35" s="93">
        <f t="shared" si="4"/>
        <v>6.1732575627943848E-2</v>
      </c>
      <c r="Q35" s="93">
        <f t="shared" si="5"/>
        <v>1.6590866107693832E-2</v>
      </c>
      <c r="R35" s="102">
        <f t="shared" si="29"/>
        <v>511.70100000000002</v>
      </c>
      <c r="S35" s="16">
        <f t="shared" si="7"/>
        <v>308.45700000000005</v>
      </c>
      <c r="T35" s="16">
        <f t="shared" si="8"/>
        <v>23.0275</v>
      </c>
      <c r="U35" s="99">
        <f t="shared" si="1"/>
        <v>843.18550000000016</v>
      </c>
      <c r="V35" s="22"/>
      <c r="W35" s="16"/>
      <c r="X35" s="16"/>
    </row>
    <row r="36" spans="1:24" x14ac:dyDescent="0.25">
      <c r="A36">
        <v>33</v>
      </c>
      <c r="B36" s="96">
        <v>41153</v>
      </c>
      <c r="C36" s="127">
        <v>2539.1999999999998</v>
      </c>
      <c r="D36" s="127">
        <v>111.59</v>
      </c>
      <c r="E36" s="127">
        <v>4.4800000000000004</v>
      </c>
      <c r="F36" s="121">
        <f t="shared" ref="F36:F67" si="36">+C36+D36+E36</f>
        <v>2655.27</v>
      </c>
      <c r="G36" s="22"/>
      <c r="H36" s="22"/>
      <c r="I36" s="22"/>
      <c r="J36" s="22"/>
      <c r="K36" s="22">
        <f t="shared" si="12"/>
        <v>11317.16</v>
      </c>
      <c r="L36" s="22">
        <f t="shared" ref="L36" si="37">+D34+D35+D36</f>
        <v>544.22</v>
      </c>
      <c r="M36" s="22">
        <f t="shared" ref="M36" si="38">+E34+E35+E36</f>
        <v>96.59</v>
      </c>
      <c r="N36" s="22">
        <f t="shared" ref="N36" si="39">+F34+F35+F36</f>
        <v>11957.97</v>
      </c>
      <c r="O36" s="93">
        <f t="shared" si="3"/>
        <v>0.95628693127252584</v>
      </c>
      <c r="P36" s="93">
        <f t="shared" ref="P36:P67" si="40">+D36/F36</f>
        <v>4.2025858010673114E-2</v>
      </c>
      <c r="Q36" s="93">
        <f t="shared" ref="Q36:Q67" si="41">+E36/F36</f>
        <v>1.687210716800928E-3</v>
      </c>
      <c r="R36" s="102">
        <f t="shared" si="29"/>
        <v>253.92</v>
      </c>
      <c r="S36" s="16">
        <f t="shared" ref="S36:S67" si="42">+D36*(90%)</f>
        <v>100.43100000000001</v>
      </c>
      <c r="T36" s="16">
        <f t="shared" ref="T36:T67" si="43">+E36*(25%)</f>
        <v>1.1200000000000001</v>
      </c>
      <c r="U36" s="99">
        <f t="shared" si="1"/>
        <v>355.471</v>
      </c>
      <c r="V36" s="22"/>
      <c r="W36" s="16"/>
      <c r="X36" s="99">
        <f>+SUM(R34:R36)</f>
        <v>1131.7160000000001</v>
      </c>
    </row>
    <row r="37" spans="1:24" x14ac:dyDescent="0.25">
      <c r="A37">
        <v>34</v>
      </c>
      <c r="B37" s="96">
        <v>41183</v>
      </c>
      <c r="C37" s="127">
        <v>1206.1199999999999</v>
      </c>
      <c r="D37" s="127">
        <v>34.020000000000003</v>
      </c>
      <c r="E37" s="127">
        <v>63.06</v>
      </c>
      <c r="F37" s="121">
        <f t="shared" si="36"/>
        <v>1303.1999999999998</v>
      </c>
      <c r="G37" s="22"/>
      <c r="H37" s="22"/>
      <c r="I37" s="22"/>
      <c r="J37" s="22"/>
      <c r="K37" s="22"/>
      <c r="L37" s="22"/>
      <c r="M37" s="22"/>
      <c r="N37" s="22"/>
      <c r="O37" s="93">
        <f t="shared" ref="O37:O68" si="44">+C37/F37</f>
        <v>0.92550644567219154</v>
      </c>
      <c r="P37" s="93">
        <f t="shared" si="40"/>
        <v>2.6104972375690615E-2</v>
      </c>
      <c r="Q37" s="93">
        <f t="shared" si="41"/>
        <v>4.8388581952117871E-2</v>
      </c>
      <c r="R37" s="105">
        <f>+C37*(15%)</f>
        <v>180.91799999999998</v>
      </c>
      <c r="S37" s="16">
        <f t="shared" si="42"/>
        <v>30.618000000000002</v>
      </c>
      <c r="T37" s="16">
        <f t="shared" si="43"/>
        <v>15.765000000000001</v>
      </c>
      <c r="U37" s="99">
        <f t="shared" si="1"/>
        <v>227.30099999999999</v>
      </c>
      <c r="V37" s="22"/>
      <c r="W37" s="16"/>
      <c r="X37" s="16"/>
    </row>
    <row r="38" spans="1:24" x14ac:dyDescent="0.25">
      <c r="A38">
        <v>35</v>
      </c>
      <c r="B38" s="96">
        <v>41214</v>
      </c>
      <c r="C38" s="127">
        <v>2332.0700000000002</v>
      </c>
      <c r="D38" s="127">
        <v>245.56</v>
      </c>
      <c r="E38" s="127">
        <v>5.54</v>
      </c>
      <c r="F38" s="121">
        <f t="shared" si="36"/>
        <v>2583.17</v>
      </c>
      <c r="G38" s="22"/>
      <c r="H38" s="22"/>
      <c r="I38" s="22"/>
      <c r="J38" s="22"/>
      <c r="K38" s="22"/>
      <c r="L38" s="22"/>
      <c r="M38" s="22"/>
      <c r="N38" s="22"/>
      <c r="O38" s="93">
        <f t="shared" si="44"/>
        <v>0.90279385406303114</v>
      </c>
      <c r="P38" s="93">
        <f t="shared" si="40"/>
        <v>9.5061494210601699E-2</v>
      </c>
      <c r="Q38" s="93">
        <f t="shared" si="41"/>
        <v>2.1446517263672155E-3</v>
      </c>
      <c r="R38" s="102">
        <f t="shared" ref="R38:R50" si="45">+C38*(10%)</f>
        <v>233.20700000000002</v>
      </c>
      <c r="S38" s="16">
        <f t="shared" si="42"/>
        <v>221.00400000000002</v>
      </c>
      <c r="T38" s="16">
        <f t="shared" si="43"/>
        <v>1.385</v>
      </c>
      <c r="U38" s="99">
        <f t="shared" si="1"/>
        <v>455.596</v>
      </c>
      <c r="V38" s="22"/>
      <c r="W38" s="16"/>
      <c r="X38" s="16"/>
    </row>
    <row r="39" spans="1:24" x14ac:dyDescent="0.25">
      <c r="A39">
        <v>36</v>
      </c>
      <c r="B39" s="96">
        <v>41244</v>
      </c>
      <c r="C39" s="128">
        <v>1609.5</v>
      </c>
      <c r="D39" s="128">
        <v>239.71</v>
      </c>
      <c r="E39" s="128">
        <v>0</v>
      </c>
      <c r="F39" s="121">
        <f t="shared" si="36"/>
        <v>1849.21</v>
      </c>
      <c r="G39" s="22">
        <f>+SUM(C28:C39)</f>
        <v>39136.47</v>
      </c>
      <c r="H39" s="22">
        <f>+SUM(D28:D39)</f>
        <v>2207.6099999999997</v>
      </c>
      <c r="I39" s="22">
        <f>+SUM(E28:E39)</f>
        <v>599.73</v>
      </c>
      <c r="J39" s="22">
        <f t="shared" ref="J39" si="46">+SUM(F28:F39)</f>
        <v>41943.81</v>
      </c>
      <c r="K39" s="22">
        <f t="shared" si="12"/>
        <v>5147.6900000000005</v>
      </c>
      <c r="L39" s="22">
        <f t="shared" ref="L39" si="47">+D37+D38+D39</f>
        <v>519.29</v>
      </c>
      <c r="M39" s="22">
        <f t="shared" ref="M39" si="48">+E37+E38+E39</f>
        <v>68.600000000000009</v>
      </c>
      <c r="N39" s="22">
        <f t="shared" ref="N39" si="49">+F37+F38+F39</f>
        <v>5735.58</v>
      </c>
      <c r="O39" s="93">
        <f t="shared" si="44"/>
        <v>0.87037167222759992</v>
      </c>
      <c r="P39" s="93">
        <f t="shared" si="40"/>
        <v>0.1296283277724001</v>
      </c>
      <c r="Q39" s="93">
        <f t="shared" si="41"/>
        <v>0</v>
      </c>
      <c r="R39" s="102">
        <f t="shared" si="45"/>
        <v>160.95000000000002</v>
      </c>
      <c r="S39" s="16">
        <f t="shared" si="42"/>
        <v>215.739</v>
      </c>
      <c r="T39" s="16">
        <f t="shared" si="43"/>
        <v>0</v>
      </c>
      <c r="U39" s="99">
        <f t="shared" si="1"/>
        <v>376.68900000000002</v>
      </c>
      <c r="V39" s="22">
        <f>+SUM(R28:R39)</f>
        <v>3973.9530000000004</v>
      </c>
      <c r="W39" s="99">
        <f>+SUM(R34:R39)</f>
        <v>1706.7910000000002</v>
      </c>
      <c r="X39" s="99">
        <f>+SUM(R37:R39)</f>
        <v>575.07500000000005</v>
      </c>
    </row>
    <row r="40" spans="1:24" x14ac:dyDescent="0.25">
      <c r="A40">
        <v>37</v>
      </c>
      <c r="B40" s="96">
        <v>41275</v>
      </c>
      <c r="C40" s="127">
        <v>4035.2</v>
      </c>
      <c r="D40" s="127">
        <v>39.93</v>
      </c>
      <c r="E40" s="127">
        <v>43.7</v>
      </c>
      <c r="F40" s="121">
        <f t="shared" si="36"/>
        <v>4118.83</v>
      </c>
      <c r="G40" s="22"/>
      <c r="H40" s="22"/>
      <c r="I40" s="22"/>
      <c r="J40" s="22"/>
      <c r="K40" s="22"/>
      <c r="L40" s="22"/>
      <c r="M40" s="22"/>
      <c r="N40" s="22"/>
      <c r="O40" s="93">
        <f t="shared" si="44"/>
        <v>0.9796956902809778</v>
      </c>
      <c r="P40" s="93">
        <f t="shared" si="40"/>
        <v>9.6945006227496643E-3</v>
      </c>
      <c r="Q40" s="93">
        <f t="shared" si="41"/>
        <v>1.0609809096272486E-2</v>
      </c>
      <c r="R40" s="102">
        <f t="shared" si="45"/>
        <v>403.52</v>
      </c>
      <c r="S40" s="16">
        <f t="shared" si="42"/>
        <v>35.936999999999998</v>
      </c>
      <c r="T40" s="16">
        <f t="shared" si="43"/>
        <v>10.925000000000001</v>
      </c>
      <c r="U40" s="99">
        <f t="shared" si="1"/>
        <v>450.38200000000001</v>
      </c>
      <c r="V40" s="22"/>
      <c r="W40" s="16"/>
      <c r="X40" s="16"/>
    </row>
    <row r="41" spans="1:24" x14ac:dyDescent="0.25">
      <c r="A41">
        <v>38</v>
      </c>
      <c r="B41" s="96">
        <v>41306</v>
      </c>
      <c r="C41" s="127">
        <v>3396.18</v>
      </c>
      <c r="D41" s="127">
        <v>11.62</v>
      </c>
      <c r="E41" s="127">
        <v>53.28</v>
      </c>
      <c r="F41" s="121">
        <f t="shared" si="36"/>
        <v>3461.08</v>
      </c>
      <c r="G41" s="22"/>
      <c r="H41" s="22"/>
      <c r="I41" s="22"/>
      <c r="J41" s="22"/>
      <c r="K41" s="22"/>
      <c r="L41" s="22"/>
      <c r="M41" s="22"/>
      <c r="N41" s="22"/>
      <c r="O41" s="93">
        <f t="shared" si="44"/>
        <v>0.9812486275960105</v>
      </c>
      <c r="P41" s="93">
        <f t="shared" si="40"/>
        <v>3.3573335490656095E-3</v>
      </c>
      <c r="Q41" s="93">
        <f t="shared" si="41"/>
        <v>1.5394038854923898E-2</v>
      </c>
      <c r="R41" s="102">
        <f t="shared" si="45"/>
        <v>339.61799999999999</v>
      </c>
      <c r="S41" s="16">
        <f t="shared" si="42"/>
        <v>10.458</v>
      </c>
      <c r="T41" s="16">
        <f t="shared" si="43"/>
        <v>13.32</v>
      </c>
      <c r="U41" s="99">
        <f t="shared" si="1"/>
        <v>363.39600000000002</v>
      </c>
      <c r="V41" s="22"/>
      <c r="W41" s="16"/>
      <c r="X41" s="16"/>
    </row>
    <row r="42" spans="1:24" x14ac:dyDescent="0.25">
      <c r="A42">
        <v>39</v>
      </c>
      <c r="B42" s="96">
        <v>41334</v>
      </c>
      <c r="C42" s="127">
        <v>3038.77</v>
      </c>
      <c r="D42" s="127">
        <v>12.81</v>
      </c>
      <c r="E42" s="127">
        <v>94.88</v>
      </c>
      <c r="F42" s="121">
        <f t="shared" si="36"/>
        <v>3146.46</v>
      </c>
      <c r="G42" s="22"/>
      <c r="H42" s="22"/>
      <c r="I42" s="22"/>
      <c r="J42" s="22"/>
      <c r="K42" s="22">
        <f t="shared" si="12"/>
        <v>10470.15</v>
      </c>
      <c r="L42" s="22">
        <f t="shared" ref="L42" si="50">+D40+D41+D42</f>
        <v>64.36</v>
      </c>
      <c r="M42" s="22">
        <f t="shared" ref="M42" si="51">+E40+E41+E42</f>
        <v>191.86</v>
      </c>
      <c r="N42" s="22">
        <f t="shared" ref="N42" si="52">+F40+F41+F42</f>
        <v>10726.369999999999</v>
      </c>
      <c r="O42" s="93">
        <f t="shared" si="44"/>
        <v>0.96577423517222527</v>
      </c>
      <c r="P42" s="93">
        <f t="shared" si="40"/>
        <v>4.0712419671630976E-3</v>
      </c>
      <c r="Q42" s="93">
        <f t="shared" si="41"/>
        <v>3.0154522860611606E-2</v>
      </c>
      <c r="R42" s="102">
        <f t="shared" si="45"/>
        <v>303.87700000000001</v>
      </c>
      <c r="S42" s="16">
        <f t="shared" si="42"/>
        <v>11.529</v>
      </c>
      <c r="T42" s="16">
        <f t="shared" si="43"/>
        <v>23.72</v>
      </c>
      <c r="U42" s="99">
        <f t="shared" si="1"/>
        <v>339.12599999999998</v>
      </c>
      <c r="V42" s="22"/>
      <c r="W42" s="16"/>
      <c r="X42" s="99">
        <f>+SUM(R40:R42)</f>
        <v>1047.0149999999999</v>
      </c>
    </row>
    <row r="43" spans="1:24" x14ac:dyDescent="0.25">
      <c r="A43">
        <v>40</v>
      </c>
      <c r="B43" s="96">
        <v>41365</v>
      </c>
      <c r="C43" s="127">
        <v>4477</v>
      </c>
      <c r="D43" s="127">
        <v>11.06</v>
      </c>
      <c r="E43" s="127">
        <v>27.63</v>
      </c>
      <c r="F43" s="121">
        <f t="shared" si="36"/>
        <v>4515.6900000000005</v>
      </c>
      <c r="G43" s="22"/>
      <c r="H43" s="22"/>
      <c r="I43" s="22"/>
      <c r="J43" s="22"/>
      <c r="K43" s="22"/>
      <c r="L43" s="22"/>
      <c r="M43" s="22"/>
      <c r="N43" s="22"/>
      <c r="O43" s="93">
        <f t="shared" si="44"/>
        <v>0.99143209564872692</v>
      </c>
      <c r="P43" s="93">
        <f t="shared" si="40"/>
        <v>2.4492381009325261E-3</v>
      </c>
      <c r="Q43" s="93">
        <f t="shared" si="41"/>
        <v>6.1186662503404784E-3</v>
      </c>
      <c r="R43" s="102">
        <f t="shared" si="45"/>
        <v>447.70000000000005</v>
      </c>
      <c r="S43" s="16">
        <f t="shared" si="42"/>
        <v>9.9540000000000006</v>
      </c>
      <c r="T43" s="16">
        <f t="shared" si="43"/>
        <v>6.9074999999999998</v>
      </c>
      <c r="U43" s="99">
        <f t="shared" si="1"/>
        <v>464.56150000000008</v>
      </c>
      <c r="V43" s="22"/>
      <c r="W43" s="16"/>
      <c r="X43" s="16"/>
    </row>
    <row r="44" spans="1:24" x14ac:dyDescent="0.25">
      <c r="A44">
        <v>41</v>
      </c>
      <c r="B44" s="96">
        <v>41395</v>
      </c>
      <c r="C44" s="127">
        <v>7972.56</v>
      </c>
      <c r="D44" s="127">
        <v>63.55</v>
      </c>
      <c r="E44" s="127">
        <v>91.22</v>
      </c>
      <c r="F44" s="121">
        <f t="shared" si="36"/>
        <v>8127.3300000000008</v>
      </c>
      <c r="G44" s="22"/>
      <c r="H44" s="22"/>
      <c r="I44" s="22"/>
      <c r="J44" s="22"/>
      <c r="K44" s="22"/>
      <c r="L44" s="22"/>
      <c r="M44" s="22"/>
      <c r="N44" s="22"/>
      <c r="O44" s="93">
        <f t="shared" si="44"/>
        <v>0.98095684560612151</v>
      </c>
      <c r="P44" s="93">
        <f t="shared" si="40"/>
        <v>7.8192961280026761E-3</v>
      </c>
      <c r="Q44" s="93">
        <f t="shared" si="41"/>
        <v>1.1223858265875753E-2</v>
      </c>
      <c r="R44" s="102">
        <f t="shared" si="45"/>
        <v>797.25600000000009</v>
      </c>
      <c r="S44" s="16">
        <f t="shared" si="42"/>
        <v>57.195</v>
      </c>
      <c r="T44" s="16">
        <f t="shared" si="43"/>
        <v>22.805</v>
      </c>
      <c r="U44" s="99">
        <f t="shared" si="1"/>
        <v>877.25600000000009</v>
      </c>
      <c r="V44" s="22"/>
      <c r="W44" s="16"/>
      <c r="X44" s="16"/>
    </row>
    <row r="45" spans="1:24" x14ac:dyDescent="0.25">
      <c r="A45">
        <v>42</v>
      </c>
      <c r="B45" s="96">
        <v>41426</v>
      </c>
      <c r="C45" s="127">
        <v>4515</v>
      </c>
      <c r="D45" s="127">
        <v>11.29</v>
      </c>
      <c r="E45" s="127">
        <v>0</v>
      </c>
      <c r="F45" s="121">
        <f t="shared" si="36"/>
        <v>4526.29</v>
      </c>
      <c r="G45" s="22"/>
      <c r="H45" s="22"/>
      <c r="I45" s="22"/>
      <c r="J45" s="22"/>
      <c r="K45" s="22">
        <f t="shared" si="12"/>
        <v>16964.560000000001</v>
      </c>
      <c r="L45" s="22">
        <f t="shared" ref="L45" si="53">+D43+D44+D45</f>
        <v>85.9</v>
      </c>
      <c r="M45" s="22">
        <f t="shared" ref="M45" si="54">+E43+E44+E45</f>
        <v>118.85</v>
      </c>
      <c r="N45" s="22">
        <f t="shared" ref="N45" si="55">+F43+F44+F45</f>
        <v>17169.310000000001</v>
      </c>
      <c r="O45" s="93">
        <f t="shared" si="44"/>
        <v>0.99750568346261503</v>
      </c>
      <c r="P45" s="93">
        <f t="shared" si="40"/>
        <v>2.494316537384922E-3</v>
      </c>
      <c r="Q45" s="93">
        <f t="shared" si="41"/>
        <v>0</v>
      </c>
      <c r="R45" s="102">
        <f t="shared" si="45"/>
        <v>451.5</v>
      </c>
      <c r="S45" s="16">
        <f t="shared" si="42"/>
        <v>10.161</v>
      </c>
      <c r="T45" s="16">
        <f t="shared" si="43"/>
        <v>0</v>
      </c>
      <c r="U45" s="99">
        <f t="shared" si="1"/>
        <v>461.661</v>
      </c>
      <c r="V45" s="22"/>
      <c r="W45" s="99">
        <f>+SUM(R40:R45)</f>
        <v>2743.471</v>
      </c>
      <c r="X45" s="99">
        <f>+SUM(R43:R45)</f>
        <v>1696.4560000000001</v>
      </c>
    </row>
    <row r="46" spans="1:24" x14ac:dyDescent="0.25">
      <c r="A46">
        <v>43</v>
      </c>
      <c r="B46" s="96">
        <v>41456</v>
      </c>
      <c r="C46" s="127">
        <v>4581.38</v>
      </c>
      <c r="D46" s="127">
        <v>17.52</v>
      </c>
      <c r="E46" s="127">
        <v>6.97</v>
      </c>
      <c r="F46" s="121">
        <f t="shared" si="36"/>
        <v>4605.8700000000008</v>
      </c>
      <c r="G46" s="22"/>
      <c r="H46" s="22"/>
      <c r="I46" s="22"/>
      <c r="J46" s="22"/>
      <c r="K46" s="22"/>
      <c r="L46" s="22"/>
      <c r="M46" s="22"/>
      <c r="N46" s="22"/>
      <c r="O46" s="93">
        <f t="shared" si="44"/>
        <v>0.99468287207411399</v>
      </c>
      <c r="P46" s="93">
        <f t="shared" si="40"/>
        <v>3.8038416194985957E-3</v>
      </c>
      <c r="Q46" s="93">
        <f t="shared" si="41"/>
        <v>1.5132863063872838E-3</v>
      </c>
      <c r="R46" s="102">
        <f t="shared" si="45"/>
        <v>458.13800000000003</v>
      </c>
      <c r="S46" s="16">
        <f t="shared" si="42"/>
        <v>15.768000000000001</v>
      </c>
      <c r="T46" s="16">
        <f t="shared" si="43"/>
        <v>1.7424999999999999</v>
      </c>
      <c r="U46" s="99">
        <f t="shared" si="1"/>
        <v>475.64850000000007</v>
      </c>
      <c r="V46" s="22"/>
      <c r="W46" s="16"/>
      <c r="X46" s="16"/>
    </row>
    <row r="47" spans="1:24" x14ac:dyDescent="0.25">
      <c r="A47">
        <v>44</v>
      </c>
      <c r="B47" s="96">
        <v>41487</v>
      </c>
      <c r="C47" s="128">
        <v>3815.32</v>
      </c>
      <c r="D47" s="128">
        <v>50.13</v>
      </c>
      <c r="E47" s="128">
        <v>105.47</v>
      </c>
      <c r="F47" s="121">
        <f t="shared" si="36"/>
        <v>3970.92</v>
      </c>
      <c r="G47" s="22"/>
      <c r="H47" s="22"/>
      <c r="I47" s="22"/>
      <c r="J47" s="22"/>
      <c r="K47" s="22"/>
      <c r="L47" s="22"/>
      <c r="M47" s="22"/>
      <c r="N47" s="22"/>
      <c r="O47" s="93">
        <f t="shared" si="44"/>
        <v>0.96081512596577123</v>
      </c>
      <c r="P47" s="93">
        <f t="shared" si="40"/>
        <v>1.2624278504729382E-2</v>
      </c>
      <c r="Q47" s="93">
        <f t="shared" si="41"/>
        <v>2.6560595529499461E-2</v>
      </c>
      <c r="R47" s="102">
        <f t="shared" si="45"/>
        <v>381.53200000000004</v>
      </c>
      <c r="S47" s="16">
        <f t="shared" si="42"/>
        <v>45.117000000000004</v>
      </c>
      <c r="T47" s="16">
        <f t="shared" si="43"/>
        <v>26.3675</v>
      </c>
      <c r="U47" s="99">
        <f t="shared" si="1"/>
        <v>453.01650000000006</v>
      </c>
      <c r="V47" s="22"/>
      <c r="W47" s="16"/>
      <c r="X47" s="16"/>
    </row>
    <row r="48" spans="1:24" x14ac:dyDescent="0.25">
      <c r="A48">
        <v>45</v>
      </c>
      <c r="B48" s="96">
        <v>41518</v>
      </c>
      <c r="C48" s="127">
        <v>3541.34</v>
      </c>
      <c r="D48" s="127">
        <v>35.4</v>
      </c>
      <c r="E48" s="127">
        <v>203.73</v>
      </c>
      <c r="F48" s="121">
        <f t="shared" si="36"/>
        <v>3780.4700000000003</v>
      </c>
      <c r="G48" s="22"/>
      <c r="H48" s="22"/>
      <c r="I48" s="22"/>
      <c r="J48" s="22"/>
      <c r="K48" s="22">
        <f t="shared" si="12"/>
        <v>11938.04</v>
      </c>
      <c r="L48" s="22">
        <f t="shared" ref="L48" si="56">+D46+D47+D48</f>
        <v>103.05000000000001</v>
      </c>
      <c r="M48" s="22">
        <f t="shared" ref="M48" si="57">+E46+E47+E48</f>
        <v>316.16999999999996</v>
      </c>
      <c r="N48" s="22">
        <f t="shared" ref="N48" si="58">+F46+F47+F48</f>
        <v>12357.260000000002</v>
      </c>
      <c r="O48" s="93">
        <f t="shared" si="44"/>
        <v>0.93674596015839295</v>
      </c>
      <c r="P48" s="93">
        <f t="shared" si="40"/>
        <v>9.3639150687612905E-3</v>
      </c>
      <c r="Q48" s="93">
        <f t="shared" si="41"/>
        <v>5.3890124772845695E-2</v>
      </c>
      <c r="R48" s="102">
        <f t="shared" si="45"/>
        <v>354.13400000000001</v>
      </c>
      <c r="S48" s="16">
        <f t="shared" si="42"/>
        <v>31.86</v>
      </c>
      <c r="T48" s="16">
        <f t="shared" si="43"/>
        <v>50.932499999999997</v>
      </c>
      <c r="U48" s="99">
        <f t="shared" si="1"/>
        <v>436.92650000000003</v>
      </c>
      <c r="V48" s="22"/>
      <c r="W48" s="16"/>
      <c r="X48" s="99">
        <f>+SUM(R46:R48)</f>
        <v>1193.8040000000001</v>
      </c>
    </row>
    <row r="49" spans="1:24" x14ac:dyDescent="0.25">
      <c r="A49">
        <v>46</v>
      </c>
      <c r="B49" s="96">
        <v>41548</v>
      </c>
      <c r="C49" s="127">
        <v>7559.5</v>
      </c>
      <c r="D49" s="127">
        <v>29.21</v>
      </c>
      <c r="E49" s="127">
        <v>24.1</v>
      </c>
      <c r="F49" s="121">
        <f t="shared" si="36"/>
        <v>7612.81</v>
      </c>
      <c r="G49" s="22"/>
      <c r="H49" s="22"/>
      <c r="I49" s="22"/>
      <c r="J49" s="22"/>
      <c r="K49" s="22"/>
      <c r="L49" s="22"/>
      <c r="M49" s="22"/>
      <c r="N49" s="22"/>
      <c r="O49" s="93">
        <f t="shared" si="44"/>
        <v>0.99299732950119601</v>
      </c>
      <c r="P49" s="93">
        <f t="shared" si="40"/>
        <v>3.8369537660863729E-3</v>
      </c>
      <c r="Q49" s="93">
        <f t="shared" si="41"/>
        <v>3.1657167327176169E-3</v>
      </c>
      <c r="R49" s="102">
        <f t="shared" si="45"/>
        <v>755.95</v>
      </c>
      <c r="S49" s="16">
        <f t="shared" si="42"/>
        <v>26.289000000000001</v>
      </c>
      <c r="T49" s="16">
        <f t="shared" si="43"/>
        <v>6.0250000000000004</v>
      </c>
      <c r="U49" s="99">
        <f t="shared" si="1"/>
        <v>788.26400000000001</v>
      </c>
      <c r="V49" s="22"/>
      <c r="W49" s="16"/>
      <c r="X49" s="16"/>
    </row>
    <row r="50" spans="1:24" x14ac:dyDescent="0.25">
      <c r="A50">
        <v>47</v>
      </c>
      <c r="B50" s="96">
        <v>41579</v>
      </c>
      <c r="C50" s="127">
        <v>5140.12</v>
      </c>
      <c r="D50" s="127">
        <v>25.06</v>
      </c>
      <c r="E50" s="127">
        <v>0</v>
      </c>
      <c r="F50" s="121">
        <f t="shared" si="36"/>
        <v>5165.18</v>
      </c>
      <c r="G50" s="22"/>
      <c r="H50" s="22"/>
      <c r="I50" s="22"/>
      <c r="J50" s="22"/>
      <c r="K50" s="22"/>
      <c r="L50" s="22"/>
      <c r="M50" s="22"/>
      <c r="N50" s="22"/>
      <c r="O50" s="93">
        <f t="shared" si="44"/>
        <v>0.99514828137644762</v>
      </c>
      <c r="P50" s="93">
        <f t="shared" si="40"/>
        <v>4.8517186235523249E-3</v>
      </c>
      <c r="Q50" s="93">
        <f t="shared" si="41"/>
        <v>0</v>
      </c>
      <c r="R50" s="102">
        <f t="shared" si="45"/>
        <v>514.01200000000006</v>
      </c>
      <c r="S50" s="16">
        <f t="shared" si="42"/>
        <v>22.553999999999998</v>
      </c>
      <c r="T50" s="16">
        <f t="shared" si="43"/>
        <v>0</v>
      </c>
      <c r="U50" s="99">
        <f t="shared" si="1"/>
        <v>536.56600000000003</v>
      </c>
      <c r="V50" s="22"/>
      <c r="W50" s="16"/>
      <c r="X50" s="16"/>
    </row>
    <row r="51" spans="1:24" x14ac:dyDescent="0.25">
      <c r="A51">
        <v>48</v>
      </c>
      <c r="B51" s="96">
        <v>41609</v>
      </c>
      <c r="C51" s="128">
        <v>927.72</v>
      </c>
      <c r="D51" s="128">
        <v>15.92</v>
      </c>
      <c r="E51" s="128">
        <v>0</v>
      </c>
      <c r="F51" s="121">
        <f t="shared" si="36"/>
        <v>943.64</v>
      </c>
      <c r="G51" s="22">
        <f>+SUM(C40:C51)</f>
        <v>53000.090000000004</v>
      </c>
      <c r="H51" s="22">
        <f>+SUM(D40:D51)</f>
        <v>323.5</v>
      </c>
      <c r="I51" s="22">
        <f>+SUM(E40:E51)</f>
        <v>650.98000000000013</v>
      </c>
      <c r="J51" s="22">
        <f t="shared" ref="J51" si="59">+SUM(F40:F51)</f>
        <v>53974.57</v>
      </c>
      <c r="K51" s="22">
        <f t="shared" si="12"/>
        <v>13627.339999999998</v>
      </c>
      <c r="L51" s="22">
        <f t="shared" ref="L51" si="60">+D49+D50+D51</f>
        <v>70.19</v>
      </c>
      <c r="M51" s="22">
        <f t="shared" ref="M51" si="61">+E49+E50+E51</f>
        <v>24.1</v>
      </c>
      <c r="N51" s="22">
        <f t="shared" ref="N51" si="62">+F49+F50+F51</f>
        <v>13721.630000000001</v>
      </c>
      <c r="O51" s="93">
        <f t="shared" si="44"/>
        <v>0.98312915942520462</v>
      </c>
      <c r="P51" s="93">
        <f t="shared" si="40"/>
        <v>1.6870840574795473E-2</v>
      </c>
      <c r="Q51" s="93">
        <f t="shared" si="41"/>
        <v>0</v>
      </c>
      <c r="R51" s="102">
        <f>+C51*(50%)</f>
        <v>463.86</v>
      </c>
      <c r="S51" s="16">
        <f t="shared" si="42"/>
        <v>14.327999999999999</v>
      </c>
      <c r="T51" s="16">
        <f t="shared" si="43"/>
        <v>0</v>
      </c>
      <c r="U51" s="99">
        <f t="shared" si="1"/>
        <v>478.18799999999999</v>
      </c>
      <c r="V51" s="22">
        <f>+SUM(R40:R51)</f>
        <v>5671.0969999999998</v>
      </c>
      <c r="W51" s="99">
        <f>+SUM(R46:R51)</f>
        <v>2927.6260000000002</v>
      </c>
      <c r="X51" s="99">
        <f>+SUM(R49:R51)</f>
        <v>1733.8220000000001</v>
      </c>
    </row>
    <row r="52" spans="1:24" x14ac:dyDescent="0.25">
      <c r="A52">
        <v>49</v>
      </c>
      <c r="B52" s="96">
        <v>41640</v>
      </c>
      <c r="C52" s="152">
        <v>1457</v>
      </c>
      <c r="D52" s="127">
        <v>82.96</v>
      </c>
      <c r="E52" s="127">
        <v>96.45</v>
      </c>
      <c r="F52" s="121">
        <f t="shared" si="36"/>
        <v>1636.41</v>
      </c>
      <c r="G52" s="22"/>
      <c r="H52" s="22"/>
      <c r="I52" s="22"/>
      <c r="J52" s="22"/>
      <c r="K52" s="22"/>
      <c r="L52" s="22"/>
      <c r="M52" s="22"/>
      <c r="N52" s="22"/>
      <c r="O52" s="93">
        <f t="shared" si="44"/>
        <v>0.89036366191846783</v>
      </c>
      <c r="P52" s="93">
        <f t="shared" si="40"/>
        <v>5.069634138143863E-2</v>
      </c>
      <c r="Q52" s="93">
        <f t="shared" si="41"/>
        <v>5.8939996700093499E-2</v>
      </c>
      <c r="R52" s="105">
        <f>+C52*(0%)</f>
        <v>0</v>
      </c>
      <c r="S52" s="16">
        <f t="shared" si="42"/>
        <v>74.664000000000001</v>
      </c>
      <c r="T52" s="16">
        <f t="shared" si="43"/>
        <v>24.112500000000001</v>
      </c>
      <c r="U52" s="99">
        <f t="shared" si="1"/>
        <v>98.776499999999999</v>
      </c>
      <c r="V52" s="22"/>
      <c r="W52" s="16"/>
      <c r="X52" s="16"/>
    </row>
    <row r="53" spans="1:24" x14ac:dyDescent="0.25">
      <c r="A53">
        <v>50</v>
      </c>
      <c r="B53" s="96">
        <v>41671</v>
      </c>
      <c r="C53" s="152">
        <v>2002.89</v>
      </c>
      <c r="D53" s="127">
        <v>34.06</v>
      </c>
      <c r="E53" s="127">
        <v>0</v>
      </c>
      <c r="F53" s="121">
        <f t="shared" si="36"/>
        <v>2036.95</v>
      </c>
      <c r="G53" s="22"/>
      <c r="H53" s="22"/>
      <c r="I53" s="22"/>
      <c r="J53" s="22"/>
      <c r="K53" s="22"/>
      <c r="L53" s="22"/>
      <c r="M53" s="22"/>
      <c r="N53" s="22"/>
      <c r="O53" s="93">
        <f t="shared" si="44"/>
        <v>0.98327892191757282</v>
      </c>
      <c r="P53" s="93">
        <f t="shared" si="40"/>
        <v>1.6721078082427159E-2</v>
      </c>
      <c r="Q53" s="93">
        <f t="shared" si="41"/>
        <v>0</v>
      </c>
      <c r="R53" s="105">
        <f>+C53*(10%)</f>
        <v>200.28900000000002</v>
      </c>
      <c r="S53" s="16">
        <f t="shared" si="42"/>
        <v>30.654000000000003</v>
      </c>
      <c r="T53" s="16">
        <f t="shared" si="43"/>
        <v>0</v>
      </c>
      <c r="U53" s="99">
        <f t="shared" si="1"/>
        <v>230.94300000000001</v>
      </c>
      <c r="V53" s="22"/>
      <c r="W53" s="16"/>
      <c r="X53" s="16"/>
    </row>
    <row r="54" spans="1:24" x14ac:dyDescent="0.25">
      <c r="A54">
        <v>51</v>
      </c>
      <c r="B54" s="96">
        <v>41699</v>
      </c>
      <c r="C54" s="152">
        <v>2423.5</v>
      </c>
      <c r="D54" s="127">
        <v>23.32</v>
      </c>
      <c r="E54" s="127">
        <v>248.81</v>
      </c>
      <c r="F54" s="121">
        <f t="shared" si="36"/>
        <v>2695.63</v>
      </c>
      <c r="G54" s="22"/>
      <c r="H54" s="22"/>
      <c r="I54" s="22"/>
      <c r="J54" s="22"/>
      <c r="K54" s="22">
        <f t="shared" si="12"/>
        <v>5883.39</v>
      </c>
      <c r="L54" s="22">
        <f t="shared" ref="L54" si="63">+D52+D53+D54</f>
        <v>140.34</v>
      </c>
      <c r="M54" s="22">
        <f t="shared" ref="M54" si="64">+E52+E53+E54</f>
        <v>345.26</v>
      </c>
      <c r="N54" s="22">
        <f t="shared" ref="N54" si="65">+F52+F53+F54</f>
        <v>6368.99</v>
      </c>
      <c r="O54" s="93">
        <f t="shared" si="44"/>
        <v>0.89904771797316396</v>
      </c>
      <c r="P54" s="93">
        <f t="shared" si="40"/>
        <v>8.6510389037071107E-3</v>
      </c>
      <c r="Q54" s="93">
        <f t="shared" si="41"/>
        <v>9.2301243123128915E-2</v>
      </c>
      <c r="R54" s="105">
        <f t="shared" ref="R54:R63" si="66">+C54*(0%)</f>
        <v>0</v>
      </c>
      <c r="S54" s="16">
        <f t="shared" si="42"/>
        <v>20.988</v>
      </c>
      <c r="T54" s="16">
        <f t="shared" si="43"/>
        <v>62.202500000000001</v>
      </c>
      <c r="U54" s="99">
        <f t="shared" si="1"/>
        <v>83.1905</v>
      </c>
      <c r="V54" s="22"/>
      <c r="W54" s="16"/>
      <c r="X54" s="99">
        <f>+SUM(R52:R54)</f>
        <v>200.28900000000002</v>
      </c>
    </row>
    <row r="55" spans="1:24" x14ac:dyDescent="0.25">
      <c r="A55">
        <v>52</v>
      </c>
      <c r="B55" s="96">
        <v>41730</v>
      </c>
      <c r="C55" s="152">
        <v>450</v>
      </c>
      <c r="D55" s="127">
        <v>8.8800000000000008</v>
      </c>
      <c r="E55" s="127">
        <v>0</v>
      </c>
      <c r="F55" s="121">
        <f t="shared" si="36"/>
        <v>458.88</v>
      </c>
      <c r="G55" s="22"/>
      <c r="H55" s="22"/>
      <c r="I55" s="22"/>
      <c r="J55" s="22"/>
      <c r="K55" s="22"/>
      <c r="L55" s="22"/>
      <c r="M55" s="22"/>
      <c r="N55" s="22"/>
      <c r="O55" s="93">
        <f t="shared" si="44"/>
        <v>0.98064853556485354</v>
      </c>
      <c r="P55" s="93">
        <f t="shared" si="40"/>
        <v>1.9351464435146445E-2</v>
      </c>
      <c r="Q55" s="93">
        <f t="shared" si="41"/>
        <v>0</v>
      </c>
      <c r="R55" s="105">
        <f t="shared" si="66"/>
        <v>0</v>
      </c>
      <c r="S55" s="16">
        <f t="shared" si="42"/>
        <v>7.9920000000000009</v>
      </c>
      <c r="T55" s="16">
        <f t="shared" si="43"/>
        <v>0</v>
      </c>
      <c r="U55" s="99">
        <f t="shared" si="1"/>
        <v>7.9920000000000009</v>
      </c>
      <c r="V55" s="22"/>
      <c r="W55" s="16"/>
      <c r="X55" s="16"/>
    </row>
    <row r="56" spans="1:24" x14ac:dyDescent="0.25">
      <c r="A56">
        <v>53</v>
      </c>
      <c r="B56" s="96">
        <v>41760</v>
      </c>
      <c r="C56" s="152">
        <v>4002</v>
      </c>
      <c r="D56" s="127">
        <v>14.8</v>
      </c>
      <c r="E56" s="127">
        <v>5.14</v>
      </c>
      <c r="F56" s="121">
        <f t="shared" si="36"/>
        <v>4021.94</v>
      </c>
      <c r="G56" s="22"/>
      <c r="H56" s="22"/>
      <c r="I56" s="22"/>
      <c r="J56" s="22"/>
      <c r="K56" s="22"/>
      <c r="L56" s="22"/>
      <c r="M56" s="22"/>
      <c r="N56" s="22"/>
      <c r="O56" s="93">
        <f t="shared" si="44"/>
        <v>0.99504219356827794</v>
      </c>
      <c r="P56" s="93">
        <f t="shared" si="40"/>
        <v>3.6798162080985794E-3</v>
      </c>
      <c r="Q56" s="93">
        <f t="shared" si="41"/>
        <v>1.2779902236234254E-3</v>
      </c>
      <c r="R56" s="105">
        <f t="shared" si="66"/>
        <v>0</v>
      </c>
      <c r="S56" s="16">
        <f t="shared" si="42"/>
        <v>13.32</v>
      </c>
      <c r="T56" s="16">
        <f t="shared" si="43"/>
        <v>1.2849999999999999</v>
      </c>
      <c r="U56" s="99">
        <f t="shared" si="1"/>
        <v>14.605</v>
      </c>
      <c r="V56" s="22"/>
      <c r="W56" s="16"/>
      <c r="X56" s="16"/>
    </row>
    <row r="57" spans="1:24" x14ac:dyDescent="0.25">
      <c r="A57">
        <v>54</v>
      </c>
      <c r="B57" s="96">
        <v>41791</v>
      </c>
      <c r="C57" s="152">
        <v>2400</v>
      </c>
      <c r="D57" s="127">
        <v>29.26</v>
      </c>
      <c r="E57" s="127">
        <v>0</v>
      </c>
      <c r="F57" s="121">
        <f t="shared" si="36"/>
        <v>2429.2600000000002</v>
      </c>
      <c r="G57" s="22"/>
      <c r="H57" s="22"/>
      <c r="I57" s="22"/>
      <c r="J57" s="22"/>
      <c r="K57" s="22">
        <f t="shared" si="12"/>
        <v>6852</v>
      </c>
      <c r="L57" s="22">
        <f t="shared" ref="L57" si="67">+D55+D56+D57</f>
        <v>52.94</v>
      </c>
      <c r="M57" s="22">
        <f t="shared" ref="M57" si="68">+E55+E56+E57</f>
        <v>5.14</v>
      </c>
      <c r="N57" s="22">
        <f t="shared" ref="N57" si="69">+F55+F56+F57</f>
        <v>6910.08</v>
      </c>
      <c r="O57" s="93">
        <f t="shared" si="44"/>
        <v>0.98795517976667779</v>
      </c>
      <c r="P57" s="93">
        <f t="shared" si="40"/>
        <v>1.2044820233322082E-2</v>
      </c>
      <c r="Q57" s="93">
        <f t="shared" si="41"/>
        <v>0</v>
      </c>
      <c r="R57" s="105">
        <f t="shared" si="66"/>
        <v>0</v>
      </c>
      <c r="S57" s="16">
        <f t="shared" si="42"/>
        <v>26.334000000000003</v>
      </c>
      <c r="T57" s="16">
        <f t="shared" si="43"/>
        <v>0</v>
      </c>
      <c r="U57" s="99">
        <f t="shared" si="1"/>
        <v>26.334000000000003</v>
      </c>
      <c r="V57" s="22"/>
      <c r="W57" s="99">
        <f>+SUM(R52:R57)</f>
        <v>200.28900000000002</v>
      </c>
      <c r="X57" s="99">
        <f>+SUM(R55:R57)</f>
        <v>0</v>
      </c>
    </row>
    <row r="58" spans="1:24" x14ac:dyDescent="0.25">
      <c r="A58">
        <v>55</v>
      </c>
      <c r="B58" s="96">
        <v>41821</v>
      </c>
      <c r="C58" s="152">
        <v>1250.5999999999999</v>
      </c>
      <c r="D58" s="127">
        <v>77.48</v>
      </c>
      <c r="E58" s="127">
        <v>0</v>
      </c>
      <c r="F58" s="121">
        <f t="shared" si="36"/>
        <v>1328.08</v>
      </c>
      <c r="G58" s="22"/>
      <c r="H58" s="22"/>
      <c r="I58" s="22"/>
      <c r="J58" s="22"/>
      <c r="K58" s="22"/>
      <c r="L58" s="22"/>
      <c r="M58" s="22"/>
      <c r="N58" s="22"/>
      <c r="O58" s="93">
        <f t="shared" si="44"/>
        <v>0.9416601409553641</v>
      </c>
      <c r="P58" s="93">
        <f t="shared" si="40"/>
        <v>5.8339859044635872E-2</v>
      </c>
      <c r="Q58" s="93">
        <f t="shared" si="41"/>
        <v>0</v>
      </c>
      <c r="R58" s="105">
        <f t="shared" si="66"/>
        <v>0</v>
      </c>
      <c r="S58" s="16">
        <f t="shared" si="42"/>
        <v>69.731999999999999</v>
      </c>
      <c r="T58" s="16">
        <f t="shared" si="43"/>
        <v>0</v>
      </c>
      <c r="U58" s="99">
        <f t="shared" si="1"/>
        <v>69.731999999999999</v>
      </c>
      <c r="V58" s="22"/>
      <c r="W58" s="16"/>
      <c r="X58" s="16"/>
    </row>
    <row r="59" spans="1:24" x14ac:dyDescent="0.25">
      <c r="A59">
        <v>56</v>
      </c>
      <c r="B59" s="96">
        <v>41852</v>
      </c>
      <c r="C59" s="152">
        <v>3332.23</v>
      </c>
      <c r="D59" s="128">
        <v>38.340000000000003</v>
      </c>
      <c r="E59" s="128">
        <v>0</v>
      </c>
      <c r="F59" s="121">
        <f t="shared" si="36"/>
        <v>3370.57</v>
      </c>
      <c r="G59" s="22"/>
      <c r="H59" s="22"/>
      <c r="I59" s="22"/>
      <c r="J59" s="22"/>
      <c r="K59" s="22"/>
      <c r="L59" s="22"/>
      <c r="M59" s="22"/>
      <c r="N59" s="22"/>
      <c r="O59" s="93">
        <f t="shared" si="44"/>
        <v>0.98862506935028793</v>
      </c>
      <c r="P59" s="93">
        <f t="shared" si="40"/>
        <v>1.1374930649712067E-2</v>
      </c>
      <c r="Q59" s="93">
        <f t="shared" si="41"/>
        <v>0</v>
      </c>
      <c r="R59" s="105">
        <f t="shared" si="66"/>
        <v>0</v>
      </c>
      <c r="S59" s="16">
        <f t="shared" si="42"/>
        <v>34.506000000000007</v>
      </c>
      <c r="T59" s="16">
        <f t="shared" si="43"/>
        <v>0</v>
      </c>
      <c r="U59" s="99">
        <f t="shared" si="1"/>
        <v>34.506000000000007</v>
      </c>
      <c r="V59" s="22"/>
      <c r="W59" s="16"/>
      <c r="X59" s="16"/>
    </row>
    <row r="60" spans="1:24" x14ac:dyDescent="0.25">
      <c r="A60">
        <v>57</v>
      </c>
      <c r="B60" s="96">
        <v>41883</v>
      </c>
      <c r="C60" s="152">
        <v>3250.9</v>
      </c>
      <c r="D60" s="127">
        <v>64.680000000000007</v>
      </c>
      <c r="E60" s="127">
        <v>81.92</v>
      </c>
      <c r="F60" s="121">
        <f t="shared" si="36"/>
        <v>3397.5</v>
      </c>
      <c r="G60" s="22"/>
      <c r="H60" s="22"/>
      <c r="I60" s="22"/>
      <c r="J60" s="22"/>
      <c r="K60" s="22">
        <f t="shared" si="12"/>
        <v>7833.73</v>
      </c>
      <c r="L60" s="22">
        <f t="shared" ref="L60" si="70">+D58+D59+D60</f>
        <v>180.5</v>
      </c>
      <c r="M60" s="22">
        <f t="shared" ref="M60" si="71">+E58+E59+E60</f>
        <v>81.92</v>
      </c>
      <c r="N60" s="22">
        <f t="shared" ref="N60" si="72">+F58+F59+F60</f>
        <v>8096.15</v>
      </c>
      <c r="O60" s="93">
        <f t="shared" si="44"/>
        <v>0.95685062545989696</v>
      </c>
      <c r="P60" s="93">
        <f t="shared" si="40"/>
        <v>1.9037527593818986E-2</v>
      </c>
      <c r="Q60" s="93">
        <f t="shared" si="41"/>
        <v>2.4111846946284033E-2</v>
      </c>
      <c r="R60" s="105">
        <f t="shared" si="66"/>
        <v>0</v>
      </c>
      <c r="S60" s="16">
        <f t="shared" si="42"/>
        <v>58.21200000000001</v>
      </c>
      <c r="T60" s="16">
        <f t="shared" si="43"/>
        <v>20.48</v>
      </c>
      <c r="U60" s="99">
        <f t="shared" si="1"/>
        <v>78.692000000000007</v>
      </c>
      <c r="V60" s="22"/>
      <c r="W60" s="16"/>
      <c r="X60" s="99">
        <f>+SUM(R58:R60)</f>
        <v>0</v>
      </c>
    </row>
    <row r="61" spans="1:24" x14ac:dyDescent="0.25">
      <c r="A61">
        <v>58</v>
      </c>
      <c r="B61" s="96">
        <v>41913</v>
      </c>
      <c r="C61" s="152">
        <v>3960.2</v>
      </c>
      <c r="D61" s="127">
        <v>20.86</v>
      </c>
      <c r="E61" s="127">
        <v>123.12</v>
      </c>
      <c r="F61" s="121">
        <f t="shared" si="36"/>
        <v>4104.18</v>
      </c>
      <c r="G61" s="22"/>
      <c r="H61" s="22"/>
      <c r="I61" s="22"/>
      <c r="J61" s="22"/>
      <c r="K61" s="22"/>
      <c r="L61" s="22"/>
      <c r="M61" s="22"/>
      <c r="N61" s="22"/>
      <c r="O61" s="93">
        <f t="shared" si="44"/>
        <v>0.96491869264993235</v>
      </c>
      <c r="P61" s="93">
        <f t="shared" si="40"/>
        <v>5.0826230818336419E-3</v>
      </c>
      <c r="Q61" s="93">
        <f t="shared" si="41"/>
        <v>2.9998684268233849E-2</v>
      </c>
      <c r="R61" s="105">
        <f t="shared" si="66"/>
        <v>0</v>
      </c>
      <c r="S61" s="16">
        <f t="shared" si="42"/>
        <v>18.774000000000001</v>
      </c>
      <c r="T61" s="16">
        <f t="shared" si="43"/>
        <v>30.78</v>
      </c>
      <c r="U61" s="99">
        <f t="shared" si="1"/>
        <v>49.554000000000002</v>
      </c>
      <c r="V61" s="22"/>
      <c r="W61" s="16"/>
      <c r="X61" s="16"/>
    </row>
    <row r="62" spans="1:24" x14ac:dyDescent="0.25">
      <c r="A62">
        <v>59</v>
      </c>
      <c r="B62" s="96">
        <v>41944</v>
      </c>
      <c r="C62" s="152">
        <v>3005.69</v>
      </c>
      <c r="D62" s="127">
        <v>17.88</v>
      </c>
      <c r="E62" s="127">
        <v>0</v>
      </c>
      <c r="F62" s="121">
        <f t="shared" si="36"/>
        <v>3023.57</v>
      </c>
      <c r="G62" s="22"/>
      <c r="H62" s="22"/>
      <c r="I62" s="22"/>
      <c r="J62" s="22"/>
      <c r="K62" s="22"/>
      <c r="L62" s="22"/>
      <c r="M62" s="22"/>
      <c r="N62" s="22"/>
      <c r="O62" s="93">
        <f t="shared" si="44"/>
        <v>0.99408646070704498</v>
      </c>
      <c r="P62" s="93">
        <f t="shared" si="40"/>
        <v>5.9135392929550159E-3</v>
      </c>
      <c r="Q62" s="93">
        <f t="shared" si="41"/>
        <v>0</v>
      </c>
      <c r="R62" s="105">
        <f t="shared" si="66"/>
        <v>0</v>
      </c>
      <c r="S62" s="16">
        <f t="shared" si="42"/>
        <v>16.091999999999999</v>
      </c>
      <c r="T62" s="16">
        <f t="shared" si="43"/>
        <v>0</v>
      </c>
      <c r="U62" s="99">
        <f t="shared" si="1"/>
        <v>16.091999999999999</v>
      </c>
      <c r="V62" s="22"/>
      <c r="W62" s="16"/>
      <c r="X62" s="16"/>
    </row>
    <row r="63" spans="1:24" x14ac:dyDescent="0.25">
      <c r="A63">
        <v>60</v>
      </c>
      <c r="B63" s="96">
        <v>41974</v>
      </c>
      <c r="C63" s="152">
        <v>4501.3599999999997</v>
      </c>
      <c r="D63" s="128">
        <v>0</v>
      </c>
      <c r="E63" s="128">
        <v>0</v>
      </c>
      <c r="F63" s="121">
        <f t="shared" si="36"/>
        <v>4501.3599999999997</v>
      </c>
      <c r="G63" s="22">
        <f>+SUM(C52:C63)</f>
        <v>32036.370000000003</v>
      </c>
      <c r="H63" s="22">
        <f>+SUM(D52:D63)</f>
        <v>412.52000000000004</v>
      </c>
      <c r="I63" s="22">
        <f>+SUM(E52:E63)</f>
        <v>555.44000000000005</v>
      </c>
      <c r="J63" s="22">
        <f t="shared" ref="J63" si="73">+SUM(F52:F63)</f>
        <v>33004.33</v>
      </c>
      <c r="K63" s="22">
        <f t="shared" si="12"/>
        <v>11467.25</v>
      </c>
      <c r="L63" s="22">
        <f t="shared" ref="L63" si="74">+D61+D62+D63</f>
        <v>38.739999999999995</v>
      </c>
      <c r="M63" s="22">
        <f t="shared" ref="M63" si="75">+E61+E62+E63</f>
        <v>123.12</v>
      </c>
      <c r="N63" s="22">
        <f t="shared" ref="N63" si="76">+F61+F62+F63</f>
        <v>11629.11</v>
      </c>
      <c r="O63" s="93">
        <f t="shared" si="44"/>
        <v>1</v>
      </c>
      <c r="P63" s="93">
        <f t="shared" si="40"/>
        <v>0</v>
      </c>
      <c r="Q63" s="93">
        <f t="shared" si="41"/>
        <v>0</v>
      </c>
      <c r="R63" s="105">
        <f t="shared" si="66"/>
        <v>0</v>
      </c>
      <c r="S63" s="16">
        <f t="shared" si="42"/>
        <v>0</v>
      </c>
      <c r="T63" s="16">
        <f t="shared" si="43"/>
        <v>0</v>
      </c>
      <c r="U63" s="99">
        <f t="shared" si="1"/>
        <v>0</v>
      </c>
      <c r="V63" s="22">
        <f>+SUM(R52:R63)</f>
        <v>200.28900000000002</v>
      </c>
      <c r="W63" s="99">
        <f>+SUM(R58:R63)</f>
        <v>0</v>
      </c>
      <c r="X63" s="99">
        <f>+SUM(R61:R63)</f>
        <v>0</v>
      </c>
    </row>
    <row r="64" spans="1:24" x14ac:dyDescent="0.25">
      <c r="A64">
        <v>61</v>
      </c>
      <c r="B64" s="96">
        <v>42005</v>
      </c>
      <c r="C64" s="127">
        <v>2081.4499999999998</v>
      </c>
      <c r="D64" s="127">
        <v>15.82</v>
      </c>
      <c r="E64" s="127">
        <v>57.48</v>
      </c>
      <c r="F64" s="121">
        <f t="shared" si="36"/>
        <v>2154.75</v>
      </c>
      <c r="G64" s="22"/>
      <c r="H64" s="22"/>
      <c r="I64" s="22"/>
      <c r="J64" s="22"/>
      <c r="K64" s="22"/>
      <c r="L64" s="22"/>
      <c r="M64" s="22"/>
      <c r="N64" s="22"/>
      <c r="O64" s="93">
        <f t="shared" si="44"/>
        <v>0.96598213249796949</v>
      </c>
      <c r="P64" s="93">
        <f t="shared" si="40"/>
        <v>7.3419190161271609E-3</v>
      </c>
      <c r="Q64" s="93">
        <f t="shared" si="41"/>
        <v>2.6675948485903236E-2</v>
      </c>
      <c r="R64" s="102">
        <f t="shared" ref="R64:R69" si="77">+C64*(10%)</f>
        <v>208.14499999999998</v>
      </c>
      <c r="S64" s="16">
        <f t="shared" si="42"/>
        <v>14.238000000000001</v>
      </c>
      <c r="T64" s="16">
        <f t="shared" si="43"/>
        <v>14.37</v>
      </c>
      <c r="U64" s="99">
        <f t="shared" si="1"/>
        <v>236.75299999999999</v>
      </c>
      <c r="V64" s="22"/>
      <c r="W64" s="16"/>
      <c r="X64" s="16"/>
    </row>
    <row r="65" spans="1:24" x14ac:dyDescent="0.25">
      <c r="A65">
        <v>62</v>
      </c>
      <c r="B65" s="96">
        <v>42036</v>
      </c>
      <c r="C65" s="127">
        <v>2791.73</v>
      </c>
      <c r="D65" s="127">
        <v>47.96</v>
      </c>
      <c r="E65" s="127">
        <v>0</v>
      </c>
      <c r="F65" s="121">
        <f t="shared" si="36"/>
        <v>2839.69</v>
      </c>
      <c r="G65" s="22"/>
      <c r="H65" s="22"/>
      <c r="I65" s="22"/>
      <c r="J65" s="22"/>
      <c r="K65" s="22"/>
      <c r="L65" s="22"/>
      <c r="M65" s="22"/>
      <c r="N65" s="22"/>
      <c r="O65" s="93">
        <f t="shared" si="44"/>
        <v>0.98311083252045117</v>
      </c>
      <c r="P65" s="93">
        <f t="shared" si="40"/>
        <v>1.6889167479548824E-2</v>
      </c>
      <c r="Q65" s="93">
        <f t="shared" si="41"/>
        <v>0</v>
      </c>
      <c r="R65" s="102">
        <f t="shared" si="77"/>
        <v>279.173</v>
      </c>
      <c r="S65" s="16">
        <f t="shared" si="42"/>
        <v>43.164000000000001</v>
      </c>
      <c r="T65" s="16">
        <f t="shared" si="43"/>
        <v>0</v>
      </c>
      <c r="U65" s="99">
        <f t="shared" si="1"/>
        <v>322.33699999999999</v>
      </c>
      <c r="V65" s="22"/>
      <c r="W65" s="16"/>
      <c r="X65" s="16"/>
    </row>
    <row r="66" spans="1:24" x14ac:dyDescent="0.25">
      <c r="A66">
        <v>63</v>
      </c>
      <c r="B66" s="96">
        <v>42064</v>
      </c>
      <c r="C66" s="127">
        <v>5392.23</v>
      </c>
      <c r="D66" s="127">
        <v>112.22</v>
      </c>
      <c r="E66" s="127">
        <v>28.75</v>
      </c>
      <c r="F66" s="121">
        <f t="shared" si="36"/>
        <v>5533.2</v>
      </c>
      <c r="G66" s="22"/>
      <c r="H66" s="22"/>
      <c r="I66" s="22"/>
      <c r="J66" s="22"/>
      <c r="K66" s="22">
        <f t="shared" si="12"/>
        <v>10265.41</v>
      </c>
      <c r="L66" s="22">
        <f t="shared" ref="L66" si="78">+D64+D65+D66</f>
        <v>176</v>
      </c>
      <c r="M66" s="22">
        <f t="shared" ref="M66" si="79">+E64+E65+E66</f>
        <v>86.22999999999999</v>
      </c>
      <c r="N66" s="22">
        <f t="shared" ref="N66" si="80">+F64+F65+F66</f>
        <v>10527.64</v>
      </c>
      <c r="O66" s="93">
        <f t="shared" si="44"/>
        <v>0.97452288006939924</v>
      </c>
      <c r="P66" s="93">
        <f t="shared" si="40"/>
        <v>2.0281211595460133E-2</v>
      </c>
      <c r="Q66" s="93">
        <f t="shared" si="41"/>
        <v>5.1959083351406062E-3</v>
      </c>
      <c r="R66" s="102">
        <f t="shared" si="77"/>
        <v>539.22299999999996</v>
      </c>
      <c r="S66" s="16">
        <f t="shared" si="42"/>
        <v>100.998</v>
      </c>
      <c r="T66" s="16">
        <f t="shared" si="43"/>
        <v>7.1875</v>
      </c>
      <c r="U66" s="99">
        <f t="shared" si="1"/>
        <v>647.4085</v>
      </c>
      <c r="V66" s="22"/>
      <c r="W66" s="16"/>
      <c r="X66" s="99">
        <f>+SUM(R64:R66)</f>
        <v>1026.5409999999999</v>
      </c>
    </row>
    <row r="67" spans="1:24" x14ac:dyDescent="0.25">
      <c r="A67">
        <v>64</v>
      </c>
      <c r="B67" s="96">
        <v>42095</v>
      </c>
      <c r="C67" s="127">
        <v>4557.95</v>
      </c>
      <c r="D67" s="127">
        <v>7.36</v>
      </c>
      <c r="E67" s="127">
        <v>0</v>
      </c>
      <c r="F67" s="121">
        <f t="shared" si="36"/>
        <v>4565.3099999999995</v>
      </c>
      <c r="G67" s="22"/>
      <c r="H67" s="22"/>
      <c r="I67" s="22"/>
      <c r="J67" s="22"/>
      <c r="K67" s="22"/>
      <c r="L67" s="22"/>
      <c r="M67" s="22"/>
      <c r="N67" s="22"/>
      <c r="O67" s="93">
        <f t="shared" si="44"/>
        <v>0.99838784222758159</v>
      </c>
      <c r="P67" s="93">
        <f t="shared" si="40"/>
        <v>1.6121577724185216E-3</v>
      </c>
      <c r="Q67" s="93">
        <f t="shared" si="41"/>
        <v>0</v>
      </c>
      <c r="R67" s="102">
        <f t="shared" si="77"/>
        <v>455.79500000000002</v>
      </c>
      <c r="S67" s="16">
        <f t="shared" si="42"/>
        <v>6.6240000000000006</v>
      </c>
      <c r="T67" s="16">
        <f t="shared" si="43"/>
        <v>0</v>
      </c>
      <c r="U67" s="99">
        <f t="shared" si="1"/>
        <v>462.41900000000004</v>
      </c>
      <c r="V67" s="22"/>
      <c r="W67" s="16"/>
      <c r="X67" s="16"/>
    </row>
    <row r="68" spans="1:24" x14ac:dyDescent="0.25">
      <c r="A68">
        <v>65</v>
      </c>
      <c r="B68" s="96">
        <v>42125</v>
      </c>
      <c r="C68" s="127">
        <v>4299.97</v>
      </c>
      <c r="D68" s="127">
        <v>19.62</v>
      </c>
      <c r="E68" s="127">
        <v>0</v>
      </c>
      <c r="F68" s="121">
        <f t="shared" ref="F68:F88" si="81">+C68+D68+E68</f>
        <v>4319.59</v>
      </c>
      <c r="G68" s="22"/>
      <c r="H68" s="22"/>
      <c r="I68" s="22"/>
      <c r="J68" s="22"/>
      <c r="K68" s="22"/>
      <c r="L68" s="22"/>
      <c r="M68" s="22"/>
      <c r="N68" s="22"/>
      <c r="O68" s="93">
        <f t="shared" si="44"/>
        <v>0.99545790225461217</v>
      </c>
      <c r="P68" s="93">
        <f t="shared" ref="P68:P86" si="82">+D68/F68</f>
        <v>4.5420977453878722E-3</v>
      </c>
      <c r="Q68" s="93">
        <f t="shared" ref="Q68:Q86" si="83">+E68/F68</f>
        <v>0</v>
      </c>
      <c r="R68" s="102">
        <f t="shared" si="77"/>
        <v>429.99700000000007</v>
      </c>
      <c r="S68" s="16">
        <f t="shared" ref="S68:S86" si="84">+D68*(90%)</f>
        <v>17.658000000000001</v>
      </c>
      <c r="T68" s="16">
        <f t="shared" ref="T68:T86" si="85">+E68*(25%)</f>
        <v>0</v>
      </c>
      <c r="U68" s="99">
        <f t="shared" si="1"/>
        <v>447.65500000000009</v>
      </c>
      <c r="V68" s="22"/>
      <c r="W68" s="16"/>
      <c r="X68" s="16"/>
    </row>
    <row r="69" spans="1:24" x14ac:dyDescent="0.25">
      <c r="A69">
        <v>66</v>
      </c>
      <c r="B69" s="96">
        <v>42156</v>
      </c>
      <c r="C69" s="127">
        <v>4079.11</v>
      </c>
      <c r="D69" s="127">
        <v>13.42</v>
      </c>
      <c r="E69" s="127">
        <v>5.78</v>
      </c>
      <c r="F69" s="121">
        <f t="shared" si="81"/>
        <v>4098.3100000000004</v>
      </c>
      <c r="G69" s="22"/>
      <c r="H69" s="22"/>
      <c r="I69" s="22"/>
      <c r="J69" s="22"/>
      <c r="K69" s="22">
        <f t="shared" si="12"/>
        <v>12937.03</v>
      </c>
      <c r="L69" s="22">
        <f t="shared" ref="L69" si="86">+D67+D68+D69</f>
        <v>40.4</v>
      </c>
      <c r="M69" s="22">
        <f t="shared" ref="M69" si="87">+E67+E68+E69</f>
        <v>5.78</v>
      </c>
      <c r="N69" s="22">
        <f t="shared" ref="N69" si="88">+F67+F68+F69</f>
        <v>12983.21</v>
      </c>
      <c r="O69" s="93">
        <f t="shared" ref="O69:O86" si="89">+C69/F69</f>
        <v>0.99531514209515626</v>
      </c>
      <c r="P69" s="93">
        <f t="shared" si="82"/>
        <v>3.2745204730730468E-3</v>
      </c>
      <c r="Q69" s="93">
        <f t="shared" si="83"/>
        <v>1.4103374317706566E-3</v>
      </c>
      <c r="R69" s="102">
        <f t="shared" si="77"/>
        <v>407.91100000000006</v>
      </c>
      <c r="S69" s="16">
        <f t="shared" si="84"/>
        <v>12.077999999999999</v>
      </c>
      <c r="T69" s="16">
        <f t="shared" si="85"/>
        <v>1.4450000000000001</v>
      </c>
      <c r="U69" s="99">
        <f t="shared" ref="U69:U96" si="90">SUM(R69:T69)</f>
        <v>421.43400000000003</v>
      </c>
      <c r="V69" s="22"/>
      <c r="W69" s="99">
        <f>+SUM(R64:R69)</f>
        <v>2320.2440000000001</v>
      </c>
      <c r="X69" s="99">
        <f>+SUM(R67:R69)</f>
        <v>1293.7030000000002</v>
      </c>
    </row>
    <row r="70" spans="1:24" x14ac:dyDescent="0.25">
      <c r="A70">
        <v>67</v>
      </c>
      <c r="B70" s="96">
        <v>42186</v>
      </c>
      <c r="C70" s="127">
        <v>10018.6</v>
      </c>
      <c r="D70" s="127">
        <v>8.5399999999999991</v>
      </c>
      <c r="E70" s="127">
        <v>60.08</v>
      </c>
      <c r="F70" s="121">
        <f t="shared" si="81"/>
        <v>10087.220000000001</v>
      </c>
      <c r="G70" s="22"/>
      <c r="H70" s="22"/>
      <c r="I70" s="22"/>
      <c r="J70" s="22"/>
      <c r="K70" s="22"/>
      <c r="L70" s="22"/>
      <c r="M70" s="22"/>
      <c r="N70" s="22"/>
      <c r="O70" s="93">
        <f t="shared" si="89"/>
        <v>0.99319733286277079</v>
      </c>
      <c r="P70" s="93">
        <f t="shared" si="82"/>
        <v>8.4661581684547364E-4</v>
      </c>
      <c r="Q70" s="93">
        <f t="shared" si="83"/>
        <v>5.9560513203836133E-3</v>
      </c>
      <c r="R70" s="102">
        <f>+C70*(5%)</f>
        <v>500.93000000000006</v>
      </c>
      <c r="S70" s="16">
        <f t="shared" si="84"/>
        <v>7.6859999999999991</v>
      </c>
      <c r="T70" s="16">
        <f t="shared" si="85"/>
        <v>15.02</v>
      </c>
      <c r="U70" s="99">
        <f t="shared" si="90"/>
        <v>523.63600000000008</v>
      </c>
      <c r="V70" s="22"/>
      <c r="W70" s="16"/>
      <c r="X70" s="16"/>
    </row>
    <row r="71" spans="1:24" x14ac:dyDescent="0.25">
      <c r="A71">
        <v>68</v>
      </c>
      <c r="B71" s="96">
        <v>42217</v>
      </c>
      <c r="C71" s="128">
        <v>5570.9</v>
      </c>
      <c r="D71" s="128">
        <v>8.4</v>
      </c>
      <c r="E71" s="128">
        <v>0</v>
      </c>
      <c r="F71" s="121">
        <f t="shared" si="81"/>
        <v>5579.2999999999993</v>
      </c>
      <c r="G71" s="22"/>
      <c r="H71" s="22"/>
      <c r="I71" s="22"/>
      <c r="J71" s="22"/>
      <c r="K71" s="22"/>
      <c r="L71" s="22"/>
      <c r="M71" s="22"/>
      <c r="N71" s="22"/>
      <c r="O71" s="93">
        <f t="shared" si="89"/>
        <v>0.99849443478572586</v>
      </c>
      <c r="P71" s="93">
        <f t="shared" si="82"/>
        <v>1.5055652142741923E-3</v>
      </c>
      <c r="Q71" s="93">
        <f t="shared" si="83"/>
        <v>0</v>
      </c>
      <c r="R71" s="102">
        <f t="shared" ref="R71:R86" si="91">+C71*(10%)</f>
        <v>557.09</v>
      </c>
      <c r="S71" s="16">
        <f t="shared" si="84"/>
        <v>7.5600000000000005</v>
      </c>
      <c r="T71" s="16">
        <f t="shared" si="85"/>
        <v>0</v>
      </c>
      <c r="U71" s="99">
        <f t="shared" si="90"/>
        <v>564.65</v>
      </c>
      <c r="V71" s="22"/>
      <c r="W71" s="16"/>
      <c r="X71" s="16"/>
    </row>
    <row r="72" spans="1:24" x14ac:dyDescent="0.25">
      <c r="A72">
        <v>69</v>
      </c>
      <c r="B72" s="96">
        <v>42248</v>
      </c>
      <c r="C72" s="127">
        <v>5157.7</v>
      </c>
      <c r="D72" s="127">
        <v>73.760000000000005</v>
      </c>
      <c r="E72" s="127">
        <v>69.08</v>
      </c>
      <c r="F72" s="121">
        <f t="shared" si="81"/>
        <v>5300.54</v>
      </c>
      <c r="G72" s="22"/>
      <c r="H72" s="22"/>
      <c r="I72" s="22"/>
      <c r="J72" s="22"/>
      <c r="K72" s="22">
        <f t="shared" ref="K72:K84" si="92">+C70+C71+C72</f>
        <v>20747.2</v>
      </c>
      <c r="L72" s="22">
        <f t="shared" ref="L72" si="93">+D70+D71+D72</f>
        <v>90.7</v>
      </c>
      <c r="M72" s="22">
        <f t="shared" ref="M72" si="94">+E70+E71+E72</f>
        <v>129.16</v>
      </c>
      <c r="N72" s="22">
        <f t="shared" ref="N72" si="95">+F70+F71+F72</f>
        <v>20967.060000000001</v>
      </c>
      <c r="O72" s="93">
        <f t="shared" si="89"/>
        <v>0.97305180226920274</v>
      </c>
      <c r="P72" s="93">
        <f t="shared" si="82"/>
        <v>1.3915563319963627E-2</v>
      </c>
      <c r="Q72" s="93">
        <f t="shared" si="83"/>
        <v>1.3032634410833613E-2</v>
      </c>
      <c r="R72" s="102">
        <f t="shared" si="91"/>
        <v>515.77</v>
      </c>
      <c r="S72" s="16">
        <f t="shared" si="84"/>
        <v>66.384</v>
      </c>
      <c r="T72" s="16">
        <f t="shared" si="85"/>
        <v>17.27</v>
      </c>
      <c r="U72" s="99">
        <f t="shared" si="90"/>
        <v>599.42399999999998</v>
      </c>
      <c r="V72" s="22"/>
      <c r="W72" s="16"/>
      <c r="X72" s="99">
        <f>+SUM(R70:R72)</f>
        <v>1573.79</v>
      </c>
    </row>
    <row r="73" spans="1:24" x14ac:dyDescent="0.25">
      <c r="A73">
        <v>70</v>
      </c>
      <c r="B73" s="96">
        <v>42278</v>
      </c>
      <c r="C73" s="127">
        <v>8171.8</v>
      </c>
      <c r="D73" s="127">
        <v>36.619999999999997</v>
      </c>
      <c r="E73" s="127">
        <v>4.8600000000000003</v>
      </c>
      <c r="F73" s="121">
        <f t="shared" si="81"/>
        <v>8213.2800000000007</v>
      </c>
      <c r="G73" s="22"/>
      <c r="H73" s="22"/>
      <c r="I73" s="22"/>
      <c r="J73" s="22"/>
      <c r="K73" s="22"/>
      <c r="L73" s="22"/>
      <c r="M73" s="22"/>
      <c r="N73" s="22"/>
      <c r="O73" s="93">
        <f t="shared" si="89"/>
        <v>0.99494964253014628</v>
      </c>
      <c r="P73" s="93">
        <f t="shared" si="82"/>
        <v>4.4586328482652477E-3</v>
      </c>
      <c r="Q73" s="93">
        <f t="shared" si="83"/>
        <v>5.9172462158845189E-4</v>
      </c>
      <c r="R73" s="102">
        <f t="shared" si="91"/>
        <v>817.18000000000006</v>
      </c>
      <c r="S73" s="16">
        <f t="shared" si="84"/>
        <v>32.957999999999998</v>
      </c>
      <c r="T73" s="16">
        <f t="shared" si="85"/>
        <v>1.2150000000000001</v>
      </c>
      <c r="U73" s="99">
        <f t="shared" si="90"/>
        <v>851.35300000000007</v>
      </c>
      <c r="V73" s="22"/>
      <c r="W73" s="16"/>
      <c r="X73" s="16"/>
    </row>
    <row r="74" spans="1:24" x14ac:dyDescent="0.25">
      <c r="A74">
        <v>71</v>
      </c>
      <c r="B74" s="96">
        <v>42309</v>
      </c>
      <c r="C74" s="127">
        <v>67.099999999999994</v>
      </c>
      <c r="D74" s="127">
        <v>5.0599999999999996</v>
      </c>
      <c r="E74" s="127">
        <v>0</v>
      </c>
      <c r="F74" s="121">
        <f t="shared" si="81"/>
        <v>72.16</v>
      </c>
      <c r="G74" s="22"/>
      <c r="H74" s="22"/>
      <c r="I74" s="22"/>
      <c r="J74" s="22"/>
      <c r="K74" s="22"/>
      <c r="L74" s="22"/>
      <c r="M74" s="22"/>
      <c r="N74" s="22"/>
      <c r="O74" s="93">
        <f t="shared" si="89"/>
        <v>0.92987804878048774</v>
      </c>
      <c r="P74" s="93">
        <f t="shared" si="82"/>
        <v>7.0121951219512188E-2</v>
      </c>
      <c r="Q74" s="93">
        <f t="shared" si="83"/>
        <v>0</v>
      </c>
      <c r="R74" s="102">
        <f t="shared" si="91"/>
        <v>6.71</v>
      </c>
      <c r="S74" s="16">
        <f t="shared" si="84"/>
        <v>4.5539999999999994</v>
      </c>
      <c r="T74" s="16">
        <f t="shared" si="85"/>
        <v>0</v>
      </c>
      <c r="U74" s="99">
        <f t="shared" si="90"/>
        <v>11.263999999999999</v>
      </c>
      <c r="V74" s="22"/>
      <c r="W74" s="16"/>
      <c r="X74" s="16"/>
    </row>
    <row r="75" spans="1:24" x14ac:dyDescent="0.25">
      <c r="A75">
        <v>72</v>
      </c>
      <c r="B75" s="96">
        <v>42339</v>
      </c>
      <c r="C75" s="128">
        <v>0</v>
      </c>
      <c r="D75" s="128">
        <v>0</v>
      </c>
      <c r="E75" s="128">
        <v>0</v>
      </c>
      <c r="F75" s="121">
        <f t="shared" si="81"/>
        <v>0</v>
      </c>
      <c r="G75" s="22">
        <f>+SUM(C64:C75)</f>
        <v>52188.54</v>
      </c>
      <c r="H75" s="22">
        <f>+SUM(D64:D75)</f>
        <v>348.78000000000003</v>
      </c>
      <c r="I75" s="22">
        <f>+SUM(E64:E75)</f>
        <v>226.02999999999997</v>
      </c>
      <c r="J75" s="22">
        <f>+SUM(F64:F75)</f>
        <v>52763.350000000013</v>
      </c>
      <c r="K75" s="22">
        <f t="shared" si="92"/>
        <v>8238.9</v>
      </c>
      <c r="L75" s="22">
        <f t="shared" ref="L75" si="96">+D73+D74+D75</f>
        <v>41.68</v>
      </c>
      <c r="M75" s="22">
        <f t="shared" ref="M75" si="97">+E73+E74+E75</f>
        <v>4.8600000000000003</v>
      </c>
      <c r="N75" s="22">
        <f t="shared" ref="N75" si="98">+F73+F74+F75</f>
        <v>8285.44</v>
      </c>
      <c r="O75" s="93" t="e">
        <f t="shared" si="89"/>
        <v>#DIV/0!</v>
      </c>
      <c r="P75" s="93" t="e">
        <f t="shared" si="82"/>
        <v>#DIV/0!</v>
      </c>
      <c r="Q75" s="93" t="e">
        <f t="shared" si="83"/>
        <v>#DIV/0!</v>
      </c>
      <c r="R75" s="102">
        <f t="shared" si="91"/>
        <v>0</v>
      </c>
      <c r="S75" s="16">
        <f t="shared" si="84"/>
        <v>0</v>
      </c>
      <c r="T75" s="16">
        <f t="shared" si="85"/>
        <v>0</v>
      </c>
      <c r="U75" s="99">
        <f t="shared" si="90"/>
        <v>0</v>
      </c>
      <c r="V75" s="22">
        <f>+SUM(R64:R75)</f>
        <v>4717.924</v>
      </c>
      <c r="W75" s="99">
        <f>+SUM(R70:R75)</f>
        <v>2397.6800000000003</v>
      </c>
      <c r="X75" s="99">
        <f>+SUM(R73:R75)</f>
        <v>823.8900000000001</v>
      </c>
    </row>
    <row r="76" spans="1:24" x14ac:dyDescent="0.25">
      <c r="A76">
        <v>73</v>
      </c>
      <c r="B76" s="96">
        <v>42370</v>
      </c>
      <c r="C76" s="129">
        <v>2240</v>
      </c>
      <c r="D76" s="127">
        <v>17.28</v>
      </c>
      <c r="E76" s="127">
        <v>11.65</v>
      </c>
      <c r="F76" s="121">
        <f t="shared" si="81"/>
        <v>2268.9300000000003</v>
      </c>
      <c r="G76" s="22"/>
      <c r="H76" s="22"/>
      <c r="I76" s="22"/>
      <c r="J76" s="22"/>
      <c r="K76" s="22"/>
      <c r="L76" s="22"/>
      <c r="M76" s="22"/>
      <c r="N76" s="22"/>
      <c r="O76" s="93">
        <f t="shared" si="89"/>
        <v>0.9872494964586831</v>
      </c>
      <c r="P76" s="93">
        <f t="shared" si="82"/>
        <v>7.6159246869669838E-3</v>
      </c>
      <c r="Q76" s="93">
        <f t="shared" si="83"/>
        <v>5.1345788543498468E-3</v>
      </c>
      <c r="R76" s="102">
        <f t="shared" si="91"/>
        <v>224</v>
      </c>
      <c r="S76" s="16">
        <f t="shared" si="84"/>
        <v>15.552000000000001</v>
      </c>
      <c r="T76" s="16">
        <f t="shared" si="85"/>
        <v>2.9125000000000001</v>
      </c>
      <c r="U76" s="99">
        <f t="shared" si="90"/>
        <v>242.46449999999999</v>
      </c>
      <c r="V76" s="22"/>
      <c r="W76" s="99"/>
      <c r="X76" s="99"/>
    </row>
    <row r="77" spans="1:24" x14ac:dyDescent="0.25">
      <c r="A77">
        <v>74</v>
      </c>
      <c r="B77" s="96">
        <v>42401</v>
      </c>
      <c r="C77" s="129">
        <v>0</v>
      </c>
      <c r="D77" s="127">
        <v>1.2</v>
      </c>
      <c r="E77" s="127">
        <v>0</v>
      </c>
      <c r="F77" s="121">
        <f t="shared" si="81"/>
        <v>1.2</v>
      </c>
      <c r="G77" s="22"/>
      <c r="H77" s="22"/>
      <c r="I77" s="22"/>
      <c r="J77" s="22"/>
      <c r="K77" s="22"/>
      <c r="L77" s="22"/>
      <c r="M77" s="22"/>
      <c r="N77" s="22"/>
      <c r="O77" s="93">
        <f t="shared" si="89"/>
        <v>0</v>
      </c>
      <c r="P77" s="93">
        <f t="shared" si="82"/>
        <v>1</v>
      </c>
      <c r="Q77" s="93">
        <f t="shared" si="83"/>
        <v>0</v>
      </c>
      <c r="R77" s="102">
        <f t="shared" si="91"/>
        <v>0</v>
      </c>
      <c r="S77" s="16">
        <f t="shared" si="84"/>
        <v>1.08</v>
      </c>
      <c r="T77" s="16">
        <f t="shared" si="85"/>
        <v>0</v>
      </c>
      <c r="U77" s="99">
        <f t="shared" si="90"/>
        <v>1.08</v>
      </c>
      <c r="V77" s="22"/>
      <c r="W77" s="99"/>
      <c r="X77" s="99"/>
    </row>
    <row r="78" spans="1:24" x14ac:dyDescent="0.25">
      <c r="A78">
        <v>75</v>
      </c>
      <c r="B78" s="96">
        <v>42430</v>
      </c>
      <c r="C78" s="129">
        <v>2433.1999999999998</v>
      </c>
      <c r="D78" s="127">
        <v>23.62</v>
      </c>
      <c r="E78" s="127">
        <v>41.22</v>
      </c>
      <c r="F78" s="121">
        <f t="shared" si="81"/>
        <v>2498.0399999999995</v>
      </c>
      <c r="G78" s="22"/>
      <c r="H78" s="22"/>
      <c r="I78" s="22"/>
      <c r="J78" s="22"/>
      <c r="K78" s="22">
        <f t="shared" si="92"/>
        <v>4673.2</v>
      </c>
      <c r="L78" s="22">
        <f t="shared" ref="L78" si="99">+D76+D77+D78</f>
        <v>42.1</v>
      </c>
      <c r="M78" s="22">
        <f t="shared" ref="M78" si="100">+E76+E77+E78</f>
        <v>52.87</v>
      </c>
      <c r="N78" s="22">
        <f t="shared" ref="N78" si="101">+F76+F77+F78</f>
        <v>4768.17</v>
      </c>
      <c r="O78" s="93">
        <f t="shared" si="89"/>
        <v>0.97404365022177397</v>
      </c>
      <c r="P78" s="93">
        <f t="shared" si="82"/>
        <v>9.455413043826362E-3</v>
      </c>
      <c r="Q78" s="93">
        <f t="shared" si="83"/>
        <v>1.6500936734399771E-2</v>
      </c>
      <c r="R78" s="102">
        <f t="shared" si="91"/>
        <v>243.32</v>
      </c>
      <c r="S78" s="16">
        <f t="shared" si="84"/>
        <v>21.258000000000003</v>
      </c>
      <c r="T78" s="16">
        <f t="shared" si="85"/>
        <v>10.305</v>
      </c>
      <c r="U78" s="99">
        <f t="shared" si="90"/>
        <v>274.88299999999998</v>
      </c>
      <c r="V78" s="22"/>
      <c r="W78" s="99"/>
      <c r="X78" s="99">
        <f>+SUM(R76:R78)</f>
        <v>467.32</v>
      </c>
    </row>
    <row r="79" spans="1:24" x14ac:dyDescent="0.25">
      <c r="A79">
        <v>76</v>
      </c>
      <c r="B79" s="96">
        <v>42461</v>
      </c>
      <c r="C79" s="129">
        <v>2354.8000000000002</v>
      </c>
      <c r="D79" s="127">
        <v>9.1</v>
      </c>
      <c r="E79" s="127">
        <v>0</v>
      </c>
      <c r="F79" s="121">
        <f t="shared" si="81"/>
        <v>2363.9</v>
      </c>
      <c r="G79" s="22"/>
      <c r="H79" s="22"/>
      <c r="I79" s="22"/>
      <c r="J79" s="22"/>
      <c r="K79" s="22"/>
      <c r="L79" s="22"/>
      <c r="M79" s="22"/>
      <c r="N79" s="22"/>
      <c r="O79" s="93">
        <f t="shared" si="89"/>
        <v>0.99615042937518516</v>
      </c>
      <c r="P79" s="93">
        <f t="shared" si="82"/>
        <v>3.8495706248149243E-3</v>
      </c>
      <c r="Q79" s="93">
        <f t="shared" si="83"/>
        <v>0</v>
      </c>
      <c r="R79" s="102">
        <f t="shared" si="91"/>
        <v>235.48000000000002</v>
      </c>
      <c r="S79" s="16">
        <f t="shared" si="84"/>
        <v>8.19</v>
      </c>
      <c r="T79" s="16">
        <f t="shared" si="85"/>
        <v>0</v>
      </c>
      <c r="U79" s="99">
        <f t="shared" si="90"/>
        <v>243.67000000000002</v>
      </c>
      <c r="V79" s="22"/>
      <c r="W79" s="99"/>
      <c r="X79" s="99"/>
    </row>
    <row r="80" spans="1:24" x14ac:dyDescent="0.25">
      <c r="A80">
        <v>77</v>
      </c>
      <c r="B80" s="96">
        <v>42491</v>
      </c>
      <c r="C80" s="129">
        <v>0</v>
      </c>
      <c r="D80" s="127">
        <v>10.24</v>
      </c>
      <c r="E80" s="127">
        <v>0</v>
      </c>
      <c r="F80" s="121">
        <f t="shared" si="81"/>
        <v>10.24</v>
      </c>
      <c r="G80" s="22"/>
      <c r="H80" s="22"/>
      <c r="I80" s="22"/>
      <c r="J80" s="22"/>
      <c r="K80" s="22"/>
      <c r="L80" s="22"/>
      <c r="M80" s="22"/>
      <c r="N80" s="22"/>
      <c r="O80" s="93">
        <f t="shared" si="89"/>
        <v>0</v>
      </c>
      <c r="P80" s="93">
        <f t="shared" si="82"/>
        <v>1</v>
      </c>
      <c r="Q80" s="93">
        <f t="shared" si="83"/>
        <v>0</v>
      </c>
      <c r="R80" s="102">
        <f t="shared" si="91"/>
        <v>0</v>
      </c>
      <c r="S80" s="16">
        <f t="shared" si="84"/>
        <v>9.2160000000000011</v>
      </c>
      <c r="T80" s="16">
        <f t="shared" si="85"/>
        <v>0</v>
      </c>
      <c r="U80" s="99">
        <f t="shared" si="90"/>
        <v>9.2160000000000011</v>
      </c>
      <c r="V80" s="22"/>
      <c r="W80" s="99"/>
      <c r="X80" s="99"/>
    </row>
    <row r="81" spans="1:24" x14ac:dyDescent="0.25">
      <c r="A81">
        <v>78</v>
      </c>
      <c r="B81" s="96">
        <v>42522</v>
      </c>
      <c r="C81" s="129">
        <v>2798.6</v>
      </c>
      <c r="D81" s="127">
        <v>18.739999999999998</v>
      </c>
      <c r="E81" s="127">
        <v>41.22</v>
      </c>
      <c r="F81" s="121">
        <f t="shared" si="81"/>
        <v>2858.5599999999995</v>
      </c>
      <c r="G81" s="22"/>
      <c r="H81" s="22"/>
      <c r="I81" s="22"/>
      <c r="J81" s="22"/>
      <c r="K81" s="22">
        <f t="shared" si="92"/>
        <v>5153.3999999999996</v>
      </c>
      <c r="L81" s="22">
        <f t="shared" ref="L81" si="102">+D79+D80+D81</f>
        <v>38.08</v>
      </c>
      <c r="M81" s="22">
        <f t="shared" ref="M81" si="103">+E79+E80+E81</f>
        <v>41.22</v>
      </c>
      <c r="N81" s="22">
        <f t="shared" ref="N81" si="104">+F79+F80+F81</f>
        <v>5232.6999999999989</v>
      </c>
      <c r="O81" s="93">
        <f t="shared" si="89"/>
        <v>0.97902440389566792</v>
      </c>
      <c r="P81" s="93">
        <f t="shared" si="82"/>
        <v>6.555748348818986E-3</v>
      </c>
      <c r="Q81" s="93">
        <f t="shared" si="83"/>
        <v>1.4419847755513268E-2</v>
      </c>
      <c r="R81" s="102">
        <f t="shared" si="91"/>
        <v>279.86</v>
      </c>
      <c r="S81" s="16">
        <f t="shared" si="84"/>
        <v>16.866</v>
      </c>
      <c r="T81" s="16">
        <f t="shared" si="85"/>
        <v>10.305</v>
      </c>
      <c r="U81" s="99">
        <f t="shared" si="90"/>
        <v>307.03100000000001</v>
      </c>
      <c r="V81" s="22"/>
      <c r="W81" s="99">
        <f>+SUM(R76:R81)</f>
        <v>982.66</v>
      </c>
      <c r="X81" s="99">
        <f>+SUM(R79:R81)</f>
        <v>515.34</v>
      </c>
    </row>
    <row r="82" spans="1:24" x14ac:dyDescent="0.25">
      <c r="A82">
        <v>78</v>
      </c>
      <c r="B82" s="96">
        <v>42552</v>
      </c>
      <c r="C82" s="127">
        <v>3660.95</v>
      </c>
      <c r="D82" s="122">
        <v>17.28</v>
      </c>
      <c r="E82" s="122">
        <v>376.42</v>
      </c>
      <c r="F82" s="121">
        <f t="shared" si="81"/>
        <v>4054.65</v>
      </c>
      <c r="G82" s="22"/>
      <c r="H82" s="22"/>
      <c r="I82" s="22"/>
      <c r="J82" s="22"/>
      <c r="K82" s="22"/>
      <c r="L82" s="118"/>
      <c r="M82" s="118"/>
      <c r="N82" s="118"/>
      <c r="O82" s="93">
        <f t="shared" si="89"/>
        <v>0.90290160679713405</v>
      </c>
      <c r="P82" s="93">
        <f t="shared" si="82"/>
        <v>4.2617735192926644E-3</v>
      </c>
      <c r="Q82" s="93">
        <f t="shared" si="83"/>
        <v>9.2836619683573179E-2</v>
      </c>
      <c r="R82" s="102">
        <f t="shared" si="91"/>
        <v>366.09500000000003</v>
      </c>
      <c r="S82" s="16">
        <f t="shared" si="84"/>
        <v>15.552000000000001</v>
      </c>
      <c r="T82" s="16">
        <f t="shared" si="85"/>
        <v>94.105000000000004</v>
      </c>
      <c r="U82" s="99">
        <f t="shared" ref="U82:U86" si="105">SUM(R82:T82)</f>
        <v>475.75200000000007</v>
      </c>
      <c r="V82" s="22"/>
      <c r="W82" s="99"/>
      <c r="X82" s="99"/>
    </row>
    <row r="83" spans="1:24" x14ac:dyDescent="0.25">
      <c r="A83">
        <v>78</v>
      </c>
      <c r="B83" s="96">
        <v>42583</v>
      </c>
      <c r="C83" s="128">
        <v>5117.01</v>
      </c>
      <c r="D83" s="122">
        <v>1.2</v>
      </c>
      <c r="E83" s="123">
        <v>36.36</v>
      </c>
      <c r="F83" s="121">
        <f t="shared" si="81"/>
        <v>5154.57</v>
      </c>
      <c r="G83" s="22"/>
      <c r="H83" s="22"/>
      <c r="I83" s="22"/>
      <c r="J83" s="22"/>
      <c r="K83" s="22"/>
      <c r="L83" s="118"/>
      <c r="M83" s="118"/>
      <c r="N83" s="118"/>
      <c r="O83" s="93">
        <f t="shared" si="89"/>
        <v>0.99271326221197898</v>
      </c>
      <c r="P83" s="93">
        <f t="shared" si="82"/>
        <v>2.32803124217927E-4</v>
      </c>
      <c r="Q83" s="93">
        <f t="shared" si="83"/>
        <v>7.0539346638031882E-3</v>
      </c>
      <c r="R83" s="102">
        <f t="shared" si="91"/>
        <v>511.70100000000002</v>
      </c>
      <c r="S83" s="16">
        <f t="shared" si="84"/>
        <v>1.08</v>
      </c>
      <c r="T83" s="16">
        <f t="shared" si="85"/>
        <v>9.09</v>
      </c>
      <c r="U83" s="99">
        <f t="shared" si="105"/>
        <v>521.87100000000009</v>
      </c>
      <c r="V83" s="22"/>
      <c r="W83" s="99"/>
      <c r="X83" s="99"/>
    </row>
    <row r="84" spans="1:24" x14ac:dyDescent="0.25">
      <c r="A84">
        <v>78</v>
      </c>
      <c r="B84" s="96">
        <v>42614</v>
      </c>
      <c r="C84" s="127">
        <v>2539.1999999999998</v>
      </c>
      <c r="D84" s="122">
        <v>23.62</v>
      </c>
      <c r="E84" s="122">
        <v>57.52</v>
      </c>
      <c r="F84" s="121">
        <f t="shared" si="81"/>
        <v>2620.3399999999997</v>
      </c>
      <c r="G84" s="22"/>
      <c r="H84" s="22"/>
      <c r="I84" s="22"/>
      <c r="J84" s="22"/>
      <c r="K84" s="22">
        <f t="shared" si="92"/>
        <v>11317.16</v>
      </c>
      <c r="L84" s="22">
        <f t="shared" ref="L84" si="106">+D82+D83+D84</f>
        <v>42.1</v>
      </c>
      <c r="M84" s="22">
        <f t="shared" ref="M84" si="107">+E82+E83+E84</f>
        <v>470.3</v>
      </c>
      <c r="N84" s="22">
        <f t="shared" ref="N84" si="108">+F82+F83+F84</f>
        <v>11829.56</v>
      </c>
      <c r="O84" s="93">
        <f t="shared" si="89"/>
        <v>0.96903455276796147</v>
      </c>
      <c r="P84" s="93">
        <f t="shared" si="82"/>
        <v>9.0140974072066993E-3</v>
      </c>
      <c r="Q84" s="93">
        <f t="shared" si="83"/>
        <v>2.1951349824831896E-2</v>
      </c>
      <c r="R84" s="102">
        <f t="shared" si="91"/>
        <v>253.92</v>
      </c>
      <c r="S84" s="16">
        <f t="shared" si="84"/>
        <v>21.258000000000003</v>
      </c>
      <c r="T84" s="16">
        <f t="shared" si="85"/>
        <v>14.38</v>
      </c>
      <c r="U84" s="99">
        <f t="shared" si="105"/>
        <v>289.55799999999999</v>
      </c>
      <c r="V84" s="22"/>
      <c r="W84" s="99"/>
      <c r="X84" s="99">
        <f>+SUM(R82:R84)</f>
        <v>1131.7160000000001</v>
      </c>
    </row>
    <row r="85" spans="1:24" x14ac:dyDescent="0.25">
      <c r="A85">
        <v>78</v>
      </c>
      <c r="B85" s="96">
        <v>42644</v>
      </c>
      <c r="C85" s="127">
        <v>1206.1199999999999</v>
      </c>
      <c r="D85" s="122">
        <v>9.1</v>
      </c>
      <c r="E85" s="122">
        <v>0</v>
      </c>
      <c r="F85" s="121">
        <f t="shared" si="81"/>
        <v>1215.2199999999998</v>
      </c>
      <c r="G85" s="22"/>
      <c r="H85" s="22"/>
      <c r="I85" s="22"/>
      <c r="J85" s="22"/>
      <c r="K85" s="22"/>
      <c r="L85" s="118"/>
      <c r="M85" s="118"/>
      <c r="N85" s="118"/>
      <c r="O85" s="93">
        <f t="shared" si="89"/>
        <v>0.99251164398215963</v>
      </c>
      <c r="P85" s="93">
        <f t="shared" si="82"/>
        <v>7.4883560178403922E-3</v>
      </c>
      <c r="Q85" s="93">
        <f t="shared" si="83"/>
        <v>0</v>
      </c>
      <c r="R85" s="102">
        <f t="shared" si="91"/>
        <v>120.61199999999999</v>
      </c>
      <c r="S85" s="16">
        <f t="shared" si="84"/>
        <v>8.19</v>
      </c>
      <c r="T85" s="16">
        <f t="shared" si="85"/>
        <v>0</v>
      </c>
      <c r="U85" s="99">
        <f t="shared" si="105"/>
        <v>128.80199999999999</v>
      </c>
      <c r="V85" s="22"/>
      <c r="W85" s="99"/>
      <c r="X85" s="99"/>
    </row>
    <row r="86" spans="1:24" x14ac:dyDescent="0.25">
      <c r="A86">
        <v>78</v>
      </c>
      <c r="B86" s="96">
        <v>42675</v>
      </c>
      <c r="C86" s="127">
        <v>2332.0700000000002</v>
      </c>
      <c r="D86" s="122">
        <v>10.24</v>
      </c>
      <c r="E86" s="122">
        <v>71.02</v>
      </c>
      <c r="F86" s="121">
        <f t="shared" si="81"/>
        <v>2413.33</v>
      </c>
      <c r="G86" s="22"/>
      <c r="H86" s="22"/>
      <c r="I86" s="22"/>
      <c r="J86" s="22"/>
      <c r="K86" s="22"/>
      <c r="L86" s="118"/>
      <c r="M86" s="118"/>
      <c r="N86" s="118"/>
      <c r="O86" s="93">
        <f t="shared" si="89"/>
        <v>0.96632868277442385</v>
      </c>
      <c r="P86" s="93">
        <f t="shared" si="82"/>
        <v>4.2430997832869936E-3</v>
      </c>
      <c r="Q86" s="93">
        <f t="shared" si="83"/>
        <v>2.9428217442289285E-2</v>
      </c>
      <c r="R86" s="102">
        <f t="shared" si="91"/>
        <v>233.20700000000002</v>
      </c>
      <c r="S86" s="16">
        <f t="shared" si="84"/>
        <v>9.2160000000000011</v>
      </c>
      <c r="T86" s="16">
        <f t="shared" si="85"/>
        <v>17.754999999999999</v>
      </c>
      <c r="U86" s="99">
        <f t="shared" si="105"/>
        <v>260.17800000000005</v>
      </c>
      <c r="V86" s="22"/>
      <c r="W86" s="99"/>
      <c r="X86" s="99"/>
    </row>
    <row r="87" spans="1:24" x14ac:dyDescent="0.25">
      <c r="A87">
        <v>78</v>
      </c>
      <c r="B87" s="96">
        <v>42705</v>
      </c>
      <c r="C87" s="128">
        <v>1609.5</v>
      </c>
      <c r="D87" s="122">
        <v>18.739999999999998</v>
      </c>
      <c r="E87" s="123">
        <v>221.9</v>
      </c>
      <c r="F87" s="121">
        <f t="shared" si="81"/>
        <v>1850.14</v>
      </c>
      <c r="G87" s="22">
        <f>+SUM(C76:C87)</f>
        <v>26291.449999999997</v>
      </c>
      <c r="H87" s="22">
        <f>+SUM(D76:D87)</f>
        <v>160.36000000000004</v>
      </c>
      <c r="I87" s="22">
        <f>+SUM(E76:E87)</f>
        <v>857.31</v>
      </c>
      <c r="J87" s="22">
        <f>+SUM(F76:F87)</f>
        <v>27309.119999999995</v>
      </c>
      <c r="K87" s="22">
        <f>+C85+C86+C87</f>
        <v>5147.6900000000005</v>
      </c>
      <c r="L87" s="22">
        <f t="shared" ref="L87:N87" si="109">+D85+D86+D87</f>
        <v>38.08</v>
      </c>
      <c r="M87" s="22">
        <f t="shared" si="109"/>
        <v>292.92</v>
      </c>
      <c r="N87" s="22">
        <f t="shared" si="109"/>
        <v>5478.69</v>
      </c>
      <c r="O87" s="93">
        <f>+C88/F88</f>
        <v>0.94871700542839765</v>
      </c>
      <c r="P87" s="93">
        <f>+D88/F88</f>
        <v>3.3694515761371627E-2</v>
      </c>
      <c r="Q87" s="93">
        <f>+E88/F88</f>
        <v>1.7588478810230627E-2</v>
      </c>
      <c r="R87" s="102">
        <f>+C88*(10%)</f>
        <v>24782.804000000004</v>
      </c>
      <c r="S87" s="16">
        <f>+D88*(90%)</f>
        <v>7921.6470000000054</v>
      </c>
      <c r="T87" s="16">
        <f>+E88*(25%)</f>
        <v>1148.6349999999995</v>
      </c>
      <c r="U87" s="99">
        <f t="shared" ref="U87" si="110">SUM(R87:T87)</f>
        <v>33853.08600000001</v>
      </c>
      <c r="V87" s="22">
        <f>+SUM(R77:R87)</f>
        <v>27026.999000000003</v>
      </c>
      <c r="W87" s="99">
        <f>+SUM(R83:R87)</f>
        <v>25902.244000000002</v>
      </c>
      <c r="X87" s="99">
        <f>+SUM(R86:R87)</f>
        <v>25016.011000000002</v>
      </c>
    </row>
    <row r="88" spans="1:24" x14ac:dyDescent="0.25">
      <c r="C88" s="124">
        <f>SUM(C4:C81)</f>
        <v>247828.04000000004</v>
      </c>
      <c r="D88" s="124">
        <f>SUM(D4:D81)</f>
        <v>8801.8300000000054</v>
      </c>
      <c r="E88" s="124">
        <f>SUM(E4:E81)</f>
        <v>4594.5399999999981</v>
      </c>
      <c r="F88" s="121">
        <f t="shared" si="81"/>
        <v>261224.41000000006</v>
      </c>
    </row>
    <row r="89" spans="1:24" x14ac:dyDescent="0.25">
      <c r="C89" s="124">
        <f>+AVERAGE(C4:C87)</f>
        <v>3146.3439285714294</v>
      </c>
      <c r="D89" s="124">
        <f>+AVERAGE(D4:D87)</f>
        <v>105.73821428571438</v>
      </c>
      <c r="E89" s="124">
        <f>+AVERAGE(E4:E87)</f>
        <v>63.782857142857125</v>
      </c>
      <c r="F89" s="124"/>
      <c r="G89" s="91"/>
      <c r="H89" s="91"/>
      <c r="I89" s="91"/>
      <c r="J89" s="91"/>
      <c r="K89" s="91"/>
      <c r="L89" s="91"/>
      <c r="M89" s="91"/>
      <c r="N89" s="91"/>
      <c r="R89" s="119"/>
      <c r="S89" s="6"/>
      <c r="T89" s="6"/>
      <c r="U89" s="120"/>
    </row>
    <row r="90" spans="1:24" x14ac:dyDescent="0.25">
      <c r="C90" s="91"/>
      <c r="D90" s="91"/>
      <c r="E90" s="91"/>
      <c r="F90" s="91"/>
      <c r="G90" s="91"/>
      <c r="H90" s="91"/>
      <c r="I90" s="91"/>
      <c r="J90" s="91"/>
      <c r="K90" s="91"/>
      <c r="L90" s="91"/>
      <c r="M90" s="91"/>
      <c r="N90" s="91"/>
      <c r="R90" s="119"/>
      <c r="S90" s="6"/>
      <c r="T90" s="6"/>
      <c r="U90" s="120"/>
    </row>
    <row r="91" spans="1:24" x14ac:dyDescent="0.25">
      <c r="C91" s="91"/>
      <c r="D91" s="91"/>
      <c r="E91" s="91"/>
      <c r="F91" s="91"/>
      <c r="G91" s="91"/>
      <c r="H91" s="91"/>
      <c r="I91" s="91"/>
      <c r="J91" s="91"/>
      <c r="K91" s="91"/>
      <c r="L91" s="91"/>
      <c r="M91" s="91"/>
      <c r="N91" s="91"/>
      <c r="R91" s="119"/>
      <c r="S91" s="6"/>
      <c r="T91" s="6"/>
      <c r="U91" s="120"/>
    </row>
    <row r="92" spans="1:24" x14ac:dyDescent="0.25">
      <c r="C92" s="130">
        <f>+C88/F88</f>
        <v>0.94871700542839765</v>
      </c>
      <c r="D92" s="130">
        <f>+D88/F88</f>
        <v>3.3694515761371627E-2</v>
      </c>
      <c r="E92" s="130">
        <f>+E88/F88</f>
        <v>1.7588478810230627E-2</v>
      </c>
      <c r="R92" s="103">
        <f>+C88*(10%)</f>
        <v>24782.804000000004</v>
      </c>
      <c r="S92">
        <f>+D88*(90%)</f>
        <v>7921.6470000000054</v>
      </c>
      <c r="T92" s="46">
        <f>+E88*(25%)</f>
        <v>1148.6349999999995</v>
      </c>
      <c r="U92" s="98">
        <f t="shared" si="90"/>
        <v>33853.08600000001</v>
      </c>
    </row>
    <row r="93" spans="1:24" x14ac:dyDescent="0.25">
      <c r="R93" s="103">
        <f>+C89*(10%)</f>
        <v>314.63439285714298</v>
      </c>
      <c r="T93" s="6"/>
      <c r="U93" s="98"/>
    </row>
    <row r="94" spans="1:24" x14ac:dyDescent="0.25">
      <c r="R94" s="103"/>
      <c r="T94" s="6"/>
      <c r="U94" s="98"/>
    </row>
    <row r="95" spans="1:24" x14ac:dyDescent="0.25">
      <c r="R95" s="103"/>
      <c r="T95" s="6"/>
      <c r="U95" s="98"/>
    </row>
    <row r="96" spans="1:24" x14ac:dyDescent="0.25">
      <c r="R96" s="103"/>
      <c r="U96" s="98">
        <f t="shared" si="90"/>
        <v>0</v>
      </c>
    </row>
    <row r="97" spans="2:19" x14ac:dyDescent="0.25">
      <c r="B97" t="s">
        <v>204</v>
      </c>
    </row>
    <row r="98" spans="2:19" x14ac:dyDescent="0.25">
      <c r="B98" t="s">
        <v>205</v>
      </c>
    </row>
    <row r="99" spans="2:19" x14ac:dyDescent="0.25">
      <c r="B99" t="s">
        <v>206</v>
      </c>
    </row>
    <row r="100" spans="2:19" x14ac:dyDescent="0.25">
      <c r="B100" t="s">
        <v>207</v>
      </c>
    </row>
    <row r="101" spans="2:19" x14ac:dyDescent="0.25">
      <c r="B101" t="s">
        <v>208</v>
      </c>
    </row>
    <row r="102" spans="2:19" x14ac:dyDescent="0.25">
      <c r="B102" t="s">
        <v>209</v>
      </c>
    </row>
    <row r="103" spans="2:19" x14ac:dyDescent="0.25">
      <c r="B103" t="s">
        <v>210</v>
      </c>
    </row>
    <row r="104" spans="2:19" x14ac:dyDescent="0.25">
      <c r="B104" t="s">
        <v>211</v>
      </c>
      <c r="S104" s="107" t="s">
        <v>339</v>
      </c>
    </row>
    <row r="105" spans="2:19" x14ac:dyDescent="0.25">
      <c r="B105" t="s">
        <v>212</v>
      </c>
    </row>
    <row r="106" spans="2:19" x14ac:dyDescent="0.25">
      <c r="B106" t="s">
        <v>213</v>
      </c>
    </row>
    <row r="107" spans="2:19" x14ac:dyDescent="0.25">
      <c r="B107" t="s">
        <v>219</v>
      </c>
    </row>
    <row r="108" spans="2:19" x14ac:dyDescent="0.25">
      <c r="B108" t="s">
        <v>214</v>
      </c>
    </row>
  </sheetData>
  <hyperlinks>
    <hyperlink ref="S104" r:id="rId1"/>
  </hyperlinks>
  <pageMargins left="0.7" right="0.7" top="0.75" bottom="0.75" header="0.3" footer="0.3"/>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I11"/>
  <sheetViews>
    <sheetView workbookViewId="0">
      <selection activeCell="K19" sqref="K19"/>
    </sheetView>
  </sheetViews>
  <sheetFormatPr baseColWidth="10" defaultRowHeight="15" x14ac:dyDescent="0.25"/>
  <sheetData>
    <row r="4" spans="2:9" x14ac:dyDescent="0.25">
      <c r="B4" s="208" t="s">
        <v>377</v>
      </c>
      <c r="C4" s="150">
        <v>2010</v>
      </c>
      <c r="D4" s="150">
        <v>2011</v>
      </c>
      <c r="E4" s="150">
        <v>2012</v>
      </c>
      <c r="F4" s="150">
        <v>2013</v>
      </c>
      <c r="G4" s="150">
        <v>2014</v>
      </c>
      <c r="H4" s="150">
        <v>2015</v>
      </c>
      <c r="I4" s="150">
        <v>2016</v>
      </c>
    </row>
    <row r="5" spans="2:9" ht="42.75" x14ac:dyDescent="0.25">
      <c r="B5" s="207" t="s">
        <v>436</v>
      </c>
      <c r="C5" s="213">
        <v>43040.020000000004</v>
      </c>
      <c r="D5" s="213">
        <v>26497.46</v>
      </c>
      <c r="E5" s="213">
        <v>41943.81</v>
      </c>
      <c r="F5" s="213">
        <v>53974.57</v>
      </c>
      <c r="G5" s="213">
        <v>33004.33</v>
      </c>
      <c r="H5" s="213">
        <v>52763.350000000013</v>
      </c>
      <c r="I5" s="213">
        <v>27309.119999999995</v>
      </c>
    </row>
    <row r="6" spans="2:9" x14ac:dyDescent="0.25">
      <c r="C6" s="118"/>
    </row>
    <row r="7" spans="2:9" x14ac:dyDescent="0.25">
      <c r="C7" s="118"/>
    </row>
    <row r="8" spans="2:9" x14ac:dyDescent="0.25">
      <c r="C8" s="118"/>
    </row>
    <row r="9" spans="2:9" x14ac:dyDescent="0.25">
      <c r="C9" s="118"/>
    </row>
    <row r="10" spans="2:9" x14ac:dyDescent="0.25">
      <c r="C10" s="118"/>
    </row>
    <row r="11" spans="2:9" x14ac:dyDescent="0.25">
      <c r="C11" s="118"/>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PIB</vt:lpstr>
      <vt:lpstr>FODA</vt:lpstr>
      <vt:lpstr>PARETO</vt:lpstr>
      <vt:lpstr> Poliester Claro </vt:lpstr>
      <vt:lpstr>Poliester Crudo</vt:lpstr>
      <vt:lpstr> Poliester Obscuro</vt:lpstr>
      <vt:lpstr>Demanda graficos</vt:lpstr>
      <vt:lpstr>DEPURACIÓN DE DATOS</vt:lpstr>
      <vt:lpstr>POLIESTER ANUAL</vt:lpstr>
      <vt:lpstr>Variables </vt:lpstr>
      <vt:lpstr>REPRESENTACIÓN MATEMÁTICA</vt:lpstr>
      <vt:lpstr>PRONÓSTICO CRUDO</vt:lpstr>
      <vt:lpstr>PRONÓSTICO OBSCURO</vt:lpstr>
      <vt:lpstr>PRONÓSTICO CLARO</vt:lpstr>
      <vt:lpstr>TABLA DE RESULTADOS</vt:lpstr>
      <vt:lpstr>LEAD TIME</vt:lpstr>
      <vt:lpstr>RESULTADOS PARA INVENTARIOS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jefe_administrativa</dc:creator>
  <cp:lastModifiedBy>clickcomputer</cp:lastModifiedBy>
  <dcterms:created xsi:type="dcterms:W3CDTF">2016-06-28T21:21:42Z</dcterms:created>
  <dcterms:modified xsi:type="dcterms:W3CDTF">2017-03-16T14:14:48Z</dcterms:modified>
</cp:coreProperties>
</file>