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sis ALEJANDRA NEGRETE\"/>
    </mc:Choice>
  </mc:AlternateContent>
  <bookViews>
    <workbookView xWindow="240" yWindow="75" windowWidth="19440" windowHeight="7995" activeTab="3"/>
  </bookViews>
  <sheets>
    <sheet name="Mapa temático" sheetId="3" r:id="rId1"/>
    <sheet name="Factores Eficiencia" sheetId="4" r:id="rId2"/>
    <sheet name="Cálculo N60" sheetId="6" r:id="rId3"/>
    <sheet name="Encuesta Trabajabilidad" sheetId="5" r:id="rId4"/>
    <sheet name="Datos tabulados de laboratorio" sheetId="1" r:id="rId5"/>
    <sheet name="Factores &quot;m&quot; anteriores" sheetId="2" r:id="rId6"/>
    <sheet name="Comparación de eficiencias" sheetId="7" r:id="rId7"/>
    <sheet name="Eficiencias por adm. zonal" sheetId="8" r:id="rId8"/>
  </sheets>
  <calcPr calcId="162913"/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4" i="1"/>
  <c r="M101" i="1"/>
  <c r="L101" i="1"/>
  <c r="K101" i="1"/>
  <c r="J101" i="1"/>
  <c r="I101" i="1"/>
  <c r="H101" i="1"/>
  <c r="G101" i="1"/>
  <c r="F101" i="1"/>
  <c r="N22" i="5"/>
  <c r="N16" i="5"/>
  <c r="N8" i="5"/>
  <c r="V21" i="5" l="1"/>
  <c r="V28" i="5" s="1"/>
  <c r="B1" i="8" l="1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61" i="8"/>
  <c r="A60" i="8"/>
  <c r="A51" i="8"/>
  <c r="A52" i="8"/>
  <c r="A53" i="8"/>
  <c r="A54" i="8"/>
  <c r="A55" i="8"/>
  <c r="A56" i="8"/>
  <c r="A57" i="8"/>
  <c r="A58" i="8"/>
  <c r="A59" i="8"/>
  <c r="A44" i="8"/>
  <c r="A45" i="8"/>
  <c r="A46" i="8"/>
  <c r="A47" i="8"/>
  <c r="A48" i="8"/>
  <c r="A49" i="8"/>
  <c r="A50" i="8"/>
  <c r="A37" i="8"/>
  <c r="A38" i="8"/>
  <c r="A39" i="8"/>
  <c r="A40" i="8"/>
  <c r="A41" i="8"/>
  <c r="A42" i="8"/>
  <c r="A43" i="8"/>
  <c r="A2" i="8"/>
  <c r="D5" i="8" s="1"/>
  <c r="A3" i="8"/>
  <c r="A4" i="8"/>
  <c r="D6" i="8" s="1"/>
  <c r="A5" i="8"/>
  <c r="A6" i="8"/>
  <c r="A7" i="8"/>
  <c r="A8" i="8"/>
  <c r="A9" i="8"/>
  <c r="D7" i="8" s="1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1" i="8"/>
  <c r="J62" i="4" l="1"/>
  <c r="N64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P48" i="1" l="1"/>
  <c r="P49" i="1"/>
  <c r="Q49" i="1" l="1"/>
  <c r="Q48" i="1"/>
  <c r="P46" i="1"/>
  <c r="W27" i="5"/>
  <c r="W23" i="5"/>
  <c r="W20" i="5"/>
  <c r="W18" i="5"/>
  <c r="W14" i="5"/>
  <c r="W12" i="5"/>
  <c r="W11" i="5"/>
  <c r="W10" i="5"/>
  <c r="W13" i="5"/>
  <c r="V27" i="5"/>
  <c r="V23" i="5"/>
  <c r="V20" i="5"/>
  <c r="V14" i="5"/>
  <c r="V13" i="5"/>
  <c r="V12" i="5"/>
  <c r="V11" i="5"/>
  <c r="V10" i="5"/>
  <c r="U27" i="5"/>
  <c r="U23" i="5"/>
  <c r="U20" i="5"/>
  <c r="U14" i="5"/>
  <c r="U13" i="5"/>
  <c r="U12" i="5"/>
  <c r="U11" i="5"/>
  <c r="U10" i="5"/>
  <c r="T27" i="5"/>
  <c r="T23" i="5"/>
  <c r="T20" i="5"/>
  <c r="T14" i="5"/>
  <c r="T13" i="5"/>
  <c r="T12" i="5"/>
  <c r="T11" i="5"/>
  <c r="T10" i="5"/>
  <c r="Q46" i="1" l="1"/>
  <c r="X13" i="5"/>
  <c r="S27" i="5"/>
  <c r="S23" i="5"/>
  <c r="S20" i="5"/>
  <c r="S14" i="5"/>
  <c r="S13" i="5"/>
  <c r="S12" i="5"/>
  <c r="S11" i="5"/>
  <c r="S10" i="5"/>
  <c r="R27" i="5"/>
  <c r="R23" i="5"/>
  <c r="R20" i="5"/>
  <c r="R14" i="5"/>
  <c r="R13" i="5"/>
  <c r="R12" i="5"/>
  <c r="R11" i="5"/>
  <c r="R10" i="5"/>
  <c r="Q27" i="5"/>
  <c r="Q23" i="5"/>
  <c r="Q20" i="5"/>
  <c r="Q14" i="5"/>
  <c r="Q13" i="5"/>
  <c r="Q12" i="5"/>
  <c r="Q11" i="5"/>
  <c r="Q10" i="5"/>
  <c r="P27" i="5"/>
  <c r="P23" i="5"/>
  <c r="P20" i="5"/>
  <c r="P14" i="5"/>
  <c r="P13" i="5"/>
  <c r="P12" i="5"/>
  <c r="P11" i="5"/>
  <c r="P10" i="5"/>
  <c r="O27" i="5"/>
  <c r="O23" i="5"/>
  <c r="O20" i="5"/>
  <c r="O14" i="5"/>
  <c r="O13" i="5"/>
  <c r="O11" i="5"/>
  <c r="O10" i="5"/>
  <c r="O12" i="5"/>
  <c r="N27" i="5"/>
  <c r="X27" i="5" s="1"/>
  <c r="N23" i="5"/>
  <c r="X23" i="5" s="1"/>
  <c r="N20" i="5"/>
  <c r="X20" i="5" s="1"/>
  <c r="N14" i="5"/>
  <c r="X14" i="5" s="1"/>
  <c r="N13" i="5"/>
  <c r="N12" i="5"/>
  <c r="N11" i="5"/>
  <c r="X11" i="5" s="1"/>
  <c r="N10" i="5"/>
  <c r="P32" i="5" l="1"/>
  <c r="R46" i="1" s="1"/>
  <c r="S46" i="1" s="1"/>
  <c r="B44" i="8" s="1"/>
  <c r="X12" i="5"/>
  <c r="Q32" i="5"/>
  <c r="R49" i="1" s="1"/>
  <c r="S49" i="1" s="1"/>
  <c r="B47" i="8" s="1"/>
  <c r="O32" i="5"/>
  <c r="R48" i="1" s="1"/>
  <c r="S48" i="1" s="1"/>
  <c r="B46" i="8" s="1"/>
  <c r="X10" i="5"/>
  <c r="X15" i="5" s="1"/>
  <c r="J36" i="4"/>
  <c r="E53" i="1"/>
  <c r="E54" i="1"/>
  <c r="E55" i="1"/>
  <c r="E56" i="1"/>
  <c r="E57" i="1"/>
  <c r="E58" i="1"/>
  <c r="E59" i="1"/>
  <c r="E60" i="1"/>
  <c r="E61" i="1"/>
  <c r="E62" i="1"/>
  <c r="A3" i="7" l="1"/>
  <c r="P59" i="1"/>
  <c r="P57" i="1"/>
  <c r="P61" i="1"/>
  <c r="P52" i="1"/>
  <c r="P58" i="1"/>
  <c r="P62" i="1"/>
  <c r="P51" i="1"/>
  <c r="P56" i="1"/>
  <c r="P50" i="1"/>
  <c r="P54" i="1"/>
  <c r="P53" i="1"/>
  <c r="P55" i="1"/>
  <c r="P60" i="1"/>
  <c r="N100" i="1"/>
  <c r="R51" i="1" l="1"/>
  <c r="S51" i="1" s="1"/>
  <c r="B49" i="8" s="1"/>
  <c r="Q51" i="1"/>
  <c r="R54" i="1"/>
  <c r="S54" i="1" s="1"/>
  <c r="B52" i="8" s="1"/>
  <c r="Q54" i="1"/>
  <c r="R57" i="1"/>
  <c r="S57" i="1" s="1"/>
  <c r="B55" i="8" s="1"/>
  <c r="Q57" i="1"/>
  <c r="R50" i="1"/>
  <c r="S50" i="1" s="1"/>
  <c r="B48" i="8" s="1"/>
  <c r="Q50" i="1"/>
  <c r="R55" i="1"/>
  <c r="S55" i="1" s="1"/>
  <c r="B53" i="8" s="1"/>
  <c r="Q55" i="1"/>
  <c r="R56" i="1"/>
  <c r="S56" i="1" s="1"/>
  <c r="B54" i="8" s="1"/>
  <c r="Q56" i="1"/>
  <c r="R52" i="1"/>
  <c r="S52" i="1" s="1"/>
  <c r="B50" i="8" s="1"/>
  <c r="Q52" i="1"/>
  <c r="R53" i="1"/>
  <c r="S53" i="1" s="1"/>
  <c r="B51" i="8" s="1"/>
  <c r="Q53" i="1"/>
  <c r="R61" i="1"/>
  <c r="S61" i="1" s="1"/>
  <c r="B59" i="8" s="1"/>
  <c r="Q61" i="1"/>
  <c r="R62" i="1"/>
  <c r="S62" i="1" s="1"/>
  <c r="B60" i="8" s="1"/>
  <c r="Q62" i="1"/>
  <c r="R60" i="1"/>
  <c r="S60" i="1" s="1"/>
  <c r="B58" i="8" s="1"/>
  <c r="Q60" i="1"/>
  <c r="R58" i="1"/>
  <c r="S58" i="1" s="1"/>
  <c r="B56" i="8" s="1"/>
  <c r="Q58" i="1"/>
  <c r="R59" i="1"/>
  <c r="S59" i="1" s="1"/>
  <c r="B57" i="8" s="1"/>
  <c r="Q59" i="1"/>
  <c r="L26" i="5"/>
  <c r="K26" i="5"/>
  <c r="J26" i="5"/>
  <c r="I26" i="5"/>
  <c r="H26" i="5"/>
  <c r="L25" i="5"/>
  <c r="K25" i="5"/>
  <c r="V25" i="5" s="1"/>
  <c r="J25" i="5"/>
  <c r="I25" i="5"/>
  <c r="H25" i="5"/>
  <c r="L24" i="5"/>
  <c r="K24" i="5"/>
  <c r="J24" i="5"/>
  <c r="T24" i="5" s="1"/>
  <c r="I24" i="5"/>
  <c r="H24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V17" i="5" s="1"/>
  <c r="I17" i="5"/>
  <c r="U17" i="5" s="1"/>
  <c r="H17" i="5"/>
  <c r="T17" i="5" l="1"/>
  <c r="W17" i="5"/>
  <c r="S19" i="5"/>
  <c r="V19" i="5"/>
  <c r="U19" i="5"/>
  <c r="W19" i="5"/>
  <c r="T19" i="5"/>
  <c r="V24" i="5"/>
  <c r="W24" i="5"/>
  <c r="U24" i="5"/>
  <c r="U18" i="5"/>
  <c r="V18" i="5"/>
  <c r="T18" i="5"/>
  <c r="P25" i="5"/>
  <c r="W25" i="5"/>
  <c r="T26" i="5"/>
  <c r="V26" i="5"/>
  <c r="W26" i="5"/>
  <c r="U26" i="5"/>
  <c r="T25" i="5"/>
  <c r="U25" i="5"/>
  <c r="N19" i="5"/>
  <c r="R19" i="5"/>
  <c r="P19" i="5"/>
  <c r="Q19" i="5"/>
  <c r="O19" i="5"/>
  <c r="N24" i="5"/>
  <c r="O24" i="5"/>
  <c r="N25" i="5"/>
  <c r="O25" i="5"/>
  <c r="R25" i="5"/>
  <c r="R17" i="5"/>
  <c r="P17" i="5"/>
  <c r="N17" i="5"/>
  <c r="S17" i="5"/>
  <c r="Q17" i="5"/>
  <c r="O17" i="5"/>
  <c r="S26" i="5"/>
  <c r="Q26" i="5"/>
  <c r="O26" i="5"/>
  <c r="R26" i="5"/>
  <c r="P26" i="5"/>
  <c r="N26" i="5"/>
  <c r="S25" i="5"/>
  <c r="Q25" i="5"/>
  <c r="R18" i="5"/>
  <c r="P18" i="5"/>
  <c r="N18" i="5"/>
  <c r="O18" i="5"/>
  <c r="S18" i="5"/>
  <c r="Q18" i="5"/>
  <c r="R24" i="5"/>
  <c r="P24" i="5"/>
  <c r="Q24" i="5"/>
  <c r="S24" i="5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99" i="1"/>
  <c r="N65" i="1"/>
  <c r="N66" i="1"/>
  <c r="N67" i="1"/>
  <c r="N68" i="1"/>
  <c r="N69" i="1"/>
  <c r="N70" i="1"/>
  <c r="N71" i="1"/>
  <c r="N72" i="1"/>
  <c r="N73" i="1"/>
  <c r="Q16" i="6"/>
  <c r="E40" i="1" s="1"/>
  <c r="Q17" i="6"/>
  <c r="E41" i="1" s="1"/>
  <c r="Q18" i="6"/>
  <c r="E42" i="1" s="1"/>
  <c r="Q19" i="6"/>
  <c r="E43" i="1" s="1"/>
  <c r="Q20" i="6"/>
  <c r="E100" i="1" s="1"/>
  <c r="Q21" i="6"/>
  <c r="E45" i="1" s="1"/>
  <c r="Q22" i="6"/>
  <c r="E46" i="1" s="1"/>
  <c r="Q23" i="6"/>
  <c r="E47" i="1" s="1"/>
  <c r="Q24" i="6"/>
  <c r="E48" i="1" s="1"/>
  <c r="Q25" i="6"/>
  <c r="E99" i="1" s="1"/>
  <c r="Q26" i="6"/>
  <c r="E49" i="1" s="1"/>
  <c r="Q27" i="6"/>
  <c r="E64" i="1" s="1"/>
  <c r="Q28" i="6"/>
  <c r="E65" i="1" s="1"/>
  <c r="Q29" i="6"/>
  <c r="E66" i="1" s="1"/>
  <c r="Q30" i="6"/>
  <c r="E67" i="1" s="1"/>
  <c r="Q31" i="6"/>
  <c r="E68" i="1" s="1"/>
  <c r="Q32" i="6"/>
  <c r="E69" i="1" s="1"/>
  <c r="Q33" i="6"/>
  <c r="E70" i="1" s="1"/>
  <c r="Q34" i="6"/>
  <c r="E71" i="1" s="1"/>
  <c r="Q35" i="6"/>
  <c r="E72" i="1" s="1"/>
  <c r="Q36" i="6"/>
  <c r="E73" i="1" s="1"/>
  <c r="Q37" i="6"/>
  <c r="E74" i="1" s="1"/>
  <c r="Q38" i="6"/>
  <c r="E75" i="1" s="1"/>
  <c r="Q39" i="6"/>
  <c r="E76" i="1" s="1"/>
  <c r="Q40" i="6"/>
  <c r="E77" i="1" s="1"/>
  <c r="Q41" i="6"/>
  <c r="E78" i="1" s="1"/>
  <c r="Q42" i="6"/>
  <c r="E44" i="1" s="1"/>
  <c r="Q43" i="6"/>
  <c r="E79" i="1" s="1"/>
  <c r="Q44" i="6"/>
  <c r="E80" i="1" s="1"/>
  <c r="Q45" i="6"/>
  <c r="E81" i="1" s="1"/>
  <c r="Q46" i="6"/>
  <c r="E82" i="1" s="1"/>
  <c r="Q47" i="6"/>
  <c r="E83" i="1" s="1"/>
  <c r="Q48" i="6"/>
  <c r="E84" i="1" s="1"/>
  <c r="Q49" i="6"/>
  <c r="E85" i="1" s="1"/>
  <c r="Q50" i="6"/>
  <c r="E86" i="1" s="1"/>
  <c r="Q51" i="6"/>
  <c r="E87" i="1" s="1"/>
  <c r="Q52" i="6"/>
  <c r="E88" i="1" s="1"/>
  <c r="Q53" i="6"/>
  <c r="E89" i="1" s="1"/>
  <c r="Q54" i="6"/>
  <c r="E90" i="1" s="1"/>
  <c r="Q55" i="6"/>
  <c r="E91" i="1" s="1"/>
  <c r="Q56" i="6"/>
  <c r="E92" i="1" s="1"/>
  <c r="Q57" i="6"/>
  <c r="E93" i="1" s="1"/>
  <c r="Q58" i="6"/>
  <c r="E94" i="1" s="1"/>
  <c r="Q59" i="6"/>
  <c r="E95" i="1" s="1"/>
  <c r="Q60" i="6"/>
  <c r="E96" i="1" s="1"/>
  <c r="Q61" i="6"/>
  <c r="E97" i="1" s="1"/>
  <c r="Q62" i="6"/>
  <c r="E98" i="1" s="1"/>
  <c r="Q63" i="6"/>
  <c r="E50" i="1" s="1"/>
  <c r="Q64" i="6"/>
  <c r="E51" i="1" s="1"/>
  <c r="Q65" i="6"/>
  <c r="E52" i="1" s="1"/>
  <c r="X25" i="5" l="1"/>
  <c r="X17" i="5"/>
  <c r="X18" i="5"/>
  <c r="X24" i="5"/>
  <c r="P91" i="1"/>
  <c r="P83" i="1"/>
  <c r="P76" i="1"/>
  <c r="P68" i="1"/>
  <c r="P40" i="1"/>
  <c r="P44" i="1"/>
  <c r="P98" i="1"/>
  <c r="P90" i="1"/>
  <c r="P71" i="1"/>
  <c r="P64" i="1"/>
  <c r="P41" i="1"/>
  <c r="P93" i="1"/>
  <c r="P89" i="1"/>
  <c r="P81" i="1"/>
  <c r="P96" i="1"/>
  <c r="P92" i="1"/>
  <c r="P88" i="1"/>
  <c r="P84" i="1"/>
  <c r="P80" i="1"/>
  <c r="P77" i="1"/>
  <c r="P73" i="1"/>
  <c r="P69" i="1"/>
  <c r="P65" i="1"/>
  <c r="P100" i="1"/>
  <c r="P39" i="1"/>
  <c r="P43" i="1"/>
  <c r="P95" i="1"/>
  <c r="P87" i="1"/>
  <c r="P79" i="1"/>
  <c r="P72" i="1"/>
  <c r="P47" i="1"/>
  <c r="P94" i="1"/>
  <c r="P86" i="1"/>
  <c r="P82" i="1"/>
  <c r="P75" i="1"/>
  <c r="P67" i="1"/>
  <c r="P97" i="1"/>
  <c r="P85" i="1"/>
  <c r="P78" i="1"/>
  <c r="P74" i="1"/>
  <c r="P70" i="1"/>
  <c r="P66" i="1"/>
  <c r="P99" i="1"/>
  <c r="P42" i="1"/>
  <c r="P45" i="1"/>
  <c r="X28" i="5" l="1"/>
  <c r="R67" i="1"/>
  <c r="S67" i="1" s="1"/>
  <c r="B64" i="8" s="1"/>
  <c r="Q67" i="1"/>
  <c r="R87" i="1"/>
  <c r="S87" i="1" s="1"/>
  <c r="B84" i="8" s="1"/>
  <c r="Q87" i="1"/>
  <c r="R92" i="1"/>
  <c r="S92" i="1" s="1"/>
  <c r="B89" i="8" s="1"/>
  <c r="Q92" i="1"/>
  <c r="R93" i="1"/>
  <c r="S93" i="1" s="1"/>
  <c r="B90" i="8" s="1"/>
  <c r="Q93" i="1"/>
  <c r="R68" i="1"/>
  <c r="S68" i="1" s="1"/>
  <c r="B65" i="8" s="1"/>
  <c r="Q68" i="1"/>
  <c r="R99" i="1"/>
  <c r="S99" i="1" s="1"/>
  <c r="B96" i="8" s="1"/>
  <c r="Q99" i="1"/>
  <c r="R75" i="1"/>
  <c r="S75" i="1" s="1"/>
  <c r="B72" i="8" s="1"/>
  <c r="Q75" i="1"/>
  <c r="R95" i="1"/>
  <c r="S95" i="1" s="1"/>
  <c r="B92" i="8" s="1"/>
  <c r="Q95" i="1"/>
  <c r="R65" i="1"/>
  <c r="S65" i="1" s="1"/>
  <c r="B62" i="8" s="1"/>
  <c r="Q65" i="1"/>
  <c r="R80" i="1"/>
  <c r="S80" i="1" s="1"/>
  <c r="B77" i="8" s="1"/>
  <c r="Q80" i="1"/>
  <c r="R96" i="1"/>
  <c r="S96" i="1" s="1"/>
  <c r="B93" i="8" s="1"/>
  <c r="Q96" i="1"/>
  <c r="R41" i="1"/>
  <c r="S41" i="1" s="1"/>
  <c r="B39" i="8" s="1"/>
  <c r="Q41" i="1"/>
  <c r="R98" i="1"/>
  <c r="S98" i="1" s="1"/>
  <c r="B95" i="8" s="1"/>
  <c r="Q98" i="1"/>
  <c r="R76" i="1"/>
  <c r="S76" i="1" s="1"/>
  <c r="B73" i="8" s="1"/>
  <c r="Q76" i="1"/>
  <c r="R66" i="1"/>
  <c r="S66" i="1" s="1"/>
  <c r="B63" i="8" s="1"/>
  <c r="Q66" i="1"/>
  <c r="R85" i="1"/>
  <c r="S85" i="1" s="1"/>
  <c r="B82" i="8" s="1"/>
  <c r="Q85" i="1"/>
  <c r="R82" i="1"/>
  <c r="S82" i="1" s="1"/>
  <c r="B79" i="8" s="1"/>
  <c r="Q82" i="1"/>
  <c r="R72" i="1"/>
  <c r="S72" i="1" s="1"/>
  <c r="B69" i="8" s="1"/>
  <c r="Q72" i="1"/>
  <c r="R43" i="1"/>
  <c r="S43" i="1" s="1"/>
  <c r="B41" i="8" s="1"/>
  <c r="Q43" i="1"/>
  <c r="R69" i="1"/>
  <c r="S69" i="1" s="1"/>
  <c r="B66" i="8" s="1"/>
  <c r="Q69" i="1"/>
  <c r="R84" i="1"/>
  <c r="S84" i="1" s="1"/>
  <c r="B81" i="8" s="1"/>
  <c r="Q84" i="1"/>
  <c r="R81" i="1"/>
  <c r="S81" i="1" s="1"/>
  <c r="B78" i="8" s="1"/>
  <c r="Q81" i="1"/>
  <c r="R64" i="1"/>
  <c r="S64" i="1" s="1"/>
  <c r="B61" i="8" s="1"/>
  <c r="Q64" i="1"/>
  <c r="R44" i="1"/>
  <c r="S44" i="1" s="1"/>
  <c r="B42" i="8" s="1"/>
  <c r="Q44" i="1"/>
  <c r="R83" i="1"/>
  <c r="S83" i="1" s="1"/>
  <c r="B80" i="8" s="1"/>
  <c r="Q83" i="1"/>
  <c r="R42" i="1"/>
  <c r="S42" i="1" s="1"/>
  <c r="B40" i="8" s="1"/>
  <c r="Q42" i="1"/>
  <c r="R74" i="1"/>
  <c r="S74" i="1" s="1"/>
  <c r="B71" i="8" s="1"/>
  <c r="Q74" i="1"/>
  <c r="R94" i="1"/>
  <c r="S94" i="1" s="1"/>
  <c r="B91" i="8" s="1"/>
  <c r="Q94" i="1"/>
  <c r="R100" i="1"/>
  <c r="S100" i="1" s="1"/>
  <c r="B97" i="8" s="1"/>
  <c r="Q100" i="1"/>
  <c r="R77" i="1"/>
  <c r="S77" i="1" s="1"/>
  <c r="B74" i="8" s="1"/>
  <c r="Q77" i="1"/>
  <c r="R90" i="1"/>
  <c r="S90" i="1" s="1"/>
  <c r="B87" i="8" s="1"/>
  <c r="Q90" i="1"/>
  <c r="R78" i="1"/>
  <c r="S78" i="1" s="1"/>
  <c r="B75" i="8" s="1"/>
  <c r="Q78" i="1"/>
  <c r="R47" i="1"/>
  <c r="S47" i="1" s="1"/>
  <c r="B45" i="8" s="1"/>
  <c r="Q47" i="1"/>
  <c r="R45" i="1"/>
  <c r="S45" i="1" s="1"/>
  <c r="B43" i="8" s="1"/>
  <c r="Q45" i="1"/>
  <c r="R97" i="1"/>
  <c r="S97" i="1" s="1"/>
  <c r="B94" i="8" s="1"/>
  <c r="Q97" i="1"/>
  <c r="R86" i="1"/>
  <c r="S86" i="1" s="1"/>
  <c r="B83" i="8" s="1"/>
  <c r="Q86" i="1"/>
  <c r="R79" i="1"/>
  <c r="S79" i="1" s="1"/>
  <c r="B76" i="8" s="1"/>
  <c r="Q79" i="1"/>
  <c r="R39" i="1"/>
  <c r="S39" i="1" s="1"/>
  <c r="B37" i="8" s="1"/>
  <c r="Q39" i="1"/>
  <c r="R88" i="1"/>
  <c r="S88" i="1" s="1"/>
  <c r="B85" i="8" s="1"/>
  <c r="Q88" i="1"/>
  <c r="R89" i="1"/>
  <c r="S89" i="1" s="1"/>
  <c r="B86" i="8" s="1"/>
  <c r="Q89" i="1"/>
  <c r="R71" i="1"/>
  <c r="S71" i="1" s="1"/>
  <c r="B68" i="8" s="1"/>
  <c r="Q71" i="1"/>
  <c r="R40" i="1"/>
  <c r="S40" i="1" s="1"/>
  <c r="B38" i="8" s="1"/>
  <c r="Q40" i="1"/>
  <c r="R91" i="1"/>
  <c r="S91" i="1" s="1"/>
  <c r="B88" i="8" s="1"/>
  <c r="Q91" i="1"/>
  <c r="R70" i="1"/>
  <c r="S70" i="1" s="1"/>
  <c r="B67" i="8" s="1"/>
  <c r="Q70" i="1"/>
  <c r="R73" i="1"/>
  <c r="S73" i="1" s="1"/>
  <c r="B70" i="8" s="1"/>
  <c r="Q73" i="1"/>
  <c r="P34" i="1"/>
  <c r="P37" i="1"/>
  <c r="P38" i="1"/>
  <c r="P35" i="1"/>
  <c r="P36" i="1"/>
  <c r="X21" i="5"/>
  <c r="R36" i="1" l="1"/>
  <c r="S36" i="1" s="1"/>
  <c r="B34" i="8" s="1"/>
  <c r="Q36" i="1"/>
  <c r="R35" i="1"/>
  <c r="S35" i="1" s="1"/>
  <c r="B33" i="8" s="1"/>
  <c r="Q35" i="1"/>
  <c r="R37" i="1"/>
  <c r="S37" i="1" s="1"/>
  <c r="B35" i="8" s="1"/>
  <c r="Q37" i="1"/>
  <c r="R34" i="1"/>
  <c r="S34" i="1" s="1"/>
  <c r="B32" i="8" s="1"/>
  <c r="Q34" i="1"/>
  <c r="R38" i="1"/>
  <c r="S38" i="1" s="1"/>
  <c r="B36" i="8" s="1"/>
  <c r="Q38" i="1"/>
  <c r="P20" i="1"/>
  <c r="P21" i="1"/>
  <c r="P29" i="1"/>
  <c r="P22" i="1"/>
  <c r="P30" i="1"/>
  <c r="P19" i="1"/>
  <c r="P23" i="1"/>
  <c r="P27" i="1"/>
  <c r="P31" i="1"/>
  <c r="P24" i="1"/>
  <c r="P28" i="1"/>
  <c r="P32" i="1"/>
  <c r="P25" i="1"/>
  <c r="P33" i="1"/>
  <c r="P26" i="1"/>
  <c r="AE17" i="3"/>
  <c r="AE18" i="3"/>
  <c r="AE15" i="3"/>
  <c r="AE16" i="3"/>
  <c r="AE4" i="3"/>
  <c r="AE5" i="3"/>
  <c r="AE6" i="3"/>
  <c r="AE7" i="3"/>
  <c r="AE8" i="3"/>
  <c r="AE9" i="3"/>
  <c r="AE10" i="3"/>
  <c r="AE11" i="3"/>
  <c r="AE12" i="3"/>
  <c r="AE13" i="3"/>
  <c r="AE14" i="3"/>
  <c r="AE3" i="3"/>
  <c r="AD5" i="3"/>
  <c r="AD4" i="3"/>
  <c r="AD3" i="3"/>
  <c r="R33" i="1" l="1"/>
  <c r="S33" i="1" s="1"/>
  <c r="B31" i="8" s="1"/>
  <c r="Q33" i="1"/>
  <c r="R24" i="1"/>
  <c r="S24" i="1" s="1"/>
  <c r="B22" i="8" s="1"/>
  <c r="Q24" i="1"/>
  <c r="R19" i="1"/>
  <c r="S19" i="1" s="1"/>
  <c r="B17" i="8" s="1"/>
  <c r="Q19" i="1"/>
  <c r="R21" i="1"/>
  <c r="S21" i="1" s="1"/>
  <c r="B19" i="8" s="1"/>
  <c r="Q21" i="1"/>
  <c r="R25" i="1"/>
  <c r="S25" i="1" s="1"/>
  <c r="B23" i="8" s="1"/>
  <c r="Q25" i="1"/>
  <c r="R31" i="1"/>
  <c r="S31" i="1" s="1"/>
  <c r="B29" i="8" s="1"/>
  <c r="Q31" i="1"/>
  <c r="R30" i="1"/>
  <c r="S30" i="1" s="1"/>
  <c r="B28" i="8" s="1"/>
  <c r="Q30" i="1"/>
  <c r="R20" i="1"/>
  <c r="S20" i="1" s="1"/>
  <c r="B18" i="8" s="1"/>
  <c r="Q20" i="1"/>
  <c r="R32" i="1"/>
  <c r="S32" i="1" s="1"/>
  <c r="B30" i="8" s="1"/>
  <c r="Q32" i="1"/>
  <c r="R27" i="1"/>
  <c r="S27" i="1" s="1"/>
  <c r="B25" i="8" s="1"/>
  <c r="Q27" i="1"/>
  <c r="R22" i="1"/>
  <c r="S22" i="1" s="1"/>
  <c r="B20" i="8" s="1"/>
  <c r="Q22" i="1"/>
  <c r="R26" i="1"/>
  <c r="S26" i="1" s="1"/>
  <c r="B24" i="8" s="1"/>
  <c r="Q26" i="1"/>
  <c r="R28" i="1"/>
  <c r="S28" i="1" s="1"/>
  <c r="B26" i="8" s="1"/>
  <c r="Q28" i="1"/>
  <c r="R23" i="1"/>
  <c r="S23" i="1" s="1"/>
  <c r="B21" i="8" s="1"/>
  <c r="Q23" i="1"/>
  <c r="R29" i="1"/>
  <c r="S29" i="1" s="1"/>
  <c r="B27" i="8" s="1"/>
  <c r="Q29" i="1"/>
  <c r="Q15" i="6"/>
  <c r="E39" i="1" s="1"/>
  <c r="P4" i="1" l="1"/>
  <c r="P11" i="1"/>
  <c r="P7" i="1"/>
  <c r="P18" i="1"/>
  <c r="P14" i="1"/>
  <c r="P10" i="1"/>
  <c r="P17" i="1"/>
  <c r="P13" i="1"/>
  <c r="P9" i="1"/>
  <c r="P5" i="1"/>
  <c r="P16" i="1"/>
  <c r="P12" i="1"/>
  <c r="P8" i="1"/>
  <c r="P15" i="1"/>
  <c r="P6" i="1"/>
  <c r="R16" i="1" l="1"/>
  <c r="S16" i="1" s="1"/>
  <c r="B14" i="8" s="1"/>
  <c r="Q16" i="1"/>
  <c r="R7" i="1"/>
  <c r="S7" i="1" s="1"/>
  <c r="B5" i="8" s="1"/>
  <c r="Q7" i="1"/>
  <c r="R15" i="1"/>
  <c r="S15" i="1" s="1"/>
  <c r="B13" i="8" s="1"/>
  <c r="Q15" i="1"/>
  <c r="R10" i="1"/>
  <c r="S10" i="1" s="1"/>
  <c r="B8" i="8" s="1"/>
  <c r="Q10" i="1"/>
  <c r="R11" i="1"/>
  <c r="S11" i="1" s="1"/>
  <c r="B9" i="8" s="1"/>
  <c r="Q11" i="1"/>
  <c r="R9" i="1"/>
  <c r="S9" i="1" s="1"/>
  <c r="B7" i="8" s="1"/>
  <c r="Q9" i="1"/>
  <c r="R14" i="1"/>
  <c r="S14" i="1" s="1"/>
  <c r="B12" i="8" s="1"/>
  <c r="Q14" i="1"/>
  <c r="R12" i="1"/>
  <c r="S12" i="1" s="1"/>
  <c r="B10" i="8" s="1"/>
  <c r="Q12" i="1"/>
  <c r="R13" i="1"/>
  <c r="S13" i="1" s="1"/>
  <c r="B11" i="8" s="1"/>
  <c r="Q13" i="1"/>
  <c r="R18" i="1"/>
  <c r="S18" i="1" s="1"/>
  <c r="B16" i="8" s="1"/>
  <c r="Q18" i="1"/>
  <c r="R6" i="1"/>
  <c r="S6" i="1" s="1"/>
  <c r="B4" i="8" s="1"/>
  <c r="Q6" i="1"/>
  <c r="R17" i="1"/>
  <c r="S17" i="1" s="1"/>
  <c r="B15" i="8" s="1"/>
  <c r="Q17" i="1"/>
  <c r="R5" i="1"/>
  <c r="S5" i="1" s="1"/>
  <c r="B3" i="8" s="1"/>
  <c r="Q5" i="1"/>
  <c r="R8" i="1"/>
  <c r="S8" i="1" s="1"/>
  <c r="B6" i="8" s="1"/>
  <c r="Q8" i="1"/>
  <c r="R4" i="1"/>
  <c r="S4" i="1" s="1"/>
  <c r="Q4" i="1"/>
  <c r="B2" i="8" l="1"/>
  <c r="E5" i="8" s="1"/>
  <c r="F5" i="8" s="1"/>
  <c r="S101" i="1"/>
  <c r="E3" i="7" s="1"/>
  <c r="E6" i="8"/>
  <c r="F6" i="8" s="1"/>
  <c r="E7" i="8"/>
  <c r="F7" i="8" s="1"/>
</calcChain>
</file>

<file path=xl/sharedStrings.xml><?xml version="1.0" encoding="utf-8"?>
<sst xmlns="http://schemas.openxmlformats.org/spreadsheetml/2006/main" count="540" uniqueCount="210">
  <si>
    <t>DATOS TABULADOS DEL LABORATORIO DE SUELOS PUCE</t>
  </si>
  <si>
    <t>DETERMINACION DEL FACTOR "m"</t>
  </si>
  <si>
    <t>LL</t>
  </si>
  <si>
    <t>W</t>
  </si>
  <si>
    <t>LP</t>
  </si>
  <si>
    <t>IC</t>
  </si>
  <si>
    <t>CONSISTENCIA</t>
  </si>
  <si>
    <t>TRABAJABILIDAD</t>
  </si>
  <si>
    <t>Turubamba</t>
  </si>
  <si>
    <t>PARROQUIAS DEL SUR DE QUITO</t>
  </si>
  <si>
    <t>Administracion Zonal</t>
  </si>
  <si>
    <t>Parroquias</t>
  </si>
  <si>
    <t>Manuela Saenz</t>
  </si>
  <si>
    <t>Centro Historico</t>
  </si>
  <si>
    <t>La Libertad</t>
  </si>
  <si>
    <t>Eloy Alfaro</t>
  </si>
  <si>
    <t>Chilibulo</t>
  </si>
  <si>
    <t>Chimbacalle</t>
  </si>
  <si>
    <t>La Argelia</t>
  </si>
  <si>
    <t>La Ferroviaria</t>
  </si>
  <si>
    <t>La Magdalena</t>
  </si>
  <si>
    <t>La Mena</t>
  </si>
  <si>
    <t>San Bartolo</t>
  </si>
  <si>
    <t>Solanda</t>
  </si>
  <si>
    <t>Quitumbe</t>
  </si>
  <si>
    <t>Chillogallo</t>
  </si>
  <si>
    <t>Guamani</t>
  </si>
  <si>
    <t>La Ecuatoriana</t>
  </si>
  <si>
    <t>Tiempo Efectivamente trabajado (en minutos) por hora transcurrido</t>
  </si>
  <si>
    <t>Factor i</t>
  </si>
  <si>
    <t>Calificación</t>
  </si>
  <si>
    <t>Utópico</t>
  </si>
  <si>
    <t>Bueno</t>
  </si>
  <si>
    <t>Medio</t>
  </si>
  <si>
    <t>Pobre</t>
  </si>
  <si>
    <t>Habilidad del Operador</t>
  </si>
  <si>
    <t>Factor o</t>
  </si>
  <si>
    <t xml:space="preserve">Excelente </t>
  </si>
  <si>
    <t>91%-100%</t>
  </si>
  <si>
    <t>Buena</t>
  </si>
  <si>
    <t>81%-90%</t>
  </si>
  <si>
    <t>Regular</t>
  </si>
  <si>
    <t>71%-80%</t>
  </si>
  <si>
    <t>Mala</t>
  </si>
  <si>
    <t>60%-70%</t>
  </si>
  <si>
    <t>Nivel de organización de la administración</t>
  </si>
  <si>
    <t>Factor a</t>
  </si>
  <si>
    <t>91%-95%</t>
  </si>
  <si>
    <t>Regular-Bueno</t>
  </si>
  <si>
    <t>Mala-Aceptable</t>
  </si>
  <si>
    <t>61%-70%</t>
  </si>
  <si>
    <t>Giro en grados</t>
  </si>
  <si>
    <t>Factor g</t>
  </si>
  <si>
    <t>90°</t>
  </si>
  <si>
    <t>45°</t>
  </si>
  <si>
    <t>180°</t>
  </si>
  <si>
    <t>Pendiente del terreno %</t>
  </si>
  <si>
    <t>Factor p</t>
  </si>
  <si>
    <t>-10% a -20%</t>
  </si>
  <si>
    <t>Hasta 125%</t>
  </si>
  <si>
    <t>- 0% a -10%</t>
  </si>
  <si>
    <t>Hasta 110%</t>
  </si>
  <si>
    <t>0% a 10%</t>
  </si>
  <si>
    <t>Hasta 90%</t>
  </si>
  <si>
    <t>10% a 20%</t>
  </si>
  <si>
    <t>Hasta 75%</t>
  </si>
  <si>
    <t>Condiciones del Camino</t>
  </si>
  <si>
    <t>Factor r</t>
  </si>
  <si>
    <t>Plano y firme</t>
  </si>
  <si>
    <t>Firme – mal conservado</t>
  </si>
  <si>
    <t>Arena y grava suelta</t>
  </si>
  <si>
    <t>Sin conservar y lodoso</t>
  </si>
  <si>
    <t>Razón eventualidad</t>
  </si>
  <si>
    <t>% Eventualidad</t>
  </si>
  <si>
    <t>Lluvia</t>
  </si>
  <si>
    <t>5% - 6%</t>
  </si>
  <si>
    <t>Reparaciones</t>
  </si>
  <si>
    <t>12% - 15%</t>
  </si>
  <si>
    <t>Roturas</t>
  </si>
  <si>
    <t>18% - 20%</t>
  </si>
  <si>
    <t>Otros</t>
  </si>
  <si>
    <t>5% - 7%</t>
  </si>
  <si>
    <t>Factores que intervienen en el calculo</t>
  </si>
  <si>
    <t>c: Llenado</t>
  </si>
  <si>
    <t xml:space="preserve"> i: Eficiencia en el tiempo</t>
  </si>
  <si>
    <t xml:space="preserve"> o: Operación de la máquina</t>
  </si>
  <si>
    <t>a: Administración</t>
  </si>
  <si>
    <t xml:space="preserve"> e: Estado del material</t>
  </si>
  <si>
    <t>AÑO</t>
  </si>
  <si>
    <t>FACTOR POR TIPO DE SUELO USADOS ANTERIORMENTE "m"</t>
  </si>
  <si>
    <t>Estado del Material</t>
  </si>
  <si>
    <t>Suelto</t>
  </si>
  <si>
    <t>e (100%)</t>
  </si>
  <si>
    <t>Banco</t>
  </si>
  <si>
    <t>Fw( Factor de esponjamiento)</t>
  </si>
  <si>
    <t>Compactado</t>
  </si>
  <si>
    <t>Fh( Factor de contraccion)</t>
  </si>
  <si>
    <t>VR=  Volumen Real</t>
  </si>
  <si>
    <t>VN= Volumen Nominal</t>
  </si>
  <si>
    <r>
      <t xml:space="preserve"> </t>
    </r>
    <r>
      <rPr>
        <b/>
        <sz val="12"/>
        <color theme="8" tint="-0.249977111117893"/>
        <rFont val="Arial"/>
        <family val="2"/>
      </rPr>
      <t>g: Maniobra y alcance</t>
    </r>
  </si>
  <si>
    <r>
      <t xml:space="preserve"> </t>
    </r>
    <r>
      <rPr>
        <b/>
        <sz val="12"/>
        <color theme="8" tint="-0.249977111117893"/>
        <rFont val="Arial"/>
        <family val="2"/>
      </rPr>
      <t>p: Depende del terreno</t>
    </r>
  </si>
  <si>
    <r>
      <t xml:space="preserve">  </t>
    </r>
    <r>
      <rPr>
        <b/>
        <sz val="12"/>
        <color theme="8" tint="-0.249977111117893"/>
        <rFont val="Arial"/>
        <family val="2"/>
      </rPr>
      <t>r: Condiciones de camino</t>
    </r>
  </si>
  <si>
    <r>
      <t xml:space="preserve"> </t>
    </r>
    <r>
      <rPr>
        <b/>
        <sz val="12"/>
        <color theme="8" tint="-0.249977111117893"/>
        <rFont val="Arial"/>
        <family val="2"/>
      </rPr>
      <t>l: Eventualidad</t>
    </r>
  </si>
  <si>
    <r>
      <t xml:space="preserve"> </t>
    </r>
    <r>
      <rPr>
        <b/>
        <sz val="12"/>
        <color theme="8" tint="-0.249977111117893"/>
        <rFont val="Arial"/>
        <family val="2"/>
      </rPr>
      <t>u:uso anual</t>
    </r>
  </si>
  <si>
    <t xml:space="preserve">N60=Numero de penetración estándar, corregido por condiciones de campo.
N= Numero de penetración medido.
ηH= Porcentaje de eficiencia del martinete %.
ηB= Corrección por diámetro de perforación.
ηS= Corrección del muestreador.
ηR= Corrección por longitud de barra.
(Seed &amp; Skempton,1985)
</t>
  </si>
  <si>
    <t>N60</t>
  </si>
  <si>
    <t>N</t>
  </si>
  <si>
    <t>ηH</t>
  </si>
  <si>
    <t>ηB</t>
  </si>
  <si>
    <t>SUCS</t>
  </si>
  <si>
    <r>
      <t xml:space="preserve">Variación de </t>
    </r>
    <r>
      <rPr>
        <b/>
        <sz val="11"/>
        <color theme="1"/>
        <rFont val="Symbol"/>
        <family val="1"/>
        <charset val="2"/>
      </rPr>
      <t>h</t>
    </r>
    <r>
      <rPr>
        <b/>
        <sz val="11"/>
        <color theme="1"/>
        <rFont val="Calibri"/>
        <family val="2"/>
        <scheme val="minor"/>
      </rPr>
      <t>H</t>
    </r>
  </si>
  <si>
    <t>País</t>
  </si>
  <si>
    <t>Tipo de martinete</t>
  </si>
  <si>
    <t>Liberación del martinete</t>
  </si>
  <si>
    <t>hH</t>
  </si>
  <si>
    <t>Japón</t>
  </si>
  <si>
    <t>Toroide</t>
  </si>
  <si>
    <t>Caída libra</t>
  </si>
  <si>
    <t>Cuerda y polea</t>
  </si>
  <si>
    <t>Estados Unidos</t>
  </si>
  <si>
    <t>De seguridad</t>
  </si>
  <si>
    <t>Argentina</t>
  </si>
  <si>
    <t>China</t>
  </si>
  <si>
    <r>
      <t xml:space="preserve">Variación de </t>
    </r>
    <r>
      <rPr>
        <b/>
        <sz val="11"/>
        <color theme="1"/>
        <rFont val="Symbol"/>
        <family val="1"/>
        <charset val="2"/>
      </rPr>
      <t>h</t>
    </r>
    <r>
      <rPr>
        <b/>
        <sz val="11"/>
        <color theme="1"/>
        <rFont val="Calibri"/>
        <family val="2"/>
      </rPr>
      <t xml:space="preserve">B </t>
    </r>
  </si>
  <si>
    <r>
      <t xml:space="preserve">Variación </t>
    </r>
    <r>
      <rPr>
        <b/>
        <sz val="11"/>
        <color theme="1"/>
        <rFont val="Symbol"/>
        <family val="1"/>
        <charset val="2"/>
      </rPr>
      <t>h</t>
    </r>
    <r>
      <rPr>
        <b/>
        <sz val="11"/>
        <color theme="1"/>
        <rFont val="Calibri"/>
        <family val="2"/>
        <scheme val="minor"/>
      </rPr>
      <t>R</t>
    </r>
  </si>
  <si>
    <t>Diámetro (cm)</t>
  </si>
  <si>
    <t xml:space="preserve">hB </t>
  </si>
  <si>
    <t>Longitud de la barra (m)</t>
  </si>
  <si>
    <r>
      <rPr>
        <b/>
        <sz val="11"/>
        <color theme="1"/>
        <rFont val="Symbol"/>
        <family val="1"/>
        <charset val="2"/>
      </rPr>
      <t>h</t>
    </r>
    <r>
      <rPr>
        <b/>
        <sz val="11"/>
        <color theme="1"/>
        <rFont val="Calibri"/>
        <family val="2"/>
      </rPr>
      <t>R</t>
    </r>
  </si>
  <si>
    <t>60 - 120</t>
  </si>
  <si>
    <t>&gt; 1.00</t>
  </si>
  <si>
    <t>6 - 10</t>
  </si>
  <si>
    <t>4 - 6</t>
  </si>
  <si>
    <t>0 - 4</t>
  </si>
  <si>
    <r>
      <t xml:space="preserve">Variación de </t>
    </r>
    <r>
      <rPr>
        <b/>
        <sz val="11"/>
        <color theme="1"/>
        <rFont val="Symbol"/>
        <family val="1"/>
        <charset val="2"/>
      </rPr>
      <t>h</t>
    </r>
    <r>
      <rPr>
        <b/>
        <sz val="11"/>
        <color theme="1"/>
        <rFont val="Calibri"/>
        <family val="2"/>
      </rPr>
      <t xml:space="preserve">S </t>
    </r>
    <r>
      <rPr>
        <b/>
        <sz val="11"/>
        <color theme="1"/>
        <rFont val="Symbol"/>
        <family val="1"/>
        <charset val="2"/>
      </rPr>
      <t xml:space="preserve"> </t>
    </r>
  </si>
  <si>
    <t>Variable</t>
  </si>
  <si>
    <r>
      <rPr>
        <b/>
        <sz val="11"/>
        <color theme="1"/>
        <rFont val="Symbol"/>
        <family val="1"/>
        <charset val="2"/>
      </rPr>
      <t>h</t>
    </r>
    <r>
      <rPr>
        <b/>
        <sz val="11"/>
        <color theme="1"/>
        <rFont val="Calibri"/>
        <family val="2"/>
        <scheme val="minor"/>
      </rPr>
      <t>S</t>
    </r>
  </si>
  <si>
    <t>Muestreador estándar</t>
  </si>
  <si>
    <t>Con recubrimiento para arena y arcilla densas</t>
  </si>
  <si>
    <t>Con recubrimiento para arena suelta</t>
  </si>
  <si>
    <t>Tipo de material</t>
  </si>
  <si>
    <t>Factor m</t>
  </si>
  <si>
    <t>Trabajabilidad</t>
  </si>
  <si>
    <t>Tierra no compacta; arena; grava y suelo suave.</t>
  </si>
  <si>
    <t>Tierra compacta; arcilla seca y suelos con contenido rocoso &lt;25%.</t>
  </si>
  <si>
    <t>Suelo duro con contenido de roca &gt;25% &lt;50%.</t>
  </si>
  <si>
    <t>Roca dinamitada o escarificada; suelos con contenido rocoso &gt; 50% &lt; 75%.</t>
  </si>
  <si>
    <t>Rocas y areniscas.</t>
  </si>
  <si>
    <t>Muy fácil</t>
  </si>
  <si>
    <t>Fácil</t>
  </si>
  <si>
    <t>Difícil</t>
  </si>
  <si>
    <r>
      <t>Muy difícil</t>
    </r>
    <r>
      <rPr>
        <sz val="8"/>
        <color theme="1"/>
        <rFont val="Calibri"/>
        <family val="2"/>
        <scheme val="minor"/>
      </rPr>
      <t> </t>
    </r>
  </si>
  <si>
    <t>Valores de los factores que intervienen en el calculo</t>
  </si>
  <si>
    <t>CALCULO DE N60</t>
  </si>
  <si>
    <t>CORRELACION UTILIZADA</t>
  </si>
  <si>
    <t>Eficiencia con factor "m" anterior</t>
  </si>
  <si>
    <t>Eficiencia con factor "m" obtenido</t>
  </si>
  <si>
    <t>ENCUESTA DE TRABAJABILIDAD</t>
  </si>
  <si>
    <t xml:space="preserve"> ηS</t>
  </si>
  <si>
    <t xml:space="preserve"> ηR</t>
  </si>
  <si>
    <t>ADMINISTRACION ZONAL</t>
  </si>
  <si>
    <t>PARROQUIA</t>
  </si>
  <si>
    <r>
      <t>N</t>
    </r>
    <r>
      <rPr>
        <b/>
        <sz val="12"/>
        <color rgb="FFFFFFFF"/>
        <rFont val="Calibri"/>
        <family val="2"/>
      </rPr>
      <t>°</t>
    </r>
  </si>
  <si>
    <t>Pt</t>
  </si>
  <si>
    <t>Porcentaje de Llenado del Cucharón</t>
  </si>
  <si>
    <t>CARRERA DE INGENIERÍA CIVIL</t>
  </si>
  <si>
    <t>FACULTAD DE INGENIERÍA</t>
  </si>
  <si>
    <t>OL- ML</t>
  </si>
  <si>
    <t>OH-CH</t>
  </si>
  <si>
    <t>OL-CL</t>
  </si>
  <si>
    <t>OH-MH</t>
  </si>
  <si>
    <t>Ø</t>
  </si>
  <si>
    <t>16,79</t>
  </si>
  <si>
    <t>C (Kpa)</t>
  </si>
  <si>
    <t>Gs</t>
  </si>
  <si>
    <t>Peso unitario (KN/M3)</t>
  </si>
  <si>
    <t>Porcentaje que se queda pegado en el cucharón en el vaciado.</t>
  </si>
  <si>
    <t>Resistenia del material a ser excavado</t>
  </si>
  <si>
    <t>Estabilidad del material para realizar el corte</t>
  </si>
  <si>
    <t>MUY BLANDA</t>
  </si>
  <si>
    <t>BLANDA</t>
  </si>
  <si>
    <t>MEDIA</t>
  </si>
  <si>
    <t>FIRME</t>
  </si>
  <si>
    <t>MUY FIRME</t>
  </si>
  <si>
    <t>Arenas</t>
  </si>
  <si>
    <t>Suelos de consistencia firme</t>
  </si>
  <si>
    <t>RESULTADOS</t>
  </si>
  <si>
    <t>PROMEDIO</t>
  </si>
  <si>
    <t>FACTOR "m" (%)</t>
  </si>
  <si>
    <t>FACTOR "m" obtenido</t>
  </si>
  <si>
    <t>Guamaní</t>
  </si>
  <si>
    <t>Puengasí</t>
  </si>
  <si>
    <t>Fórmula de Eficiencia de Trabajo</t>
  </si>
  <si>
    <t>CÁLCULO DE LA EFICIENCIA</t>
  </si>
  <si>
    <t>CÁLCULO DE N60</t>
  </si>
  <si>
    <t>Suelos orgánicos</t>
  </si>
  <si>
    <t>TRABAJABILIDAD DE SUELOS ORGÁNICOS</t>
  </si>
  <si>
    <t>MUY DIFíCIL</t>
  </si>
  <si>
    <t>DIFíCIL</t>
  </si>
  <si>
    <t>Presión de Preconsolidación</t>
  </si>
  <si>
    <t>CORRELACIÓN POR N60</t>
  </si>
  <si>
    <t>COMPARACIÓN DE RESULTADOS</t>
  </si>
  <si>
    <t>Facilidad de excavación</t>
  </si>
  <si>
    <t>FÁCIL</t>
  </si>
  <si>
    <t>DIFÍCIL</t>
  </si>
  <si>
    <t>% Trabajabilidad</t>
  </si>
  <si>
    <t>Administracion zonal</t>
  </si>
  <si>
    <t>Factor "m"</t>
  </si>
  <si>
    <t>%Eficiencia</t>
  </si>
  <si>
    <t>% Trabajabilidad en suelos orgánicos deacuerdo a la consistencia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</si>
</sst>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rgb="FFFFFFFF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3"/>
      <name val="Arial"/>
      <family val="2"/>
    </font>
    <font>
      <sz val="11"/>
      <color theme="8" tint="-0.249977111117893"/>
      <name val="Calibri"/>
      <family val="2"/>
      <scheme val="minor"/>
    </font>
    <font>
      <sz val="12"/>
      <color theme="8" tint="-0.249977111117893"/>
      <name val="Arial"/>
      <family val="2"/>
    </font>
    <font>
      <sz val="16"/>
      <color theme="8" tint="-0.249977111117893"/>
      <name val="Arial"/>
      <family val="2"/>
    </font>
    <font>
      <b/>
      <sz val="12"/>
      <color theme="8" tint="-0.249977111117893"/>
      <name val="Arial"/>
      <family val="2"/>
    </font>
    <font>
      <b/>
      <sz val="14"/>
      <color theme="8" tint="-0.249977111117893"/>
      <name val="Arial"/>
      <family val="2"/>
    </font>
    <font>
      <b/>
      <sz val="16"/>
      <color theme="8" tint="-0.249977111117893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sz val="11"/>
      <color theme="1"/>
      <name val="Calibri"/>
      <family val="2"/>
    </font>
    <font>
      <b/>
      <sz val="12"/>
      <color theme="8" tint="-0.249977111117893"/>
      <name val="Calibri"/>
      <family val="2"/>
      <scheme val="minor"/>
    </font>
    <font>
      <b/>
      <sz val="12"/>
      <color theme="8" tint="-0.249977111117893"/>
      <name val="Calibri"/>
      <family val="2"/>
    </font>
    <font>
      <b/>
      <sz val="12"/>
      <color rgb="FFFFFFFF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Book Antiqua"/>
      <family val="1"/>
    </font>
    <font>
      <b/>
      <sz val="12"/>
      <color theme="1"/>
      <name val="Book Antiqua"/>
      <family val="1"/>
    </font>
    <font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2"/>
      <color theme="9" tint="-0.249977111117893"/>
      <name val="Arial"/>
      <family val="2"/>
    </font>
    <font>
      <b/>
      <sz val="12"/>
      <color rgb="FFFFFF00"/>
      <name val="Arial"/>
      <family val="2"/>
    </font>
    <font>
      <sz val="11"/>
      <color theme="3" tint="0.3999755851924192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BACC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73">
    <border>
      <left/>
      <right/>
      <top/>
      <bottom/>
      <diagonal/>
    </border>
    <border>
      <left style="medium">
        <color rgb="FF4BACC6"/>
      </left>
      <right/>
      <top style="medium">
        <color rgb="FF4BACC6"/>
      </top>
      <bottom/>
      <diagonal/>
    </border>
    <border>
      <left/>
      <right/>
      <top style="medium">
        <color rgb="FF4BACC6"/>
      </top>
      <bottom/>
      <diagonal/>
    </border>
    <border>
      <left/>
      <right style="medium">
        <color rgb="FF4BACC6"/>
      </right>
      <top style="medium">
        <color rgb="FF4BACC6"/>
      </top>
      <bottom/>
      <diagonal/>
    </border>
    <border>
      <left style="medium">
        <color rgb="FF4BACC6"/>
      </left>
      <right/>
      <top style="medium">
        <color rgb="FF4BACC6"/>
      </top>
      <bottom style="medium">
        <color rgb="FF4BACC6"/>
      </bottom>
      <diagonal/>
    </border>
    <border>
      <left/>
      <right/>
      <top style="medium">
        <color rgb="FF4BACC6"/>
      </top>
      <bottom style="medium">
        <color rgb="FF4BACC6"/>
      </bottom>
      <diagonal/>
    </border>
    <border>
      <left/>
      <right style="medium">
        <color rgb="FF4BACC6"/>
      </right>
      <top style="medium">
        <color rgb="FF4BACC6"/>
      </top>
      <bottom style="medium">
        <color rgb="FF4BACC6"/>
      </bottom>
      <diagonal/>
    </border>
    <border>
      <left style="medium">
        <color rgb="FF4BACC6"/>
      </left>
      <right/>
      <top/>
      <bottom/>
      <diagonal/>
    </border>
    <border>
      <left/>
      <right style="medium">
        <color rgb="FF4BACC6"/>
      </right>
      <top/>
      <bottom/>
      <diagonal/>
    </border>
    <border>
      <left style="medium">
        <color rgb="FF4BACC6"/>
      </left>
      <right/>
      <top/>
      <bottom style="medium">
        <color rgb="FF4BACC6"/>
      </bottom>
      <diagonal/>
    </border>
    <border>
      <left/>
      <right/>
      <top/>
      <bottom style="medium">
        <color rgb="FF4BACC6"/>
      </bottom>
      <diagonal/>
    </border>
    <border>
      <left/>
      <right style="medium">
        <color rgb="FF4BACC6"/>
      </right>
      <top/>
      <bottom style="medium">
        <color rgb="FF4BACC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4BACC6"/>
      </left>
      <right/>
      <top style="medium">
        <color rgb="FF4BACC6"/>
      </top>
      <bottom style="thin">
        <color indexed="64"/>
      </bottom>
      <diagonal/>
    </border>
    <border>
      <left/>
      <right style="medium">
        <color rgb="FF4BACC6"/>
      </right>
      <top style="medium">
        <color rgb="FF4BACC6"/>
      </top>
      <bottom style="thin">
        <color indexed="64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/>
      <diagonal/>
    </border>
    <border>
      <left/>
      <right/>
      <top style="medium">
        <color theme="8" tint="-0.249977111117893"/>
      </top>
      <bottom/>
      <diagonal/>
    </border>
    <border>
      <left/>
      <right style="medium">
        <color theme="8" tint="-0.249977111117893"/>
      </right>
      <top style="medium">
        <color theme="8" tint="-0.249977111117893"/>
      </top>
      <bottom/>
      <diagonal/>
    </border>
    <border>
      <left style="medium">
        <color theme="8" tint="-0.249977111117893"/>
      </left>
      <right/>
      <top/>
      <bottom/>
      <diagonal/>
    </border>
    <border>
      <left/>
      <right style="medium">
        <color theme="8" tint="-0.249977111117893"/>
      </right>
      <top/>
      <bottom/>
      <diagonal/>
    </border>
    <border>
      <left style="medium">
        <color theme="8" tint="-0.249977111117893"/>
      </left>
      <right/>
      <top/>
      <bottom style="medium">
        <color theme="8" tint="-0.249977111117893"/>
      </bottom>
      <diagonal/>
    </border>
    <border>
      <left/>
      <right/>
      <top/>
      <bottom style="medium">
        <color theme="8" tint="-0.249977111117893"/>
      </bottom>
      <diagonal/>
    </border>
    <border>
      <left/>
      <right style="medium">
        <color theme="8" tint="-0.249977111117893"/>
      </right>
      <top/>
      <bottom style="medium">
        <color theme="8" tint="-0.249977111117893"/>
      </bottom>
      <diagonal/>
    </border>
    <border>
      <left style="medium">
        <color theme="8" tint="-0.249977111117893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medium">
        <color theme="8" tint="-0.249977111117893"/>
      </left>
      <right style="medium">
        <color theme="8" tint="-0.249977111117893"/>
      </right>
      <top/>
      <bottom/>
      <diagonal/>
    </border>
    <border>
      <left/>
      <right/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rgb="FF4BACC6"/>
      </top>
      <bottom style="thin">
        <color indexed="64"/>
      </bottom>
      <diagonal/>
    </border>
    <border>
      <left style="medium">
        <color theme="8" tint="-0.24997711111789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8" tint="-0.249977111117893"/>
      </left>
      <right style="thin">
        <color indexed="64"/>
      </right>
      <top style="thin">
        <color indexed="64"/>
      </top>
      <bottom style="medium">
        <color theme="8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rgb="FF4BACC6"/>
      </top>
      <bottom style="medium">
        <color theme="8" tint="-0.249977111117893"/>
      </bottom>
      <diagonal/>
    </border>
    <border>
      <left/>
      <right/>
      <top style="medium">
        <color rgb="FF4BACC6"/>
      </top>
      <bottom style="medium">
        <color theme="8" tint="-0.249977111117893"/>
      </bottom>
      <diagonal/>
    </border>
    <border>
      <left style="medium">
        <color rgb="FF4BACC6"/>
      </left>
      <right style="medium">
        <color theme="8" tint="-0.249977111117893"/>
      </right>
      <top style="medium">
        <color rgb="FF4BACC6"/>
      </top>
      <bottom/>
      <diagonal/>
    </border>
    <border>
      <left style="medium">
        <color rgb="FF4BACC6"/>
      </left>
      <right style="medium">
        <color theme="8" tint="-0.249977111117893"/>
      </right>
      <top/>
      <bottom/>
      <diagonal/>
    </border>
    <border>
      <left style="medium">
        <color rgb="FF4BACC6"/>
      </left>
      <right style="medium">
        <color theme="8" tint="-0.249977111117893"/>
      </right>
      <top/>
      <bottom style="medium">
        <color rgb="FF4BACC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8" tint="-0.24997711111789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8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theme="8" tint="-0.249977111117893"/>
      </right>
      <top/>
      <bottom style="thin">
        <color indexed="64"/>
      </bottom>
      <diagonal/>
    </border>
    <border>
      <left style="medium">
        <color theme="8" tint="-0.249977111117893"/>
      </left>
      <right style="medium">
        <color theme="8" tint="-0.249977111117893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23" fillId="0" borderId="0" applyFont="0" applyFill="0" applyBorder="0" applyAlignment="0" applyProtection="0"/>
  </cellStyleXfs>
  <cellXfs count="285">
    <xf numFmtId="0" fontId="0" fillId="0" borderId="0" xfId="0"/>
    <xf numFmtId="0" fontId="2" fillId="2" borderId="1" xfId="0" applyFont="1" applyFill="1" applyBorder="1" applyAlignment="1">
      <alignment horizontal="justify" vertical="center" wrapText="1"/>
    </xf>
    <xf numFmtId="0" fontId="2" fillId="2" borderId="2" xfId="0" applyFont="1" applyFill="1" applyBorder="1" applyAlignment="1">
      <alignment horizontal="justify" vertical="center" wrapText="1"/>
    </xf>
    <xf numFmtId="0" fontId="2" fillId="2" borderId="3" xfId="0" applyFont="1" applyFill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9" fontId="1" fillId="0" borderId="5" xfId="0" applyNumberFormat="1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9" fontId="1" fillId="0" borderId="10" xfId="0" applyNumberFormat="1" applyFont="1" applyBorder="1" applyAlignment="1">
      <alignment horizontal="justify" vertical="center" wrapText="1"/>
    </xf>
    <xf numFmtId="0" fontId="1" fillId="0" borderId="11" xfId="0" applyFont="1" applyBorder="1" applyAlignment="1">
      <alignment horizontal="justify" vertical="center" wrapText="1"/>
    </xf>
    <xf numFmtId="9" fontId="1" fillId="0" borderId="6" xfId="0" applyNumberFormat="1" applyFont="1" applyBorder="1" applyAlignment="1">
      <alignment horizontal="justify" vertical="center" wrapText="1"/>
    </xf>
    <xf numFmtId="9" fontId="1" fillId="0" borderId="8" xfId="0" applyNumberFormat="1" applyFont="1" applyBorder="1" applyAlignment="1">
      <alignment horizontal="justify" vertical="center" wrapText="1"/>
    </xf>
    <xf numFmtId="0" fontId="0" fillId="0" borderId="15" xfId="0" applyBorder="1"/>
    <xf numFmtId="0" fontId="0" fillId="0" borderId="16" xfId="0" applyBorder="1"/>
    <xf numFmtId="9" fontId="1" fillId="0" borderId="0" xfId="0" applyNumberFormat="1" applyFont="1" applyBorder="1" applyAlignment="1">
      <alignment horizontal="justify" vertical="center" wrapText="1"/>
    </xf>
    <xf numFmtId="0" fontId="0" fillId="0" borderId="0" xfId="0" applyBorder="1"/>
    <xf numFmtId="0" fontId="1" fillId="0" borderId="15" xfId="0" applyFont="1" applyBorder="1" applyAlignment="1">
      <alignment horizontal="justify"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3" fillId="0" borderId="0" xfId="0" applyFont="1" applyBorder="1"/>
    <xf numFmtId="0" fontId="1" fillId="0" borderId="0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/>
    <xf numFmtId="0" fontId="0" fillId="0" borderId="0" xfId="0" applyBorder="1" applyAlignment="1">
      <alignment horizontal="left" vertical="center"/>
    </xf>
    <xf numFmtId="0" fontId="4" fillId="0" borderId="20" xfId="0" applyFon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4" fillId="0" borderId="36" xfId="0" applyFont="1" applyBorder="1" applyAlignment="1">
      <alignment horizontal="center" vertical="center"/>
    </xf>
    <xf numFmtId="0" fontId="0" fillId="0" borderId="27" xfId="0" applyBorder="1" applyAlignment="1">
      <alignment horizontal="left" vertical="center"/>
    </xf>
    <xf numFmtId="0" fontId="13" fillId="0" borderId="26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2" fontId="0" fillId="0" borderId="34" xfId="0" applyNumberFormat="1" applyFont="1" applyBorder="1" applyAlignment="1">
      <alignment horizontal="center" vertical="center"/>
    </xf>
    <xf numFmtId="2" fontId="0" fillId="0" borderId="32" xfId="0" applyNumberFormat="1" applyFont="1" applyBorder="1" applyAlignment="1">
      <alignment horizontal="center" vertical="center"/>
    </xf>
    <xf numFmtId="164" fontId="0" fillId="0" borderId="41" xfId="0" applyNumberForma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0" fillId="0" borderId="27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29" xfId="0" applyFont="1" applyBorder="1" applyAlignment="1">
      <alignment horizontal="left" vertical="center"/>
    </xf>
    <xf numFmtId="0" fontId="0" fillId="0" borderId="30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27" xfId="0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14" fillId="0" borderId="3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164" fontId="0" fillId="0" borderId="34" xfId="0" applyNumberFormat="1" applyFont="1" applyBorder="1" applyAlignment="1">
      <alignment horizontal="center" vertical="center"/>
    </xf>
    <xf numFmtId="164" fontId="0" fillId="0" borderId="32" xfId="0" applyNumberFormat="1" applyFont="1" applyBorder="1" applyAlignment="1">
      <alignment horizontal="center" vertical="center"/>
    </xf>
    <xf numFmtId="0" fontId="9" fillId="0" borderId="0" xfId="0" applyFont="1" applyBorder="1" applyAlignment="1"/>
    <xf numFmtId="0" fontId="3" fillId="0" borderId="28" xfId="0" applyFont="1" applyBorder="1" applyAlignment="1">
      <alignment horizontal="justify" vertical="center" wrapText="1"/>
    </xf>
    <xf numFmtId="0" fontId="3" fillId="0" borderId="34" xfId="0" applyFont="1" applyBorder="1" applyAlignment="1">
      <alignment horizontal="justify" vertical="center" wrapText="1"/>
    </xf>
    <xf numFmtId="0" fontId="1" fillId="0" borderId="33" xfId="0" applyFont="1" applyBorder="1" applyAlignment="1">
      <alignment horizontal="justify" vertical="center" wrapText="1"/>
    </xf>
    <xf numFmtId="0" fontId="1" fillId="0" borderId="34" xfId="0" applyFont="1" applyBorder="1" applyAlignment="1">
      <alignment horizontal="justify" vertical="center" wrapText="1"/>
    </xf>
    <xf numFmtId="0" fontId="1" fillId="0" borderId="32" xfId="0" applyFont="1" applyBorder="1" applyAlignment="1">
      <alignment horizontal="justify" vertical="center" wrapText="1"/>
    </xf>
    <xf numFmtId="9" fontId="1" fillId="0" borderId="33" xfId="0" applyNumberFormat="1" applyFont="1" applyBorder="1" applyAlignment="1">
      <alignment horizontal="justify" vertical="center" wrapText="1"/>
    </xf>
    <xf numFmtId="9" fontId="1" fillId="0" borderId="34" xfId="0" applyNumberFormat="1" applyFont="1" applyBorder="1" applyAlignment="1">
      <alignment horizontal="justify" vertical="center" wrapText="1"/>
    </xf>
    <xf numFmtId="9" fontId="1" fillId="0" borderId="32" xfId="0" applyNumberFormat="1" applyFont="1" applyBorder="1" applyAlignment="1">
      <alignment horizontal="justify" vertical="center" wrapText="1"/>
    </xf>
    <xf numFmtId="0" fontId="2" fillId="2" borderId="0" xfId="0" applyFont="1" applyFill="1" applyBorder="1" applyAlignment="1">
      <alignment horizontal="justify" vertical="center" wrapText="1"/>
    </xf>
    <xf numFmtId="0" fontId="1" fillId="0" borderId="26" xfId="0" applyFont="1" applyBorder="1" applyAlignment="1">
      <alignment horizontal="justify" vertical="center" wrapText="1"/>
    </xf>
    <xf numFmtId="0" fontId="1" fillId="0" borderId="28" xfId="0" applyFont="1" applyBorder="1" applyAlignment="1">
      <alignment horizontal="justify" vertical="center" wrapText="1"/>
    </xf>
    <xf numFmtId="0" fontId="1" fillId="0" borderId="31" xfId="0" applyFont="1" applyBorder="1" applyAlignment="1">
      <alignment horizontal="justify" vertical="center" wrapText="1"/>
    </xf>
    <xf numFmtId="0" fontId="3" fillId="0" borderId="47" xfId="0" applyFont="1" applyBorder="1" applyAlignment="1">
      <alignment horizontal="justify" vertical="center" wrapText="1"/>
    </xf>
    <xf numFmtId="0" fontId="3" fillId="0" borderId="48" xfId="0" applyFont="1" applyBorder="1" applyAlignment="1">
      <alignment horizontal="justify" vertical="center" wrapText="1"/>
    </xf>
    <xf numFmtId="0" fontId="4" fillId="3" borderId="0" xfId="0" applyFont="1" applyFill="1" applyBorder="1" applyAlignment="1"/>
    <xf numFmtId="0" fontId="4" fillId="3" borderId="0" xfId="0" applyFont="1" applyFill="1" applyBorder="1" applyAlignment="1">
      <alignment vertic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 applyAlignment="1" applyProtection="1">
      <alignment horizontal="center" vertical="center"/>
      <protection locked="0"/>
    </xf>
    <xf numFmtId="0" fontId="0" fillId="3" borderId="0" xfId="0" applyFont="1" applyFill="1" applyBorder="1"/>
    <xf numFmtId="0" fontId="4" fillId="3" borderId="0" xfId="0" applyFont="1" applyFill="1" applyBorder="1"/>
    <xf numFmtId="0" fontId="19" fillId="3" borderId="0" xfId="0" applyFont="1" applyFill="1" applyBorder="1"/>
    <xf numFmtId="0" fontId="21" fillId="3" borderId="0" xfId="0" applyFont="1" applyFill="1" applyBorder="1"/>
    <xf numFmtId="0" fontId="22" fillId="3" borderId="0" xfId="0" applyFont="1" applyFill="1" applyBorder="1"/>
    <xf numFmtId="1" fontId="1" fillId="0" borderId="34" xfId="0" applyNumberFormat="1" applyFont="1" applyBorder="1" applyAlignment="1">
      <alignment horizontal="justify" vertical="center" wrapText="1"/>
    </xf>
    <xf numFmtId="0" fontId="17" fillId="2" borderId="0" xfId="0" applyFont="1" applyFill="1" applyBorder="1" applyAlignment="1">
      <alignment horizontal="justify" vertical="center" wrapText="1"/>
    </xf>
    <xf numFmtId="14" fontId="4" fillId="3" borderId="52" xfId="0" applyNumberFormat="1" applyFont="1" applyFill="1" applyBorder="1" applyAlignment="1" applyProtection="1">
      <alignment horizontal="center" vertical="center"/>
      <protection locked="0"/>
    </xf>
    <xf numFmtId="14" fontId="4" fillId="3" borderId="51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18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9" fontId="18" fillId="0" borderId="20" xfId="0" applyNumberFormat="1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9" fontId="18" fillId="0" borderId="52" xfId="0" applyNumberFormat="1" applyFont="1" applyFill="1" applyBorder="1" applyAlignment="1">
      <alignment horizontal="center" vertical="center" wrapText="1"/>
    </xf>
    <xf numFmtId="0" fontId="18" fillId="0" borderId="58" xfId="0" applyFont="1" applyFill="1" applyBorder="1" applyAlignment="1">
      <alignment horizontal="center" vertical="center" wrapText="1"/>
    </xf>
    <xf numFmtId="9" fontId="18" fillId="0" borderId="59" xfId="0" applyNumberFormat="1" applyFont="1" applyFill="1" applyBorder="1" applyAlignment="1">
      <alignment vertical="center" wrapText="1"/>
    </xf>
    <xf numFmtId="9" fontId="18" fillId="0" borderId="0" xfId="0" applyNumberFormat="1" applyFont="1" applyFill="1" applyBorder="1" applyAlignment="1">
      <alignment vertical="center" wrapText="1"/>
    </xf>
    <xf numFmtId="9" fontId="18" fillId="0" borderId="20" xfId="0" applyNumberFormat="1" applyFont="1" applyFill="1" applyBorder="1" applyAlignment="1">
      <alignment vertical="center" wrapText="1"/>
    </xf>
    <xf numFmtId="0" fontId="18" fillId="0" borderId="20" xfId="0" applyFont="1" applyFill="1" applyBorder="1" applyAlignment="1">
      <alignment vertical="center" wrapText="1"/>
    </xf>
    <xf numFmtId="9" fontId="18" fillId="0" borderId="52" xfId="0" applyNumberFormat="1" applyFont="1" applyFill="1" applyBorder="1" applyAlignment="1">
      <alignment vertical="center" wrapText="1"/>
    </xf>
    <xf numFmtId="0" fontId="18" fillId="0" borderId="52" xfId="0" applyFont="1" applyFill="1" applyBorder="1" applyAlignment="1">
      <alignment vertical="center" wrapText="1"/>
    </xf>
    <xf numFmtId="9" fontId="18" fillId="0" borderId="60" xfId="0" applyNumberFormat="1" applyFont="1" applyFill="1" applyBorder="1" applyAlignment="1">
      <alignment horizontal="center" vertical="center" wrapText="1"/>
    </xf>
    <xf numFmtId="9" fontId="18" fillId="0" borderId="55" xfId="0" applyNumberFormat="1" applyFont="1" applyFill="1" applyBorder="1" applyAlignment="1">
      <alignment horizontal="center" vertical="center" wrapText="1"/>
    </xf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3" fillId="5" borderId="7" xfId="0" applyFont="1" applyFill="1" applyBorder="1" applyAlignment="1">
      <alignment horizontal="justify" vertical="center" wrapText="1"/>
    </xf>
    <xf numFmtId="9" fontId="1" fillId="5" borderId="0" xfId="0" applyNumberFormat="1" applyFont="1" applyFill="1" applyBorder="1" applyAlignment="1">
      <alignment horizontal="justify" vertical="center" wrapText="1"/>
    </xf>
    <xf numFmtId="0" fontId="1" fillId="5" borderId="8" xfId="0" applyFont="1" applyFill="1" applyBorder="1" applyAlignment="1">
      <alignment horizontal="justify" vertical="center" wrapText="1"/>
    </xf>
    <xf numFmtId="0" fontId="3" fillId="5" borderId="4" xfId="0" applyFont="1" applyFill="1" applyBorder="1" applyAlignment="1">
      <alignment horizontal="justify" vertical="center" wrapText="1"/>
    </xf>
    <xf numFmtId="9" fontId="1" fillId="5" borderId="6" xfId="0" applyNumberFormat="1" applyFont="1" applyFill="1" applyBorder="1" applyAlignment="1">
      <alignment horizontal="justify" vertical="center" wrapText="1"/>
    </xf>
    <xf numFmtId="9" fontId="3" fillId="5" borderId="4" xfId="0" applyNumberFormat="1" applyFont="1" applyFill="1" applyBorder="1" applyAlignment="1">
      <alignment horizontal="justify" vertical="center" wrapText="1"/>
    </xf>
    <xf numFmtId="0" fontId="3" fillId="5" borderId="9" xfId="0" applyFont="1" applyFill="1" applyBorder="1" applyAlignment="1">
      <alignment horizontal="justify" vertical="center" wrapText="1"/>
    </xf>
    <xf numFmtId="9" fontId="1" fillId="5" borderId="11" xfId="0" applyNumberFormat="1" applyFont="1" applyFill="1" applyBorder="1" applyAlignment="1">
      <alignment horizontal="justify" vertical="center" wrapText="1"/>
    </xf>
    <xf numFmtId="0" fontId="1" fillId="5" borderId="6" xfId="0" applyFont="1" applyFill="1" applyBorder="1" applyAlignment="1">
      <alignment horizontal="justify" vertical="center" wrapText="1"/>
    </xf>
    <xf numFmtId="0" fontId="18" fillId="0" borderId="56" xfId="0" applyFont="1" applyFill="1" applyBorder="1" applyAlignment="1">
      <alignment vertical="center" wrapText="1"/>
    </xf>
    <xf numFmtId="0" fontId="20" fillId="3" borderId="0" xfId="0" applyFont="1" applyFill="1" applyBorder="1" applyAlignment="1" applyProtection="1">
      <protection locked="0"/>
    </xf>
    <xf numFmtId="0" fontId="0" fillId="4" borderId="27" xfId="0" applyFill="1" applyBorder="1" applyAlignment="1">
      <alignment horizontal="left" vertical="center"/>
    </xf>
    <xf numFmtId="0" fontId="0" fillId="4" borderId="27" xfId="0" applyFont="1" applyFill="1" applyBorder="1" applyAlignment="1">
      <alignment horizontal="left" vertical="center"/>
    </xf>
    <xf numFmtId="0" fontId="0" fillId="4" borderId="0" xfId="0" applyFont="1" applyFill="1" applyBorder="1" applyAlignment="1">
      <alignment horizontal="left" vertical="center"/>
    </xf>
    <xf numFmtId="0" fontId="0" fillId="4" borderId="0" xfId="0" applyFill="1" applyBorder="1" applyAlignment="1">
      <alignment horizontal="left" vertical="center"/>
    </xf>
    <xf numFmtId="0" fontId="0" fillId="4" borderId="34" xfId="0" applyFill="1" applyBorder="1" applyAlignment="1">
      <alignment horizontal="center" vertical="center"/>
    </xf>
    <xf numFmtId="164" fontId="0" fillId="4" borderId="33" xfId="0" applyNumberFormat="1" applyFont="1" applyFill="1" applyBorder="1" applyAlignment="1">
      <alignment horizontal="center" vertical="center"/>
    </xf>
    <xf numFmtId="2" fontId="0" fillId="4" borderId="34" xfId="0" applyNumberFormat="1" applyFont="1" applyFill="1" applyBorder="1" applyAlignment="1">
      <alignment horizontal="center" vertical="center"/>
    </xf>
    <xf numFmtId="164" fontId="27" fillId="4" borderId="20" xfId="0" applyNumberFormat="1" applyFont="1" applyFill="1" applyBorder="1" applyAlignment="1">
      <alignment horizontal="center" vertical="center"/>
    </xf>
    <xf numFmtId="0" fontId="15" fillId="0" borderId="61" xfId="0" applyFont="1" applyBorder="1"/>
    <xf numFmtId="0" fontId="16" fillId="0" borderId="61" xfId="0" applyFont="1" applyBorder="1"/>
    <xf numFmtId="0" fontId="15" fillId="0" borderId="61" xfId="0" applyFont="1" applyFill="1" applyBorder="1"/>
    <xf numFmtId="0" fontId="0" fillId="0" borderId="48" xfId="0" applyFill="1" applyBorder="1"/>
    <xf numFmtId="0" fontId="0" fillId="0" borderId="49" xfId="0" applyFill="1" applyBorder="1"/>
    <xf numFmtId="9" fontId="18" fillId="0" borderId="56" xfId="0" applyNumberFormat="1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65" xfId="0" applyFont="1" applyBorder="1" applyAlignment="1">
      <alignment horizontal="justify" vertical="center" wrapText="1"/>
    </xf>
    <xf numFmtId="0" fontId="3" fillId="0" borderId="66" xfId="0" applyFont="1" applyBorder="1" applyAlignment="1">
      <alignment horizontal="justify" vertical="center" wrapText="1"/>
    </xf>
    <xf numFmtId="0" fontId="3" fillId="0" borderId="54" xfId="0" applyFont="1" applyBorder="1" applyAlignment="1">
      <alignment horizontal="justify" vertical="center" wrapText="1"/>
    </xf>
    <xf numFmtId="9" fontId="1" fillId="0" borderId="54" xfId="0" applyNumberFormat="1" applyFont="1" applyBorder="1" applyAlignment="1">
      <alignment horizontal="justify" vertical="center" wrapText="1"/>
    </xf>
    <xf numFmtId="0" fontId="1" fillId="0" borderId="67" xfId="0" applyFont="1" applyBorder="1" applyAlignment="1">
      <alignment horizontal="justify" vertical="center" wrapText="1"/>
    </xf>
    <xf numFmtId="1" fontId="1" fillId="0" borderId="67" xfId="0" applyNumberFormat="1" applyFont="1" applyBorder="1" applyAlignment="1">
      <alignment horizontal="justify" vertical="center" wrapText="1"/>
    </xf>
    <xf numFmtId="0" fontId="1" fillId="0" borderId="54" xfId="0" applyFont="1" applyBorder="1" applyAlignment="1">
      <alignment horizontal="justify" vertical="center" wrapText="1"/>
    </xf>
    <xf numFmtId="0" fontId="3" fillId="0" borderId="67" xfId="0" applyFont="1" applyBorder="1" applyAlignment="1">
      <alignment horizontal="justify" vertical="center" wrapText="1"/>
    </xf>
    <xf numFmtId="9" fontId="1" fillId="0" borderId="67" xfId="0" applyNumberFormat="1" applyFont="1" applyBorder="1" applyAlignment="1">
      <alignment horizontal="justify" vertical="center" wrapText="1"/>
    </xf>
    <xf numFmtId="9" fontId="0" fillId="0" borderId="0" xfId="0" applyNumberFormat="1" applyBorder="1" applyAlignment="1"/>
    <xf numFmtId="0" fontId="0" fillId="0" borderId="0" xfId="0" applyBorder="1" applyAlignment="1"/>
    <xf numFmtId="9" fontId="0" fillId="0" borderId="0" xfId="1" applyFont="1" applyBorder="1" applyAlignment="1"/>
    <xf numFmtId="10" fontId="3" fillId="0" borderId="61" xfId="0" applyNumberFormat="1" applyFont="1" applyFill="1" applyBorder="1" applyAlignment="1">
      <alignment horizontal="justify" vertical="center" wrapText="1"/>
    </xf>
    <xf numFmtId="10" fontId="0" fillId="0" borderId="0" xfId="0" applyNumberFormat="1" applyBorder="1" applyAlignment="1"/>
    <xf numFmtId="0" fontId="0" fillId="0" borderId="14" xfId="0" applyBorder="1"/>
    <xf numFmtId="0" fontId="0" fillId="0" borderId="61" xfId="0" applyBorder="1" applyAlignment="1">
      <alignment wrapText="1"/>
    </xf>
    <xf numFmtId="0" fontId="0" fillId="0" borderId="61" xfId="0" applyBorder="1"/>
    <xf numFmtId="0" fontId="0" fillId="0" borderId="48" xfId="0" applyBorder="1" applyAlignment="1"/>
    <xf numFmtId="0" fontId="0" fillId="0" borderId="20" xfId="0" applyBorder="1"/>
    <xf numFmtId="0" fontId="0" fillId="0" borderId="50" xfId="0" applyBorder="1"/>
    <xf numFmtId="0" fontId="0" fillId="0" borderId="52" xfId="0" applyBorder="1"/>
    <xf numFmtId="0" fontId="0" fillId="0" borderId="53" xfId="0" applyBorder="1" applyAlignment="1">
      <alignment wrapText="1"/>
    </xf>
    <xf numFmtId="0" fontId="0" fillId="0" borderId="60" xfId="0" applyBorder="1"/>
    <xf numFmtId="0" fontId="0" fillId="0" borderId="55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8" fillId="0" borderId="68" xfId="0" applyFont="1" applyFill="1" applyBorder="1" applyAlignment="1">
      <alignment horizontal="center" vertical="center" wrapText="1"/>
    </xf>
    <xf numFmtId="0" fontId="18" fillId="0" borderId="55" xfId="0" applyFont="1" applyFill="1" applyBorder="1" applyAlignment="1">
      <alignment horizontal="center" vertical="center" wrapText="1"/>
    </xf>
    <xf numFmtId="0" fontId="18" fillId="0" borderId="54" xfId="0" applyFont="1" applyFill="1" applyBorder="1" applyAlignment="1">
      <alignment horizontal="center" vertical="center" wrapText="1"/>
    </xf>
    <xf numFmtId="0" fontId="18" fillId="0" borderId="59" xfId="0" applyFont="1" applyFill="1" applyBorder="1" applyAlignment="1">
      <alignment vertical="center" wrapText="1"/>
    </xf>
    <xf numFmtId="0" fontId="18" fillId="0" borderId="55" xfId="0" applyFont="1" applyFill="1" applyBorder="1" applyAlignment="1">
      <alignment vertical="center" wrapText="1"/>
    </xf>
    <xf numFmtId="0" fontId="18" fillId="0" borderId="72" xfId="0" applyFont="1" applyFill="1" applyBorder="1" applyAlignment="1">
      <alignment vertical="center" wrapText="1"/>
    </xf>
    <xf numFmtId="0" fontId="18" fillId="0" borderId="71" xfId="0" applyFont="1" applyFill="1" applyBorder="1" applyAlignment="1">
      <alignment vertical="center" wrapText="1"/>
    </xf>
    <xf numFmtId="0" fontId="18" fillId="0" borderId="52" xfId="0" applyFont="1" applyFill="1" applyBorder="1" applyAlignment="1">
      <alignment horizontal="center" vertical="center" wrapText="1"/>
    </xf>
    <xf numFmtId="0" fontId="18" fillId="0" borderId="56" xfId="0" applyFont="1" applyFill="1" applyBorder="1" applyAlignment="1">
      <alignment horizontal="center" vertical="center" wrapText="1"/>
    </xf>
    <xf numFmtId="0" fontId="18" fillId="0" borderId="7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24" fillId="2" borderId="44" xfId="0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  <xf numFmtId="0" fontId="24" fillId="2" borderId="46" xfId="0" applyFont="1" applyFill="1" applyBorder="1" applyAlignment="1">
      <alignment horizontal="center" vertical="center" wrapText="1"/>
    </xf>
    <xf numFmtId="0" fontId="25" fillId="2" borderId="44" xfId="0" applyFont="1" applyFill="1" applyBorder="1" applyAlignment="1">
      <alignment horizontal="center" vertical="center" wrapText="1"/>
    </xf>
    <xf numFmtId="0" fontId="25" fillId="2" borderId="45" xfId="0" applyFont="1" applyFill="1" applyBorder="1" applyAlignment="1">
      <alignment horizontal="center" vertical="center" wrapText="1"/>
    </xf>
    <xf numFmtId="0" fontId="25" fillId="2" borderId="46" xfId="0" applyFont="1" applyFill="1" applyBorder="1" applyAlignment="1">
      <alignment horizontal="center" vertical="center" wrapText="1"/>
    </xf>
    <xf numFmtId="0" fontId="26" fillId="2" borderId="44" xfId="0" applyFont="1" applyFill="1" applyBorder="1" applyAlignment="1">
      <alignment horizontal="center" vertical="center" wrapText="1"/>
    </xf>
    <xf numFmtId="0" fontId="26" fillId="2" borderId="45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10" fillId="0" borderId="24" xfId="0" applyFont="1" applyBorder="1" applyAlignment="1">
      <alignment horizontal="center" wrapText="1"/>
    </xf>
    <xf numFmtId="0" fontId="10" fillId="0" borderId="25" xfId="0" applyFont="1" applyBorder="1" applyAlignment="1">
      <alignment horizontal="center" wrapText="1"/>
    </xf>
    <xf numFmtId="0" fontId="10" fillId="0" borderId="26" xfId="0" applyFont="1" applyBorder="1" applyAlignment="1">
      <alignment horizontal="center" wrapText="1"/>
    </xf>
    <xf numFmtId="0" fontId="9" fillId="0" borderId="2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6" xfId="0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27" fillId="4" borderId="39" xfId="0" applyFont="1" applyFill="1" applyBorder="1" applyAlignment="1">
      <alignment horizontal="left" vertical="center"/>
    </xf>
    <xf numFmtId="0" fontId="27" fillId="4" borderId="20" xfId="0" applyFont="1" applyFill="1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4" fillId="0" borderId="3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0" fillId="0" borderId="27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20" fillId="3" borderId="0" xfId="0" applyFont="1" applyFill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19" fillId="3" borderId="0" xfId="0" applyFont="1" applyFill="1" applyBorder="1" applyAlignment="1">
      <alignment horizontal="center"/>
    </xf>
    <xf numFmtId="14" fontId="4" fillId="3" borderId="52" xfId="0" applyNumberFormat="1" applyFont="1" applyFill="1" applyBorder="1" applyAlignment="1" applyProtection="1">
      <alignment horizontal="center" vertical="center"/>
      <protection locked="0"/>
    </xf>
    <xf numFmtId="14" fontId="4" fillId="3" borderId="51" xfId="0" applyNumberFormat="1" applyFont="1" applyFill="1" applyBorder="1" applyAlignment="1" applyProtection="1">
      <alignment horizontal="center" vertical="center"/>
      <protection locked="0"/>
    </xf>
    <xf numFmtId="0" fontId="3" fillId="3" borderId="52" xfId="0" applyFont="1" applyFill="1" applyBorder="1" applyAlignment="1">
      <alignment horizontal="center"/>
    </xf>
    <xf numFmtId="0" fontId="3" fillId="3" borderId="51" xfId="0" applyFont="1" applyFill="1" applyBorder="1" applyAlignment="1">
      <alignment horizontal="center"/>
    </xf>
    <xf numFmtId="0" fontId="3" fillId="3" borderId="50" xfId="0" applyFont="1" applyFill="1" applyBorder="1" applyAlignment="1">
      <alignment horizontal="center"/>
    </xf>
    <xf numFmtId="14" fontId="3" fillId="3" borderId="52" xfId="0" applyNumberFormat="1" applyFont="1" applyFill="1" applyBorder="1" applyAlignment="1" applyProtection="1">
      <alignment horizontal="center" vertical="center"/>
      <protection locked="0"/>
    </xf>
    <xf numFmtId="14" fontId="3" fillId="3" borderId="51" xfId="0" applyNumberFormat="1" applyFont="1" applyFill="1" applyBorder="1" applyAlignment="1" applyProtection="1">
      <alignment horizontal="center" vertical="center"/>
      <protection locked="0"/>
    </xf>
    <xf numFmtId="0" fontId="3" fillId="0" borderId="51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14" fontId="18" fillId="0" borderId="0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54" xfId="0" applyFont="1" applyFill="1" applyBorder="1" applyAlignment="1">
      <alignment horizontal="center" vertical="center" wrapText="1"/>
    </xf>
    <xf numFmtId="0" fontId="18" fillId="0" borderId="68" xfId="0" applyFont="1" applyFill="1" applyBorder="1" applyAlignment="1">
      <alignment horizontal="center" vertical="center" wrapText="1"/>
    </xf>
    <xf numFmtId="9" fontId="18" fillId="0" borderId="68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6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9" fillId="0" borderId="24" xfId="0" applyFont="1" applyBorder="1" applyAlignment="1">
      <alignment horizontal="center" wrapText="1"/>
    </xf>
    <xf numFmtId="0" fontId="9" fillId="0" borderId="25" xfId="0" applyFont="1" applyBorder="1" applyAlignment="1">
      <alignment horizontal="center" wrapText="1"/>
    </xf>
    <xf numFmtId="0" fontId="9" fillId="0" borderId="26" xfId="0" applyFont="1" applyBorder="1" applyAlignment="1">
      <alignment horizontal="center" wrapText="1"/>
    </xf>
    <xf numFmtId="10" fontId="0" fillId="0" borderId="62" xfId="0" applyNumberFormat="1" applyBorder="1" applyAlignment="1">
      <alignment horizontal="center"/>
    </xf>
    <xf numFmtId="10" fontId="0" fillId="0" borderId="63" xfId="0" applyNumberFormat="1" applyBorder="1" applyAlignment="1">
      <alignment horizontal="center"/>
    </xf>
    <xf numFmtId="10" fontId="0" fillId="0" borderId="64" xfId="0" applyNumberFormat="1" applyBorder="1" applyAlignment="1">
      <alignment horizontal="center"/>
    </xf>
  </cellXfs>
  <cellStyles count="2">
    <cellStyle name="Normal" xfId="0" builtinId="0"/>
    <cellStyle name="Porcentaje" xfId="1" builtinId="5"/>
  </cellStyles>
  <dxfs count="6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222251</xdr:colOff>
      <xdr:row>0</xdr:row>
      <xdr:rowOff>182477</xdr:rowOff>
    </xdr:from>
    <xdr:to>
      <xdr:col>8</xdr:col>
      <xdr:colOff>480421</xdr:colOff>
      <xdr:row>40</xdr:row>
      <xdr:rowOff>188828</xdr:rowOff>
    </xdr:to>
    <xdr:pic>
      <xdr:nvPicPr>
        <xdr:cNvPr id="3" name="Picture 2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" r="53471"/>
        <a:stretch/>
      </xdr:blipFill>
      <xdr:spPr bwMode="auto">
        <a:xfrm>
          <a:off x="833856" y="182477"/>
          <a:ext cx="4539407" cy="87492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1200150</xdr:colOff>
      <xdr:row>3</xdr:row>
      <xdr:rowOff>95249</xdr:rowOff>
    </xdr:from>
    <xdr:to>
      <xdr:col>5</xdr:col>
      <xdr:colOff>257175</xdr:colOff>
      <xdr:row>4</xdr:row>
      <xdr:rowOff>29164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0" y="771524"/>
          <a:ext cx="4495800" cy="4101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1323975</xdr:colOff>
      <xdr:row>34</xdr:row>
      <xdr:rowOff>38100</xdr:rowOff>
    </xdr:from>
    <xdr:to>
      <xdr:col>3</xdr:col>
      <xdr:colOff>142875</xdr:colOff>
      <xdr:row>35</xdr:row>
      <xdr:rowOff>57150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8915400"/>
          <a:ext cx="5524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1095374</xdr:colOff>
      <xdr:row>59</xdr:row>
      <xdr:rowOff>180975</xdr:rowOff>
    </xdr:from>
    <xdr:to>
      <xdr:col>3</xdr:col>
      <xdr:colOff>628649</xdr:colOff>
      <xdr:row>61</xdr:row>
      <xdr:rowOff>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4" y="15144750"/>
          <a:ext cx="1266825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1276350</xdr:colOff>
      <xdr:row>68</xdr:row>
      <xdr:rowOff>9525</xdr:rowOff>
    </xdr:from>
    <xdr:to>
      <xdr:col>3</xdr:col>
      <xdr:colOff>133350</xdr:colOff>
      <xdr:row>69</xdr:row>
      <xdr:rowOff>28575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7478375"/>
          <a:ext cx="5905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66675</xdr:rowOff>
    </xdr:from>
    <xdr:to>
      <xdr:col>9</xdr:col>
      <xdr:colOff>285750</xdr:colOff>
      <xdr:row>11</xdr:row>
      <xdr:rowOff>95250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/>
        <a:srcRect l="19872" t="13113" r="16346" b="48974"/>
        <a:stretch/>
      </xdr:blipFill>
      <xdr:spPr bwMode="auto">
        <a:xfrm>
          <a:off x="666750" y="66675"/>
          <a:ext cx="5715000" cy="19431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</xdr:col>
      <xdr:colOff>447676</xdr:colOff>
      <xdr:row>13</xdr:row>
      <xdr:rowOff>21934</xdr:rowOff>
    </xdr:from>
    <xdr:to>
      <xdr:col>6</xdr:col>
      <xdr:colOff>114300</xdr:colOff>
      <xdr:row>15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6" y="2574634"/>
          <a:ext cx="1304924" cy="5305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1</xdr:row>
      <xdr:rowOff>0</xdr:rowOff>
    </xdr:from>
    <xdr:to>
      <xdr:col>11</xdr:col>
      <xdr:colOff>343867</xdr:colOff>
      <xdr:row>3</xdr:row>
      <xdr:rowOff>152400</xdr:rowOff>
    </xdr:to>
    <xdr:pic>
      <xdr:nvPicPr>
        <xdr:cNvPr id="2" name="Picture 1" descr="Resultado de imagen para puce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534" b="13534"/>
        <a:stretch/>
      </xdr:blipFill>
      <xdr:spPr bwMode="auto">
        <a:xfrm>
          <a:off x="762000" y="190500"/>
          <a:ext cx="6924675" cy="1028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13048</xdr:colOff>
      <xdr:row>8</xdr:row>
      <xdr:rowOff>26095</xdr:rowOff>
    </xdr:from>
    <xdr:to>
      <xdr:col>33</xdr:col>
      <xdr:colOff>600205</xdr:colOff>
      <xdr:row>36</xdr:row>
      <xdr:rowOff>91335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/>
        <a:srcRect l="26065" t="14714" r="31104" b="27405"/>
        <a:stretch/>
      </xdr:blipFill>
      <xdr:spPr bwMode="auto">
        <a:xfrm>
          <a:off x="17184144" y="2439965"/>
          <a:ext cx="9172705" cy="645873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</xdr:col>
      <xdr:colOff>171450</xdr:colOff>
      <xdr:row>2</xdr:row>
      <xdr:rowOff>152400</xdr:rowOff>
    </xdr:from>
    <xdr:to>
      <xdr:col>4</xdr:col>
      <xdr:colOff>1543050</xdr:colOff>
      <xdr:row>2</xdr:row>
      <xdr:rowOff>504825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" y="533400"/>
          <a:ext cx="1371600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D4:F7" totalsRowShown="0" headerRowBorderDxfId="5" tableBorderDxfId="4" totalsRowBorderDxfId="3">
  <autoFilter ref="D4:F7"/>
  <tableColumns count="3">
    <tableColumn id="1" name="Administracion zonal" dataDxfId="2"/>
    <tableColumn id="2" name="Factor &quot;m&quot;" dataDxfId="1"/>
    <tableColumn id="3" name="%Eficiencia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2:AE19"/>
  <sheetViews>
    <sheetView zoomScale="95" zoomScaleNormal="95" workbookViewId="0">
      <selection activeCell="L6" sqref="L6:M6"/>
    </sheetView>
  </sheetViews>
  <sheetFormatPr baseColWidth="10" defaultColWidth="9.140625" defaultRowHeight="15" x14ac:dyDescent="0.25"/>
  <cols>
    <col min="11" max="11" width="19.85546875" customWidth="1"/>
    <col min="12" max="12" width="15.28515625" customWidth="1"/>
    <col min="30" max="30" width="1.7109375" customWidth="1"/>
    <col min="31" max="32" width="9.140625" customWidth="1"/>
  </cols>
  <sheetData>
    <row r="2" spans="11:31" ht="21" thickBot="1" x14ac:dyDescent="0.35">
      <c r="K2" s="25" t="s">
        <v>9</v>
      </c>
      <c r="L2" s="25"/>
    </row>
    <row r="3" spans="11:31" ht="32.25" thickBot="1" x14ac:dyDescent="0.3">
      <c r="K3" s="1" t="s">
        <v>10</v>
      </c>
      <c r="L3" s="169" t="s">
        <v>11</v>
      </c>
      <c r="M3" s="170"/>
      <c r="AD3" t="str">
        <f>K4</f>
        <v>Manuela Saenz</v>
      </c>
      <c r="AE3" t="str">
        <f>L4</f>
        <v>Centro Historico</v>
      </c>
    </row>
    <row r="4" spans="11:31" ht="32.25" customHeight="1" x14ac:dyDescent="0.25">
      <c r="K4" s="177" t="s">
        <v>12</v>
      </c>
      <c r="L4" s="171" t="s">
        <v>13</v>
      </c>
      <c r="M4" s="172"/>
      <c r="AD4" t="str">
        <f>K7</f>
        <v>Eloy Alfaro</v>
      </c>
      <c r="AE4" s="26" t="str">
        <f t="shared" ref="AE4:AE18" si="0">L5</f>
        <v>La Libertad</v>
      </c>
    </row>
    <row r="5" spans="11:31" ht="15.75" x14ac:dyDescent="0.25">
      <c r="K5" s="178"/>
      <c r="L5" s="173" t="s">
        <v>14</v>
      </c>
      <c r="M5" s="174"/>
      <c r="AD5" t="str">
        <f>K15</f>
        <v>Quitumbe</v>
      </c>
      <c r="AE5" s="26" t="str">
        <f t="shared" si="0"/>
        <v>Puengasí</v>
      </c>
    </row>
    <row r="6" spans="11:31" ht="16.5" thickBot="1" x14ac:dyDescent="0.3">
      <c r="K6" s="179"/>
      <c r="L6" s="175" t="s">
        <v>191</v>
      </c>
      <c r="M6" s="176"/>
      <c r="AE6" s="26" t="str">
        <f t="shared" si="0"/>
        <v>Chilibulo</v>
      </c>
    </row>
    <row r="7" spans="11:31" ht="15.75" x14ac:dyDescent="0.25">
      <c r="K7" s="180" t="s">
        <v>15</v>
      </c>
      <c r="L7" s="171" t="s">
        <v>16</v>
      </c>
      <c r="M7" s="172"/>
      <c r="AE7" s="26" t="str">
        <f t="shared" si="0"/>
        <v>Chimbacalle</v>
      </c>
    </row>
    <row r="8" spans="11:31" ht="15.75" x14ac:dyDescent="0.25">
      <c r="K8" s="181"/>
      <c r="L8" s="173" t="s">
        <v>17</v>
      </c>
      <c r="M8" s="174"/>
      <c r="AE8" s="26" t="str">
        <f t="shared" si="0"/>
        <v>La Argelia</v>
      </c>
    </row>
    <row r="9" spans="11:31" ht="15.75" x14ac:dyDescent="0.25">
      <c r="K9" s="181"/>
      <c r="L9" s="173" t="s">
        <v>18</v>
      </c>
      <c r="M9" s="174"/>
      <c r="AE9" s="26" t="str">
        <f t="shared" si="0"/>
        <v>La Ferroviaria</v>
      </c>
    </row>
    <row r="10" spans="11:31" ht="15.75" x14ac:dyDescent="0.25">
      <c r="K10" s="181"/>
      <c r="L10" s="185" t="s">
        <v>19</v>
      </c>
      <c r="M10" s="186"/>
      <c r="AE10" s="26" t="str">
        <f t="shared" si="0"/>
        <v>La Magdalena</v>
      </c>
    </row>
    <row r="11" spans="11:31" ht="32.25" customHeight="1" x14ac:dyDescent="0.25">
      <c r="K11" s="181"/>
      <c r="L11" s="173" t="s">
        <v>20</v>
      </c>
      <c r="M11" s="174"/>
      <c r="AE11" s="26" t="str">
        <f t="shared" si="0"/>
        <v>La Mena</v>
      </c>
    </row>
    <row r="12" spans="11:31" ht="15.75" x14ac:dyDescent="0.25">
      <c r="K12" s="181"/>
      <c r="L12" s="173" t="s">
        <v>21</v>
      </c>
      <c r="M12" s="174"/>
      <c r="AE12" s="26" t="str">
        <f t="shared" si="0"/>
        <v>San Bartolo</v>
      </c>
    </row>
    <row r="13" spans="11:31" ht="15.75" x14ac:dyDescent="0.25">
      <c r="K13" s="181"/>
      <c r="L13" s="173" t="s">
        <v>22</v>
      </c>
      <c r="M13" s="174"/>
      <c r="AE13" s="26" t="str">
        <f t="shared" si="0"/>
        <v>Solanda</v>
      </c>
    </row>
    <row r="14" spans="11:31" ht="16.5" thickBot="1" x14ac:dyDescent="0.3">
      <c r="K14" s="182"/>
      <c r="L14" s="175" t="s">
        <v>23</v>
      </c>
      <c r="M14" s="176"/>
      <c r="AE14" s="26" t="str">
        <f t="shared" si="0"/>
        <v>Chillogallo</v>
      </c>
    </row>
    <row r="15" spans="11:31" ht="15.75" x14ac:dyDescent="0.25">
      <c r="K15" s="183" t="s">
        <v>24</v>
      </c>
      <c r="L15" s="171" t="s">
        <v>25</v>
      </c>
      <c r="M15" s="172"/>
      <c r="AE15" s="26" t="str">
        <f>L16</f>
        <v>Guamaní</v>
      </c>
    </row>
    <row r="16" spans="11:31" ht="15.75" x14ac:dyDescent="0.25">
      <c r="K16" s="184"/>
      <c r="L16" s="173" t="s">
        <v>190</v>
      </c>
      <c r="M16" s="174"/>
      <c r="AE16" s="26" t="str">
        <f t="shared" si="0"/>
        <v>La Ecuatoriana</v>
      </c>
    </row>
    <row r="17" spans="11:31" ht="32.25" customHeight="1" x14ac:dyDescent="0.25">
      <c r="K17" s="184"/>
      <c r="L17" s="173" t="s">
        <v>27</v>
      </c>
      <c r="M17" s="174"/>
      <c r="AE17" s="26" t="str">
        <f>L18</f>
        <v>Quitumbe</v>
      </c>
    </row>
    <row r="18" spans="11:31" ht="15.75" x14ac:dyDescent="0.25">
      <c r="K18" s="184"/>
      <c r="L18" s="173" t="s">
        <v>24</v>
      </c>
      <c r="M18" s="174"/>
      <c r="AE18" s="26" t="str">
        <f t="shared" si="0"/>
        <v>Turubamba</v>
      </c>
    </row>
    <row r="19" spans="11:31" ht="16.5" thickBot="1" x14ac:dyDescent="0.3">
      <c r="K19" s="184"/>
      <c r="L19" s="175" t="s">
        <v>8</v>
      </c>
      <c r="M19" s="176"/>
    </row>
  </sheetData>
  <mergeCells count="20">
    <mergeCell ref="K4:K6"/>
    <mergeCell ref="K7:K14"/>
    <mergeCell ref="K15:K19"/>
    <mergeCell ref="L19:M19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8:M8"/>
    <mergeCell ref="L3:M3"/>
    <mergeCell ref="L4:M4"/>
    <mergeCell ref="L5:M5"/>
    <mergeCell ref="L6:M6"/>
    <mergeCell ref="L7:M7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70"/>
  <sheetViews>
    <sheetView topLeftCell="A25" zoomScale="60" zoomScaleNormal="60" workbookViewId="0">
      <selection activeCell="D8" sqref="D8"/>
    </sheetView>
  </sheetViews>
  <sheetFormatPr baseColWidth="10" defaultColWidth="9.140625" defaultRowHeight="15" x14ac:dyDescent="0.25"/>
  <cols>
    <col min="2" max="2" width="27.140625" customWidth="1"/>
    <col min="3" max="3" width="26" customWidth="1"/>
    <col min="4" max="4" width="19.28515625" customWidth="1"/>
    <col min="5" max="5" width="10.85546875" customWidth="1"/>
    <col min="6" max="6" width="20.7109375" customWidth="1"/>
    <col min="12" max="12" width="13.42578125" customWidth="1"/>
  </cols>
  <sheetData>
    <row r="1" spans="2:12" ht="20.25" x14ac:dyDescent="0.3">
      <c r="B1" s="210" t="s">
        <v>193</v>
      </c>
      <c r="C1" s="211"/>
      <c r="D1" s="211"/>
      <c r="E1" s="211"/>
      <c r="F1" s="211"/>
    </row>
    <row r="2" spans="2:12" ht="15.75" thickBot="1" x14ac:dyDescent="0.3">
      <c r="B2" s="218"/>
      <c r="C2" s="218"/>
      <c r="D2" s="218"/>
      <c r="E2" s="218"/>
      <c r="F2" s="218"/>
    </row>
    <row r="3" spans="2:12" ht="18" x14ac:dyDescent="0.25">
      <c r="B3" s="219" t="s">
        <v>192</v>
      </c>
      <c r="C3" s="220"/>
      <c r="D3" s="220"/>
      <c r="E3" s="220"/>
      <c r="F3" s="221"/>
    </row>
    <row r="4" spans="2:12" ht="37.5" customHeight="1" x14ac:dyDescent="0.25">
      <c r="B4" s="207"/>
      <c r="C4" s="208"/>
      <c r="D4" s="208"/>
      <c r="E4" s="208"/>
      <c r="F4" s="209"/>
    </row>
    <row r="5" spans="2:12" ht="15.75" thickBot="1" x14ac:dyDescent="0.3">
      <c r="B5" s="207"/>
      <c r="C5" s="208"/>
      <c r="D5" s="208"/>
      <c r="E5" s="208"/>
      <c r="F5" s="209"/>
    </row>
    <row r="6" spans="2:12" ht="33.75" customHeight="1" x14ac:dyDescent="0.25">
      <c r="B6" s="222" t="s">
        <v>82</v>
      </c>
      <c r="C6" s="223"/>
      <c r="D6" s="223"/>
      <c r="E6" s="223"/>
      <c r="F6" s="224"/>
      <c r="H6" s="193" t="s">
        <v>152</v>
      </c>
      <c r="I6" s="194"/>
      <c r="J6" s="194"/>
      <c r="K6" s="194"/>
      <c r="L6" s="195"/>
    </row>
    <row r="7" spans="2:12" ht="16.5" thickBot="1" x14ac:dyDescent="0.3">
      <c r="B7" s="212" t="s">
        <v>84</v>
      </c>
      <c r="C7" s="191"/>
      <c r="D7" s="191"/>
      <c r="E7" s="191"/>
      <c r="F7" s="213"/>
      <c r="H7" s="190" t="s">
        <v>84</v>
      </c>
      <c r="I7" s="191"/>
      <c r="J7" s="191"/>
      <c r="K7" s="191"/>
      <c r="L7" s="192"/>
    </row>
    <row r="8" spans="2:12" ht="78" customHeight="1" thickBot="1" x14ac:dyDescent="0.3">
      <c r="B8" s="14"/>
      <c r="C8" s="1" t="s">
        <v>28</v>
      </c>
      <c r="D8" s="2" t="s">
        <v>29</v>
      </c>
      <c r="E8" s="3" t="s">
        <v>30</v>
      </c>
      <c r="F8" s="15"/>
      <c r="H8" s="31"/>
      <c r="I8" s="17"/>
      <c r="J8" s="17"/>
      <c r="K8" s="17"/>
      <c r="L8" s="32"/>
    </row>
    <row r="9" spans="2:12" ht="26.25" customHeight="1" thickBot="1" x14ac:dyDescent="0.3">
      <c r="B9" s="14"/>
      <c r="C9" s="4">
        <v>60</v>
      </c>
      <c r="D9" s="5">
        <v>1</v>
      </c>
      <c r="E9" s="6" t="s">
        <v>31</v>
      </c>
      <c r="F9" s="15"/>
      <c r="H9" s="31"/>
      <c r="I9" s="141"/>
      <c r="J9" s="141">
        <v>0.83</v>
      </c>
      <c r="K9" s="142"/>
      <c r="L9" s="32"/>
    </row>
    <row r="10" spans="2:12" ht="16.5" thickBot="1" x14ac:dyDescent="0.3">
      <c r="B10" s="14"/>
      <c r="C10" s="106">
        <v>50</v>
      </c>
      <c r="D10" s="107">
        <v>0.83</v>
      </c>
      <c r="E10" s="108" t="s">
        <v>32</v>
      </c>
      <c r="F10" s="15"/>
      <c r="H10" s="31"/>
      <c r="I10" s="142"/>
      <c r="J10" s="142"/>
      <c r="K10" s="142"/>
      <c r="L10" s="32"/>
    </row>
    <row r="11" spans="2:12" ht="16.5" thickBot="1" x14ac:dyDescent="0.3">
      <c r="B11" s="14"/>
      <c r="C11" s="4">
        <v>40</v>
      </c>
      <c r="D11" s="5">
        <v>0.67</v>
      </c>
      <c r="E11" s="6" t="s">
        <v>33</v>
      </c>
      <c r="F11" s="15"/>
      <c r="H11" s="31"/>
      <c r="I11" s="142"/>
      <c r="J11" s="142"/>
      <c r="K11" s="142"/>
      <c r="L11" s="32"/>
    </row>
    <row r="12" spans="2:12" ht="16.5" thickBot="1" x14ac:dyDescent="0.3">
      <c r="B12" s="14"/>
      <c r="C12" s="9">
        <v>30</v>
      </c>
      <c r="D12" s="10">
        <v>0.5</v>
      </c>
      <c r="E12" s="11" t="s">
        <v>34</v>
      </c>
      <c r="F12" s="15"/>
      <c r="H12" s="31"/>
      <c r="I12" s="142"/>
      <c r="J12" s="142"/>
      <c r="K12" s="142"/>
      <c r="L12" s="32"/>
    </row>
    <row r="13" spans="2:12" x14ac:dyDescent="0.25">
      <c r="B13" s="14"/>
      <c r="C13" s="17"/>
      <c r="D13" s="17"/>
      <c r="E13" s="17"/>
      <c r="F13" s="15"/>
      <c r="H13" s="31"/>
      <c r="I13" s="17"/>
      <c r="J13" s="17"/>
      <c r="K13" s="17"/>
      <c r="L13" s="32"/>
    </row>
    <row r="14" spans="2:12" ht="16.5" thickBot="1" x14ac:dyDescent="0.3">
      <c r="B14" s="212" t="s">
        <v>85</v>
      </c>
      <c r="C14" s="191"/>
      <c r="D14" s="191"/>
      <c r="E14" s="191"/>
      <c r="F14" s="213"/>
      <c r="H14" s="190" t="s">
        <v>85</v>
      </c>
      <c r="I14" s="191"/>
      <c r="J14" s="191"/>
      <c r="K14" s="191"/>
      <c r="L14" s="192"/>
    </row>
    <row r="15" spans="2:12" ht="32.25" thickBot="1" x14ac:dyDescent="0.3">
      <c r="B15" s="14"/>
      <c r="C15" s="1" t="s">
        <v>35</v>
      </c>
      <c r="D15" s="3" t="s">
        <v>36</v>
      </c>
      <c r="E15" s="17"/>
      <c r="F15" s="15"/>
      <c r="H15" s="31"/>
      <c r="I15" s="17"/>
      <c r="J15" s="17"/>
      <c r="K15" s="17"/>
      <c r="L15" s="32"/>
    </row>
    <row r="16" spans="2:12" ht="16.5" thickBot="1" x14ac:dyDescent="0.3">
      <c r="B16" s="14"/>
      <c r="C16" s="4" t="s">
        <v>37</v>
      </c>
      <c r="D16" s="6" t="s">
        <v>38</v>
      </c>
      <c r="E16" s="17"/>
      <c r="F16" s="15"/>
      <c r="H16" s="31"/>
      <c r="I16" s="141"/>
      <c r="J16" s="141">
        <v>0.85</v>
      </c>
      <c r="K16" s="142"/>
      <c r="L16" s="32"/>
    </row>
    <row r="17" spans="2:12" ht="16.5" thickBot="1" x14ac:dyDescent="0.3">
      <c r="B17" s="14"/>
      <c r="C17" s="106" t="s">
        <v>39</v>
      </c>
      <c r="D17" s="108" t="s">
        <v>40</v>
      </c>
      <c r="E17" s="17"/>
      <c r="F17" s="15"/>
      <c r="H17" s="31"/>
      <c r="I17" s="142"/>
      <c r="J17" s="142"/>
      <c r="K17" s="142"/>
      <c r="L17" s="32"/>
    </row>
    <row r="18" spans="2:12" ht="16.5" thickBot="1" x14ac:dyDescent="0.3">
      <c r="B18" s="14"/>
      <c r="C18" s="4" t="s">
        <v>41</v>
      </c>
      <c r="D18" s="6" t="s">
        <v>42</v>
      </c>
      <c r="E18" s="17"/>
      <c r="F18" s="15"/>
      <c r="H18" s="31"/>
      <c r="I18" s="142"/>
      <c r="J18" s="142"/>
      <c r="K18" s="142"/>
      <c r="L18" s="32"/>
    </row>
    <row r="19" spans="2:12" ht="16.5" thickBot="1" x14ac:dyDescent="0.3">
      <c r="B19" s="14"/>
      <c r="C19" s="9" t="s">
        <v>43</v>
      </c>
      <c r="D19" s="11" t="s">
        <v>44</v>
      </c>
      <c r="E19" s="17"/>
      <c r="F19" s="15"/>
      <c r="H19" s="31"/>
      <c r="I19" s="142"/>
      <c r="J19" s="142"/>
      <c r="K19" s="142"/>
      <c r="L19" s="32"/>
    </row>
    <row r="20" spans="2:12" x14ac:dyDescent="0.25">
      <c r="B20" s="14"/>
      <c r="C20" s="17"/>
      <c r="D20" s="17"/>
      <c r="E20" s="17"/>
      <c r="F20" s="15"/>
      <c r="H20" s="31"/>
      <c r="I20" s="17"/>
      <c r="J20" s="17"/>
      <c r="K20" s="17"/>
      <c r="L20" s="32"/>
    </row>
    <row r="21" spans="2:12" ht="16.5" customHeight="1" thickBot="1" x14ac:dyDescent="0.3">
      <c r="B21" s="214" t="s">
        <v>86</v>
      </c>
      <c r="C21" s="197"/>
      <c r="D21" s="197"/>
      <c r="E21" s="197"/>
      <c r="F21" s="215"/>
      <c r="H21" s="196" t="s">
        <v>86</v>
      </c>
      <c r="I21" s="197"/>
      <c r="J21" s="197"/>
      <c r="K21" s="197"/>
      <c r="L21" s="198"/>
    </row>
    <row r="22" spans="2:12" ht="32.25" thickBot="1" x14ac:dyDescent="0.3">
      <c r="B22" s="14"/>
      <c r="C22" s="1" t="s">
        <v>45</v>
      </c>
      <c r="D22" s="3" t="s">
        <v>46</v>
      </c>
      <c r="E22" s="17"/>
      <c r="F22" s="15"/>
      <c r="H22" s="31"/>
      <c r="I22" s="17"/>
      <c r="J22" s="17"/>
      <c r="K22" s="17"/>
      <c r="L22" s="32"/>
    </row>
    <row r="23" spans="2:12" ht="16.5" thickBot="1" x14ac:dyDescent="0.3">
      <c r="B23" s="14"/>
      <c r="C23" s="4" t="s">
        <v>37</v>
      </c>
      <c r="D23" s="6" t="s">
        <v>47</v>
      </c>
      <c r="E23" s="17"/>
      <c r="F23" s="15"/>
      <c r="H23" s="31"/>
      <c r="I23" s="141"/>
      <c r="J23" s="141">
        <v>0.85</v>
      </c>
      <c r="K23" s="142"/>
      <c r="L23" s="32"/>
    </row>
    <row r="24" spans="2:12" ht="16.5" thickBot="1" x14ac:dyDescent="0.3">
      <c r="B24" s="14"/>
      <c r="C24" s="106" t="s">
        <v>39</v>
      </c>
      <c r="D24" s="108" t="s">
        <v>40</v>
      </c>
      <c r="E24" s="17"/>
      <c r="F24" s="15"/>
      <c r="H24" s="31"/>
      <c r="I24" s="142"/>
      <c r="J24" s="142"/>
      <c r="K24" s="142"/>
      <c r="L24" s="32"/>
    </row>
    <row r="25" spans="2:12" ht="16.5" thickBot="1" x14ac:dyDescent="0.3">
      <c r="B25" s="14"/>
      <c r="C25" s="4" t="s">
        <v>48</v>
      </c>
      <c r="D25" s="6" t="s">
        <v>42</v>
      </c>
      <c r="E25" s="17"/>
      <c r="F25" s="15"/>
      <c r="H25" s="31"/>
      <c r="I25" s="142"/>
      <c r="J25" s="142"/>
      <c r="K25" s="142"/>
      <c r="L25" s="32"/>
    </row>
    <row r="26" spans="2:12" ht="16.5" thickBot="1" x14ac:dyDescent="0.3">
      <c r="B26" s="14"/>
      <c r="C26" s="9" t="s">
        <v>49</v>
      </c>
      <c r="D26" s="11" t="s">
        <v>50</v>
      </c>
      <c r="E26" s="17"/>
      <c r="F26" s="15"/>
      <c r="H26" s="31"/>
      <c r="I26" s="142"/>
      <c r="J26" s="142"/>
      <c r="K26" s="142"/>
      <c r="L26" s="32"/>
    </row>
    <row r="27" spans="2:12" x14ac:dyDescent="0.25">
      <c r="B27" s="14"/>
      <c r="C27" s="17"/>
      <c r="D27" s="17"/>
      <c r="E27" s="17"/>
      <c r="F27" s="15"/>
      <c r="H27" s="31"/>
      <c r="I27" s="17"/>
      <c r="J27" s="17"/>
      <c r="K27" s="17"/>
      <c r="L27" s="32"/>
    </row>
    <row r="28" spans="2:12" ht="36" customHeight="1" thickBot="1" x14ac:dyDescent="0.3">
      <c r="B28" s="214" t="s">
        <v>87</v>
      </c>
      <c r="C28" s="197"/>
      <c r="D28" s="197"/>
      <c r="E28" s="197"/>
      <c r="F28" s="215"/>
      <c r="H28" s="196" t="s">
        <v>87</v>
      </c>
      <c r="I28" s="197"/>
      <c r="J28" s="197"/>
      <c r="K28" s="197"/>
      <c r="L28" s="198"/>
    </row>
    <row r="29" spans="2:12" ht="16.5" thickBot="1" x14ac:dyDescent="0.3">
      <c r="B29" s="18"/>
      <c r="C29" s="1" t="s">
        <v>90</v>
      </c>
      <c r="D29" s="3" t="s">
        <v>92</v>
      </c>
      <c r="E29" s="17"/>
      <c r="F29" s="15"/>
      <c r="H29" s="31"/>
      <c r="I29" s="17"/>
      <c r="J29" s="17"/>
      <c r="K29" s="17"/>
      <c r="L29" s="32"/>
    </row>
    <row r="30" spans="2:12" ht="16.5" thickBot="1" x14ac:dyDescent="0.3">
      <c r="B30" s="18"/>
      <c r="C30" s="4" t="s">
        <v>91</v>
      </c>
      <c r="D30" s="6">
        <v>100</v>
      </c>
      <c r="E30" s="17"/>
      <c r="F30" s="15"/>
      <c r="H30" s="31"/>
      <c r="I30" s="142"/>
      <c r="J30" s="145">
        <v>0.9</v>
      </c>
      <c r="K30" s="142"/>
      <c r="L30" s="32"/>
    </row>
    <row r="31" spans="2:12" ht="30.75" thickBot="1" x14ac:dyDescent="0.3">
      <c r="B31" s="18"/>
      <c r="C31" s="7" t="s">
        <v>93</v>
      </c>
      <c r="D31" s="8" t="s">
        <v>94</v>
      </c>
      <c r="E31" s="17"/>
      <c r="F31" s="15"/>
      <c r="H31" s="31"/>
      <c r="I31" s="142"/>
      <c r="J31" s="142"/>
      <c r="K31" s="142"/>
      <c r="L31" s="32"/>
    </row>
    <row r="32" spans="2:12" ht="30.75" thickBot="1" x14ac:dyDescent="0.3">
      <c r="B32" s="18"/>
      <c r="C32" s="4" t="s">
        <v>95</v>
      </c>
      <c r="D32" s="6" t="s">
        <v>96</v>
      </c>
      <c r="E32" s="17"/>
      <c r="F32" s="15"/>
      <c r="H32" s="31"/>
      <c r="I32" s="142"/>
      <c r="J32" s="142"/>
      <c r="K32" s="142"/>
      <c r="L32" s="32"/>
    </row>
    <row r="33" spans="2:12" x14ac:dyDescent="0.25">
      <c r="B33" s="18"/>
      <c r="C33" s="17"/>
      <c r="D33" s="17"/>
      <c r="E33" s="17"/>
      <c r="F33" s="15"/>
      <c r="H33" s="31"/>
      <c r="I33" s="17"/>
      <c r="J33" s="17"/>
      <c r="K33" s="17"/>
      <c r="L33" s="32"/>
    </row>
    <row r="34" spans="2:12" ht="15.75" x14ac:dyDescent="0.25">
      <c r="B34" s="216" t="s">
        <v>83</v>
      </c>
      <c r="C34" s="205"/>
      <c r="D34" s="205"/>
      <c r="E34" s="205"/>
      <c r="F34" s="217"/>
      <c r="H34" s="204" t="s">
        <v>83</v>
      </c>
      <c r="I34" s="205"/>
      <c r="J34" s="205"/>
      <c r="K34" s="205"/>
      <c r="L34" s="206"/>
    </row>
    <row r="35" spans="2:12" ht="40.5" customHeight="1" x14ac:dyDescent="0.25">
      <c r="B35" s="18"/>
      <c r="C35" s="208"/>
      <c r="D35" s="208"/>
      <c r="E35" s="17"/>
      <c r="F35" s="15"/>
      <c r="H35" s="31"/>
      <c r="I35" s="17"/>
      <c r="J35" s="17"/>
      <c r="K35" s="17"/>
      <c r="L35" s="32"/>
    </row>
    <row r="36" spans="2:12" ht="15.75" x14ac:dyDescent="0.25">
      <c r="B36" s="14"/>
      <c r="C36" s="22" t="s">
        <v>97</v>
      </c>
      <c r="D36" s="17"/>
      <c r="E36" s="17"/>
      <c r="F36" s="15"/>
      <c r="H36" s="31"/>
      <c r="I36" s="141"/>
      <c r="J36" s="141">
        <f>'Encuesta Trabajabilidad'!X14</f>
        <v>0.86363636363636365</v>
      </c>
      <c r="K36" s="142"/>
      <c r="L36" s="32"/>
    </row>
    <row r="37" spans="2:12" ht="15.75" x14ac:dyDescent="0.25">
      <c r="B37" s="14"/>
      <c r="C37" s="22" t="s">
        <v>98</v>
      </c>
      <c r="D37" s="17"/>
      <c r="E37" s="17"/>
      <c r="F37" s="15"/>
      <c r="H37" s="31"/>
      <c r="I37" s="142"/>
      <c r="J37" s="142"/>
      <c r="K37" s="142"/>
      <c r="L37" s="32"/>
    </row>
    <row r="38" spans="2:12" x14ac:dyDescent="0.25">
      <c r="B38" s="14"/>
      <c r="C38" s="17"/>
      <c r="D38" s="17"/>
      <c r="E38" s="17"/>
      <c r="F38" s="15"/>
      <c r="H38" s="31"/>
      <c r="I38" s="17"/>
      <c r="J38" s="17"/>
      <c r="K38" s="17"/>
      <c r="L38" s="32"/>
    </row>
    <row r="39" spans="2:12" ht="16.5" thickBot="1" x14ac:dyDescent="0.3">
      <c r="B39" s="199" t="s">
        <v>99</v>
      </c>
      <c r="C39" s="200"/>
      <c r="D39" s="200"/>
      <c r="E39" s="200"/>
      <c r="F39" s="201"/>
      <c r="H39" s="202" t="s">
        <v>99</v>
      </c>
      <c r="I39" s="200"/>
      <c r="J39" s="200"/>
      <c r="K39" s="200"/>
      <c r="L39" s="203"/>
    </row>
    <row r="40" spans="2:12" ht="16.5" thickBot="1" x14ac:dyDescent="0.3">
      <c r="B40" s="14"/>
      <c r="C40" s="1" t="s">
        <v>51</v>
      </c>
      <c r="D40" s="3" t="s">
        <v>52</v>
      </c>
      <c r="E40" s="17"/>
      <c r="F40" s="15"/>
      <c r="H40" s="31"/>
      <c r="I40" s="17"/>
      <c r="J40" s="17"/>
      <c r="K40" s="17"/>
      <c r="L40" s="32"/>
    </row>
    <row r="41" spans="2:12" ht="16.5" thickBot="1" x14ac:dyDescent="0.3">
      <c r="B41" s="14"/>
      <c r="C41" s="109" t="s">
        <v>53</v>
      </c>
      <c r="D41" s="110">
        <v>1</v>
      </c>
      <c r="E41" s="17"/>
      <c r="F41" s="15"/>
      <c r="H41" s="31"/>
      <c r="I41" s="141"/>
      <c r="J41" s="141">
        <v>1</v>
      </c>
      <c r="K41" s="142"/>
      <c r="L41" s="32"/>
    </row>
    <row r="42" spans="2:12" ht="16.5" thickBot="1" x14ac:dyDescent="0.3">
      <c r="B42" s="14"/>
      <c r="C42" s="7" t="s">
        <v>54</v>
      </c>
      <c r="D42" s="13">
        <v>1.3</v>
      </c>
      <c r="E42" s="17"/>
      <c r="F42" s="15"/>
      <c r="H42" s="31"/>
      <c r="I42" s="142"/>
      <c r="J42" s="142"/>
      <c r="K42" s="142"/>
      <c r="L42" s="32"/>
    </row>
    <row r="43" spans="2:12" ht="16.5" thickBot="1" x14ac:dyDescent="0.3">
      <c r="B43" s="14"/>
      <c r="C43" s="4" t="s">
        <v>55</v>
      </c>
      <c r="D43" s="12">
        <v>0.75</v>
      </c>
      <c r="E43" s="17"/>
      <c r="F43" s="15"/>
      <c r="H43" s="31"/>
      <c r="I43" s="142"/>
      <c r="J43" s="142"/>
      <c r="K43" s="142"/>
      <c r="L43" s="32"/>
    </row>
    <row r="44" spans="2:12" x14ac:dyDescent="0.25">
      <c r="B44" s="14"/>
      <c r="C44" s="17"/>
      <c r="D44" s="17"/>
      <c r="E44" s="17"/>
      <c r="F44" s="15"/>
      <c r="H44" s="31"/>
      <c r="I44" s="17"/>
      <c r="J44" s="17"/>
      <c r="K44" s="17"/>
      <c r="L44" s="32"/>
    </row>
    <row r="45" spans="2:12" ht="16.5" thickBot="1" x14ac:dyDescent="0.3">
      <c r="B45" s="199" t="s">
        <v>100</v>
      </c>
      <c r="C45" s="200"/>
      <c r="D45" s="200"/>
      <c r="E45" s="200"/>
      <c r="F45" s="201"/>
      <c r="H45" s="202" t="s">
        <v>100</v>
      </c>
      <c r="I45" s="200"/>
      <c r="J45" s="200"/>
      <c r="K45" s="200"/>
      <c r="L45" s="203"/>
    </row>
    <row r="46" spans="2:12" ht="32.25" thickBot="1" x14ac:dyDescent="0.3">
      <c r="B46" s="14"/>
      <c r="C46" s="1" t="s">
        <v>56</v>
      </c>
      <c r="D46" s="3" t="s">
        <v>57</v>
      </c>
      <c r="E46" s="17"/>
      <c r="F46" s="15"/>
      <c r="H46" s="31"/>
      <c r="I46" s="17"/>
      <c r="J46" s="17"/>
      <c r="K46" s="17"/>
      <c r="L46" s="32"/>
    </row>
    <row r="47" spans="2:12" ht="16.5" thickBot="1" x14ac:dyDescent="0.3">
      <c r="B47" s="14"/>
      <c r="C47" s="4" t="s">
        <v>58</v>
      </c>
      <c r="D47" s="6" t="s">
        <v>59</v>
      </c>
      <c r="E47" s="17"/>
      <c r="F47" s="15"/>
      <c r="H47" s="31"/>
      <c r="I47" s="141"/>
      <c r="J47" s="141">
        <v>0.95</v>
      </c>
      <c r="K47" s="142"/>
      <c r="L47" s="32"/>
    </row>
    <row r="48" spans="2:12" ht="16.5" thickBot="1" x14ac:dyDescent="0.3">
      <c r="B48" s="14"/>
      <c r="C48" s="7" t="s">
        <v>60</v>
      </c>
      <c r="D48" s="8" t="s">
        <v>61</v>
      </c>
      <c r="E48" s="17"/>
      <c r="F48" s="15"/>
      <c r="H48" s="31"/>
      <c r="I48" s="142"/>
      <c r="J48" s="142"/>
      <c r="K48" s="142"/>
      <c r="L48" s="32"/>
    </row>
    <row r="49" spans="2:12" ht="16.5" thickBot="1" x14ac:dyDescent="0.3">
      <c r="B49" s="14"/>
      <c r="C49" s="111">
        <v>0</v>
      </c>
      <c r="D49" s="110">
        <v>1</v>
      </c>
      <c r="E49" s="17"/>
      <c r="F49" s="15"/>
      <c r="H49" s="31"/>
      <c r="I49" s="142"/>
      <c r="J49" s="142"/>
      <c r="K49" s="142"/>
      <c r="L49" s="32"/>
    </row>
    <row r="50" spans="2:12" ht="16.5" thickBot="1" x14ac:dyDescent="0.3">
      <c r="B50" s="14"/>
      <c r="C50" s="106" t="s">
        <v>62</v>
      </c>
      <c r="D50" s="108" t="s">
        <v>63</v>
      </c>
      <c r="E50" s="17"/>
      <c r="F50" s="15"/>
      <c r="H50" s="31"/>
      <c r="I50" s="142"/>
      <c r="J50" s="142"/>
      <c r="K50" s="142"/>
      <c r="L50" s="32"/>
    </row>
    <row r="51" spans="2:12" ht="16.5" thickBot="1" x14ac:dyDescent="0.3">
      <c r="B51" s="14"/>
      <c r="C51" s="4" t="s">
        <v>64</v>
      </c>
      <c r="D51" s="6" t="s">
        <v>65</v>
      </c>
      <c r="E51" s="17"/>
      <c r="F51" s="15"/>
      <c r="H51" s="31"/>
      <c r="I51" s="142"/>
      <c r="J51" s="142"/>
      <c r="K51" s="142"/>
      <c r="L51" s="32"/>
    </row>
    <row r="52" spans="2:12" x14ac:dyDescent="0.25">
      <c r="B52" s="14"/>
      <c r="C52" s="17"/>
      <c r="D52" s="17"/>
      <c r="E52" s="17"/>
      <c r="F52" s="15"/>
      <c r="H52" s="31"/>
      <c r="I52" s="17"/>
      <c r="J52" s="17"/>
      <c r="K52" s="17"/>
      <c r="L52" s="32"/>
    </row>
    <row r="53" spans="2:12" ht="16.5" thickBot="1" x14ac:dyDescent="0.3">
      <c r="B53" s="199" t="s">
        <v>101</v>
      </c>
      <c r="C53" s="200"/>
      <c r="D53" s="200"/>
      <c r="E53" s="200"/>
      <c r="F53" s="201"/>
      <c r="H53" s="202" t="s">
        <v>101</v>
      </c>
      <c r="I53" s="200"/>
      <c r="J53" s="200"/>
      <c r="K53" s="200"/>
      <c r="L53" s="203"/>
    </row>
    <row r="54" spans="2:12" ht="32.25" thickBot="1" x14ac:dyDescent="0.3">
      <c r="B54" s="14"/>
      <c r="C54" s="1" t="s">
        <v>66</v>
      </c>
      <c r="D54" s="3" t="s">
        <v>67</v>
      </c>
      <c r="E54" s="17"/>
      <c r="F54" s="15"/>
      <c r="H54" s="31"/>
      <c r="I54" s="17"/>
      <c r="J54" s="17"/>
      <c r="K54" s="17"/>
      <c r="L54" s="32"/>
    </row>
    <row r="55" spans="2:12" ht="16.5" thickBot="1" x14ac:dyDescent="0.3">
      <c r="B55" s="14"/>
      <c r="C55" s="4" t="s">
        <v>68</v>
      </c>
      <c r="D55" s="12">
        <v>0.98</v>
      </c>
      <c r="E55" s="17"/>
      <c r="F55" s="15"/>
      <c r="H55" s="31"/>
      <c r="I55" s="141"/>
      <c r="J55" s="141">
        <v>0.83</v>
      </c>
      <c r="K55" s="142"/>
      <c r="L55" s="32"/>
    </row>
    <row r="56" spans="2:12" ht="32.25" thickBot="1" x14ac:dyDescent="0.3">
      <c r="B56" s="14"/>
      <c r="C56" s="7" t="s">
        <v>69</v>
      </c>
      <c r="D56" s="13">
        <v>0.95</v>
      </c>
      <c r="E56" s="17"/>
      <c r="F56" s="15"/>
      <c r="H56" s="31"/>
      <c r="I56" s="142"/>
      <c r="J56" s="142"/>
      <c r="K56" s="142"/>
      <c r="L56" s="32"/>
    </row>
    <row r="57" spans="2:12" ht="16.5" thickBot="1" x14ac:dyDescent="0.3">
      <c r="B57" s="14"/>
      <c r="C57" s="4" t="s">
        <v>70</v>
      </c>
      <c r="D57" s="12">
        <v>0.9</v>
      </c>
      <c r="E57" s="17"/>
      <c r="F57" s="15"/>
      <c r="H57" s="31"/>
      <c r="I57" s="142"/>
      <c r="J57" s="142"/>
      <c r="K57" s="142"/>
      <c r="L57" s="32"/>
    </row>
    <row r="58" spans="2:12" ht="32.25" thickBot="1" x14ac:dyDescent="0.3">
      <c r="B58" s="14"/>
      <c r="C58" s="112" t="s">
        <v>71</v>
      </c>
      <c r="D58" s="113">
        <v>0.83</v>
      </c>
      <c r="E58" s="17"/>
      <c r="F58" s="15"/>
      <c r="H58" s="31"/>
      <c r="I58" s="142"/>
      <c r="J58" s="142"/>
      <c r="K58" s="142"/>
      <c r="L58" s="32"/>
    </row>
    <row r="59" spans="2:12" x14ac:dyDescent="0.25">
      <c r="B59" s="14"/>
      <c r="C59" s="17"/>
      <c r="D59" s="17"/>
      <c r="E59" s="17"/>
      <c r="F59" s="15"/>
      <c r="H59" s="31"/>
      <c r="I59" s="17"/>
      <c r="J59" s="17"/>
      <c r="K59" s="17"/>
      <c r="L59" s="32"/>
    </row>
    <row r="60" spans="2:12" ht="15.75" x14ac:dyDescent="0.25">
      <c r="B60" s="199" t="s">
        <v>102</v>
      </c>
      <c r="C60" s="200"/>
      <c r="D60" s="200"/>
      <c r="E60" s="200"/>
      <c r="F60" s="201"/>
      <c r="H60" s="202" t="s">
        <v>102</v>
      </c>
      <c r="I60" s="200"/>
      <c r="J60" s="200"/>
      <c r="K60" s="200"/>
      <c r="L60" s="203"/>
    </row>
    <row r="61" spans="2:12" ht="24" customHeight="1" thickBot="1" x14ac:dyDescent="0.3">
      <c r="B61" s="207"/>
      <c r="C61" s="208"/>
      <c r="D61" s="208"/>
      <c r="E61" s="208"/>
      <c r="F61" s="209"/>
      <c r="H61" s="31"/>
      <c r="I61" s="17"/>
      <c r="J61" s="17"/>
      <c r="K61" s="17"/>
      <c r="L61" s="32"/>
    </row>
    <row r="62" spans="2:12" ht="16.5" thickBot="1" x14ac:dyDescent="0.3">
      <c r="B62" s="14"/>
      <c r="C62" s="1" t="s">
        <v>72</v>
      </c>
      <c r="D62" s="3" t="s">
        <v>73</v>
      </c>
      <c r="E62" s="17"/>
      <c r="F62" s="15"/>
      <c r="H62" s="31"/>
      <c r="I62" s="143"/>
      <c r="J62" s="143">
        <f>100%-6%</f>
        <v>0.94</v>
      </c>
      <c r="K62" s="143"/>
      <c r="L62" s="32"/>
    </row>
    <row r="63" spans="2:12" ht="16.5" thickBot="1" x14ac:dyDescent="0.3">
      <c r="B63" s="14"/>
      <c r="C63" s="109" t="s">
        <v>74</v>
      </c>
      <c r="D63" s="114" t="s">
        <v>75</v>
      </c>
      <c r="E63" s="17"/>
      <c r="F63" s="15"/>
      <c r="H63" s="31"/>
      <c r="I63" s="143"/>
      <c r="J63" s="143"/>
      <c r="K63" s="143"/>
      <c r="L63" s="32"/>
    </row>
    <row r="64" spans="2:12" ht="16.5" thickBot="1" x14ac:dyDescent="0.3">
      <c r="B64" s="14"/>
      <c r="C64" s="7" t="s">
        <v>76</v>
      </c>
      <c r="D64" s="8" t="s">
        <v>77</v>
      </c>
      <c r="E64" s="17"/>
      <c r="F64" s="15"/>
      <c r="H64" s="31"/>
      <c r="I64" s="143"/>
      <c r="J64" s="143"/>
      <c r="K64" s="143"/>
      <c r="L64" s="32"/>
    </row>
    <row r="65" spans="2:12" ht="16.5" thickBot="1" x14ac:dyDescent="0.3">
      <c r="B65" s="14"/>
      <c r="C65" s="4" t="s">
        <v>78</v>
      </c>
      <c r="D65" s="6" t="s">
        <v>79</v>
      </c>
      <c r="E65" s="17"/>
      <c r="F65" s="15"/>
      <c r="H65" s="31"/>
      <c r="I65" s="143"/>
      <c r="J65" s="143"/>
      <c r="K65" s="143"/>
      <c r="L65" s="32"/>
    </row>
    <row r="66" spans="2:12" ht="16.5" thickBot="1" x14ac:dyDescent="0.3">
      <c r="B66" s="14"/>
      <c r="C66" s="9" t="s">
        <v>80</v>
      </c>
      <c r="D66" s="11" t="s">
        <v>81</v>
      </c>
      <c r="E66" s="17"/>
      <c r="F66" s="15"/>
      <c r="H66" s="31"/>
      <c r="I66" s="143"/>
      <c r="J66" s="143"/>
      <c r="K66" s="143"/>
      <c r="L66" s="32"/>
    </row>
    <row r="67" spans="2:12" x14ac:dyDescent="0.25">
      <c r="B67" s="14"/>
      <c r="C67" s="17"/>
      <c r="D67" s="17"/>
      <c r="E67" s="17"/>
      <c r="F67" s="15"/>
      <c r="H67" s="31"/>
      <c r="I67" s="17"/>
      <c r="J67" s="17"/>
      <c r="K67" s="17"/>
      <c r="L67" s="32"/>
    </row>
    <row r="68" spans="2:12" ht="15.75" x14ac:dyDescent="0.25">
      <c r="B68" s="199" t="s">
        <v>103</v>
      </c>
      <c r="C68" s="200"/>
      <c r="D68" s="200"/>
      <c r="E68" s="200"/>
      <c r="F68" s="201"/>
      <c r="H68" s="202" t="s">
        <v>103</v>
      </c>
      <c r="I68" s="200"/>
      <c r="J68" s="200"/>
      <c r="K68" s="200"/>
      <c r="L68" s="203"/>
    </row>
    <row r="69" spans="2:12" ht="15.75" x14ac:dyDescent="0.25">
      <c r="B69" s="187"/>
      <c r="C69" s="188"/>
      <c r="D69" s="188"/>
      <c r="E69" s="188"/>
      <c r="F69" s="189"/>
      <c r="H69" s="31"/>
      <c r="I69" s="141"/>
      <c r="J69" s="141">
        <v>0.85</v>
      </c>
      <c r="K69" s="142"/>
      <c r="L69" s="32"/>
    </row>
    <row r="70" spans="2:12" ht="15.75" thickBot="1" x14ac:dyDescent="0.3">
      <c r="B70" s="19"/>
      <c r="C70" s="20"/>
      <c r="D70" s="20"/>
      <c r="E70" s="20"/>
      <c r="F70" s="21"/>
      <c r="H70" s="33"/>
      <c r="I70" s="34"/>
      <c r="J70" s="34"/>
      <c r="K70" s="34"/>
      <c r="L70" s="35"/>
    </row>
  </sheetData>
  <mergeCells count="29">
    <mergeCell ref="H39:L39"/>
    <mergeCell ref="B39:F39"/>
    <mergeCell ref="C35:D35"/>
    <mergeCell ref="B1:F1"/>
    <mergeCell ref="B14:F14"/>
    <mergeCell ref="B21:F21"/>
    <mergeCell ref="B28:F28"/>
    <mergeCell ref="B34:F34"/>
    <mergeCell ref="B2:F2"/>
    <mergeCell ref="B3:F3"/>
    <mergeCell ref="B6:F6"/>
    <mergeCell ref="B7:F7"/>
    <mergeCell ref="B4:F5"/>
    <mergeCell ref="B69:F69"/>
    <mergeCell ref="H7:L7"/>
    <mergeCell ref="H14:L14"/>
    <mergeCell ref="H6:L6"/>
    <mergeCell ref="H21:L21"/>
    <mergeCell ref="B68:F68"/>
    <mergeCell ref="H45:L45"/>
    <mergeCell ref="H53:L53"/>
    <mergeCell ref="H60:L60"/>
    <mergeCell ref="H68:L68"/>
    <mergeCell ref="B45:F45"/>
    <mergeCell ref="H28:L28"/>
    <mergeCell ref="H34:L34"/>
    <mergeCell ref="B53:F53"/>
    <mergeCell ref="B60:F60"/>
    <mergeCell ref="B61:F61"/>
  </mergeCells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65"/>
  <sheetViews>
    <sheetView topLeftCell="B43" workbookViewId="0">
      <selection activeCell="L12" sqref="L12:Q13"/>
    </sheetView>
  </sheetViews>
  <sheetFormatPr baseColWidth="10" defaultColWidth="9.140625" defaultRowHeight="15" x14ac:dyDescent="0.25"/>
  <cols>
    <col min="4" max="4" width="12" customWidth="1"/>
    <col min="5" max="5" width="7.5703125" customWidth="1"/>
    <col min="6" max="6" width="17" customWidth="1"/>
  </cols>
  <sheetData>
    <row r="1" spans="2:20" s="26" customFormat="1" ht="20.25" x14ac:dyDescent="0.3">
      <c r="B1" s="245" t="s">
        <v>154</v>
      </c>
      <c r="C1" s="246"/>
      <c r="D1" s="246"/>
      <c r="E1" s="246"/>
      <c r="F1" s="246"/>
      <c r="G1" s="246"/>
      <c r="H1" s="246"/>
      <c r="I1" s="246"/>
      <c r="J1" s="247"/>
    </row>
    <row r="2" spans="2:20" x14ac:dyDescent="0.25">
      <c r="B2" s="31"/>
      <c r="C2" s="17"/>
      <c r="D2" s="17"/>
      <c r="E2" s="17"/>
      <c r="F2" s="17"/>
      <c r="G2" s="17"/>
      <c r="H2" s="17"/>
      <c r="I2" s="17"/>
      <c r="J2" s="32"/>
    </row>
    <row r="3" spans="2:20" x14ac:dyDescent="0.25">
      <c r="B3" s="31"/>
      <c r="C3" s="17"/>
      <c r="D3" s="17"/>
      <c r="E3" s="17"/>
      <c r="F3" s="17"/>
      <c r="G3" s="17"/>
      <c r="H3" s="17"/>
      <c r="I3" s="17"/>
      <c r="J3" s="32"/>
    </row>
    <row r="4" spans="2:20" x14ac:dyDescent="0.25">
      <c r="B4" s="31"/>
      <c r="C4" s="17"/>
      <c r="D4" s="17"/>
      <c r="E4" s="17"/>
      <c r="F4" s="17"/>
      <c r="G4" s="17"/>
      <c r="H4" s="17"/>
      <c r="I4" s="17"/>
      <c r="J4" s="32"/>
    </row>
    <row r="5" spans="2:20" x14ac:dyDescent="0.25">
      <c r="B5" s="31"/>
      <c r="C5" s="17"/>
      <c r="D5" s="17"/>
      <c r="E5" s="17"/>
      <c r="F5" s="17"/>
      <c r="G5" s="17"/>
      <c r="H5" s="17"/>
      <c r="I5" s="17"/>
      <c r="J5" s="32"/>
    </row>
    <row r="6" spans="2:20" x14ac:dyDescent="0.25">
      <c r="B6" s="31"/>
      <c r="C6" s="17"/>
      <c r="D6" s="17"/>
      <c r="E6" s="17"/>
      <c r="F6" s="17"/>
      <c r="G6" s="17"/>
      <c r="H6" s="17"/>
      <c r="I6" s="17"/>
      <c r="J6" s="32"/>
    </row>
    <row r="7" spans="2:20" x14ac:dyDescent="0.25">
      <c r="B7" s="31"/>
      <c r="C7" s="17"/>
      <c r="D7" s="17"/>
      <c r="E7" s="17"/>
      <c r="F7" s="17"/>
      <c r="G7" s="17"/>
      <c r="H7" s="17"/>
      <c r="I7" s="17"/>
      <c r="J7" s="32"/>
    </row>
    <row r="8" spans="2:20" x14ac:dyDescent="0.25">
      <c r="B8" s="31"/>
      <c r="C8" s="17"/>
      <c r="D8" s="17"/>
      <c r="E8" s="17"/>
      <c r="F8" s="17"/>
      <c r="G8" s="17"/>
      <c r="H8" s="17"/>
      <c r="I8" s="17"/>
      <c r="J8" s="32"/>
    </row>
    <row r="9" spans="2:20" x14ac:dyDescent="0.25">
      <c r="B9" s="31"/>
      <c r="C9" s="17"/>
      <c r="D9" s="17"/>
      <c r="E9" s="17"/>
      <c r="F9" s="17"/>
      <c r="G9" s="17"/>
      <c r="H9" s="17"/>
      <c r="I9" s="17"/>
      <c r="J9" s="32"/>
    </row>
    <row r="10" spans="2:20" x14ac:dyDescent="0.25">
      <c r="B10" s="31"/>
      <c r="C10" s="17"/>
      <c r="D10" s="17"/>
      <c r="E10" s="17"/>
      <c r="F10" s="17"/>
      <c r="G10" s="17"/>
      <c r="H10" s="17"/>
      <c r="I10" s="17"/>
      <c r="J10" s="32"/>
    </row>
    <row r="11" spans="2:20" ht="15.75" thickBot="1" x14ac:dyDescent="0.3">
      <c r="B11" s="31"/>
      <c r="C11" s="17"/>
      <c r="D11" s="17"/>
      <c r="E11" s="17"/>
      <c r="F11" s="17"/>
      <c r="G11" s="17"/>
      <c r="H11" s="17"/>
      <c r="I11" s="17"/>
      <c r="J11" s="32"/>
    </row>
    <row r="12" spans="2:20" x14ac:dyDescent="0.25">
      <c r="B12" s="31"/>
      <c r="C12" s="17"/>
      <c r="D12" s="17"/>
      <c r="E12" s="17"/>
      <c r="F12" s="17"/>
      <c r="G12" s="17"/>
      <c r="H12" s="17"/>
      <c r="I12" s="17"/>
      <c r="J12" s="32"/>
      <c r="L12" s="225" t="s">
        <v>194</v>
      </c>
      <c r="M12" s="226"/>
      <c r="N12" s="226"/>
      <c r="O12" s="226"/>
      <c r="P12" s="226"/>
      <c r="Q12" s="227"/>
    </row>
    <row r="13" spans="2:20" ht="16.5" thickBot="1" x14ac:dyDescent="0.3">
      <c r="B13" s="190" t="s">
        <v>153</v>
      </c>
      <c r="C13" s="191"/>
      <c r="D13" s="191"/>
      <c r="E13" s="191"/>
      <c r="F13" s="191"/>
      <c r="G13" s="191"/>
      <c r="H13" s="191"/>
      <c r="I13" s="191"/>
      <c r="J13" s="192"/>
      <c r="L13" s="228"/>
      <c r="M13" s="229"/>
      <c r="N13" s="229"/>
      <c r="O13" s="229"/>
      <c r="P13" s="229"/>
      <c r="Q13" s="230"/>
      <c r="R13" s="60"/>
      <c r="S13" s="60"/>
      <c r="T13" s="60"/>
    </row>
    <row r="14" spans="2:20" ht="15.75" customHeight="1" thickBot="1" x14ac:dyDescent="0.3">
      <c r="B14" s="251"/>
      <c r="C14" s="208"/>
      <c r="D14" s="208"/>
      <c r="E14" s="208"/>
      <c r="F14" s="208"/>
      <c r="G14" s="208"/>
      <c r="H14" s="208"/>
      <c r="I14" s="208"/>
      <c r="J14" s="252"/>
      <c r="L14" s="125" t="s">
        <v>106</v>
      </c>
      <c r="M14" s="125" t="s">
        <v>107</v>
      </c>
      <c r="N14" s="125" t="s">
        <v>108</v>
      </c>
      <c r="O14" s="126" t="s">
        <v>158</v>
      </c>
      <c r="P14" s="126" t="s">
        <v>159</v>
      </c>
      <c r="Q14" s="127" t="s">
        <v>105</v>
      </c>
    </row>
    <row r="15" spans="2:20" ht="27.75" customHeight="1" x14ac:dyDescent="0.25">
      <c r="B15" s="251"/>
      <c r="C15" s="208"/>
      <c r="D15" s="208"/>
      <c r="E15" s="208"/>
      <c r="F15" s="208"/>
      <c r="G15" s="208"/>
      <c r="H15" s="208"/>
      <c r="I15" s="208"/>
      <c r="J15" s="252"/>
      <c r="L15" s="103">
        <v>1</v>
      </c>
      <c r="M15" s="146">
        <v>45</v>
      </c>
      <c r="N15" s="103">
        <v>1</v>
      </c>
      <c r="O15" s="103">
        <v>1</v>
      </c>
      <c r="P15" s="103">
        <v>0.8</v>
      </c>
      <c r="Q15" s="103">
        <f>(L15*M15*N15*O15*P15)/60</f>
        <v>0.6</v>
      </c>
    </row>
    <row r="16" spans="2:20" x14ac:dyDescent="0.25">
      <c r="B16" s="31"/>
      <c r="C16" s="17"/>
      <c r="D16" s="17"/>
      <c r="E16" s="17"/>
      <c r="F16" s="17"/>
      <c r="G16" s="17"/>
      <c r="H16" s="17"/>
      <c r="I16" s="17"/>
      <c r="J16" s="32"/>
      <c r="L16" s="104">
        <v>1</v>
      </c>
      <c r="M16" s="15">
        <v>45</v>
      </c>
      <c r="N16" s="104">
        <v>1</v>
      </c>
      <c r="O16" s="104">
        <v>1</v>
      </c>
      <c r="P16" s="104">
        <v>0.8</v>
      </c>
      <c r="Q16" s="104">
        <f t="shared" ref="Q16:Q65" si="0">(L16*M16*N16*O16*P16)/60</f>
        <v>0.6</v>
      </c>
    </row>
    <row r="17" spans="2:17" ht="15" customHeight="1" x14ac:dyDescent="0.25">
      <c r="B17" s="248" t="s">
        <v>104</v>
      </c>
      <c r="C17" s="249"/>
      <c r="D17" s="249"/>
      <c r="E17" s="249"/>
      <c r="F17" s="249"/>
      <c r="G17" s="249"/>
      <c r="H17" s="249"/>
      <c r="I17" s="249"/>
      <c r="J17" s="250"/>
      <c r="L17" s="104">
        <v>4</v>
      </c>
      <c r="M17" s="15">
        <v>45</v>
      </c>
      <c r="N17" s="104">
        <v>1</v>
      </c>
      <c r="O17" s="104">
        <v>1</v>
      </c>
      <c r="P17" s="104">
        <v>0.8</v>
      </c>
      <c r="Q17" s="104">
        <f t="shared" si="0"/>
        <v>2.4</v>
      </c>
    </row>
    <row r="18" spans="2:17" x14ac:dyDescent="0.25">
      <c r="B18" s="248"/>
      <c r="C18" s="249"/>
      <c r="D18" s="249"/>
      <c r="E18" s="249"/>
      <c r="F18" s="249"/>
      <c r="G18" s="249"/>
      <c r="H18" s="249"/>
      <c r="I18" s="249"/>
      <c r="J18" s="250"/>
      <c r="L18" s="104">
        <v>6</v>
      </c>
      <c r="M18" s="15">
        <v>45</v>
      </c>
      <c r="N18" s="104">
        <v>1</v>
      </c>
      <c r="O18" s="104">
        <v>1</v>
      </c>
      <c r="P18" s="104">
        <v>0.8</v>
      </c>
      <c r="Q18" s="104">
        <f t="shared" si="0"/>
        <v>3.6</v>
      </c>
    </row>
    <row r="19" spans="2:17" x14ac:dyDescent="0.25">
      <c r="B19" s="248"/>
      <c r="C19" s="249"/>
      <c r="D19" s="249"/>
      <c r="E19" s="249"/>
      <c r="F19" s="249"/>
      <c r="G19" s="249"/>
      <c r="H19" s="249"/>
      <c r="I19" s="249"/>
      <c r="J19" s="250"/>
      <c r="L19" s="104">
        <v>8</v>
      </c>
      <c r="M19" s="15">
        <v>45</v>
      </c>
      <c r="N19" s="104">
        <v>1</v>
      </c>
      <c r="O19" s="104">
        <v>1</v>
      </c>
      <c r="P19" s="104">
        <v>0.8</v>
      </c>
      <c r="Q19" s="104">
        <f t="shared" si="0"/>
        <v>4.8</v>
      </c>
    </row>
    <row r="20" spans="2:17" x14ac:dyDescent="0.25">
      <c r="B20" s="248"/>
      <c r="C20" s="249"/>
      <c r="D20" s="249"/>
      <c r="E20" s="249"/>
      <c r="F20" s="249"/>
      <c r="G20" s="249"/>
      <c r="H20" s="249"/>
      <c r="I20" s="249"/>
      <c r="J20" s="250"/>
      <c r="L20" s="104">
        <v>1</v>
      </c>
      <c r="M20" s="15">
        <v>45</v>
      </c>
      <c r="N20" s="104">
        <v>1</v>
      </c>
      <c r="O20" s="104">
        <v>1</v>
      </c>
      <c r="P20" s="104">
        <v>0.8</v>
      </c>
      <c r="Q20" s="104">
        <f t="shared" si="0"/>
        <v>0.6</v>
      </c>
    </row>
    <row r="21" spans="2:17" x14ac:dyDescent="0.25">
      <c r="B21" s="248"/>
      <c r="C21" s="249"/>
      <c r="D21" s="249"/>
      <c r="E21" s="249"/>
      <c r="F21" s="249"/>
      <c r="G21" s="249"/>
      <c r="H21" s="249"/>
      <c r="I21" s="249"/>
      <c r="J21" s="250"/>
      <c r="L21" s="104">
        <v>3</v>
      </c>
      <c r="M21" s="15">
        <v>45</v>
      </c>
      <c r="N21" s="104">
        <v>1</v>
      </c>
      <c r="O21" s="104">
        <v>1</v>
      </c>
      <c r="P21" s="104">
        <v>0.8</v>
      </c>
      <c r="Q21" s="104">
        <f t="shared" si="0"/>
        <v>1.8</v>
      </c>
    </row>
    <row r="22" spans="2:17" x14ac:dyDescent="0.25">
      <c r="B22" s="248"/>
      <c r="C22" s="249"/>
      <c r="D22" s="249"/>
      <c r="E22" s="249"/>
      <c r="F22" s="249"/>
      <c r="G22" s="249"/>
      <c r="H22" s="249"/>
      <c r="I22" s="249"/>
      <c r="J22" s="250"/>
      <c r="L22" s="104">
        <v>34</v>
      </c>
      <c r="M22" s="15">
        <v>45</v>
      </c>
      <c r="N22" s="104">
        <v>1</v>
      </c>
      <c r="O22" s="104">
        <v>1</v>
      </c>
      <c r="P22" s="104">
        <v>0.8</v>
      </c>
      <c r="Q22" s="104">
        <f t="shared" si="0"/>
        <v>20.399999999999999</v>
      </c>
    </row>
    <row r="23" spans="2:17" x14ac:dyDescent="0.25">
      <c r="B23" s="248"/>
      <c r="C23" s="249"/>
      <c r="D23" s="249"/>
      <c r="E23" s="249"/>
      <c r="F23" s="249"/>
      <c r="G23" s="249"/>
      <c r="H23" s="249"/>
      <c r="I23" s="249"/>
      <c r="J23" s="250"/>
      <c r="L23" s="104">
        <v>1</v>
      </c>
      <c r="M23" s="15">
        <v>45</v>
      </c>
      <c r="N23" s="104">
        <v>1</v>
      </c>
      <c r="O23" s="104">
        <v>1</v>
      </c>
      <c r="P23" s="104">
        <v>0.8</v>
      </c>
      <c r="Q23" s="104">
        <f t="shared" si="0"/>
        <v>0.6</v>
      </c>
    </row>
    <row r="24" spans="2:17" x14ac:dyDescent="0.25">
      <c r="B24" s="248"/>
      <c r="C24" s="249"/>
      <c r="D24" s="249"/>
      <c r="E24" s="249"/>
      <c r="F24" s="249"/>
      <c r="G24" s="249"/>
      <c r="H24" s="249"/>
      <c r="I24" s="249"/>
      <c r="J24" s="250"/>
      <c r="L24" s="104">
        <v>1</v>
      </c>
      <c r="M24" s="15">
        <v>45</v>
      </c>
      <c r="N24" s="104">
        <v>1</v>
      </c>
      <c r="O24" s="104">
        <v>1</v>
      </c>
      <c r="P24" s="104">
        <v>0.8</v>
      </c>
      <c r="Q24" s="104">
        <f t="shared" si="0"/>
        <v>0.6</v>
      </c>
    </row>
    <row r="25" spans="2:17" ht="15.75" thickBot="1" x14ac:dyDescent="0.3">
      <c r="B25" s="31"/>
      <c r="C25" s="17"/>
      <c r="D25" s="17"/>
      <c r="E25" s="17"/>
      <c r="F25" s="17"/>
      <c r="G25" s="17"/>
      <c r="H25" s="17"/>
      <c r="I25" s="17"/>
      <c r="J25" s="32"/>
      <c r="L25" s="104">
        <v>1</v>
      </c>
      <c r="M25" s="15">
        <v>45</v>
      </c>
      <c r="N25" s="104">
        <v>1</v>
      </c>
      <c r="O25" s="104">
        <v>1</v>
      </c>
      <c r="P25" s="104">
        <v>0.8</v>
      </c>
      <c r="Q25" s="104">
        <f t="shared" si="0"/>
        <v>0.6</v>
      </c>
    </row>
    <row r="26" spans="2:17" ht="46.5" customHeight="1" thickBot="1" x14ac:dyDescent="0.3">
      <c r="B26" s="31"/>
      <c r="C26" s="17"/>
      <c r="D26" s="233" t="s">
        <v>110</v>
      </c>
      <c r="E26" s="234"/>
      <c r="F26" s="234"/>
      <c r="G26" s="234"/>
      <c r="H26" s="234"/>
      <c r="I26" s="234"/>
      <c r="J26" s="32"/>
      <c r="L26" s="104">
        <v>34</v>
      </c>
      <c r="M26" s="15">
        <v>45</v>
      </c>
      <c r="N26" s="104">
        <v>1</v>
      </c>
      <c r="O26" s="104">
        <v>1</v>
      </c>
      <c r="P26" s="104">
        <v>0.8</v>
      </c>
      <c r="Q26" s="104">
        <f t="shared" si="0"/>
        <v>20.399999999999999</v>
      </c>
    </row>
    <row r="27" spans="2:17" ht="15.75" thickBot="1" x14ac:dyDescent="0.3">
      <c r="B27" s="31"/>
      <c r="C27" s="17"/>
      <c r="D27" s="36" t="s">
        <v>111</v>
      </c>
      <c r="E27" s="36" t="s">
        <v>112</v>
      </c>
      <c r="F27" s="46"/>
      <c r="G27" s="36" t="s">
        <v>113</v>
      </c>
      <c r="H27" s="47"/>
      <c r="I27" s="38" t="s">
        <v>114</v>
      </c>
      <c r="J27" s="32"/>
      <c r="L27" s="104">
        <v>1</v>
      </c>
      <c r="M27" s="15">
        <v>45</v>
      </c>
      <c r="N27" s="104">
        <v>1</v>
      </c>
      <c r="O27" s="104">
        <v>1</v>
      </c>
      <c r="P27" s="104">
        <v>0.8</v>
      </c>
      <c r="Q27" s="104">
        <f t="shared" si="0"/>
        <v>0.6</v>
      </c>
    </row>
    <row r="28" spans="2:17" x14ac:dyDescent="0.25">
      <c r="B28" s="31"/>
      <c r="C28" s="17"/>
      <c r="D28" s="37" t="s">
        <v>115</v>
      </c>
      <c r="E28" s="48" t="s">
        <v>116</v>
      </c>
      <c r="F28" s="49"/>
      <c r="G28" s="37" t="s">
        <v>117</v>
      </c>
      <c r="H28" s="27"/>
      <c r="I28" s="39">
        <v>78</v>
      </c>
      <c r="J28" s="32"/>
      <c r="L28" s="104">
        <v>9</v>
      </c>
      <c r="M28" s="15">
        <v>45</v>
      </c>
      <c r="N28" s="104">
        <v>1</v>
      </c>
      <c r="O28" s="104">
        <v>1</v>
      </c>
      <c r="P28" s="104">
        <v>0.8</v>
      </c>
      <c r="Q28" s="104">
        <f t="shared" si="0"/>
        <v>5.4</v>
      </c>
    </row>
    <row r="29" spans="2:17" x14ac:dyDescent="0.25">
      <c r="B29" s="31"/>
      <c r="C29" s="17"/>
      <c r="D29" s="37"/>
      <c r="E29" s="48" t="s">
        <v>116</v>
      </c>
      <c r="F29" s="49"/>
      <c r="G29" s="37" t="s">
        <v>118</v>
      </c>
      <c r="H29" s="27"/>
      <c r="I29" s="40">
        <v>67</v>
      </c>
      <c r="J29" s="32"/>
      <c r="L29" s="104">
        <v>7</v>
      </c>
      <c r="M29" s="15">
        <v>45</v>
      </c>
      <c r="N29" s="104">
        <v>1</v>
      </c>
      <c r="O29" s="104">
        <v>1</v>
      </c>
      <c r="P29" s="104">
        <v>0.8</v>
      </c>
      <c r="Q29" s="104">
        <f t="shared" si="0"/>
        <v>4.2</v>
      </c>
    </row>
    <row r="30" spans="2:17" ht="30" x14ac:dyDescent="0.25">
      <c r="B30" s="31"/>
      <c r="C30" s="17"/>
      <c r="D30" s="54" t="s">
        <v>119</v>
      </c>
      <c r="E30" s="48" t="s">
        <v>120</v>
      </c>
      <c r="F30" s="49"/>
      <c r="G30" s="37" t="s">
        <v>118</v>
      </c>
      <c r="H30" s="27"/>
      <c r="I30" s="40">
        <v>60</v>
      </c>
      <c r="J30" s="32"/>
      <c r="L30" s="104">
        <v>21</v>
      </c>
      <c r="M30" s="15">
        <v>45</v>
      </c>
      <c r="N30" s="104">
        <v>1</v>
      </c>
      <c r="O30" s="104">
        <v>1</v>
      </c>
      <c r="P30" s="104">
        <v>0.8</v>
      </c>
      <c r="Q30" s="104">
        <f t="shared" si="0"/>
        <v>12.6</v>
      </c>
    </row>
    <row r="31" spans="2:17" x14ac:dyDescent="0.25">
      <c r="B31" s="31"/>
      <c r="C31" s="17"/>
      <c r="D31" s="37"/>
      <c r="E31" s="48" t="s">
        <v>116</v>
      </c>
      <c r="F31" s="49"/>
      <c r="G31" s="37" t="s">
        <v>118</v>
      </c>
      <c r="H31" s="27"/>
      <c r="I31" s="40">
        <v>45</v>
      </c>
      <c r="J31" s="32"/>
      <c r="L31" s="104">
        <v>4</v>
      </c>
      <c r="M31" s="15">
        <v>45</v>
      </c>
      <c r="N31" s="104">
        <v>1</v>
      </c>
      <c r="O31" s="104">
        <v>1</v>
      </c>
      <c r="P31" s="104">
        <v>0.8</v>
      </c>
      <c r="Q31" s="104">
        <f t="shared" si="0"/>
        <v>2.4</v>
      </c>
    </row>
    <row r="32" spans="2:17" x14ac:dyDescent="0.25">
      <c r="B32" s="31"/>
      <c r="C32" s="17"/>
      <c r="D32" s="117" t="s">
        <v>121</v>
      </c>
      <c r="E32" s="118" t="s">
        <v>116</v>
      </c>
      <c r="F32" s="119"/>
      <c r="G32" s="117" t="s">
        <v>118</v>
      </c>
      <c r="H32" s="120"/>
      <c r="I32" s="121">
        <v>45</v>
      </c>
      <c r="J32" s="32"/>
      <c r="L32" s="104">
        <v>3</v>
      </c>
      <c r="M32" s="15">
        <v>45</v>
      </c>
      <c r="N32" s="104">
        <v>1</v>
      </c>
      <c r="O32" s="104">
        <v>1</v>
      </c>
      <c r="P32" s="104">
        <v>0.8</v>
      </c>
      <c r="Q32" s="104">
        <f t="shared" si="0"/>
        <v>1.8</v>
      </c>
    </row>
    <row r="33" spans="2:17" x14ac:dyDescent="0.25">
      <c r="B33" s="31"/>
      <c r="C33" s="17"/>
      <c r="D33" s="37" t="s">
        <v>122</v>
      </c>
      <c r="E33" s="48" t="s">
        <v>116</v>
      </c>
      <c r="F33" s="49"/>
      <c r="G33" s="37" t="s">
        <v>117</v>
      </c>
      <c r="H33" s="27"/>
      <c r="I33" s="40">
        <v>60</v>
      </c>
      <c r="J33" s="32"/>
      <c r="L33" s="104">
        <v>21</v>
      </c>
      <c r="M33" s="15">
        <v>45</v>
      </c>
      <c r="N33" s="104">
        <v>1</v>
      </c>
      <c r="O33" s="104">
        <v>1</v>
      </c>
      <c r="P33" s="104">
        <v>0.8</v>
      </c>
      <c r="Q33" s="104">
        <f t="shared" si="0"/>
        <v>12.6</v>
      </c>
    </row>
    <row r="34" spans="2:17" ht="15.75" thickBot="1" x14ac:dyDescent="0.3">
      <c r="B34" s="31"/>
      <c r="C34" s="17"/>
      <c r="D34" s="50"/>
      <c r="E34" s="51" t="s">
        <v>116</v>
      </c>
      <c r="F34" s="52"/>
      <c r="G34" s="50" t="s">
        <v>118</v>
      </c>
      <c r="H34" s="53"/>
      <c r="I34" s="41">
        <v>50</v>
      </c>
      <c r="J34" s="32"/>
      <c r="L34" s="104">
        <v>6</v>
      </c>
      <c r="M34" s="15">
        <v>45</v>
      </c>
      <c r="N34" s="104">
        <v>1</v>
      </c>
      <c r="O34" s="104">
        <v>1</v>
      </c>
      <c r="P34" s="104">
        <v>0.8</v>
      </c>
      <c r="Q34" s="104">
        <f t="shared" si="0"/>
        <v>3.6</v>
      </c>
    </row>
    <row r="35" spans="2:17" ht="15.75" thickBot="1" x14ac:dyDescent="0.3">
      <c r="B35" s="31"/>
      <c r="C35" s="17"/>
      <c r="D35" s="17"/>
      <c r="E35" s="17"/>
      <c r="F35" s="17"/>
      <c r="G35" s="17"/>
      <c r="H35" s="17"/>
      <c r="I35" s="17"/>
      <c r="J35" s="32"/>
      <c r="L35" s="104">
        <v>25</v>
      </c>
      <c r="M35" s="15">
        <v>45</v>
      </c>
      <c r="N35" s="104">
        <v>1</v>
      </c>
      <c r="O35" s="104">
        <v>1</v>
      </c>
      <c r="P35" s="104">
        <v>0.8</v>
      </c>
      <c r="Q35" s="104">
        <f t="shared" si="0"/>
        <v>15</v>
      </c>
    </row>
    <row r="36" spans="2:17" ht="16.5" customHeight="1" thickBot="1" x14ac:dyDescent="0.3">
      <c r="B36" s="31"/>
      <c r="C36" s="17"/>
      <c r="D36" s="233" t="s">
        <v>123</v>
      </c>
      <c r="E36" s="234"/>
      <c r="F36" s="17"/>
      <c r="G36" s="17"/>
      <c r="H36" s="231" t="s">
        <v>124</v>
      </c>
      <c r="I36" s="232"/>
      <c r="J36" s="32"/>
      <c r="L36" s="104">
        <v>23</v>
      </c>
      <c r="M36" s="15">
        <v>45</v>
      </c>
      <c r="N36" s="104">
        <v>1</v>
      </c>
      <c r="O36" s="104">
        <v>1</v>
      </c>
      <c r="P36" s="104">
        <v>0.8</v>
      </c>
      <c r="Q36" s="104">
        <f t="shared" si="0"/>
        <v>13.8</v>
      </c>
    </row>
    <row r="37" spans="2:17" ht="45.75" thickBot="1" x14ac:dyDescent="0.3">
      <c r="B37" s="31"/>
      <c r="C37" s="17"/>
      <c r="D37" s="55" t="s">
        <v>125</v>
      </c>
      <c r="E37" s="42" t="s">
        <v>126</v>
      </c>
      <c r="F37" s="17"/>
      <c r="G37" s="17"/>
      <c r="H37" s="57" t="s">
        <v>127</v>
      </c>
      <c r="I37" s="56" t="s">
        <v>128</v>
      </c>
      <c r="J37" s="32"/>
      <c r="L37" s="104">
        <v>1</v>
      </c>
      <c r="M37" s="15">
        <v>45</v>
      </c>
      <c r="N37" s="104">
        <v>1</v>
      </c>
      <c r="O37" s="104">
        <v>1</v>
      </c>
      <c r="P37" s="104">
        <v>0.8</v>
      </c>
      <c r="Q37" s="104">
        <f t="shared" si="0"/>
        <v>0.6</v>
      </c>
    </row>
    <row r="38" spans="2:17" x14ac:dyDescent="0.25">
      <c r="B38" s="31"/>
      <c r="C38" s="17"/>
      <c r="D38" s="121" t="s">
        <v>129</v>
      </c>
      <c r="E38" s="123">
        <v>1</v>
      </c>
      <c r="F38" s="17"/>
      <c r="G38" s="17"/>
      <c r="H38" s="121" t="s">
        <v>130</v>
      </c>
      <c r="I38" s="122">
        <v>1</v>
      </c>
      <c r="J38" s="32"/>
      <c r="L38" s="104">
        <v>5</v>
      </c>
      <c r="M38" s="15">
        <v>45</v>
      </c>
      <c r="N38" s="104">
        <v>1</v>
      </c>
      <c r="O38" s="104">
        <v>1</v>
      </c>
      <c r="P38" s="104">
        <v>0.8</v>
      </c>
      <c r="Q38" s="104">
        <f t="shared" si="0"/>
        <v>3</v>
      </c>
    </row>
    <row r="39" spans="2:17" x14ac:dyDescent="0.25">
      <c r="B39" s="31"/>
      <c r="C39" s="17"/>
      <c r="D39" s="40">
        <v>150</v>
      </c>
      <c r="E39" s="43">
        <v>1.05</v>
      </c>
      <c r="F39" s="17"/>
      <c r="G39" s="17"/>
      <c r="H39" s="40" t="s">
        <v>131</v>
      </c>
      <c r="I39" s="58">
        <v>0.95</v>
      </c>
      <c r="J39" s="32"/>
      <c r="L39" s="104">
        <v>1</v>
      </c>
      <c r="M39" s="15">
        <v>45</v>
      </c>
      <c r="N39" s="104">
        <v>1</v>
      </c>
      <c r="O39" s="104">
        <v>1</v>
      </c>
      <c r="P39" s="104">
        <v>0.8</v>
      </c>
      <c r="Q39" s="104">
        <f t="shared" si="0"/>
        <v>0.6</v>
      </c>
    </row>
    <row r="40" spans="2:17" ht="15.75" thickBot="1" x14ac:dyDescent="0.3">
      <c r="B40" s="31"/>
      <c r="C40" s="17"/>
      <c r="D40" s="41">
        <v>200</v>
      </c>
      <c r="E40" s="44">
        <v>1.1499999999999999</v>
      </c>
      <c r="F40" s="17"/>
      <c r="G40" s="17"/>
      <c r="H40" s="40" t="s">
        <v>132</v>
      </c>
      <c r="I40" s="58">
        <v>0.85</v>
      </c>
      <c r="J40" s="32"/>
      <c r="L40" s="104">
        <v>3</v>
      </c>
      <c r="M40" s="15">
        <v>45</v>
      </c>
      <c r="N40" s="104">
        <v>1</v>
      </c>
      <c r="O40" s="104">
        <v>1</v>
      </c>
      <c r="P40" s="104">
        <v>0.8</v>
      </c>
      <c r="Q40" s="104">
        <f t="shared" si="0"/>
        <v>1.8</v>
      </c>
    </row>
    <row r="41" spans="2:17" ht="15.75" thickBot="1" x14ac:dyDescent="0.3">
      <c r="B41" s="31"/>
      <c r="C41" s="17"/>
      <c r="D41" s="17"/>
      <c r="E41" s="17"/>
      <c r="F41" s="17"/>
      <c r="G41" s="17"/>
      <c r="H41" s="41" t="s">
        <v>133</v>
      </c>
      <c r="I41" s="59">
        <v>0.75</v>
      </c>
      <c r="J41" s="32"/>
      <c r="L41" s="104">
        <v>13</v>
      </c>
      <c r="M41" s="15">
        <v>45</v>
      </c>
      <c r="N41" s="104">
        <v>1</v>
      </c>
      <c r="O41" s="104">
        <v>1</v>
      </c>
      <c r="P41" s="104">
        <v>0.8</v>
      </c>
      <c r="Q41" s="104">
        <f t="shared" si="0"/>
        <v>7.8</v>
      </c>
    </row>
    <row r="42" spans="2:17" ht="15.75" thickBot="1" x14ac:dyDescent="0.3">
      <c r="B42" s="31"/>
      <c r="C42" s="17"/>
      <c r="D42" s="17"/>
      <c r="E42" s="17"/>
      <c r="F42" s="17"/>
      <c r="G42" s="17"/>
      <c r="H42" s="17"/>
      <c r="I42" s="17"/>
      <c r="J42" s="32"/>
      <c r="L42" s="104">
        <v>15</v>
      </c>
      <c r="M42" s="15">
        <v>45</v>
      </c>
      <c r="N42" s="104">
        <v>1</v>
      </c>
      <c r="O42" s="104">
        <v>1</v>
      </c>
      <c r="P42" s="104">
        <v>0.8</v>
      </c>
      <c r="Q42" s="104">
        <f t="shared" si="0"/>
        <v>9</v>
      </c>
    </row>
    <row r="43" spans="2:17" ht="15.75" customHeight="1" x14ac:dyDescent="0.25">
      <c r="B43" s="31"/>
      <c r="C43" s="17"/>
      <c r="D43" s="17"/>
      <c r="E43" s="243" t="s">
        <v>134</v>
      </c>
      <c r="F43" s="244"/>
      <c r="G43" s="30"/>
      <c r="H43" s="30"/>
      <c r="I43" s="17"/>
      <c r="J43" s="32"/>
      <c r="L43" s="104">
        <v>5</v>
      </c>
      <c r="M43" s="15">
        <v>45</v>
      </c>
      <c r="N43" s="104">
        <v>1</v>
      </c>
      <c r="O43" s="104">
        <v>1</v>
      </c>
      <c r="P43" s="104">
        <v>0.8</v>
      </c>
      <c r="Q43" s="104">
        <f t="shared" si="0"/>
        <v>3</v>
      </c>
    </row>
    <row r="44" spans="2:17" x14ac:dyDescent="0.25">
      <c r="B44" s="31"/>
      <c r="C44" s="17"/>
      <c r="D44" s="17"/>
      <c r="E44" s="241" t="s">
        <v>135</v>
      </c>
      <c r="F44" s="242"/>
      <c r="G44" s="242"/>
      <c r="H44" s="28" t="s">
        <v>136</v>
      </c>
      <c r="I44" s="17"/>
      <c r="J44" s="32"/>
      <c r="L44" s="104">
        <v>14</v>
      </c>
      <c r="M44" s="15">
        <v>45</v>
      </c>
      <c r="N44" s="104">
        <v>1</v>
      </c>
      <c r="O44" s="104">
        <v>1</v>
      </c>
      <c r="P44" s="104">
        <v>0.8</v>
      </c>
      <c r="Q44" s="104">
        <f t="shared" si="0"/>
        <v>8.4</v>
      </c>
    </row>
    <row r="45" spans="2:17" x14ac:dyDescent="0.25">
      <c r="B45" s="31"/>
      <c r="C45" s="17"/>
      <c r="D45" s="17"/>
      <c r="E45" s="239" t="s">
        <v>137</v>
      </c>
      <c r="F45" s="240"/>
      <c r="G45" s="240"/>
      <c r="H45" s="29">
        <v>1</v>
      </c>
      <c r="I45" s="17"/>
      <c r="J45" s="32"/>
      <c r="L45" s="104">
        <v>2</v>
      </c>
      <c r="M45" s="15">
        <v>45</v>
      </c>
      <c r="N45" s="104">
        <v>1</v>
      </c>
      <c r="O45" s="104">
        <v>1</v>
      </c>
      <c r="P45" s="104">
        <v>0.8</v>
      </c>
      <c r="Q45" s="104">
        <f t="shared" si="0"/>
        <v>1.2</v>
      </c>
    </row>
    <row r="46" spans="2:17" x14ac:dyDescent="0.25">
      <c r="B46" s="31"/>
      <c r="C46" s="17"/>
      <c r="D46" s="17"/>
      <c r="E46" s="237" t="s">
        <v>138</v>
      </c>
      <c r="F46" s="238"/>
      <c r="G46" s="238"/>
      <c r="H46" s="124">
        <v>0.8</v>
      </c>
      <c r="I46" s="17"/>
      <c r="J46" s="32"/>
      <c r="L46" s="104">
        <v>7</v>
      </c>
      <c r="M46" s="15">
        <v>45</v>
      </c>
      <c r="N46" s="104">
        <v>1</v>
      </c>
      <c r="O46" s="104">
        <v>1</v>
      </c>
      <c r="P46" s="104">
        <v>0.8</v>
      </c>
      <c r="Q46" s="104">
        <f t="shared" si="0"/>
        <v>4.2</v>
      </c>
    </row>
    <row r="47" spans="2:17" ht="15.75" thickBot="1" x14ac:dyDescent="0.3">
      <c r="B47" s="33"/>
      <c r="C47" s="34"/>
      <c r="D47" s="34"/>
      <c r="E47" s="235" t="s">
        <v>139</v>
      </c>
      <c r="F47" s="236"/>
      <c r="G47" s="236"/>
      <c r="H47" s="45">
        <v>0.9</v>
      </c>
      <c r="I47" s="34"/>
      <c r="J47" s="35"/>
      <c r="L47" s="104">
        <v>0</v>
      </c>
      <c r="M47" s="15">
        <v>45</v>
      </c>
      <c r="N47" s="104">
        <v>1</v>
      </c>
      <c r="O47" s="104">
        <v>1</v>
      </c>
      <c r="P47" s="104">
        <v>0.8</v>
      </c>
      <c r="Q47" s="104">
        <f t="shared" si="0"/>
        <v>0</v>
      </c>
    </row>
    <row r="48" spans="2:17" x14ac:dyDescent="0.25">
      <c r="L48" s="128">
        <v>4</v>
      </c>
      <c r="M48" s="15">
        <v>45</v>
      </c>
      <c r="N48" s="104">
        <v>1</v>
      </c>
      <c r="O48" s="104">
        <v>1</v>
      </c>
      <c r="P48" s="104">
        <v>0.8</v>
      </c>
      <c r="Q48" s="104">
        <f t="shared" si="0"/>
        <v>2.4</v>
      </c>
    </row>
    <row r="49" spans="12:17" x14ac:dyDescent="0.25">
      <c r="L49" s="128">
        <v>1</v>
      </c>
      <c r="M49" s="15">
        <v>45</v>
      </c>
      <c r="N49" s="104">
        <v>1</v>
      </c>
      <c r="O49" s="104">
        <v>1</v>
      </c>
      <c r="P49" s="104">
        <v>0.8</v>
      </c>
      <c r="Q49" s="104">
        <f t="shared" si="0"/>
        <v>0.6</v>
      </c>
    </row>
    <row r="50" spans="12:17" x14ac:dyDescent="0.25">
      <c r="L50" s="128">
        <v>1</v>
      </c>
      <c r="M50" s="15">
        <v>45</v>
      </c>
      <c r="N50" s="104">
        <v>1</v>
      </c>
      <c r="O50" s="104">
        <v>1</v>
      </c>
      <c r="P50" s="104">
        <v>0.8</v>
      </c>
      <c r="Q50" s="104">
        <f t="shared" si="0"/>
        <v>0.6</v>
      </c>
    </row>
    <row r="51" spans="12:17" x14ac:dyDescent="0.25">
      <c r="L51" s="128">
        <v>1</v>
      </c>
      <c r="M51" s="15">
        <v>45</v>
      </c>
      <c r="N51" s="104">
        <v>1</v>
      </c>
      <c r="O51" s="104">
        <v>1</v>
      </c>
      <c r="P51" s="104">
        <v>0.8</v>
      </c>
      <c r="Q51" s="104">
        <f t="shared" si="0"/>
        <v>0.6</v>
      </c>
    </row>
    <row r="52" spans="12:17" ht="15" customHeight="1" x14ac:dyDescent="0.25">
      <c r="L52" s="128">
        <v>2</v>
      </c>
      <c r="M52" s="15">
        <v>45</v>
      </c>
      <c r="N52" s="104">
        <v>1</v>
      </c>
      <c r="O52" s="104">
        <v>1</v>
      </c>
      <c r="P52" s="104">
        <v>0.8</v>
      </c>
      <c r="Q52" s="104">
        <f t="shared" si="0"/>
        <v>1.2</v>
      </c>
    </row>
    <row r="53" spans="12:17" x14ac:dyDescent="0.25">
      <c r="L53" s="128">
        <v>2</v>
      </c>
      <c r="M53" s="15">
        <v>45</v>
      </c>
      <c r="N53" s="104">
        <v>1</v>
      </c>
      <c r="O53" s="104">
        <v>1</v>
      </c>
      <c r="P53" s="104">
        <v>0.8</v>
      </c>
      <c r="Q53" s="104">
        <f t="shared" si="0"/>
        <v>1.2</v>
      </c>
    </row>
    <row r="54" spans="12:17" x14ac:dyDescent="0.25">
      <c r="L54" s="128">
        <v>4</v>
      </c>
      <c r="M54" s="15">
        <v>45</v>
      </c>
      <c r="N54" s="104">
        <v>1</v>
      </c>
      <c r="O54" s="104">
        <v>1</v>
      </c>
      <c r="P54" s="104">
        <v>0.8</v>
      </c>
      <c r="Q54" s="104">
        <f t="shared" si="0"/>
        <v>2.4</v>
      </c>
    </row>
    <row r="55" spans="12:17" x14ac:dyDescent="0.25">
      <c r="L55" s="128">
        <v>4</v>
      </c>
      <c r="M55" s="15">
        <v>45</v>
      </c>
      <c r="N55" s="104">
        <v>1</v>
      </c>
      <c r="O55" s="104">
        <v>1</v>
      </c>
      <c r="P55" s="104">
        <v>0.8</v>
      </c>
      <c r="Q55" s="104">
        <f t="shared" si="0"/>
        <v>2.4</v>
      </c>
    </row>
    <row r="56" spans="12:17" x14ac:dyDescent="0.25">
      <c r="L56" s="128">
        <v>4</v>
      </c>
      <c r="M56" s="15">
        <v>45</v>
      </c>
      <c r="N56" s="104">
        <v>1</v>
      </c>
      <c r="O56" s="104">
        <v>1</v>
      </c>
      <c r="P56" s="104">
        <v>0.8</v>
      </c>
      <c r="Q56" s="104">
        <f t="shared" si="0"/>
        <v>2.4</v>
      </c>
    </row>
    <row r="57" spans="12:17" x14ac:dyDescent="0.25">
      <c r="L57" s="128">
        <v>0</v>
      </c>
      <c r="M57" s="15">
        <v>45</v>
      </c>
      <c r="N57" s="104">
        <v>1</v>
      </c>
      <c r="O57" s="104">
        <v>1</v>
      </c>
      <c r="P57" s="104">
        <v>0.8</v>
      </c>
      <c r="Q57" s="104">
        <f t="shared" si="0"/>
        <v>0</v>
      </c>
    </row>
    <row r="58" spans="12:17" x14ac:dyDescent="0.25">
      <c r="L58" s="128">
        <v>0</v>
      </c>
      <c r="M58" s="15">
        <v>45</v>
      </c>
      <c r="N58" s="104">
        <v>1</v>
      </c>
      <c r="O58" s="104">
        <v>1</v>
      </c>
      <c r="P58" s="104">
        <v>0.8</v>
      </c>
      <c r="Q58" s="104">
        <f t="shared" si="0"/>
        <v>0</v>
      </c>
    </row>
    <row r="59" spans="12:17" x14ac:dyDescent="0.25">
      <c r="L59" s="128">
        <v>2</v>
      </c>
      <c r="M59" s="15">
        <v>45</v>
      </c>
      <c r="N59" s="104">
        <v>1</v>
      </c>
      <c r="O59" s="104">
        <v>1</v>
      </c>
      <c r="P59" s="104">
        <v>0.8</v>
      </c>
      <c r="Q59" s="104">
        <f t="shared" si="0"/>
        <v>1.2</v>
      </c>
    </row>
    <row r="60" spans="12:17" x14ac:dyDescent="0.25">
      <c r="L60" s="128">
        <v>2</v>
      </c>
      <c r="M60" s="15">
        <v>45</v>
      </c>
      <c r="N60" s="104">
        <v>1</v>
      </c>
      <c r="O60" s="104">
        <v>1</v>
      </c>
      <c r="P60" s="104">
        <v>0.8</v>
      </c>
      <c r="Q60" s="104">
        <f t="shared" si="0"/>
        <v>1.2</v>
      </c>
    </row>
    <row r="61" spans="12:17" x14ac:dyDescent="0.25">
      <c r="L61" s="128">
        <v>1</v>
      </c>
      <c r="M61" s="15">
        <v>45</v>
      </c>
      <c r="N61" s="104">
        <v>1</v>
      </c>
      <c r="O61" s="104">
        <v>1</v>
      </c>
      <c r="P61" s="104">
        <v>0.8</v>
      </c>
      <c r="Q61" s="104">
        <f t="shared" si="0"/>
        <v>0.6</v>
      </c>
    </row>
    <row r="62" spans="12:17" x14ac:dyDescent="0.25">
      <c r="L62" s="128">
        <v>2</v>
      </c>
      <c r="M62" s="15">
        <v>45</v>
      </c>
      <c r="N62" s="104">
        <v>1</v>
      </c>
      <c r="O62" s="104">
        <v>1</v>
      </c>
      <c r="P62" s="104">
        <v>0.8</v>
      </c>
      <c r="Q62" s="104">
        <f t="shared" si="0"/>
        <v>1.2</v>
      </c>
    </row>
    <row r="63" spans="12:17" x14ac:dyDescent="0.25">
      <c r="L63" s="128"/>
      <c r="M63" s="15">
        <v>45</v>
      </c>
      <c r="N63" s="104">
        <v>1</v>
      </c>
      <c r="O63" s="104">
        <v>1</v>
      </c>
      <c r="P63" s="104">
        <v>0.8</v>
      </c>
      <c r="Q63" s="104">
        <f t="shared" si="0"/>
        <v>0</v>
      </c>
    </row>
    <row r="64" spans="12:17" x14ac:dyDescent="0.25">
      <c r="L64" s="128"/>
      <c r="M64" s="15">
        <v>45</v>
      </c>
      <c r="N64" s="104">
        <v>1</v>
      </c>
      <c r="O64" s="104">
        <v>1</v>
      </c>
      <c r="P64" s="104">
        <v>0.8</v>
      </c>
      <c r="Q64" s="104">
        <f t="shared" si="0"/>
        <v>0</v>
      </c>
    </row>
    <row r="65" spans="12:17" ht="15.75" thickBot="1" x14ac:dyDescent="0.3">
      <c r="L65" s="129"/>
      <c r="M65" s="21">
        <v>45</v>
      </c>
      <c r="N65" s="105">
        <v>1</v>
      </c>
      <c r="O65" s="105">
        <v>1</v>
      </c>
      <c r="P65" s="105">
        <v>0.8</v>
      </c>
      <c r="Q65" s="105">
        <f t="shared" si="0"/>
        <v>0</v>
      </c>
    </row>
  </sheetData>
  <mergeCells count="13">
    <mergeCell ref="B1:J1"/>
    <mergeCell ref="B13:J13"/>
    <mergeCell ref="D26:I26"/>
    <mergeCell ref="B17:J24"/>
    <mergeCell ref="B14:J15"/>
    <mergeCell ref="L12:Q13"/>
    <mergeCell ref="H36:I36"/>
    <mergeCell ref="D36:E36"/>
    <mergeCell ref="E47:G47"/>
    <mergeCell ref="E46:G46"/>
    <mergeCell ref="E45:G45"/>
    <mergeCell ref="E44:G44"/>
    <mergeCell ref="E43:F4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"/>
  <sheetViews>
    <sheetView tabSelected="1" zoomScale="69" zoomScaleNormal="69" workbookViewId="0">
      <selection activeCell="Y13" sqref="Y13"/>
    </sheetView>
  </sheetViews>
  <sheetFormatPr baseColWidth="10" defaultColWidth="9.140625" defaultRowHeight="15" x14ac:dyDescent="0.25"/>
  <cols>
    <col min="7" max="7" width="18.7109375" customWidth="1"/>
    <col min="14" max="14" width="9.140625" style="26"/>
    <col min="15" max="15" width="10.140625" style="26" customWidth="1"/>
    <col min="16" max="16" width="10" style="26" customWidth="1"/>
    <col min="17" max="17" width="12" style="26" customWidth="1"/>
    <col min="18" max="23" width="9.140625" style="26"/>
    <col min="24" max="24" width="12.42578125" customWidth="1"/>
    <col min="25" max="25" width="18.7109375" customWidth="1"/>
  </cols>
  <sheetData>
    <row r="1" spans="1:35" ht="20.25" x14ac:dyDescent="0.3">
      <c r="A1" s="25" t="s">
        <v>157</v>
      </c>
    </row>
    <row r="2" spans="1:35" ht="53.25" customHeight="1" x14ac:dyDescent="0.3">
      <c r="A2" s="26"/>
      <c r="B2" s="83"/>
      <c r="C2" s="26"/>
      <c r="D2" s="82"/>
      <c r="E2" s="26"/>
      <c r="F2" s="26"/>
      <c r="G2" s="26"/>
      <c r="H2" s="26"/>
      <c r="I2" s="26"/>
      <c r="J2" s="26"/>
      <c r="K2" s="26"/>
      <c r="L2" s="26"/>
      <c r="M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</row>
    <row r="3" spans="1:35" ht="15.75" customHeight="1" x14ac:dyDescent="0.25">
      <c r="A3" s="26"/>
      <c r="B3" s="81"/>
      <c r="C3" s="253" t="s">
        <v>166</v>
      </c>
      <c r="D3" s="253"/>
      <c r="E3" s="253"/>
      <c r="F3" s="253"/>
      <c r="G3" s="253"/>
      <c r="H3" s="253"/>
      <c r="I3" s="253"/>
      <c r="J3" s="253"/>
      <c r="K3" s="253"/>
      <c r="L3" s="253"/>
      <c r="M3" s="26"/>
      <c r="X3" s="26"/>
      <c r="Y3" s="79"/>
      <c r="Z3" s="26"/>
      <c r="AA3" s="26"/>
      <c r="AB3" s="26"/>
      <c r="AC3" s="26"/>
      <c r="AD3" s="78"/>
      <c r="AE3" s="26"/>
      <c r="AF3" s="26"/>
      <c r="AG3" s="26"/>
      <c r="AH3" s="26"/>
      <c r="AI3" s="26"/>
    </row>
    <row r="4" spans="1:35" ht="15" customHeight="1" x14ac:dyDescent="0.25">
      <c r="A4" s="26"/>
      <c r="B4" s="80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6"/>
      <c r="X4" s="26"/>
      <c r="Y4" s="79"/>
      <c r="Z4" s="26"/>
      <c r="AA4" s="26"/>
      <c r="AB4" s="26"/>
      <c r="AC4" s="26"/>
      <c r="AD4" s="78"/>
      <c r="AE4" s="26"/>
      <c r="AF4" s="26"/>
      <c r="AG4" s="26"/>
      <c r="AH4" s="26"/>
      <c r="AI4" s="26"/>
    </row>
    <row r="5" spans="1:35" x14ac:dyDescent="0.25">
      <c r="A5" s="26"/>
      <c r="B5" s="26"/>
      <c r="C5" s="26"/>
      <c r="D5" s="254" t="s">
        <v>165</v>
      </c>
      <c r="E5" s="254"/>
      <c r="F5" s="254"/>
      <c r="G5" s="254"/>
      <c r="H5" s="254"/>
      <c r="I5" s="254"/>
      <c r="J5" s="254"/>
      <c r="K5" s="254"/>
      <c r="L5" s="254"/>
      <c r="M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</row>
    <row r="6" spans="1:35" x14ac:dyDescent="0.2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X6" s="26"/>
      <c r="Y6" s="26"/>
      <c r="Z6" s="77"/>
      <c r="AA6" s="77"/>
      <c r="AB6" s="77"/>
      <c r="AC6" s="26"/>
      <c r="AD6" s="26"/>
      <c r="AE6" s="77"/>
      <c r="AF6" s="77"/>
      <c r="AG6" s="77"/>
      <c r="AH6" s="77"/>
      <c r="AI6" s="77"/>
    </row>
    <row r="7" spans="1:35" ht="18.75" x14ac:dyDescent="0.3">
      <c r="A7" s="26"/>
      <c r="B7" s="75"/>
      <c r="C7" s="75"/>
      <c r="D7" s="76" t="s">
        <v>196</v>
      </c>
      <c r="E7" s="75"/>
      <c r="F7" s="75"/>
      <c r="G7" s="26"/>
      <c r="H7" s="116"/>
      <c r="I7" s="116"/>
      <c r="J7" s="116"/>
      <c r="K7" s="116"/>
      <c r="L7" s="116"/>
      <c r="M7" s="116"/>
      <c r="N7" s="255" t="s">
        <v>186</v>
      </c>
      <c r="O7" s="255"/>
      <c r="P7" s="255"/>
      <c r="Q7" s="255"/>
      <c r="R7" s="255"/>
      <c r="S7" s="255"/>
      <c r="T7" s="255"/>
      <c r="U7" s="255"/>
      <c r="V7" s="255"/>
      <c r="W7" s="255"/>
      <c r="X7" s="255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</row>
    <row r="8" spans="1:35" x14ac:dyDescent="0.25">
      <c r="A8" s="75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255" t="str">
        <f>A9</f>
        <v>Suelos orgánicos</v>
      </c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75" t="s">
        <v>7</v>
      </c>
      <c r="Z8" s="75"/>
      <c r="AA8" s="75"/>
      <c r="AB8" s="75"/>
      <c r="AC8" s="75"/>
      <c r="AD8" s="75"/>
      <c r="AE8" s="75"/>
      <c r="AF8" s="75"/>
      <c r="AG8" s="75"/>
      <c r="AH8" s="75"/>
      <c r="AI8" s="75"/>
    </row>
    <row r="9" spans="1:35" ht="15.75" x14ac:dyDescent="0.25">
      <c r="A9" s="260" t="s">
        <v>195</v>
      </c>
      <c r="B9" s="261"/>
      <c r="C9" s="261"/>
      <c r="D9" s="261"/>
      <c r="E9" s="261"/>
      <c r="F9" s="261"/>
      <c r="G9" s="262"/>
      <c r="H9" s="115"/>
      <c r="I9" s="89"/>
      <c r="J9" s="89"/>
      <c r="K9" s="89"/>
      <c r="L9" s="89"/>
      <c r="M9" s="89"/>
      <c r="N9" s="98">
        <v>1</v>
      </c>
      <c r="O9" s="98">
        <v>2</v>
      </c>
      <c r="P9" s="98">
        <v>3</v>
      </c>
      <c r="Q9" s="98">
        <v>4</v>
      </c>
      <c r="R9" s="98">
        <v>5</v>
      </c>
      <c r="S9" s="98">
        <v>6</v>
      </c>
      <c r="T9" s="98">
        <v>7</v>
      </c>
      <c r="U9" s="98">
        <v>8</v>
      </c>
      <c r="V9" s="98">
        <v>9</v>
      </c>
      <c r="W9" s="98">
        <v>10</v>
      </c>
      <c r="X9" s="100" t="s">
        <v>187</v>
      </c>
      <c r="Y9" s="115"/>
      <c r="Z9" s="257"/>
      <c r="AA9" s="257"/>
      <c r="AB9" s="257"/>
      <c r="AC9" s="257"/>
      <c r="AD9" s="257"/>
      <c r="AE9" s="257"/>
      <c r="AF9" s="257"/>
      <c r="AG9" s="257"/>
      <c r="AH9" s="257"/>
      <c r="AI9" s="257"/>
    </row>
    <row r="10" spans="1:35" ht="15.75" x14ac:dyDescent="0.25">
      <c r="A10" s="258" t="s">
        <v>176</v>
      </c>
      <c r="B10" s="259"/>
      <c r="C10" s="259"/>
      <c r="D10" s="259"/>
      <c r="E10" s="259"/>
      <c r="F10" s="259"/>
      <c r="G10" s="259"/>
      <c r="H10" s="97">
        <v>0.1</v>
      </c>
      <c r="I10" s="97">
        <v>0.2</v>
      </c>
      <c r="J10" s="97">
        <v>0.3</v>
      </c>
      <c r="K10" s="97">
        <v>0.4</v>
      </c>
      <c r="L10" s="97">
        <v>0.5</v>
      </c>
      <c r="M10" s="115"/>
      <c r="N10" s="97">
        <f>H10</f>
        <v>0.1</v>
      </c>
      <c r="O10" s="97">
        <f>H10</f>
        <v>0.1</v>
      </c>
      <c r="P10" s="97">
        <f>J10</f>
        <v>0.3</v>
      </c>
      <c r="Q10" s="97">
        <f>L10</f>
        <v>0.5</v>
      </c>
      <c r="R10" s="97">
        <f>H10</f>
        <v>0.1</v>
      </c>
      <c r="S10" s="97">
        <f>H10</f>
        <v>0.1</v>
      </c>
      <c r="T10" s="97">
        <f>H10</f>
        <v>0.1</v>
      </c>
      <c r="U10" s="97">
        <f>I10</f>
        <v>0.2</v>
      </c>
      <c r="V10" s="97">
        <f>I10</f>
        <v>0.2</v>
      </c>
      <c r="W10" s="97">
        <f>H10</f>
        <v>0.1</v>
      </c>
      <c r="X10" s="100">
        <f>(SUM(N10:W10)/10)*100/50</f>
        <v>0.3600000000000001</v>
      </c>
      <c r="Y10" s="115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</row>
    <row r="11" spans="1:35" ht="15.75" x14ac:dyDescent="0.25">
      <c r="A11" s="258" t="s">
        <v>177</v>
      </c>
      <c r="B11" s="259"/>
      <c r="C11" s="259"/>
      <c r="D11" s="259"/>
      <c r="E11" s="259"/>
      <c r="F11" s="259"/>
      <c r="G11" s="259"/>
      <c r="H11" s="97">
        <v>0</v>
      </c>
      <c r="I11" s="97">
        <v>0.2</v>
      </c>
      <c r="J11" s="97">
        <v>0.4</v>
      </c>
      <c r="K11" s="97">
        <v>0.6</v>
      </c>
      <c r="L11" s="97">
        <v>1</v>
      </c>
      <c r="M11" s="115"/>
      <c r="N11" s="97">
        <f>K11</f>
        <v>0.6</v>
      </c>
      <c r="O11" s="97">
        <f>K11</f>
        <v>0.6</v>
      </c>
      <c r="P11" s="97">
        <f>I11</f>
        <v>0.2</v>
      </c>
      <c r="Q11" s="97">
        <f>I11</f>
        <v>0.2</v>
      </c>
      <c r="R11" s="97">
        <f>H11</f>
        <v>0</v>
      </c>
      <c r="S11" s="97">
        <f>H11</f>
        <v>0</v>
      </c>
      <c r="T11" s="97">
        <f>I11</f>
        <v>0.2</v>
      </c>
      <c r="U11" s="97">
        <f>H11</f>
        <v>0</v>
      </c>
      <c r="V11" s="97">
        <f>I11</f>
        <v>0.2</v>
      </c>
      <c r="W11" s="97">
        <f>H11</f>
        <v>0</v>
      </c>
      <c r="X11" s="100">
        <f>SUM(N11:W11)/10</f>
        <v>0.19999999999999998</v>
      </c>
      <c r="Y11" s="115"/>
      <c r="Z11" s="256"/>
      <c r="AA11" s="256"/>
      <c r="AB11" s="256"/>
      <c r="AC11" s="256"/>
      <c r="AD11" s="256"/>
      <c r="AE11" s="256"/>
      <c r="AF11" s="256"/>
      <c r="AG11" s="256"/>
      <c r="AH11" s="256"/>
      <c r="AI11" s="256"/>
    </row>
    <row r="12" spans="1:35" ht="15.75" x14ac:dyDescent="0.25">
      <c r="A12" s="258" t="s">
        <v>202</v>
      </c>
      <c r="B12" s="259"/>
      <c r="C12" s="259"/>
      <c r="D12" s="259"/>
      <c r="E12" s="259"/>
      <c r="F12" s="259"/>
      <c r="G12" s="259"/>
      <c r="H12" s="97">
        <v>1</v>
      </c>
      <c r="I12" s="97">
        <v>0.75</v>
      </c>
      <c r="J12" s="97">
        <v>0.5</v>
      </c>
      <c r="K12" s="97">
        <v>0.3</v>
      </c>
      <c r="L12" s="99">
        <v>0.1</v>
      </c>
      <c r="M12" s="115"/>
      <c r="N12" s="97">
        <f>I12</f>
        <v>0.75</v>
      </c>
      <c r="O12" s="97">
        <f>H12</f>
        <v>1</v>
      </c>
      <c r="P12" s="97">
        <f>I12</f>
        <v>0.75</v>
      </c>
      <c r="Q12" s="97">
        <f>H12</f>
        <v>1</v>
      </c>
      <c r="R12" s="97">
        <f>H12</f>
        <v>1</v>
      </c>
      <c r="S12" s="97">
        <f>H12</f>
        <v>1</v>
      </c>
      <c r="T12" s="97">
        <f>H12</f>
        <v>1</v>
      </c>
      <c r="U12" s="97">
        <f>I12</f>
        <v>0.75</v>
      </c>
      <c r="V12" s="97">
        <f>J12</f>
        <v>0.5</v>
      </c>
      <c r="W12" s="97">
        <f>I12</f>
        <v>0.75</v>
      </c>
      <c r="X12" s="100">
        <f>SUM(N12:W12)/10</f>
        <v>0.85</v>
      </c>
      <c r="Y12" s="163"/>
      <c r="Z12" s="256"/>
      <c r="AA12" s="256"/>
      <c r="AB12" s="256"/>
      <c r="AC12" s="256"/>
      <c r="AD12" s="256"/>
      <c r="AE12" s="256"/>
      <c r="AF12" s="256"/>
      <c r="AG12" s="256"/>
      <c r="AH12" s="256"/>
      <c r="AI12" s="256"/>
    </row>
    <row r="13" spans="1:35" ht="31.5" x14ac:dyDescent="0.25">
      <c r="A13" s="258" t="s">
        <v>178</v>
      </c>
      <c r="B13" s="259"/>
      <c r="C13" s="259"/>
      <c r="D13" s="259"/>
      <c r="E13" s="259"/>
      <c r="F13" s="259"/>
      <c r="G13" s="259"/>
      <c r="H13" s="98" t="s">
        <v>179</v>
      </c>
      <c r="I13" s="98" t="s">
        <v>180</v>
      </c>
      <c r="J13" s="98" t="s">
        <v>181</v>
      </c>
      <c r="K13" s="98" t="s">
        <v>182</v>
      </c>
      <c r="L13" s="100" t="s">
        <v>183</v>
      </c>
      <c r="M13" s="115"/>
      <c r="N13" s="98" t="str">
        <f>I13</f>
        <v>BLANDA</v>
      </c>
      <c r="O13" s="98" t="str">
        <f>I13</f>
        <v>BLANDA</v>
      </c>
      <c r="P13" s="98" t="str">
        <f>J13</f>
        <v>MEDIA</v>
      </c>
      <c r="Q13" s="98" t="str">
        <f>I13</f>
        <v>BLANDA</v>
      </c>
      <c r="R13" s="98" t="str">
        <f>I13</f>
        <v>BLANDA</v>
      </c>
      <c r="S13" s="98" t="str">
        <f>H13</f>
        <v>MUY BLANDA</v>
      </c>
      <c r="T13" s="98" t="str">
        <f>I13</f>
        <v>BLANDA</v>
      </c>
      <c r="U13" s="98" t="str">
        <f>I13</f>
        <v>BLANDA</v>
      </c>
      <c r="V13" s="98" t="str">
        <f>J13</f>
        <v>MEDIA</v>
      </c>
      <c r="W13" s="98" t="str">
        <f>I13</f>
        <v>BLANDA</v>
      </c>
      <c r="X13" s="98" t="str">
        <f xml:space="preserve"> "BLANDA"</f>
        <v>BLANDA</v>
      </c>
      <c r="Y13" s="164" t="s">
        <v>198</v>
      </c>
      <c r="Z13" s="256"/>
      <c r="AA13" s="256"/>
      <c r="AB13" s="256"/>
      <c r="AC13" s="256"/>
      <c r="AD13" s="256"/>
      <c r="AE13" s="256"/>
      <c r="AF13" s="256"/>
      <c r="AG13" s="256"/>
      <c r="AH13" s="256"/>
      <c r="AI13" s="256"/>
    </row>
    <row r="14" spans="1:35" ht="15.75" x14ac:dyDescent="0.25">
      <c r="A14" s="258" t="s">
        <v>164</v>
      </c>
      <c r="B14" s="259"/>
      <c r="C14" s="259"/>
      <c r="D14" s="259"/>
      <c r="E14" s="259"/>
      <c r="F14" s="259"/>
      <c r="G14" s="259"/>
      <c r="H14" s="97">
        <v>0.8</v>
      </c>
      <c r="I14" s="97">
        <v>0.85</v>
      </c>
      <c r="J14" s="97">
        <v>0.9</v>
      </c>
      <c r="K14" s="97">
        <v>1</v>
      </c>
      <c r="L14" s="99">
        <v>1.1000000000000001</v>
      </c>
      <c r="M14" s="115"/>
      <c r="N14" s="97">
        <f>K14</f>
        <v>1</v>
      </c>
      <c r="O14" s="97">
        <f>K14</f>
        <v>1</v>
      </c>
      <c r="P14" s="97">
        <f>J14</f>
        <v>0.9</v>
      </c>
      <c r="Q14" s="97">
        <f>J14</f>
        <v>0.9</v>
      </c>
      <c r="R14" s="97">
        <f>K14</f>
        <v>1</v>
      </c>
      <c r="S14" s="97">
        <f>J14</f>
        <v>0.9</v>
      </c>
      <c r="T14" s="97">
        <f>K14</f>
        <v>1</v>
      </c>
      <c r="U14" s="97">
        <f>K14</f>
        <v>1</v>
      </c>
      <c r="V14" s="97">
        <f>H14</f>
        <v>0.8</v>
      </c>
      <c r="W14" s="97">
        <f>K14</f>
        <v>1</v>
      </c>
      <c r="X14" s="99">
        <f>(SUM(N14:W14)/10)*100/110</f>
        <v>0.86363636363636365</v>
      </c>
      <c r="Y14" s="165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</row>
    <row r="15" spans="1:35" s="26" customFormat="1" ht="15.75" x14ac:dyDescent="0.25">
      <c r="A15" s="86"/>
      <c r="B15" s="87"/>
      <c r="C15" s="87"/>
      <c r="D15" s="87"/>
      <c r="E15" s="87"/>
      <c r="F15" s="87"/>
      <c r="G15" s="87"/>
      <c r="H15" s="95"/>
      <c r="I15" s="96"/>
      <c r="J15" s="96"/>
      <c r="K15" s="96"/>
      <c r="L15" s="96"/>
      <c r="M15" s="89"/>
      <c r="N15" s="89"/>
      <c r="O15" s="89"/>
      <c r="P15" s="89"/>
      <c r="Q15" s="89"/>
      <c r="R15" s="89"/>
      <c r="S15" s="89"/>
      <c r="T15" s="89"/>
      <c r="U15" s="89"/>
      <c r="V15" s="270" t="s">
        <v>205</v>
      </c>
      <c r="W15" s="270"/>
      <c r="X15" s="89">
        <f>((SUM(X10:X12)+X14)/4)*100</f>
        <v>56.840909090909101</v>
      </c>
      <c r="Y15" s="89"/>
      <c r="Z15" s="88"/>
      <c r="AA15" s="88"/>
      <c r="AB15" s="88"/>
      <c r="AC15" s="88"/>
      <c r="AD15" s="88"/>
      <c r="AE15" s="88"/>
      <c r="AF15" s="88"/>
      <c r="AG15" s="88"/>
      <c r="AH15" s="88"/>
      <c r="AI15" s="88"/>
    </row>
    <row r="16" spans="1:35" ht="15.75" x14ac:dyDescent="0.25">
      <c r="A16" s="263" t="s">
        <v>184</v>
      </c>
      <c r="B16" s="264"/>
      <c r="C16" s="264"/>
      <c r="D16" s="264"/>
      <c r="E16" s="264"/>
      <c r="F16" s="264"/>
      <c r="G16" s="264"/>
      <c r="H16" s="115"/>
      <c r="I16" s="89"/>
      <c r="J16" s="89"/>
      <c r="K16" s="89"/>
      <c r="L16" s="89"/>
      <c r="M16" s="89"/>
      <c r="N16" s="267" t="str">
        <f>A16</f>
        <v>Arenas</v>
      </c>
      <c r="O16" s="268"/>
      <c r="P16" s="268"/>
      <c r="Q16" s="268"/>
      <c r="R16" s="268"/>
      <c r="S16" s="268"/>
      <c r="T16" s="268"/>
      <c r="U16" s="268"/>
      <c r="V16" s="268"/>
      <c r="W16" s="268"/>
      <c r="X16" s="268"/>
      <c r="Y16" s="89"/>
      <c r="Z16" s="88"/>
      <c r="AA16" s="88"/>
      <c r="AB16" s="88"/>
      <c r="AC16" s="88"/>
      <c r="AD16" s="88"/>
      <c r="AE16" s="88"/>
      <c r="AF16" s="88"/>
      <c r="AG16" s="88"/>
      <c r="AH16" s="88"/>
      <c r="AI16" s="88"/>
    </row>
    <row r="17" spans="1:35" ht="15.75" x14ac:dyDescent="0.25">
      <c r="A17" s="258" t="s">
        <v>177</v>
      </c>
      <c r="B17" s="259"/>
      <c r="C17" s="259"/>
      <c r="D17" s="259"/>
      <c r="E17" s="259"/>
      <c r="F17" s="259"/>
      <c r="G17" s="259"/>
      <c r="H17" s="101">
        <f>H11</f>
        <v>0</v>
      </c>
      <c r="I17" s="101">
        <f>I11</f>
        <v>0.2</v>
      </c>
      <c r="J17" s="101">
        <f>J11</f>
        <v>0.4</v>
      </c>
      <c r="K17" s="101">
        <f>K11</f>
        <v>0.6</v>
      </c>
      <c r="L17" s="102">
        <f>L11</f>
        <v>1</v>
      </c>
      <c r="M17" s="94"/>
      <c r="N17" s="91">
        <f>H17</f>
        <v>0</v>
      </c>
      <c r="O17" s="91">
        <f>H17</f>
        <v>0</v>
      </c>
      <c r="P17" s="91">
        <f>H17</f>
        <v>0</v>
      </c>
      <c r="Q17" s="91">
        <f>H17</f>
        <v>0</v>
      </c>
      <c r="R17" s="91">
        <f>H17</f>
        <v>0</v>
      </c>
      <c r="S17" s="91">
        <f>H17</f>
        <v>0</v>
      </c>
      <c r="T17" s="91">
        <f>H17</f>
        <v>0</v>
      </c>
      <c r="U17" s="91">
        <f>I17</f>
        <v>0.2</v>
      </c>
      <c r="V17" s="91">
        <f>J17</f>
        <v>0.4</v>
      </c>
      <c r="W17" s="91">
        <f>H17</f>
        <v>0</v>
      </c>
      <c r="X17" s="166">
        <f>SUM(N17:W17)/10</f>
        <v>6.0000000000000012E-2</v>
      </c>
      <c r="Y17" s="167"/>
      <c r="Z17" s="88"/>
      <c r="AA17" s="88"/>
      <c r="AB17" s="88"/>
      <c r="AC17" s="88"/>
      <c r="AD17" s="88"/>
      <c r="AE17" s="88"/>
      <c r="AF17" s="88"/>
      <c r="AG17" s="88"/>
      <c r="AH17" s="88"/>
      <c r="AI17" s="88"/>
    </row>
    <row r="18" spans="1:35" ht="15.75" x14ac:dyDescent="0.25">
      <c r="A18" s="258" t="s">
        <v>202</v>
      </c>
      <c r="B18" s="259"/>
      <c r="C18" s="259"/>
      <c r="D18" s="259"/>
      <c r="E18" s="259"/>
      <c r="F18" s="259"/>
      <c r="G18" s="259"/>
      <c r="H18" s="91">
        <f t="shared" ref="H18:L19" si="0">H12</f>
        <v>1</v>
      </c>
      <c r="I18" s="91">
        <f t="shared" si="0"/>
        <v>0.75</v>
      </c>
      <c r="J18" s="91">
        <f t="shared" si="0"/>
        <v>0.5</v>
      </c>
      <c r="K18" s="91">
        <f t="shared" si="0"/>
        <v>0.3</v>
      </c>
      <c r="L18" s="93">
        <f t="shared" si="0"/>
        <v>0.1</v>
      </c>
      <c r="M18" s="94"/>
      <c r="N18" s="91">
        <f>H18</f>
        <v>1</v>
      </c>
      <c r="O18" s="91">
        <f>H18</f>
        <v>1</v>
      </c>
      <c r="P18" s="91">
        <f>H18</f>
        <v>1</v>
      </c>
      <c r="Q18" s="91">
        <f>H18</f>
        <v>1</v>
      </c>
      <c r="R18" s="91">
        <f>H18</f>
        <v>1</v>
      </c>
      <c r="S18" s="91">
        <f>H18</f>
        <v>1</v>
      </c>
      <c r="T18" s="91">
        <f>H18</f>
        <v>1</v>
      </c>
      <c r="U18" s="91">
        <f>H18</f>
        <v>1</v>
      </c>
      <c r="V18" s="91">
        <f>H18</f>
        <v>1</v>
      </c>
      <c r="W18" s="91">
        <f>J20</f>
        <v>1</v>
      </c>
      <c r="X18" s="161">
        <f>SUM(N18:W18)/10</f>
        <v>1</v>
      </c>
      <c r="Y18" s="160"/>
      <c r="Z18" s="88"/>
      <c r="AA18" s="88"/>
      <c r="AB18" s="88"/>
      <c r="AC18" s="88"/>
      <c r="AD18" s="88"/>
      <c r="AE18" s="88"/>
      <c r="AF18" s="88"/>
      <c r="AG18" s="88"/>
      <c r="AH18" s="88"/>
      <c r="AI18" s="88"/>
    </row>
    <row r="19" spans="1:35" ht="31.5" x14ac:dyDescent="0.25">
      <c r="A19" s="258" t="s">
        <v>178</v>
      </c>
      <c r="B19" s="259"/>
      <c r="C19" s="259"/>
      <c r="D19" s="259"/>
      <c r="E19" s="259"/>
      <c r="F19" s="259"/>
      <c r="G19" s="259"/>
      <c r="H19" s="91" t="str">
        <f t="shared" si="0"/>
        <v>MUY BLANDA</v>
      </c>
      <c r="I19" s="91" t="str">
        <f t="shared" si="0"/>
        <v>BLANDA</v>
      </c>
      <c r="J19" s="91" t="str">
        <f t="shared" si="0"/>
        <v>MEDIA</v>
      </c>
      <c r="K19" s="91" t="str">
        <f t="shared" si="0"/>
        <v>FIRME</v>
      </c>
      <c r="L19" s="93" t="str">
        <f t="shared" si="0"/>
        <v>MUY FIRME</v>
      </c>
      <c r="M19" s="94"/>
      <c r="N19" s="91" t="str">
        <f>H19</f>
        <v>MUY BLANDA</v>
      </c>
      <c r="O19" s="91" t="str">
        <f>H19</f>
        <v>MUY BLANDA</v>
      </c>
      <c r="P19" s="91" t="str">
        <f>H19</f>
        <v>MUY BLANDA</v>
      </c>
      <c r="Q19" s="91" t="str">
        <f>H19</f>
        <v>MUY BLANDA</v>
      </c>
      <c r="R19" s="91" t="str">
        <f>H19</f>
        <v>MUY BLANDA</v>
      </c>
      <c r="S19" s="91" t="str">
        <f>I19</f>
        <v>BLANDA</v>
      </c>
      <c r="T19" s="91" t="str">
        <f>H19</f>
        <v>MUY BLANDA</v>
      </c>
      <c r="U19" s="91" t="str">
        <f>H19</f>
        <v>MUY BLANDA</v>
      </c>
      <c r="V19" s="91" t="str">
        <f>I19</f>
        <v>BLANDA</v>
      </c>
      <c r="W19" s="91" t="str">
        <f>H19</f>
        <v>MUY BLANDA</v>
      </c>
      <c r="X19" s="92" t="s">
        <v>179</v>
      </c>
      <c r="Y19" s="94" t="s">
        <v>203</v>
      </c>
      <c r="Z19" s="88"/>
      <c r="AA19" s="88"/>
      <c r="AB19" s="88"/>
      <c r="AC19" s="88"/>
      <c r="AD19" s="88"/>
      <c r="AE19" s="88"/>
      <c r="AF19" s="88"/>
      <c r="AG19" s="88"/>
      <c r="AH19" s="88"/>
      <c r="AI19" s="88"/>
    </row>
    <row r="20" spans="1:35" ht="15.75" x14ac:dyDescent="0.25">
      <c r="A20" s="258" t="s">
        <v>164</v>
      </c>
      <c r="B20" s="259"/>
      <c r="C20" s="259"/>
      <c r="D20" s="259"/>
      <c r="E20" s="259"/>
      <c r="F20" s="259"/>
      <c r="G20" s="259"/>
      <c r="H20" s="91">
        <v>0.8</v>
      </c>
      <c r="I20" s="91">
        <v>0.9</v>
      </c>
      <c r="J20" s="91">
        <v>1</v>
      </c>
      <c r="K20" s="91">
        <v>1.05</v>
      </c>
      <c r="L20" s="93">
        <v>1.1000000000000001</v>
      </c>
      <c r="M20" s="94"/>
      <c r="N20" s="91">
        <f>J20</f>
        <v>1</v>
      </c>
      <c r="O20" s="91">
        <f>K20</f>
        <v>1.05</v>
      </c>
      <c r="P20" s="91">
        <f>J20</f>
        <v>1</v>
      </c>
      <c r="Q20" s="91">
        <f>I20</f>
        <v>0.9</v>
      </c>
      <c r="R20" s="91">
        <f>I20</f>
        <v>0.9</v>
      </c>
      <c r="S20" s="91">
        <f>J20</f>
        <v>1</v>
      </c>
      <c r="T20" s="91">
        <f>H20</f>
        <v>0.8</v>
      </c>
      <c r="U20" s="91">
        <f>J20</f>
        <v>1</v>
      </c>
      <c r="V20" s="91">
        <f>I20</f>
        <v>0.9</v>
      </c>
      <c r="W20" s="91">
        <f>I20</f>
        <v>0.9</v>
      </c>
      <c r="X20" s="166">
        <f>(SUM(N20:W20)/10)*100/110</f>
        <v>0.85909090909090913</v>
      </c>
      <c r="Y20" s="168"/>
      <c r="Z20" s="88"/>
      <c r="AA20" s="88"/>
      <c r="AB20" s="88"/>
      <c r="AC20" s="88"/>
      <c r="AD20" s="88"/>
      <c r="AE20" s="88"/>
      <c r="AF20" s="88"/>
      <c r="AG20" s="88"/>
      <c r="AH20" s="88"/>
      <c r="AI20" s="88"/>
    </row>
    <row r="21" spans="1:35" s="26" customFormat="1" ht="15.75" x14ac:dyDescent="0.25">
      <c r="A21" s="87"/>
      <c r="B21" s="87"/>
      <c r="C21" s="87"/>
      <c r="D21" s="87"/>
      <c r="E21" s="87"/>
      <c r="F21" s="87"/>
      <c r="G21" s="87"/>
      <c r="H21" s="130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271" t="str">
        <f>V15</f>
        <v>% Trabajabilidad</v>
      </c>
      <c r="W21" s="271"/>
      <c r="X21" s="96">
        <f>(SUM(X17:X18)+X20)/3</f>
        <v>0.63969696969696976</v>
      </c>
      <c r="Y21" s="96"/>
      <c r="Z21" s="88"/>
      <c r="AA21" s="88"/>
      <c r="AB21" s="88"/>
      <c r="AC21" s="88"/>
      <c r="AD21" s="88"/>
      <c r="AE21" s="88"/>
      <c r="AF21" s="88"/>
      <c r="AG21" s="88"/>
      <c r="AH21" s="88"/>
      <c r="AI21" s="88"/>
    </row>
    <row r="22" spans="1:35" ht="15.75" x14ac:dyDescent="0.25">
      <c r="A22" s="265" t="s">
        <v>185</v>
      </c>
      <c r="B22" s="265"/>
      <c r="C22" s="265"/>
      <c r="D22" s="265"/>
      <c r="E22" s="265"/>
      <c r="F22" s="265"/>
      <c r="G22" s="266"/>
      <c r="H22" s="162"/>
      <c r="I22" s="89"/>
      <c r="J22" s="89"/>
      <c r="K22" s="89"/>
      <c r="L22" s="89"/>
      <c r="M22" s="89"/>
      <c r="N22" s="269" t="str">
        <f>A22</f>
        <v>Suelos de consistencia firme</v>
      </c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89"/>
      <c r="Z22" s="256"/>
      <c r="AA22" s="256"/>
      <c r="AB22" s="256"/>
      <c r="AC22" s="256"/>
      <c r="AD22" s="256"/>
      <c r="AE22" s="256"/>
      <c r="AF22" s="256"/>
      <c r="AG22" s="256"/>
      <c r="AH22" s="256"/>
      <c r="AI22" s="256"/>
    </row>
    <row r="23" spans="1:35" ht="15.75" x14ac:dyDescent="0.25">
      <c r="A23" s="258" t="s">
        <v>176</v>
      </c>
      <c r="B23" s="259"/>
      <c r="C23" s="259"/>
      <c r="D23" s="259"/>
      <c r="E23" s="259"/>
      <c r="F23" s="259"/>
      <c r="G23" s="259"/>
      <c r="H23" s="91">
        <v>0.05</v>
      </c>
      <c r="I23" s="91">
        <v>0.1</v>
      </c>
      <c r="J23" s="91">
        <v>0.2</v>
      </c>
      <c r="K23" s="91">
        <v>0.25</v>
      </c>
      <c r="L23" s="91">
        <v>0.3</v>
      </c>
      <c r="M23" s="90"/>
      <c r="N23" s="91">
        <f>H23</f>
        <v>0.05</v>
      </c>
      <c r="O23" s="91">
        <f>H23</f>
        <v>0.05</v>
      </c>
      <c r="P23" s="91">
        <f>I23</f>
        <v>0.1</v>
      </c>
      <c r="Q23" s="91">
        <f>H23</f>
        <v>0.05</v>
      </c>
      <c r="R23" s="91">
        <f>H23</f>
        <v>0.05</v>
      </c>
      <c r="S23" s="91">
        <f>H23</f>
        <v>0.05</v>
      </c>
      <c r="T23" s="91">
        <f>I23</f>
        <v>0.1</v>
      </c>
      <c r="U23" s="91">
        <f>I23</f>
        <v>0.1</v>
      </c>
      <c r="V23" s="91">
        <f>I23</f>
        <v>0.1</v>
      </c>
      <c r="W23" s="91">
        <f>I23</f>
        <v>0.1</v>
      </c>
      <c r="X23" s="166">
        <f>(SUM(N23:W23)/10)*100/30</f>
        <v>0.24999999999999994</v>
      </c>
      <c r="Y23" s="167"/>
      <c r="Z23" s="88"/>
      <c r="AA23" s="88"/>
      <c r="AB23" s="88"/>
      <c r="AC23" s="88"/>
      <c r="AD23" s="88"/>
      <c r="AE23" s="88"/>
      <c r="AF23" s="88"/>
      <c r="AG23" s="88"/>
      <c r="AH23" s="88"/>
      <c r="AI23" s="88"/>
    </row>
    <row r="24" spans="1:35" ht="15.75" x14ac:dyDescent="0.25">
      <c r="A24" s="258" t="s">
        <v>177</v>
      </c>
      <c r="B24" s="259"/>
      <c r="C24" s="259"/>
      <c r="D24" s="259"/>
      <c r="E24" s="259"/>
      <c r="F24" s="259"/>
      <c r="G24" s="259"/>
      <c r="H24" s="91">
        <f>H11</f>
        <v>0</v>
      </c>
      <c r="I24" s="91">
        <f>I11</f>
        <v>0.2</v>
      </c>
      <c r="J24" s="91">
        <f>J11</f>
        <v>0.4</v>
      </c>
      <c r="K24" s="91">
        <f>K11</f>
        <v>0.6</v>
      </c>
      <c r="L24" s="91">
        <f>L11</f>
        <v>1</v>
      </c>
      <c r="M24" s="90"/>
      <c r="N24" s="91">
        <f>L24</f>
        <v>1</v>
      </c>
      <c r="O24" s="91">
        <f>L24</f>
        <v>1</v>
      </c>
      <c r="P24" s="91">
        <f>J24</f>
        <v>0.4</v>
      </c>
      <c r="Q24" s="91">
        <f>J24</f>
        <v>0.4</v>
      </c>
      <c r="R24" s="91">
        <f>J24</f>
        <v>0.4</v>
      </c>
      <c r="S24" s="91">
        <f>J24</f>
        <v>0.4</v>
      </c>
      <c r="T24" s="91">
        <f>J24</f>
        <v>0.4</v>
      </c>
      <c r="U24" s="91">
        <f>K24</f>
        <v>0.6</v>
      </c>
      <c r="V24" s="91">
        <f>K24</f>
        <v>0.6</v>
      </c>
      <c r="W24" s="91">
        <f>K24</f>
        <v>0.6</v>
      </c>
      <c r="X24" s="166">
        <f>SUM(N24:W24)/10</f>
        <v>0.57999999999999985</v>
      </c>
      <c r="Y24" s="167"/>
      <c r="Z24" s="88"/>
      <c r="AA24" s="88"/>
      <c r="AB24" s="88"/>
      <c r="AC24" s="88"/>
      <c r="AD24" s="88"/>
      <c r="AE24" s="88"/>
      <c r="AF24" s="88"/>
      <c r="AG24" s="88"/>
      <c r="AH24" s="88"/>
      <c r="AI24" s="88"/>
    </row>
    <row r="25" spans="1:35" ht="15.75" x14ac:dyDescent="0.25">
      <c r="A25" s="258" t="s">
        <v>202</v>
      </c>
      <c r="B25" s="259"/>
      <c r="C25" s="259"/>
      <c r="D25" s="259"/>
      <c r="E25" s="259"/>
      <c r="F25" s="259"/>
      <c r="G25" s="259"/>
      <c r="H25" s="91">
        <f t="shared" ref="H25:L26" si="1">H12</f>
        <v>1</v>
      </c>
      <c r="I25" s="91">
        <f t="shared" si="1"/>
        <v>0.75</v>
      </c>
      <c r="J25" s="91">
        <f t="shared" si="1"/>
        <v>0.5</v>
      </c>
      <c r="K25" s="91">
        <f t="shared" si="1"/>
        <v>0.3</v>
      </c>
      <c r="L25" s="91">
        <f t="shared" si="1"/>
        <v>0.1</v>
      </c>
      <c r="M25" s="90"/>
      <c r="N25" s="91">
        <f>K25</f>
        <v>0.3</v>
      </c>
      <c r="O25" s="91">
        <f>K25</f>
        <v>0.3</v>
      </c>
      <c r="P25" s="91">
        <f>I25</f>
        <v>0.75</v>
      </c>
      <c r="Q25" s="91">
        <f>J25</f>
        <v>0.5</v>
      </c>
      <c r="R25" s="91">
        <f>K25</f>
        <v>0.3</v>
      </c>
      <c r="S25" s="91">
        <f>J25</f>
        <v>0.5</v>
      </c>
      <c r="T25" s="91">
        <f>J25</f>
        <v>0.5</v>
      </c>
      <c r="U25" s="91">
        <f>J25</f>
        <v>0.5</v>
      </c>
      <c r="V25" s="91">
        <f>K25</f>
        <v>0.3</v>
      </c>
      <c r="W25" s="91">
        <f>I25</f>
        <v>0.75</v>
      </c>
      <c r="X25" s="166">
        <f>SUM(N25:W25)/10</f>
        <v>0.46999999999999992</v>
      </c>
      <c r="Y25" s="160"/>
      <c r="Z25" s="88"/>
      <c r="AA25" s="88"/>
      <c r="AB25" s="88"/>
      <c r="AC25" s="88"/>
      <c r="AD25" s="88"/>
      <c r="AE25" s="88"/>
      <c r="AF25" s="88"/>
      <c r="AG25" s="88"/>
      <c r="AH25" s="88"/>
      <c r="AI25" s="88"/>
    </row>
    <row r="26" spans="1:35" ht="31.5" x14ac:dyDescent="0.25">
      <c r="A26" s="258" t="s">
        <v>178</v>
      </c>
      <c r="B26" s="259"/>
      <c r="C26" s="259"/>
      <c r="D26" s="259"/>
      <c r="E26" s="259"/>
      <c r="F26" s="259"/>
      <c r="G26" s="259"/>
      <c r="H26" s="91" t="str">
        <f t="shared" si="1"/>
        <v>MUY BLANDA</v>
      </c>
      <c r="I26" s="91" t="str">
        <f t="shared" si="1"/>
        <v>BLANDA</v>
      </c>
      <c r="J26" s="91" t="str">
        <f t="shared" si="1"/>
        <v>MEDIA</v>
      </c>
      <c r="K26" s="91" t="str">
        <f t="shared" si="1"/>
        <v>FIRME</v>
      </c>
      <c r="L26" s="91" t="str">
        <f t="shared" si="1"/>
        <v>MUY FIRME</v>
      </c>
      <c r="M26" s="90"/>
      <c r="N26" s="91" t="str">
        <f>K26</f>
        <v>FIRME</v>
      </c>
      <c r="O26" s="91" t="str">
        <f>K26</f>
        <v>FIRME</v>
      </c>
      <c r="P26" s="91" t="str">
        <f>K26</f>
        <v>FIRME</v>
      </c>
      <c r="Q26" s="91" t="str">
        <f>K26</f>
        <v>FIRME</v>
      </c>
      <c r="R26" s="91" t="str">
        <f>K26</f>
        <v>FIRME</v>
      </c>
      <c r="S26" s="91" t="str">
        <f>K26</f>
        <v>FIRME</v>
      </c>
      <c r="T26" s="91" t="str">
        <f>L26</f>
        <v>MUY FIRME</v>
      </c>
      <c r="U26" s="91" t="str">
        <f>K26</f>
        <v>FIRME</v>
      </c>
      <c r="V26" s="91" t="str">
        <f>L26</f>
        <v>MUY FIRME</v>
      </c>
      <c r="W26" s="91" t="str">
        <f>K26</f>
        <v>FIRME</v>
      </c>
      <c r="X26" s="92" t="s">
        <v>182</v>
      </c>
      <c r="Y26" s="94" t="s">
        <v>204</v>
      </c>
      <c r="Z26" s="88"/>
      <c r="AA26" s="88"/>
      <c r="AB26" s="88"/>
      <c r="AC26" s="88"/>
      <c r="AD26" s="88"/>
      <c r="AE26" s="88"/>
      <c r="AF26" s="88"/>
      <c r="AG26" s="88"/>
      <c r="AH26" s="88"/>
      <c r="AI26" s="88"/>
    </row>
    <row r="27" spans="1:35" ht="15.75" x14ac:dyDescent="0.25">
      <c r="A27" s="258" t="s">
        <v>164</v>
      </c>
      <c r="B27" s="259"/>
      <c r="C27" s="259"/>
      <c r="D27" s="259"/>
      <c r="E27" s="259"/>
      <c r="F27" s="259"/>
      <c r="G27" s="259"/>
      <c r="H27" s="91">
        <v>0.7</v>
      </c>
      <c r="I27" s="91">
        <v>0.85</v>
      </c>
      <c r="J27" s="91">
        <v>0.8</v>
      </c>
      <c r="K27" s="91">
        <v>0.95</v>
      </c>
      <c r="L27" s="91">
        <v>0.9</v>
      </c>
      <c r="M27" s="90"/>
      <c r="N27" s="91">
        <f>J27</f>
        <v>0.8</v>
      </c>
      <c r="O27" s="91">
        <f>J27</f>
        <v>0.8</v>
      </c>
      <c r="P27" s="91">
        <f>L27</f>
        <v>0.9</v>
      </c>
      <c r="Q27" s="91">
        <f>L27</f>
        <v>0.9</v>
      </c>
      <c r="R27" s="91">
        <f>K27</f>
        <v>0.95</v>
      </c>
      <c r="S27" s="91">
        <f>H27</f>
        <v>0.7</v>
      </c>
      <c r="T27" s="91">
        <f>I27</f>
        <v>0.85</v>
      </c>
      <c r="U27" s="91">
        <f>I27</f>
        <v>0.85</v>
      </c>
      <c r="V27" s="91">
        <f>I27</f>
        <v>0.85</v>
      </c>
      <c r="W27" s="91">
        <f>K27</f>
        <v>0.95</v>
      </c>
      <c r="X27" s="168">
        <f>(SUM(N27:W27)/10)*100/90</f>
        <v>0.94999999999999984</v>
      </c>
      <c r="Y27" s="168"/>
      <c r="Z27" s="88"/>
      <c r="AA27" s="88"/>
      <c r="AB27" s="88"/>
      <c r="AC27" s="88"/>
      <c r="AD27" s="88"/>
      <c r="AE27" s="88"/>
      <c r="AF27" s="88"/>
      <c r="AG27" s="88"/>
      <c r="AH27" s="88"/>
      <c r="AI27" s="88"/>
    </row>
    <row r="28" spans="1:35" ht="15.75" x14ac:dyDescent="0.25">
      <c r="V28" s="271" t="str">
        <f>V21</f>
        <v>% Trabajabilidad</v>
      </c>
      <c r="W28" s="271"/>
      <c r="X28" s="159">
        <f>((SUM(X23:X25)+X27)/4)*100</f>
        <v>56.249999999999986</v>
      </c>
    </row>
    <row r="29" spans="1:35" x14ac:dyDescent="0.25">
      <c r="N29" s="272" t="s">
        <v>209</v>
      </c>
      <c r="O29" s="272"/>
      <c r="P29" s="272"/>
      <c r="Q29" s="272"/>
      <c r="R29" s="272"/>
    </row>
    <row r="30" spans="1:35" ht="15.75" thickBot="1" x14ac:dyDescent="0.3">
      <c r="N30" s="272"/>
      <c r="O30" s="272"/>
      <c r="P30" s="272"/>
      <c r="Q30" s="272"/>
      <c r="R30" s="272"/>
    </row>
    <row r="31" spans="1:35" ht="30.75" thickBot="1" x14ac:dyDescent="0.3">
      <c r="N31" s="142"/>
      <c r="O31" s="147" t="s">
        <v>179</v>
      </c>
      <c r="P31" s="148" t="s">
        <v>180</v>
      </c>
      <c r="Q31" s="148" t="s">
        <v>181</v>
      </c>
    </row>
    <row r="32" spans="1:35" ht="15.75" thickBot="1" x14ac:dyDescent="0.3">
      <c r="N32" s="142"/>
      <c r="O32" s="149">
        <f>((S10/50)*100+S11+S12+(S14/110)*100)/4*100</f>
        <v>50.454545454545453</v>
      </c>
      <c r="P32" s="104">
        <f>((N10/50)*100+(O10/50)*100+(Q10/50)*100+(R10/50)*100+(T10/50)*100+(U10/50)*100+(W10/50)*100+N11+O11+Q11+Q12+R11+R12+O12+N12+T12+T11+U11+U12+W11+W12+(N14/110)*100+(O14/110)*100+(Q14/110)*100+(R14/110)*100+(T14/110)*100+(U14/110)*100+(W14/110)*100)/24*100</f>
        <v>68.844696969696955</v>
      </c>
      <c r="Q32" s="104">
        <f>((P10/50)*100+(V10/50)*100+P11+P12+V11+V12+(P14/110)*100+(V14/110)*100)/8*100</f>
        <v>52.443181818181813</v>
      </c>
    </row>
    <row r="33" spans="14:17" ht="30.75" thickBot="1" x14ac:dyDescent="0.3">
      <c r="N33" s="142"/>
      <c r="O33" s="147" t="s">
        <v>197</v>
      </c>
      <c r="P33" s="148" t="s">
        <v>198</v>
      </c>
      <c r="Q33" s="147" t="s">
        <v>197</v>
      </c>
    </row>
  </sheetData>
  <sheetProtection algorithmName="SHA-512" hashValue="8fQQEu967yzOrieaN8+c9vtykzTNmW6iDtjniWZyxwP5FJ7qnLNIM5VTzm+eBp1fDNjlf+epRZjB+RPZJ5kx9w==" saltValue="rIRtRrAralgokNaJDRYezg==" spinCount="100000" sheet="1" objects="1" scenarios="1"/>
  <mergeCells count="34">
    <mergeCell ref="V15:W15"/>
    <mergeCell ref="V21:W21"/>
    <mergeCell ref="V28:W28"/>
    <mergeCell ref="N29:R30"/>
    <mergeCell ref="A26:G26"/>
    <mergeCell ref="A27:G27"/>
    <mergeCell ref="A16:G16"/>
    <mergeCell ref="Z22:AI22"/>
    <mergeCell ref="A23:G23"/>
    <mergeCell ref="A24:G24"/>
    <mergeCell ref="A25:G25"/>
    <mergeCell ref="A17:G17"/>
    <mergeCell ref="A18:G18"/>
    <mergeCell ref="A19:G19"/>
    <mergeCell ref="A20:G20"/>
    <mergeCell ref="A22:G22"/>
    <mergeCell ref="N16:X16"/>
    <mergeCell ref="N22:X22"/>
    <mergeCell ref="C3:L4"/>
    <mergeCell ref="D5:L5"/>
    <mergeCell ref="N8:X8"/>
    <mergeCell ref="Z14:AI14"/>
    <mergeCell ref="Z12:AI12"/>
    <mergeCell ref="Z13:AI13"/>
    <mergeCell ref="Z9:AI9"/>
    <mergeCell ref="Z10:AI10"/>
    <mergeCell ref="Z11:AI11"/>
    <mergeCell ref="A14:G14"/>
    <mergeCell ref="A12:G12"/>
    <mergeCell ref="A13:G13"/>
    <mergeCell ref="A9:G9"/>
    <mergeCell ref="A10:G10"/>
    <mergeCell ref="A11:G11"/>
    <mergeCell ref="N7:X7"/>
  </mergeCells>
  <pageMargins left="0.7" right="0.7" top="0.75" bottom="0.75" header="0.3" footer="0.3"/>
  <pageSetup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1"/>
  <sheetViews>
    <sheetView topLeftCell="J64" zoomScale="73" zoomScaleNormal="73" workbookViewId="0">
      <selection activeCell="S101" sqref="A54:S101"/>
    </sheetView>
  </sheetViews>
  <sheetFormatPr baseColWidth="10" defaultColWidth="9.140625" defaultRowHeight="15" x14ac:dyDescent="0.25"/>
  <cols>
    <col min="1" max="1" width="7" style="26" customWidth="1"/>
    <col min="2" max="2" width="6.42578125" customWidth="1"/>
    <col min="3" max="3" width="21.42578125" style="26" customWidth="1"/>
    <col min="4" max="4" width="15.42578125" customWidth="1"/>
    <col min="5" max="5" width="26.140625" customWidth="1"/>
    <col min="6" max="6" width="12.140625" bestFit="1" customWidth="1"/>
    <col min="9" max="9" width="7.85546875" style="26" customWidth="1"/>
    <col min="10" max="10" width="9.140625" style="26"/>
    <col min="11" max="11" width="14.7109375" style="26" customWidth="1"/>
    <col min="12" max="12" width="9.140625" style="26"/>
    <col min="13" max="13" width="12" style="26" customWidth="1"/>
    <col min="16" max="16" width="19.140625" customWidth="1"/>
    <col min="17" max="17" width="21.28515625" style="26" customWidth="1"/>
    <col min="18" max="18" width="22.28515625" customWidth="1"/>
    <col min="19" max="19" width="19.140625" customWidth="1"/>
  </cols>
  <sheetData>
    <row r="1" spans="1:28" ht="20.25" x14ac:dyDescent="0.3">
      <c r="D1" s="273" t="s">
        <v>0</v>
      </c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</row>
    <row r="2" spans="1:28" ht="15.75" x14ac:dyDescent="0.25">
      <c r="D2" s="274" t="s">
        <v>1</v>
      </c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</row>
    <row r="3" spans="1:28" ht="48" thickBot="1" x14ac:dyDescent="0.3">
      <c r="A3" s="69" t="s">
        <v>162</v>
      </c>
      <c r="B3" s="69" t="s">
        <v>88</v>
      </c>
      <c r="C3" s="69" t="s">
        <v>160</v>
      </c>
      <c r="D3" s="69" t="s">
        <v>161</v>
      </c>
      <c r="E3" s="69"/>
      <c r="F3" s="69" t="s">
        <v>2</v>
      </c>
      <c r="G3" s="69" t="s">
        <v>4</v>
      </c>
      <c r="H3" s="69" t="s">
        <v>3</v>
      </c>
      <c r="I3" s="85" t="s">
        <v>171</v>
      </c>
      <c r="J3" s="69" t="s">
        <v>173</v>
      </c>
      <c r="K3" s="69" t="s">
        <v>199</v>
      </c>
      <c r="L3" s="69" t="s">
        <v>174</v>
      </c>
      <c r="M3" s="69" t="s">
        <v>175</v>
      </c>
      <c r="N3" s="69" t="s">
        <v>5</v>
      </c>
      <c r="O3" s="69" t="s">
        <v>109</v>
      </c>
      <c r="P3" s="131" t="s">
        <v>6</v>
      </c>
      <c r="Q3" s="131" t="s">
        <v>7</v>
      </c>
      <c r="R3" s="69" t="s">
        <v>188</v>
      </c>
      <c r="S3" s="69" t="s">
        <v>189</v>
      </c>
    </row>
    <row r="4" spans="1:28" ht="30" x14ac:dyDescent="0.25">
      <c r="A4" s="73">
        <v>1</v>
      </c>
      <c r="B4" s="61">
        <v>2014</v>
      </c>
      <c r="C4" s="24" t="s">
        <v>12</v>
      </c>
      <c r="D4" s="16" t="s">
        <v>13</v>
      </c>
      <c r="E4" s="64"/>
      <c r="F4" s="24">
        <v>34</v>
      </c>
      <c r="G4" s="84">
        <v>30</v>
      </c>
      <c r="H4" s="23">
        <v>36</v>
      </c>
      <c r="I4" s="23"/>
      <c r="J4" s="23"/>
      <c r="K4" s="23"/>
      <c r="L4" s="23">
        <v>2.5099999999999998</v>
      </c>
      <c r="M4" s="23">
        <v>17.68</v>
      </c>
      <c r="N4" s="62">
        <f>(F4-H4)/(F4-G4)</f>
        <v>-0.5</v>
      </c>
      <c r="O4" s="24" t="s">
        <v>167</v>
      </c>
      <c r="P4" s="67" t="str">
        <f>IF(N4&lt;=0.5,"Muy Blanda",IF(AND(0.5&lt;N4,N4&lt;=0.75),"Blanda",IF(AND(0.75&lt;N4,N4&lt;=1),"Media",IF(AND(1&lt;N4,N4&lt;=1.5),"Firme",IF(N4&gt;1.5,"Muy firme")))))</f>
        <v>Muy Blanda</v>
      </c>
      <c r="Q4" s="16" t="str">
        <f>IF(P4="Muy Blanda", 'Encuesta Trabajabilidad'!O$33, IF(P4="Blanda", 'Encuesta Trabajabilidad'!P$33, IF(P4="Media",'Encuesta Trabajabilidad'!Q$33)))</f>
        <v>MUY DIFíCIL</v>
      </c>
      <c r="R4" s="23">
        <f>IF(P4="Muy Blanda", 'Encuesta Trabajabilidad'!O$32, IF(P4="Blanda", 'Encuesta Trabajabilidad'!P$32, IF(P4="Media",'Encuesta Trabajabilidad'!Q$32)))</f>
        <v>50.454545454545453</v>
      </c>
      <c r="S4" s="62">
        <f>R4/100</f>
        <v>0.50454545454545452</v>
      </c>
    </row>
    <row r="5" spans="1:28" ht="30" x14ac:dyDescent="0.25">
      <c r="A5" s="74">
        <f>A4+1</f>
        <v>2</v>
      </c>
      <c r="B5" s="61">
        <v>2014</v>
      </c>
      <c r="C5" s="24" t="s">
        <v>12</v>
      </c>
      <c r="D5" s="16" t="s">
        <v>13</v>
      </c>
      <c r="E5" s="64"/>
      <c r="F5" s="24">
        <v>42</v>
      </c>
      <c r="G5" s="84">
        <v>38</v>
      </c>
      <c r="H5" s="23">
        <v>39</v>
      </c>
      <c r="I5" s="23"/>
      <c r="J5" s="23"/>
      <c r="K5" s="23"/>
      <c r="L5" s="23">
        <v>2.42</v>
      </c>
      <c r="M5" s="23">
        <v>13.33</v>
      </c>
      <c r="N5" s="62">
        <f t="shared" ref="N5:N62" si="0">(F5-H5)/(F5-G5)</f>
        <v>0.75</v>
      </c>
      <c r="O5" s="24" t="s">
        <v>167</v>
      </c>
      <c r="P5" s="67" t="str">
        <f t="shared" ref="P5:P43" si="1">IF(N5&lt;=0.5,"Muy Blanda",IF(AND(0.5&lt;N5,N5&lt;=0.75),"Blanda",IF(AND(0.75&lt;N5,N5&lt;=1),"Media",IF(AND(1&lt;N5,N5&lt;=1.5),"Firme",IF(N5&gt;1.5,"Muy firme")))))</f>
        <v>Blanda</v>
      </c>
      <c r="Q5" s="16" t="str">
        <f>IF(P5="Muy Blanda", 'Encuesta Trabajabilidad'!O$33, IF(P5="Blanda", 'Encuesta Trabajabilidad'!P$33, IF(P5="Media",'Encuesta Trabajabilidad'!Q$33)))</f>
        <v>DIFíCIL</v>
      </c>
      <c r="R5" s="23">
        <f>IF(P5="Muy Blanda", 'Encuesta Trabajabilidad'!O$32, IF(P5="Blanda", 'Encuesta Trabajabilidad'!P$32, IF(P5="Media",'Encuesta Trabajabilidad'!Q$32)))</f>
        <v>68.844696969696955</v>
      </c>
      <c r="S5" s="62">
        <f t="shared" ref="S5:S62" si="2">R5/100</f>
        <v>0.6884469696969695</v>
      </c>
    </row>
    <row r="6" spans="1:28" ht="15.75" x14ac:dyDescent="0.25">
      <c r="A6" s="74">
        <f t="shared" ref="A6:A62" si="3">A5+1</f>
        <v>3</v>
      </c>
      <c r="B6" s="61">
        <v>2014</v>
      </c>
      <c r="C6" s="24" t="s">
        <v>24</v>
      </c>
      <c r="D6" s="16" t="s">
        <v>8</v>
      </c>
      <c r="E6" s="64"/>
      <c r="F6" s="24">
        <v>42</v>
      </c>
      <c r="G6" s="84">
        <v>25</v>
      </c>
      <c r="H6" s="23">
        <v>30</v>
      </c>
      <c r="I6" s="23"/>
      <c r="J6" s="23"/>
      <c r="K6" s="23"/>
      <c r="L6" s="23">
        <v>2.5099999999999998</v>
      </c>
      <c r="M6" s="23">
        <v>13.48</v>
      </c>
      <c r="N6" s="62">
        <f t="shared" si="0"/>
        <v>0.70588235294117652</v>
      </c>
      <c r="O6" s="24" t="s">
        <v>167</v>
      </c>
      <c r="P6" s="67" t="str">
        <f t="shared" si="1"/>
        <v>Blanda</v>
      </c>
      <c r="Q6" s="16" t="str">
        <f>IF(P6="Muy Blanda", 'Encuesta Trabajabilidad'!O$33, IF(P6="Blanda", 'Encuesta Trabajabilidad'!P$33, IF(P6="Media",'Encuesta Trabajabilidad'!Q$33)))</f>
        <v>DIFíCIL</v>
      </c>
      <c r="R6" s="23">
        <f>IF(P6="Muy Blanda", 'Encuesta Trabajabilidad'!O$32, IF(P6="Blanda", 'Encuesta Trabajabilidad'!P$32, IF(P6="Media",'Encuesta Trabajabilidad'!Q$32)))</f>
        <v>68.844696969696955</v>
      </c>
      <c r="S6" s="62">
        <f t="shared" si="2"/>
        <v>0.6884469696969695</v>
      </c>
    </row>
    <row r="7" spans="1:28" ht="15.75" x14ac:dyDescent="0.25">
      <c r="A7" s="74">
        <f t="shared" si="3"/>
        <v>4</v>
      </c>
      <c r="B7" s="61">
        <v>2014</v>
      </c>
      <c r="C7" s="24" t="s">
        <v>24</v>
      </c>
      <c r="D7" s="16" t="s">
        <v>8</v>
      </c>
      <c r="E7" s="64"/>
      <c r="F7" s="24">
        <v>38</v>
      </c>
      <c r="G7" s="84">
        <v>25</v>
      </c>
      <c r="H7" s="23">
        <v>27</v>
      </c>
      <c r="I7" s="23"/>
      <c r="J7" s="23"/>
      <c r="K7" s="23"/>
      <c r="L7" s="23">
        <v>2.42</v>
      </c>
      <c r="M7" s="23">
        <v>13.78</v>
      </c>
      <c r="N7" s="62">
        <f t="shared" si="0"/>
        <v>0.84615384615384615</v>
      </c>
      <c r="O7" s="24" t="s">
        <v>167</v>
      </c>
      <c r="P7" s="67" t="str">
        <f t="shared" si="1"/>
        <v>Media</v>
      </c>
      <c r="Q7" s="16" t="str">
        <f>IF(P7="Muy Blanda", 'Encuesta Trabajabilidad'!O$33, IF(P7="Blanda", 'Encuesta Trabajabilidad'!P$33, IF(P7="Media",'Encuesta Trabajabilidad'!Q$33)))</f>
        <v>MUY DIFíCIL</v>
      </c>
      <c r="R7" s="23">
        <f>IF(P7="Muy Blanda", 'Encuesta Trabajabilidad'!O$32, IF(P7="Blanda", 'Encuesta Trabajabilidad'!P$32, IF(P7="Media",'Encuesta Trabajabilidad'!Q$32)))</f>
        <v>52.443181818181813</v>
      </c>
      <c r="S7" s="62">
        <f t="shared" si="2"/>
        <v>0.52443181818181817</v>
      </c>
    </row>
    <row r="8" spans="1:28" ht="15.75" x14ac:dyDescent="0.25">
      <c r="A8" s="74">
        <f t="shared" si="3"/>
        <v>5</v>
      </c>
      <c r="B8" s="61">
        <v>2014</v>
      </c>
      <c r="C8" s="24" t="s">
        <v>24</v>
      </c>
      <c r="D8" s="16" t="s">
        <v>8</v>
      </c>
      <c r="E8" s="64"/>
      <c r="F8" s="24">
        <v>39</v>
      </c>
      <c r="G8" s="84">
        <v>27</v>
      </c>
      <c r="H8" s="23">
        <v>27</v>
      </c>
      <c r="I8" s="23"/>
      <c r="J8" s="23"/>
      <c r="K8" s="23"/>
      <c r="L8" s="23">
        <v>2.42</v>
      </c>
      <c r="M8" s="23">
        <v>18.2</v>
      </c>
      <c r="N8" s="62">
        <f t="shared" si="0"/>
        <v>1</v>
      </c>
      <c r="O8" s="24" t="s">
        <v>167</v>
      </c>
      <c r="P8" s="67" t="str">
        <f t="shared" si="1"/>
        <v>Media</v>
      </c>
      <c r="Q8" s="16" t="str">
        <f>IF(P8="Muy Blanda", 'Encuesta Trabajabilidad'!O$33, IF(P8="Blanda", 'Encuesta Trabajabilidad'!P$33, IF(P8="Media",'Encuesta Trabajabilidad'!Q$33)))</f>
        <v>MUY DIFíCIL</v>
      </c>
      <c r="R8" s="23">
        <f>IF(P8="Muy Blanda", 'Encuesta Trabajabilidad'!O$32, IF(P8="Blanda", 'Encuesta Trabajabilidad'!P$32, IF(P8="Media",'Encuesta Trabajabilidad'!Q$32)))</f>
        <v>52.443181818181813</v>
      </c>
      <c r="S8" s="62">
        <f t="shared" si="2"/>
        <v>0.52443181818181817</v>
      </c>
    </row>
    <row r="9" spans="1:28" ht="15.75" x14ac:dyDescent="0.25">
      <c r="A9" s="74">
        <f t="shared" si="3"/>
        <v>6</v>
      </c>
      <c r="B9" s="61">
        <v>2014</v>
      </c>
      <c r="C9" s="24" t="s">
        <v>24</v>
      </c>
      <c r="D9" s="16" t="s">
        <v>8</v>
      </c>
      <c r="E9" s="64"/>
      <c r="F9" s="24">
        <v>42</v>
      </c>
      <c r="G9" s="84">
        <v>31</v>
      </c>
      <c r="H9" s="23">
        <v>32</v>
      </c>
      <c r="I9" s="23"/>
      <c r="J9" s="23"/>
      <c r="K9" s="23"/>
      <c r="L9" s="23">
        <v>2.42</v>
      </c>
      <c r="M9" s="23">
        <v>18.22</v>
      </c>
      <c r="N9" s="62">
        <f t="shared" si="0"/>
        <v>0.90909090909090906</v>
      </c>
      <c r="O9" s="24" t="s">
        <v>167</v>
      </c>
      <c r="P9" s="67" t="str">
        <f t="shared" si="1"/>
        <v>Media</v>
      </c>
      <c r="Q9" s="16" t="str">
        <f>IF(P9="Muy Blanda", 'Encuesta Trabajabilidad'!O$33, IF(P9="Blanda", 'Encuesta Trabajabilidad'!P$33, IF(P9="Media",'Encuesta Trabajabilidad'!Q$33)))</f>
        <v>MUY DIFíCIL</v>
      </c>
      <c r="R9" s="23">
        <f>IF(P9="Muy Blanda", 'Encuesta Trabajabilidad'!O$32, IF(P9="Blanda", 'Encuesta Trabajabilidad'!P$32, IF(P9="Media",'Encuesta Trabajabilidad'!Q$32)))</f>
        <v>52.443181818181813</v>
      </c>
      <c r="S9" s="62">
        <f t="shared" si="2"/>
        <v>0.52443181818181817</v>
      </c>
    </row>
    <row r="10" spans="1:28" ht="15.75" x14ac:dyDescent="0.25">
      <c r="A10" s="74">
        <f t="shared" si="3"/>
        <v>7</v>
      </c>
      <c r="B10" s="61">
        <v>2014</v>
      </c>
      <c r="C10" s="24" t="s">
        <v>24</v>
      </c>
      <c r="D10" s="16" t="s">
        <v>8</v>
      </c>
      <c r="E10" s="64"/>
      <c r="F10" s="24">
        <v>44</v>
      </c>
      <c r="G10" s="84">
        <v>28</v>
      </c>
      <c r="H10" s="23">
        <v>30</v>
      </c>
      <c r="I10" s="23"/>
      <c r="J10" s="23"/>
      <c r="K10" s="23"/>
      <c r="L10" s="23">
        <v>2.5299999999999998</v>
      </c>
      <c r="M10" s="23">
        <v>18.100000000000001</v>
      </c>
      <c r="N10" s="62">
        <f t="shared" si="0"/>
        <v>0.875</v>
      </c>
      <c r="O10" s="24" t="s">
        <v>167</v>
      </c>
      <c r="P10" s="67" t="str">
        <f t="shared" si="1"/>
        <v>Media</v>
      </c>
      <c r="Q10" s="16" t="str">
        <f>IF(P10="Muy Blanda", 'Encuesta Trabajabilidad'!O$33, IF(P10="Blanda", 'Encuesta Trabajabilidad'!P$33, IF(P10="Media",'Encuesta Trabajabilidad'!Q$33)))</f>
        <v>MUY DIFíCIL</v>
      </c>
      <c r="R10" s="23">
        <f>IF(P10="Muy Blanda", 'Encuesta Trabajabilidad'!O$32, IF(P10="Blanda", 'Encuesta Trabajabilidad'!P$32, IF(P10="Media",'Encuesta Trabajabilidad'!Q$32)))</f>
        <v>52.443181818181813</v>
      </c>
      <c r="S10" s="62">
        <f t="shared" si="2"/>
        <v>0.52443181818181817</v>
      </c>
      <c r="AB10" t="s">
        <v>167</v>
      </c>
    </row>
    <row r="11" spans="1:28" ht="30" x14ac:dyDescent="0.25">
      <c r="A11" s="74">
        <f t="shared" si="3"/>
        <v>8</v>
      </c>
      <c r="B11" s="61">
        <v>2012</v>
      </c>
      <c r="C11" s="24" t="s">
        <v>15</v>
      </c>
      <c r="D11" s="16" t="s">
        <v>20</v>
      </c>
      <c r="E11" s="64"/>
      <c r="F11" s="24">
        <v>41</v>
      </c>
      <c r="G11" s="84">
        <v>34</v>
      </c>
      <c r="H11" s="23">
        <v>40</v>
      </c>
      <c r="I11" s="23"/>
      <c r="J11" s="23"/>
      <c r="K11" s="23"/>
      <c r="L11" s="23">
        <v>2.39</v>
      </c>
      <c r="M11" s="23"/>
      <c r="N11" s="62">
        <f t="shared" si="0"/>
        <v>0.14285714285714285</v>
      </c>
      <c r="O11" s="24" t="s">
        <v>167</v>
      </c>
      <c r="P11" s="67" t="str">
        <f t="shared" si="1"/>
        <v>Muy Blanda</v>
      </c>
      <c r="Q11" s="16" t="str">
        <f>IF(P11="Muy Blanda", 'Encuesta Trabajabilidad'!O$33, IF(P11="Blanda", 'Encuesta Trabajabilidad'!P$33, IF(P11="Media",'Encuesta Trabajabilidad'!Q$33)))</f>
        <v>MUY DIFíCIL</v>
      </c>
      <c r="R11" s="23">
        <f>IF(P11="Muy Blanda", 'Encuesta Trabajabilidad'!O$32, IF(P11="Blanda", 'Encuesta Trabajabilidad'!P$32, IF(P11="Media",'Encuesta Trabajabilidad'!Q$32)))</f>
        <v>50.454545454545453</v>
      </c>
      <c r="S11" s="62">
        <f t="shared" si="2"/>
        <v>0.50454545454545452</v>
      </c>
      <c r="AB11" t="s">
        <v>169</v>
      </c>
    </row>
    <row r="12" spans="1:28" ht="30" x14ac:dyDescent="0.25">
      <c r="A12" s="74">
        <f t="shared" si="3"/>
        <v>9</v>
      </c>
      <c r="B12" s="61">
        <v>2012</v>
      </c>
      <c r="C12" s="24" t="s">
        <v>15</v>
      </c>
      <c r="D12" s="16" t="s">
        <v>20</v>
      </c>
      <c r="E12" s="64"/>
      <c r="F12" s="24">
        <v>44</v>
      </c>
      <c r="G12" s="84">
        <v>39</v>
      </c>
      <c r="H12" s="23">
        <v>47</v>
      </c>
      <c r="I12" s="23"/>
      <c r="J12" s="23"/>
      <c r="K12" s="23"/>
      <c r="L12" s="23">
        <v>2.6</v>
      </c>
      <c r="M12" s="23"/>
      <c r="N12" s="62">
        <f t="shared" si="0"/>
        <v>-0.6</v>
      </c>
      <c r="O12" s="24" t="s">
        <v>167</v>
      </c>
      <c r="P12" s="67" t="str">
        <f t="shared" si="1"/>
        <v>Muy Blanda</v>
      </c>
      <c r="Q12" s="16" t="str">
        <f>IF(P12="Muy Blanda", 'Encuesta Trabajabilidad'!O$33, IF(P12="Blanda", 'Encuesta Trabajabilidad'!P$33, IF(P12="Media",'Encuesta Trabajabilidad'!Q$33)))</f>
        <v>MUY DIFíCIL</v>
      </c>
      <c r="R12" s="23">
        <f>IF(P12="Muy Blanda", 'Encuesta Trabajabilidad'!O$32, IF(P12="Blanda", 'Encuesta Trabajabilidad'!P$32, IF(P12="Media",'Encuesta Trabajabilidad'!Q$32)))</f>
        <v>50.454545454545453</v>
      </c>
      <c r="S12" s="62">
        <f t="shared" si="2"/>
        <v>0.50454545454545452</v>
      </c>
      <c r="AB12" t="s">
        <v>163</v>
      </c>
    </row>
    <row r="13" spans="1:28" ht="30" x14ac:dyDescent="0.25">
      <c r="A13" s="74">
        <f t="shared" si="3"/>
        <v>10</v>
      </c>
      <c r="B13" s="61">
        <v>2012</v>
      </c>
      <c r="C13" s="24" t="s">
        <v>15</v>
      </c>
      <c r="D13" s="16" t="s">
        <v>20</v>
      </c>
      <c r="E13" s="64"/>
      <c r="F13" s="24">
        <v>42</v>
      </c>
      <c r="G13" s="84">
        <v>37</v>
      </c>
      <c r="H13" s="23">
        <v>38</v>
      </c>
      <c r="I13" s="23"/>
      <c r="J13" s="23"/>
      <c r="K13" s="23"/>
      <c r="L13" s="23">
        <v>2.65</v>
      </c>
      <c r="M13" s="23"/>
      <c r="N13" s="62">
        <f t="shared" si="0"/>
        <v>0.8</v>
      </c>
      <c r="O13" s="24" t="s">
        <v>167</v>
      </c>
      <c r="P13" s="67" t="str">
        <f t="shared" si="1"/>
        <v>Media</v>
      </c>
      <c r="Q13" s="16" t="str">
        <f>IF(P13="Muy Blanda", 'Encuesta Trabajabilidad'!O$33, IF(P13="Blanda", 'Encuesta Trabajabilidad'!P$33, IF(P13="Media",'Encuesta Trabajabilidad'!Q$33)))</f>
        <v>MUY DIFíCIL</v>
      </c>
      <c r="R13" s="23">
        <f>IF(P13="Muy Blanda", 'Encuesta Trabajabilidad'!O$32, IF(P13="Blanda", 'Encuesta Trabajabilidad'!P$32, IF(P13="Media",'Encuesta Trabajabilidad'!Q$32)))</f>
        <v>52.443181818181813</v>
      </c>
      <c r="S13" s="62">
        <f t="shared" si="2"/>
        <v>0.52443181818181817</v>
      </c>
      <c r="AB13" t="s">
        <v>168</v>
      </c>
    </row>
    <row r="14" spans="1:28" ht="30" x14ac:dyDescent="0.25">
      <c r="A14" s="74">
        <f t="shared" si="3"/>
        <v>11</v>
      </c>
      <c r="B14" s="61">
        <v>2012</v>
      </c>
      <c r="C14" s="24" t="s">
        <v>15</v>
      </c>
      <c r="D14" s="16" t="s">
        <v>20</v>
      </c>
      <c r="E14" s="64"/>
      <c r="F14" s="24">
        <v>42</v>
      </c>
      <c r="G14" s="84">
        <v>38</v>
      </c>
      <c r="H14" s="23">
        <v>39</v>
      </c>
      <c r="I14" s="23"/>
      <c r="J14" s="23"/>
      <c r="K14" s="23"/>
      <c r="L14" s="23">
        <v>2.65</v>
      </c>
      <c r="M14" s="23"/>
      <c r="N14" s="62">
        <f t="shared" si="0"/>
        <v>0.75</v>
      </c>
      <c r="O14" s="24" t="s">
        <v>167</v>
      </c>
      <c r="P14" s="67" t="str">
        <f t="shared" si="1"/>
        <v>Blanda</v>
      </c>
      <c r="Q14" s="16" t="str">
        <f>IF(P14="Muy Blanda", 'Encuesta Trabajabilidad'!O$33, IF(P14="Blanda", 'Encuesta Trabajabilidad'!P$33, IF(P14="Media",'Encuesta Trabajabilidad'!Q$33)))</f>
        <v>DIFíCIL</v>
      </c>
      <c r="R14" s="23">
        <f>IF(P14="Muy Blanda", 'Encuesta Trabajabilidad'!O$32, IF(P14="Blanda", 'Encuesta Trabajabilidad'!P$32, IF(P14="Media",'Encuesta Trabajabilidad'!Q$32)))</f>
        <v>68.844696969696955</v>
      </c>
      <c r="S14" s="62">
        <f t="shared" si="2"/>
        <v>0.6884469696969695</v>
      </c>
      <c r="AB14" t="s">
        <v>170</v>
      </c>
    </row>
    <row r="15" spans="1:28" ht="30" x14ac:dyDescent="0.25">
      <c r="A15" s="74">
        <f t="shared" si="3"/>
        <v>12</v>
      </c>
      <c r="B15" s="61">
        <v>2012</v>
      </c>
      <c r="C15" s="24" t="s">
        <v>15</v>
      </c>
      <c r="D15" s="16" t="s">
        <v>20</v>
      </c>
      <c r="E15" s="64"/>
      <c r="F15" s="24">
        <v>34</v>
      </c>
      <c r="G15" s="84">
        <v>30</v>
      </c>
      <c r="H15" s="23">
        <v>36</v>
      </c>
      <c r="I15" s="23"/>
      <c r="J15" s="23"/>
      <c r="K15" s="23"/>
      <c r="L15" s="23">
        <v>2.4500000000000002</v>
      </c>
      <c r="M15" s="23"/>
      <c r="N15" s="62">
        <f t="shared" si="0"/>
        <v>-0.5</v>
      </c>
      <c r="O15" s="24" t="s">
        <v>167</v>
      </c>
      <c r="P15" s="67" t="str">
        <f t="shared" si="1"/>
        <v>Muy Blanda</v>
      </c>
      <c r="Q15" s="16" t="str">
        <f>IF(P15="Muy Blanda", 'Encuesta Trabajabilidad'!O$33, IF(P15="Blanda", 'Encuesta Trabajabilidad'!P$33, IF(P15="Media",'Encuesta Trabajabilidad'!Q$33)))</f>
        <v>MUY DIFíCIL</v>
      </c>
      <c r="R15" s="23">
        <f>IF(P15="Muy Blanda", 'Encuesta Trabajabilidad'!O$32, IF(P15="Blanda", 'Encuesta Trabajabilidad'!P$32, IF(P15="Media",'Encuesta Trabajabilidad'!Q$32)))</f>
        <v>50.454545454545453</v>
      </c>
      <c r="S15" s="62">
        <f t="shared" si="2"/>
        <v>0.50454545454545452</v>
      </c>
    </row>
    <row r="16" spans="1:28" ht="15.75" x14ac:dyDescent="0.25">
      <c r="A16" s="74">
        <f t="shared" si="3"/>
        <v>13</v>
      </c>
      <c r="B16" s="61">
        <v>2017</v>
      </c>
      <c r="C16" s="24" t="s">
        <v>24</v>
      </c>
      <c r="D16" s="16" t="s">
        <v>24</v>
      </c>
      <c r="E16" s="64"/>
      <c r="F16" s="24">
        <v>26</v>
      </c>
      <c r="G16" s="84">
        <v>21</v>
      </c>
      <c r="H16" s="23">
        <v>23</v>
      </c>
      <c r="I16" s="23"/>
      <c r="J16" s="23"/>
      <c r="K16" s="23"/>
      <c r="L16" s="23"/>
      <c r="M16" s="23"/>
      <c r="N16" s="62">
        <f t="shared" si="0"/>
        <v>0.6</v>
      </c>
      <c r="O16" s="24" t="s">
        <v>167</v>
      </c>
      <c r="P16" s="67" t="str">
        <f t="shared" si="1"/>
        <v>Blanda</v>
      </c>
      <c r="Q16" s="16" t="str">
        <f>IF(P16="Muy Blanda", 'Encuesta Trabajabilidad'!O$33, IF(P16="Blanda", 'Encuesta Trabajabilidad'!P$33, IF(P16="Media",'Encuesta Trabajabilidad'!Q$33)))</f>
        <v>DIFíCIL</v>
      </c>
      <c r="R16" s="23">
        <f>IF(P16="Muy Blanda", 'Encuesta Trabajabilidad'!O$32, IF(P16="Blanda", 'Encuesta Trabajabilidad'!P$32, IF(P16="Media",'Encuesta Trabajabilidad'!Q$32)))</f>
        <v>68.844696969696955</v>
      </c>
      <c r="S16" s="62">
        <f t="shared" si="2"/>
        <v>0.6884469696969695</v>
      </c>
    </row>
    <row r="17" spans="1:19" ht="15.75" x14ac:dyDescent="0.25">
      <c r="A17" s="74">
        <f t="shared" si="3"/>
        <v>14</v>
      </c>
      <c r="B17" s="61">
        <v>2017</v>
      </c>
      <c r="C17" s="24" t="s">
        <v>24</v>
      </c>
      <c r="D17" s="16" t="s">
        <v>24</v>
      </c>
      <c r="E17" s="64"/>
      <c r="F17" s="24">
        <v>31</v>
      </c>
      <c r="G17" s="84">
        <v>25</v>
      </c>
      <c r="H17" s="23">
        <v>27</v>
      </c>
      <c r="I17" s="23"/>
      <c r="J17" s="23"/>
      <c r="K17" s="23"/>
      <c r="L17" s="23"/>
      <c r="M17" s="23"/>
      <c r="N17" s="62">
        <f t="shared" si="0"/>
        <v>0.66666666666666663</v>
      </c>
      <c r="O17" s="24" t="s">
        <v>167</v>
      </c>
      <c r="P17" s="67" t="str">
        <f t="shared" si="1"/>
        <v>Blanda</v>
      </c>
      <c r="Q17" s="16" t="str">
        <f>IF(P17="Muy Blanda", 'Encuesta Trabajabilidad'!O$33, IF(P17="Blanda", 'Encuesta Trabajabilidad'!P$33, IF(P17="Media",'Encuesta Trabajabilidad'!Q$33)))</f>
        <v>DIFíCIL</v>
      </c>
      <c r="R17" s="23">
        <f>IF(P17="Muy Blanda", 'Encuesta Trabajabilidad'!O$32, IF(P17="Blanda", 'Encuesta Trabajabilidad'!P$32, IF(P17="Media",'Encuesta Trabajabilidad'!Q$32)))</f>
        <v>68.844696969696955</v>
      </c>
      <c r="S17" s="62">
        <f t="shared" si="2"/>
        <v>0.6884469696969695</v>
      </c>
    </row>
    <row r="18" spans="1:19" ht="15.75" x14ac:dyDescent="0.25">
      <c r="A18" s="74">
        <f t="shared" si="3"/>
        <v>15</v>
      </c>
      <c r="B18" s="61">
        <v>2017</v>
      </c>
      <c r="C18" s="24" t="s">
        <v>24</v>
      </c>
      <c r="D18" s="16" t="s">
        <v>24</v>
      </c>
      <c r="E18" s="64"/>
      <c r="F18" s="24">
        <v>27</v>
      </c>
      <c r="G18" s="84">
        <v>24</v>
      </c>
      <c r="H18" s="23">
        <v>28</v>
      </c>
      <c r="I18" s="23"/>
      <c r="J18" s="23"/>
      <c r="K18" s="23"/>
      <c r="L18" s="23"/>
      <c r="M18" s="23"/>
      <c r="N18" s="62">
        <f t="shared" si="0"/>
        <v>-0.33333333333333331</v>
      </c>
      <c r="O18" s="24" t="s">
        <v>167</v>
      </c>
      <c r="P18" s="67" t="str">
        <f t="shared" si="1"/>
        <v>Muy Blanda</v>
      </c>
      <c r="Q18" s="16" t="str">
        <f>IF(P18="Muy Blanda", 'Encuesta Trabajabilidad'!O$33, IF(P18="Blanda", 'Encuesta Trabajabilidad'!P$33, IF(P18="Media",'Encuesta Trabajabilidad'!Q$33)))</f>
        <v>MUY DIFíCIL</v>
      </c>
      <c r="R18" s="23">
        <f>IF(P18="Muy Blanda", 'Encuesta Trabajabilidad'!O$32, IF(P18="Blanda", 'Encuesta Trabajabilidad'!P$32, IF(P18="Media",'Encuesta Trabajabilidad'!Q$32)))</f>
        <v>50.454545454545453</v>
      </c>
      <c r="S18" s="62">
        <f t="shared" si="2"/>
        <v>0.50454545454545452</v>
      </c>
    </row>
    <row r="19" spans="1:19" ht="15.75" x14ac:dyDescent="0.25">
      <c r="A19" s="74">
        <f t="shared" si="3"/>
        <v>16</v>
      </c>
      <c r="B19" s="61">
        <v>2017</v>
      </c>
      <c r="C19" s="24" t="s">
        <v>24</v>
      </c>
      <c r="D19" s="16" t="s">
        <v>24</v>
      </c>
      <c r="E19" s="64"/>
      <c r="F19" s="24">
        <v>30</v>
      </c>
      <c r="G19" s="84">
        <v>24</v>
      </c>
      <c r="H19" s="23">
        <v>25</v>
      </c>
      <c r="I19" s="23"/>
      <c r="J19" s="23"/>
      <c r="K19" s="23"/>
      <c r="L19" s="23"/>
      <c r="M19" s="23"/>
      <c r="N19" s="62">
        <f t="shared" si="0"/>
        <v>0.83333333333333337</v>
      </c>
      <c r="O19" s="24" t="s">
        <v>167</v>
      </c>
      <c r="P19" s="67" t="str">
        <f t="shared" si="1"/>
        <v>Media</v>
      </c>
      <c r="Q19" s="16" t="str">
        <f>IF(P19="Muy Blanda", 'Encuesta Trabajabilidad'!O$33, IF(P19="Blanda", 'Encuesta Trabajabilidad'!P$33, IF(P19="Media",'Encuesta Trabajabilidad'!Q$33)))</f>
        <v>MUY DIFíCIL</v>
      </c>
      <c r="R19" s="23">
        <f>IF(P19="Muy Blanda", 'Encuesta Trabajabilidad'!O$32, IF(P19="Blanda", 'Encuesta Trabajabilidad'!P$32, IF(P19="Media",'Encuesta Trabajabilidad'!Q$32)))</f>
        <v>52.443181818181813</v>
      </c>
      <c r="S19" s="62">
        <f t="shared" si="2"/>
        <v>0.52443181818181817</v>
      </c>
    </row>
    <row r="20" spans="1:19" ht="15.75" x14ac:dyDescent="0.25">
      <c r="A20" s="74">
        <f t="shared" si="3"/>
        <v>17</v>
      </c>
      <c r="B20" s="61">
        <v>2017</v>
      </c>
      <c r="C20" s="24" t="s">
        <v>24</v>
      </c>
      <c r="D20" s="16" t="s">
        <v>24</v>
      </c>
      <c r="E20" s="64"/>
      <c r="F20" s="24">
        <v>34</v>
      </c>
      <c r="G20" s="84">
        <v>27</v>
      </c>
      <c r="H20" s="23">
        <v>35</v>
      </c>
      <c r="I20" s="23"/>
      <c r="J20" s="23"/>
      <c r="K20" s="23"/>
      <c r="L20" s="23"/>
      <c r="M20" s="23"/>
      <c r="N20" s="62">
        <f t="shared" si="0"/>
        <v>-0.14285714285714285</v>
      </c>
      <c r="O20" s="24" t="s">
        <v>167</v>
      </c>
      <c r="P20" s="67" t="str">
        <f t="shared" si="1"/>
        <v>Muy Blanda</v>
      </c>
      <c r="Q20" s="16" t="str">
        <f>IF(P20="Muy Blanda", 'Encuesta Trabajabilidad'!O$33, IF(P20="Blanda", 'Encuesta Trabajabilidad'!P$33, IF(P20="Media",'Encuesta Trabajabilidad'!Q$33)))</f>
        <v>MUY DIFíCIL</v>
      </c>
      <c r="R20" s="23">
        <f>IF(P20="Muy Blanda", 'Encuesta Trabajabilidad'!O$32, IF(P20="Blanda", 'Encuesta Trabajabilidad'!P$32, IF(P20="Media",'Encuesta Trabajabilidad'!Q$32)))</f>
        <v>50.454545454545453</v>
      </c>
      <c r="S20" s="62">
        <f t="shared" si="2"/>
        <v>0.50454545454545452</v>
      </c>
    </row>
    <row r="21" spans="1:19" ht="15.75" x14ac:dyDescent="0.25">
      <c r="A21" s="74">
        <f t="shared" si="3"/>
        <v>18</v>
      </c>
      <c r="B21" s="61">
        <v>2017</v>
      </c>
      <c r="C21" s="24" t="s">
        <v>24</v>
      </c>
      <c r="D21" s="16" t="s">
        <v>24</v>
      </c>
      <c r="E21" s="64"/>
      <c r="F21" s="24">
        <v>32</v>
      </c>
      <c r="G21" s="84">
        <v>24</v>
      </c>
      <c r="H21" s="23">
        <v>27</v>
      </c>
      <c r="I21" s="23"/>
      <c r="J21" s="23"/>
      <c r="K21" s="23"/>
      <c r="L21" s="23"/>
      <c r="M21" s="23"/>
      <c r="N21" s="62">
        <f t="shared" si="0"/>
        <v>0.625</v>
      </c>
      <c r="O21" s="24" t="s">
        <v>167</v>
      </c>
      <c r="P21" s="67" t="str">
        <f t="shared" si="1"/>
        <v>Blanda</v>
      </c>
      <c r="Q21" s="16" t="str">
        <f>IF(P21="Muy Blanda", 'Encuesta Trabajabilidad'!O$33, IF(P21="Blanda", 'Encuesta Trabajabilidad'!P$33, IF(P21="Media",'Encuesta Trabajabilidad'!Q$33)))</f>
        <v>DIFíCIL</v>
      </c>
      <c r="R21" s="23">
        <f>IF(P21="Muy Blanda", 'Encuesta Trabajabilidad'!O$32, IF(P21="Blanda", 'Encuesta Trabajabilidad'!P$32, IF(P21="Media",'Encuesta Trabajabilidad'!Q$32)))</f>
        <v>68.844696969696955</v>
      </c>
      <c r="S21" s="62">
        <f t="shared" si="2"/>
        <v>0.6884469696969695</v>
      </c>
    </row>
    <row r="22" spans="1:19" ht="15.75" x14ac:dyDescent="0.25">
      <c r="A22" s="74">
        <f t="shared" si="3"/>
        <v>19</v>
      </c>
      <c r="B22" s="61">
        <v>2017</v>
      </c>
      <c r="C22" s="24" t="s">
        <v>24</v>
      </c>
      <c r="D22" s="16" t="s">
        <v>24</v>
      </c>
      <c r="E22" s="64"/>
      <c r="F22" s="24">
        <v>37</v>
      </c>
      <c r="G22" s="84">
        <v>30</v>
      </c>
      <c r="H22" s="23">
        <v>31</v>
      </c>
      <c r="I22" s="23"/>
      <c r="J22" s="23"/>
      <c r="K22" s="23"/>
      <c r="L22" s="23"/>
      <c r="M22" s="23"/>
      <c r="N22" s="62">
        <f t="shared" si="0"/>
        <v>0.8571428571428571</v>
      </c>
      <c r="O22" s="24" t="s">
        <v>167</v>
      </c>
      <c r="P22" s="67" t="str">
        <f t="shared" si="1"/>
        <v>Media</v>
      </c>
      <c r="Q22" s="16" t="str">
        <f>IF(P22="Muy Blanda", 'Encuesta Trabajabilidad'!O$33, IF(P22="Blanda", 'Encuesta Trabajabilidad'!P$33, IF(P22="Media",'Encuesta Trabajabilidad'!Q$33)))</f>
        <v>MUY DIFíCIL</v>
      </c>
      <c r="R22" s="23">
        <f>IF(P22="Muy Blanda", 'Encuesta Trabajabilidad'!O$32, IF(P22="Blanda", 'Encuesta Trabajabilidad'!P$32, IF(P22="Media",'Encuesta Trabajabilidad'!Q$32)))</f>
        <v>52.443181818181813</v>
      </c>
      <c r="S22" s="62">
        <f t="shared" si="2"/>
        <v>0.52443181818181817</v>
      </c>
    </row>
    <row r="23" spans="1:19" ht="15.75" x14ac:dyDescent="0.25">
      <c r="A23" s="74">
        <f t="shared" si="3"/>
        <v>20</v>
      </c>
      <c r="B23" s="61">
        <v>2017</v>
      </c>
      <c r="C23" s="24" t="s">
        <v>24</v>
      </c>
      <c r="D23" s="16" t="s">
        <v>24</v>
      </c>
      <c r="E23" s="64"/>
      <c r="F23" s="24">
        <v>35</v>
      </c>
      <c r="G23" s="84">
        <v>29</v>
      </c>
      <c r="H23" s="23">
        <v>30</v>
      </c>
      <c r="I23" s="23"/>
      <c r="J23" s="23"/>
      <c r="K23" s="23"/>
      <c r="L23" s="23"/>
      <c r="M23" s="23"/>
      <c r="N23" s="62">
        <f t="shared" si="0"/>
        <v>0.83333333333333337</v>
      </c>
      <c r="O23" s="24" t="s">
        <v>167</v>
      </c>
      <c r="P23" s="67" t="str">
        <f t="shared" si="1"/>
        <v>Media</v>
      </c>
      <c r="Q23" s="16" t="str">
        <f>IF(P23="Muy Blanda", 'Encuesta Trabajabilidad'!O$33, IF(P23="Blanda", 'Encuesta Trabajabilidad'!P$33, IF(P23="Media",'Encuesta Trabajabilidad'!Q$33)))</f>
        <v>MUY DIFíCIL</v>
      </c>
      <c r="R23" s="23">
        <f>IF(P23="Muy Blanda", 'Encuesta Trabajabilidad'!O$32, IF(P23="Blanda", 'Encuesta Trabajabilidad'!P$32, IF(P23="Media",'Encuesta Trabajabilidad'!Q$32)))</f>
        <v>52.443181818181813</v>
      </c>
      <c r="S23" s="62">
        <f t="shared" si="2"/>
        <v>0.52443181818181817</v>
      </c>
    </row>
    <row r="24" spans="1:19" ht="15.75" x14ac:dyDescent="0.25">
      <c r="A24" s="74">
        <f t="shared" si="3"/>
        <v>21</v>
      </c>
      <c r="B24" s="61">
        <v>2017</v>
      </c>
      <c r="C24" s="24" t="s">
        <v>24</v>
      </c>
      <c r="D24" s="16" t="s">
        <v>24</v>
      </c>
      <c r="E24" s="64"/>
      <c r="F24" s="24">
        <v>35</v>
      </c>
      <c r="G24" s="84">
        <v>28</v>
      </c>
      <c r="H24" s="23">
        <v>29</v>
      </c>
      <c r="I24" s="23"/>
      <c r="J24" s="23"/>
      <c r="K24" s="23"/>
      <c r="L24" s="23"/>
      <c r="M24" s="23"/>
      <c r="N24" s="62">
        <f t="shared" si="0"/>
        <v>0.8571428571428571</v>
      </c>
      <c r="O24" s="24" t="s">
        <v>167</v>
      </c>
      <c r="P24" s="67" t="str">
        <f t="shared" si="1"/>
        <v>Media</v>
      </c>
      <c r="Q24" s="16" t="str">
        <f>IF(P24="Muy Blanda", 'Encuesta Trabajabilidad'!O$33, IF(P24="Blanda", 'Encuesta Trabajabilidad'!P$33, IF(P24="Media",'Encuesta Trabajabilidad'!Q$33)))</f>
        <v>MUY DIFíCIL</v>
      </c>
      <c r="R24" s="23">
        <f>IF(P24="Muy Blanda", 'Encuesta Trabajabilidad'!O$32, IF(P24="Blanda", 'Encuesta Trabajabilidad'!P$32, IF(P24="Media",'Encuesta Trabajabilidad'!Q$32)))</f>
        <v>52.443181818181813</v>
      </c>
      <c r="S24" s="62">
        <f t="shared" si="2"/>
        <v>0.52443181818181817</v>
      </c>
    </row>
    <row r="25" spans="1:19" ht="15.75" x14ac:dyDescent="0.25">
      <c r="A25" s="74">
        <f t="shared" si="3"/>
        <v>22</v>
      </c>
      <c r="B25" s="61">
        <v>2017</v>
      </c>
      <c r="C25" s="24" t="s">
        <v>24</v>
      </c>
      <c r="D25" s="16" t="s">
        <v>24</v>
      </c>
      <c r="E25" s="64"/>
      <c r="F25" s="24">
        <v>35</v>
      </c>
      <c r="G25" s="84">
        <v>27</v>
      </c>
      <c r="H25" s="23">
        <v>29</v>
      </c>
      <c r="I25" s="23"/>
      <c r="J25" s="23"/>
      <c r="K25" s="23"/>
      <c r="L25" s="23"/>
      <c r="M25" s="23"/>
      <c r="N25" s="62">
        <f t="shared" si="0"/>
        <v>0.75</v>
      </c>
      <c r="O25" s="24" t="s">
        <v>167</v>
      </c>
      <c r="P25" s="67" t="str">
        <f t="shared" si="1"/>
        <v>Blanda</v>
      </c>
      <c r="Q25" s="16" t="str">
        <f>IF(P25="Muy Blanda", 'Encuesta Trabajabilidad'!O$33, IF(P25="Blanda", 'Encuesta Trabajabilidad'!P$33, IF(P25="Media",'Encuesta Trabajabilidad'!Q$33)))</f>
        <v>DIFíCIL</v>
      </c>
      <c r="R25" s="23">
        <f>IF(P25="Muy Blanda", 'Encuesta Trabajabilidad'!O$32, IF(P25="Blanda", 'Encuesta Trabajabilidad'!P$32, IF(P25="Media",'Encuesta Trabajabilidad'!Q$32)))</f>
        <v>68.844696969696955</v>
      </c>
      <c r="S25" s="62">
        <f t="shared" si="2"/>
        <v>0.6884469696969695</v>
      </c>
    </row>
    <row r="26" spans="1:19" ht="15.75" x14ac:dyDescent="0.25">
      <c r="A26" s="74">
        <f t="shared" si="3"/>
        <v>23</v>
      </c>
      <c r="B26" s="61">
        <v>2017</v>
      </c>
      <c r="C26" s="24" t="s">
        <v>24</v>
      </c>
      <c r="D26" s="16" t="s">
        <v>24</v>
      </c>
      <c r="E26" s="64"/>
      <c r="F26" s="24">
        <v>34</v>
      </c>
      <c r="G26" s="84">
        <v>28</v>
      </c>
      <c r="H26" s="23">
        <v>30</v>
      </c>
      <c r="I26" s="23"/>
      <c r="J26" s="23"/>
      <c r="K26" s="23"/>
      <c r="L26" s="23"/>
      <c r="M26" s="23"/>
      <c r="N26" s="62">
        <f t="shared" si="0"/>
        <v>0.66666666666666663</v>
      </c>
      <c r="O26" s="24" t="s">
        <v>167</v>
      </c>
      <c r="P26" s="67" t="str">
        <f t="shared" si="1"/>
        <v>Blanda</v>
      </c>
      <c r="Q26" s="16" t="str">
        <f>IF(P26="Muy Blanda", 'Encuesta Trabajabilidad'!O$33, IF(P26="Blanda", 'Encuesta Trabajabilidad'!P$33, IF(P26="Media",'Encuesta Trabajabilidad'!Q$33)))</f>
        <v>DIFíCIL</v>
      </c>
      <c r="R26" s="23">
        <f>IF(P26="Muy Blanda", 'Encuesta Trabajabilidad'!O$32, IF(P26="Blanda", 'Encuesta Trabajabilidad'!P$32, IF(P26="Media",'Encuesta Trabajabilidad'!Q$32)))</f>
        <v>68.844696969696955</v>
      </c>
      <c r="S26" s="62">
        <f t="shared" si="2"/>
        <v>0.6884469696969695</v>
      </c>
    </row>
    <row r="27" spans="1:19" ht="15.75" x14ac:dyDescent="0.25">
      <c r="A27" s="74">
        <f t="shared" si="3"/>
        <v>24</v>
      </c>
      <c r="B27" s="61">
        <v>2017</v>
      </c>
      <c r="C27" s="24" t="s">
        <v>24</v>
      </c>
      <c r="D27" s="16" t="s">
        <v>24</v>
      </c>
      <c r="E27" s="64"/>
      <c r="F27" s="24">
        <v>27</v>
      </c>
      <c r="G27" s="84">
        <v>22</v>
      </c>
      <c r="H27" s="23">
        <v>25</v>
      </c>
      <c r="I27" s="23"/>
      <c r="J27" s="23"/>
      <c r="K27" s="23"/>
      <c r="L27" s="23"/>
      <c r="M27" s="23"/>
      <c r="N27" s="62">
        <f t="shared" si="0"/>
        <v>0.4</v>
      </c>
      <c r="O27" s="24" t="s">
        <v>167</v>
      </c>
      <c r="P27" s="67" t="str">
        <f t="shared" si="1"/>
        <v>Muy Blanda</v>
      </c>
      <c r="Q27" s="16" t="str">
        <f>IF(P27="Muy Blanda", 'Encuesta Trabajabilidad'!O$33, IF(P27="Blanda", 'Encuesta Trabajabilidad'!P$33, IF(P27="Media",'Encuesta Trabajabilidad'!Q$33)))</f>
        <v>MUY DIFíCIL</v>
      </c>
      <c r="R27" s="23">
        <f>IF(P27="Muy Blanda", 'Encuesta Trabajabilidad'!O$32, IF(P27="Blanda", 'Encuesta Trabajabilidad'!P$32, IF(P27="Media",'Encuesta Trabajabilidad'!Q$32)))</f>
        <v>50.454545454545453</v>
      </c>
      <c r="S27" s="62">
        <f t="shared" si="2"/>
        <v>0.50454545454545452</v>
      </c>
    </row>
    <row r="28" spans="1:19" ht="15.75" x14ac:dyDescent="0.25">
      <c r="A28" s="74">
        <f t="shared" si="3"/>
        <v>25</v>
      </c>
      <c r="B28" s="61">
        <v>2008</v>
      </c>
      <c r="C28" s="24" t="s">
        <v>24</v>
      </c>
      <c r="D28" s="16" t="s">
        <v>26</v>
      </c>
      <c r="E28" s="64"/>
      <c r="F28" s="24">
        <v>33</v>
      </c>
      <c r="G28" s="84">
        <v>28</v>
      </c>
      <c r="H28" s="23">
        <v>36</v>
      </c>
      <c r="I28" s="23"/>
      <c r="J28" s="23"/>
      <c r="K28" s="23"/>
      <c r="L28" s="23"/>
      <c r="M28" s="23"/>
      <c r="N28" s="62">
        <f t="shared" si="0"/>
        <v>-0.6</v>
      </c>
      <c r="O28" s="24" t="s">
        <v>167</v>
      </c>
      <c r="P28" s="67" t="str">
        <f t="shared" si="1"/>
        <v>Muy Blanda</v>
      </c>
      <c r="Q28" s="16" t="str">
        <f>IF(P28="Muy Blanda", 'Encuesta Trabajabilidad'!O$33, IF(P28="Blanda", 'Encuesta Trabajabilidad'!P$33, IF(P28="Media",'Encuesta Trabajabilidad'!Q$33)))</f>
        <v>MUY DIFíCIL</v>
      </c>
      <c r="R28" s="23">
        <f>IF(P28="Muy Blanda", 'Encuesta Trabajabilidad'!O$32, IF(P28="Blanda", 'Encuesta Trabajabilidad'!P$32, IF(P28="Media",'Encuesta Trabajabilidad'!Q$32)))</f>
        <v>50.454545454545453</v>
      </c>
      <c r="S28" s="62">
        <f t="shared" si="2"/>
        <v>0.50454545454545452</v>
      </c>
    </row>
    <row r="29" spans="1:19" ht="15.75" x14ac:dyDescent="0.25">
      <c r="A29" s="74">
        <f t="shared" si="3"/>
        <v>26</v>
      </c>
      <c r="B29" s="61">
        <v>2008</v>
      </c>
      <c r="C29" s="24" t="s">
        <v>24</v>
      </c>
      <c r="D29" s="16" t="s">
        <v>26</v>
      </c>
      <c r="E29" s="64"/>
      <c r="F29" s="24">
        <v>30</v>
      </c>
      <c r="G29" s="84">
        <v>25</v>
      </c>
      <c r="H29" s="23">
        <v>28</v>
      </c>
      <c r="I29" s="23"/>
      <c r="J29" s="23"/>
      <c r="K29" s="23"/>
      <c r="L29" s="23"/>
      <c r="M29" s="23"/>
      <c r="N29" s="62">
        <f t="shared" si="0"/>
        <v>0.4</v>
      </c>
      <c r="O29" s="24" t="s">
        <v>167</v>
      </c>
      <c r="P29" s="67" t="str">
        <f t="shared" si="1"/>
        <v>Muy Blanda</v>
      </c>
      <c r="Q29" s="16" t="str">
        <f>IF(P29="Muy Blanda", 'Encuesta Trabajabilidad'!O$33, IF(P29="Blanda", 'Encuesta Trabajabilidad'!P$33, IF(P29="Media",'Encuesta Trabajabilidad'!Q$33)))</f>
        <v>MUY DIFíCIL</v>
      </c>
      <c r="R29" s="23">
        <f>IF(P29="Muy Blanda", 'Encuesta Trabajabilidad'!O$32, IF(P29="Blanda", 'Encuesta Trabajabilidad'!P$32, IF(P29="Media",'Encuesta Trabajabilidad'!Q$32)))</f>
        <v>50.454545454545453</v>
      </c>
      <c r="S29" s="62">
        <f t="shared" si="2"/>
        <v>0.50454545454545452</v>
      </c>
    </row>
    <row r="30" spans="1:19" ht="15.75" x14ac:dyDescent="0.25">
      <c r="A30" s="74">
        <f t="shared" si="3"/>
        <v>27</v>
      </c>
      <c r="B30" s="61">
        <v>2008</v>
      </c>
      <c r="C30" s="24" t="s">
        <v>24</v>
      </c>
      <c r="D30" s="16" t="s">
        <v>26</v>
      </c>
      <c r="E30" s="64"/>
      <c r="F30" s="24">
        <v>222</v>
      </c>
      <c r="G30" s="84">
        <v>169</v>
      </c>
      <c r="H30" s="23">
        <v>256</v>
      </c>
      <c r="I30" s="23"/>
      <c r="J30" s="23"/>
      <c r="K30" s="23"/>
      <c r="L30" s="23"/>
      <c r="M30" s="23"/>
      <c r="N30" s="62">
        <f t="shared" si="0"/>
        <v>-0.64150943396226412</v>
      </c>
      <c r="O30" s="24" t="s">
        <v>167</v>
      </c>
      <c r="P30" s="67" t="str">
        <f t="shared" si="1"/>
        <v>Muy Blanda</v>
      </c>
      <c r="Q30" s="16" t="str">
        <f>IF(P30="Muy Blanda", 'Encuesta Trabajabilidad'!O$33, IF(P30="Blanda", 'Encuesta Trabajabilidad'!P$33, IF(P30="Media",'Encuesta Trabajabilidad'!Q$33)))</f>
        <v>MUY DIFíCIL</v>
      </c>
      <c r="R30" s="23">
        <f>IF(P30="Muy Blanda", 'Encuesta Trabajabilidad'!O$32, IF(P30="Blanda", 'Encuesta Trabajabilidad'!P$32, IF(P30="Media",'Encuesta Trabajabilidad'!Q$32)))</f>
        <v>50.454545454545453</v>
      </c>
      <c r="S30" s="62">
        <f t="shared" si="2"/>
        <v>0.50454545454545452</v>
      </c>
    </row>
    <row r="31" spans="1:19" ht="15.75" x14ac:dyDescent="0.25">
      <c r="A31" s="74">
        <f t="shared" si="3"/>
        <v>28</v>
      </c>
      <c r="B31" s="61">
        <v>2014</v>
      </c>
      <c r="C31" s="24" t="s">
        <v>24</v>
      </c>
      <c r="D31" s="16" t="s">
        <v>25</v>
      </c>
      <c r="E31" s="64"/>
      <c r="F31" s="24">
        <v>34</v>
      </c>
      <c r="G31" s="84">
        <v>22</v>
      </c>
      <c r="H31" s="23">
        <v>24</v>
      </c>
      <c r="I31" s="23"/>
      <c r="J31" s="23"/>
      <c r="K31" s="23"/>
      <c r="L31" s="23"/>
      <c r="M31" s="23"/>
      <c r="N31" s="62">
        <f t="shared" si="0"/>
        <v>0.83333333333333337</v>
      </c>
      <c r="O31" s="24" t="s">
        <v>169</v>
      </c>
      <c r="P31" s="67" t="str">
        <f t="shared" si="1"/>
        <v>Media</v>
      </c>
      <c r="Q31" s="16" t="str">
        <f>IF(P31="Muy Blanda", 'Encuesta Trabajabilidad'!O$33, IF(P31="Blanda", 'Encuesta Trabajabilidad'!P$33, IF(P31="Media",'Encuesta Trabajabilidad'!Q$33)))</f>
        <v>MUY DIFíCIL</v>
      </c>
      <c r="R31" s="23">
        <f>IF(P31="Muy Blanda", 'Encuesta Trabajabilidad'!O$32, IF(P31="Blanda", 'Encuesta Trabajabilidad'!P$32, IF(P31="Media",'Encuesta Trabajabilidad'!Q$32)))</f>
        <v>52.443181818181813</v>
      </c>
      <c r="S31" s="62">
        <f t="shared" si="2"/>
        <v>0.52443181818181817</v>
      </c>
    </row>
    <row r="32" spans="1:19" ht="15.75" x14ac:dyDescent="0.25">
      <c r="A32" s="74">
        <f t="shared" si="3"/>
        <v>29</v>
      </c>
      <c r="B32" s="61">
        <v>2014</v>
      </c>
      <c r="C32" s="24" t="s">
        <v>24</v>
      </c>
      <c r="D32" s="16" t="s">
        <v>25</v>
      </c>
      <c r="E32" s="64"/>
      <c r="F32" s="24">
        <v>44</v>
      </c>
      <c r="G32" s="84">
        <v>26</v>
      </c>
      <c r="H32" s="23">
        <v>29</v>
      </c>
      <c r="I32" s="23"/>
      <c r="J32" s="23"/>
      <c r="K32" s="23"/>
      <c r="L32" s="23"/>
      <c r="M32" s="23"/>
      <c r="N32" s="62">
        <f t="shared" si="0"/>
        <v>0.83333333333333337</v>
      </c>
      <c r="O32" s="24" t="s">
        <v>167</v>
      </c>
      <c r="P32" s="67" t="str">
        <f t="shared" si="1"/>
        <v>Media</v>
      </c>
      <c r="Q32" s="16" t="str">
        <f>IF(P32="Muy Blanda", 'Encuesta Trabajabilidad'!O$33, IF(P32="Blanda", 'Encuesta Trabajabilidad'!P$33, IF(P32="Media",'Encuesta Trabajabilidad'!Q$33)))</f>
        <v>MUY DIFíCIL</v>
      </c>
      <c r="R32" s="23">
        <f>IF(P32="Muy Blanda", 'Encuesta Trabajabilidad'!O$32, IF(P32="Blanda", 'Encuesta Trabajabilidad'!P$32, IF(P32="Media",'Encuesta Trabajabilidad'!Q$32)))</f>
        <v>52.443181818181813</v>
      </c>
      <c r="S32" s="62">
        <f t="shared" si="2"/>
        <v>0.52443181818181817</v>
      </c>
    </row>
    <row r="33" spans="1:19" ht="15.75" x14ac:dyDescent="0.25">
      <c r="A33" s="74">
        <f t="shared" si="3"/>
        <v>30</v>
      </c>
      <c r="B33" s="61">
        <v>2014</v>
      </c>
      <c r="C33" s="24" t="s">
        <v>24</v>
      </c>
      <c r="D33" s="16" t="s">
        <v>25</v>
      </c>
      <c r="E33" s="64"/>
      <c r="F33" s="24">
        <v>36</v>
      </c>
      <c r="G33" s="84">
        <v>25</v>
      </c>
      <c r="H33" s="23">
        <v>28</v>
      </c>
      <c r="I33" s="23"/>
      <c r="J33" s="23"/>
      <c r="K33" s="23"/>
      <c r="L33" s="23"/>
      <c r="M33" s="23"/>
      <c r="N33" s="62">
        <f t="shared" si="0"/>
        <v>0.72727272727272729</v>
      </c>
      <c r="O33" s="24" t="s">
        <v>167</v>
      </c>
      <c r="P33" s="67" t="str">
        <f t="shared" si="1"/>
        <v>Blanda</v>
      </c>
      <c r="Q33" s="16" t="str">
        <f>IF(P33="Muy Blanda", 'Encuesta Trabajabilidad'!O$33, IF(P33="Blanda", 'Encuesta Trabajabilidad'!P$33, IF(P33="Media",'Encuesta Trabajabilidad'!Q$33)))</f>
        <v>DIFíCIL</v>
      </c>
      <c r="R33" s="23">
        <f>IF(P33="Muy Blanda", 'Encuesta Trabajabilidad'!O$32, IF(P33="Blanda", 'Encuesta Trabajabilidad'!P$32, IF(P33="Media",'Encuesta Trabajabilidad'!Q$32)))</f>
        <v>68.844696969696955</v>
      </c>
      <c r="S33" s="62">
        <f t="shared" si="2"/>
        <v>0.6884469696969695</v>
      </c>
    </row>
    <row r="34" spans="1:19" ht="15.75" x14ac:dyDescent="0.25">
      <c r="A34" s="74">
        <f t="shared" si="3"/>
        <v>31</v>
      </c>
      <c r="B34" s="61">
        <v>2017</v>
      </c>
      <c r="C34" s="24" t="s">
        <v>24</v>
      </c>
      <c r="D34" s="16" t="s">
        <v>8</v>
      </c>
      <c r="E34" s="64"/>
      <c r="F34" s="24">
        <v>33</v>
      </c>
      <c r="G34" s="84">
        <v>22</v>
      </c>
      <c r="H34" s="23">
        <v>28</v>
      </c>
      <c r="I34" s="23" t="s">
        <v>172</v>
      </c>
      <c r="J34" s="23">
        <v>21.36</v>
      </c>
      <c r="K34" s="23">
        <v>83</v>
      </c>
      <c r="L34" s="23">
        <v>2.65</v>
      </c>
      <c r="M34" s="23">
        <v>17.32</v>
      </c>
      <c r="N34" s="62">
        <f t="shared" si="0"/>
        <v>0.45454545454545453</v>
      </c>
      <c r="O34" s="24" t="s">
        <v>169</v>
      </c>
      <c r="P34" s="67" t="str">
        <f t="shared" si="1"/>
        <v>Muy Blanda</v>
      </c>
      <c r="Q34" s="16" t="str">
        <f>IF(P34="Muy Blanda", 'Encuesta Trabajabilidad'!O$33, IF(P34="Blanda", 'Encuesta Trabajabilidad'!P$33, IF(P34="Media",'Encuesta Trabajabilidad'!Q$33)))</f>
        <v>MUY DIFíCIL</v>
      </c>
      <c r="R34" s="23">
        <f>IF(P34="Muy Blanda", 'Encuesta Trabajabilidad'!O$32, IF(P34="Blanda", 'Encuesta Trabajabilidad'!P$32, IF(P34="Media",'Encuesta Trabajabilidad'!Q$32)))</f>
        <v>50.454545454545453</v>
      </c>
      <c r="S34" s="62">
        <f t="shared" si="2"/>
        <v>0.50454545454545452</v>
      </c>
    </row>
    <row r="35" spans="1:19" ht="15.75" x14ac:dyDescent="0.25">
      <c r="A35" s="74">
        <f t="shared" si="3"/>
        <v>32</v>
      </c>
      <c r="B35" s="61">
        <v>2017</v>
      </c>
      <c r="C35" s="24" t="s">
        <v>24</v>
      </c>
      <c r="D35" s="16" t="s">
        <v>8</v>
      </c>
      <c r="E35" s="64"/>
      <c r="F35" s="24">
        <v>119</v>
      </c>
      <c r="G35" s="84">
        <v>83</v>
      </c>
      <c r="H35" s="23">
        <v>120</v>
      </c>
      <c r="I35" s="23">
        <v>12.21</v>
      </c>
      <c r="J35" s="23">
        <v>21.81</v>
      </c>
      <c r="K35" s="23">
        <v>110</v>
      </c>
      <c r="L35" s="23">
        <v>2.42</v>
      </c>
      <c r="M35" s="23">
        <v>16.86</v>
      </c>
      <c r="N35" s="62">
        <f t="shared" si="0"/>
        <v>-2.7777777777777776E-2</v>
      </c>
      <c r="O35" s="24" t="s">
        <v>170</v>
      </c>
      <c r="P35" s="67" t="str">
        <f t="shared" si="1"/>
        <v>Muy Blanda</v>
      </c>
      <c r="Q35" s="16" t="str">
        <f>IF(P35="Muy Blanda", 'Encuesta Trabajabilidad'!O$33, IF(P35="Blanda", 'Encuesta Trabajabilidad'!P$33, IF(P35="Media",'Encuesta Trabajabilidad'!Q$33)))</f>
        <v>MUY DIFíCIL</v>
      </c>
      <c r="R35" s="23">
        <f>IF(P35="Muy Blanda", 'Encuesta Trabajabilidad'!O$32, IF(P35="Blanda", 'Encuesta Trabajabilidad'!P$32, IF(P35="Media",'Encuesta Trabajabilidad'!Q$32)))</f>
        <v>50.454545454545453</v>
      </c>
      <c r="S35" s="62">
        <f t="shared" si="2"/>
        <v>0.50454545454545452</v>
      </c>
    </row>
    <row r="36" spans="1:19" ht="15.75" x14ac:dyDescent="0.25">
      <c r="A36" s="74">
        <f t="shared" si="3"/>
        <v>33</v>
      </c>
      <c r="B36" s="61">
        <v>2017</v>
      </c>
      <c r="C36" s="24" t="s">
        <v>24</v>
      </c>
      <c r="D36" s="16" t="s">
        <v>8</v>
      </c>
      <c r="E36" s="64"/>
      <c r="F36" s="24">
        <v>41</v>
      </c>
      <c r="G36" s="84">
        <v>30</v>
      </c>
      <c r="H36" s="23">
        <v>45</v>
      </c>
      <c r="I36" s="23">
        <v>0.45</v>
      </c>
      <c r="J36" s="23">
        <v>11.18</v>
      </c>
      <c r="K36" s="23">
        <v>62</v>
      </c>
      <c r="L36" s="23">
        <v>2.39</v>
      </c>
      <c r="M36" s="23">
        <v>16.73</v>
      </c>
      <c r="N36" s="62">
        <f t="shared" si="0"/>
        <v>-0.36363636363636365</v>
      </c>
      <c r="O36" s="24" t="s">
        <v>167</v>
      </c>
      <c r="P36" s="67" t="str">
        <f t="shared" si="1"/>
        <v>Muy Blanda</v>
      </c>
      <c r="Q36" s="16" t="str">
        <f>IF(P36="Muy Blanda", 'Encuesta Trabajabilidad'!O$33, IF(P36="Blanda", 'Encuesta Trabajabilidad'!P$33, IF(P36="Media",'Encuesta Trabajabilidad'!Q$33)))</f>
        <v>MUY DIFíCIL</v>
      </c>
      <c r="R36" s="23">
        <f>IF(P36="Muy Blanda", 'Encuesta Trabajabilidad'!O$32, IF(P36="Blanda", 'Encuesta Trabajabilidad'!P$32, IF(P36="Media",'Encuesta Trabajabilidad'!Q$32)))</f>
        <v>50.454545454545453</v>
      </c>
      <c r="S36" s="62">
        <f t="shared" si="2"/>
        <v>0.50454545454545452</v>
      </c>
    </row>
    <row r="37" spans="1:19" ht="15.75" x14ac:dyDescent="0.25">
      <c r="A37" s="74">
        <f t="shared" si="3"/>
        <v>34</v>
      </c>
      <c r="B37" s="61">
        <v>2017</v>
      </c>
      <c r="C37" s="24" t="s">
        <v>24</v>
      </c>
      <c r="D37" s="16" t="s">
        <v>8</v>
      </c>
      <c r="E37" s="64"/>
      <c r="F37" s="24">
        <v>43</v>
      </c>
      <c r="G37" s="84">
        <v>32</v>
      </c>
      <c r="H37" s="23">
        <v>49</v>
      </c>
      <c r="I37" s="23">
        <v>6.86</v>
      </c>
      <c r="J37" s="23">
        <v>16.61</v>
      </c>
      <c r="K37" s="23">
        <v>108</v>
      </c>
      <c r="L37" s="23">
        <v>2.4500000000000002</v>
      </c>
      <c r="M37" s="23">
        <v>18.82</v>
      </c>
      <c r="N37" s="62">
        <f t="shared" si="0"/>
        <v>-0.54545454545454541</v>
      </c>
      <c r="O37" s="24" t="s">
        <v>167</v>
      </c>
      <c r="P37" s="67" t="str">
        <f t="shared" si="1"/>
        <v>Muy Blanda</v>
      </c>
      <c r="Q37" s="16" t="str">
        <f>IF(P37="Muy Blanda", 'Encuesta Trabajabilidad'!O$33, IF(P37="Blanda", 'Encuesta Trabajabilidad'!P$33, IF(P37="Media",'Encuesta Trabajabilidad'!Q$33)))</f>
        <v>MUY DIFíCIL</v>
      </c>
      <c r="R37" s="23">
        <f>IF(P37="Muy Blanda", 'Encuesta Trabajabilidad'!O$32, IF(P37="Blanda", 'Encuesta Trabajabilidad'!P$32, IF(P37="Media",'Encuesta Trabajabilidad'!Q$32)))</f>
        <v>50.454545454545453</v>
      </c>
      <c r="S37" s="62">
        <f t="shared" si="2"/>
        <v>0.50454545454545452</v>
      </c>
    </row>
    <row r="38" spans="1:19" ht="15.75" x14ac:dyDescent="0.25">
      <c r="A38" s="74">
        <f t="shared" si="3"/>
        <v>35</v>
      </c>
      <c r="B38" s="61">
        <v>2017</v>
      </c>
      <c r="C38" s="24" t="s">
        <v>24</v>
      </c>
      <c r="D38" s="16" t="s">
        <v>8</v>
      </c>
      <c r="E38" s="64"/>
      <c r="F38" s="24">
        <v>37</v>
      </c>
      <c r="G38" s="84">
        <v>21</v>
      </c>
      <c r="H38" s="23">
        <v>29</v>
      </c>
      <c r="I38" s="23">
        <v>0.19</v>
      </c>
      <c r="J38" s="23">
        <v>45.3</v>
      </c>
      <c r="K38" s="23">
        <v>116</v>
      </c>
      <c r="L38" s="23">
        <v>2.5499999999999998</v>
      </c>
      <c r="M38" s="23">
        <v>17.78</v>
      </c>
      <c r="N38" s="62">
        <f t="shared" si="0"/>
        <v>0.5</v>
      </c>
      <c r="O38" s="24" t="s">
        <v>169</v>
      </c>
      <c r="P38" s="67" t="str">
        <f t="shared" si="1"/>
        <v>Muy Blanda</v>
      </c>
      <c r="Q38" s="16" t="str">
        <f>IF(P38="Muy Blanda", 'Encuesta Trabajabilidad'!O$33, IF(P38="Blanda", 'Encuesta Trabajabilidad'!P$33, IF(P38="Media",'Encuesta Trabajabilidad'!Q$33)))</f>
        <v>MUY DIFíCIL</v>
      </c>
      <c r="R38" s="23">
        <f>IF(P38="Muy Blanda", 'Encuesta Trabajabilidad'!O$32, IF(P38="Blanda", 'Encuesta Trabajabilidad'!P$32, IF(P38="Media",'Encuesta Trabajabilidad'!Q$32)))</f>
        <v>50.454545454545453</v>
      </c>
      <c r="S38" s="62">
        <f t="shared" si="2"/>
        <v>0.50454545454545452</v>
      </c>
    </row>
    <row r="39" spans="1:19" ht="15.75" x14ac:dyDescent="0.25">
      <c r="A39" s="74">
        <f t="shared" si="3"/>
        <v>36</v>
      </c>
      <c r="B39" s="61">
        <v>2009</v>
      </c>
      <c r="C39" s="24" t="s">
        <v>24</v>
      </c>
      <c r="D39" s="16" t="s">
        <v>26</v>
      </c>
      <c r="E39" s="64">
        <f>'Cálculo N60'!Q15</f>
        <v>0.6</v>
      </c>
      <c r="F39" s="24">
        <v>638</v>
      </c>
      <c r="G39" s="84">
        <v>441</v>
      </c>
      <c r="H39" s="23">
        <v>502</v>
      </c>
      <c r="I39" s="23"/>
      <c r="J39" s="23"/>
      <c r="K39" s="23">
        <v>24.3</v>
      </c>
      <c r="L39" s="23">
        <v>2.13</v>
      </c>
      <c r="M39" s="23"/>
      <c r="N39" s="62">
        <f t="shared" si="0"/>
        <v>0.69035532994923854</v>
      </c>
      <c r="O39" s="24" t="s">
        <v>168</v>
      </c>
      <c r="P39" s="67" t="str">
        <f t="shared" si="1"/>
        <v>Blanda</v>
      </c>
      <c r="Q39" s="16" t="str">
        <f>IF(P39="Muy Blanda", 'Encuesta Trabajabilidad'!O$33, IF(P39="Blanda", 'Encuesta Trabajabilidad'!P$33, IF(P39="Media",'Encuesta Trabajabilidad'!Q$33)))</f>
        <v>DIFíCIL</v>
      </c>
      <c r="R39" s="23">
        <f>IF(P39="Muy Blanda", 'Encuesta Trabajabilidad'!O$32, IF(P39="Blanda", 'Encuesta Trabajabilidad'!P$32, IF(P39="Media",'Encuesta Trabajabilidad'!Q$32)))</f>
        <v>68.844696969696955</v>
      </c>
      <c r="S39" s="62">
        <f t="shared" si="2"/>
        <v>0.6884469696969695</v>
      </c>
    </row>
    <row r="40" spans="1:19" ht="15.75" x14ac:dyDescent="0.25">
      <c r="A40" s="74">
        <f t="shared" si="3"/>
        <v>37</v>
      </c>
      <c r="B40" s="61">
        <v>2009</v>
      </c>
      <c r="C40" s="24" t="s">
        <v>24</v>
      </c>
      <c r="D40" s="16" t="s">
        <v>26</v>
      </c>
      <c r="E40" s="64">
        <f>'Cálculo N60'!Q16</f>
        <v>0.6</v>
      </c>
      <c r="F40" s="24">
        <v>276</v>
      </c>
      <c r="G40" s="84">
        <v>230</v>
      </c>
      <c r="H40" s="23">
        <v>235</v>
      </c>
      <c r="I40" s="23"/>
      <c r="J40" s="23"/>
      <c r="K40" s="23">
        <v>46.9</v>
      </c>
      <c r="L40" s="23">
        <v>2.13</v>
      </c>
      <c r="M40" s="23"/>
      <c r="N40" s="62">
        <f t="shared" si="0"/>
        <v>0.89130434782608692</v>
      </c>
      <c r="O40" s="24" t="s">
        <v>168</v>
      </c>
      <c r="P40" s="67" t="str">
        <f t="shared" si="1"/>
        <v>Media</v>
      </c>
      <c r="Q40" s="16" t="str">
        <f>IF(P40="Muy Blanda", 'Encuesta Trabajabilidad'!O$33, IF(P40="Blanda", 'Encuesta Trabajabilidad'!P$33, IF(P40="Media",'Encuesta Trabajabilidad'!Q$33)))</f>
        <v>MUY DIFíCIL</v>
      </c>
      <c r="R40" s="23">
        <f>IF(P40="Muy Blanda", 'Encuesta Trabajabilidad'!O$32, IF(P40="Blanda", 'Encuesta Trabajabilidad'!P$32, IF(P40="Media",'Encuesta Trabajabilidad'!Q$32)))</f>
        <v>52.443181818181813</v>
      </c>
      <c r="S40" s="62">
        <f t="shared" si="2"/>
        <v>0.52443181818181817</v>
      </c>
    </row>
    <row r="41" spans="1:19" ht="15.75" x14ac:dyDescent="0.25">
      <c r="A41" s="74">
        <f t="shared" si="3"/>
        <v>38</v>
      </c>
      <c r="B41" s="61">
        <v>2008</v>
      </c>
      <c r="C41" s="24" t="s">
        <v>24</v>
      </c>
      <c r="D41" s="16" t="s">
        <v>26</v>
      </c>
      <c r="E41" s="64">
        <f>'Cálculo N60'!Q17</f>
        <v>2.4</v>
      </c>
      <c r="F41" s="24">
        <v>229</v>
      </c>
      <c r="G41" s="84">
        <v>115</v>
      </c>
      <c r="H41" s="23">
        <v>320</v>
      </c>
      <c r="I41" s="23"/>
      <c r="J41" s="23"/>
      <c r="K41" s="23"/>
      <c r="L41" s="23">
        <v>2</v>
      </c>
      <c r="M41" s="23"/>
      <c r="N41" s="62">
        <f t="shared" si="0"/>
        <v>-0.79824561403508776</v>
      </c>
      <c r="O41" s="24" t="s">
        <v>167</v>
      </c>
      <c r="P41" s="67" t="str">
        <f>IF(N41&lt;=0.5,"Muy Blanda",IF(AND(0.5&lt;N41,N41&lt;=0.75),"Blanda",IF(AND(0.75&lt;N41,N41&lt;=1),"Media",IF(AND(1&lt;N41,N41&lt;=1.5),"Firme",IF(N41&gt;1.5,"Muy firme")))))</f>
        <v>Muy Blanda</v>
      </c>
      <c r="Q41" s="16" t="str">
        <f>IF(P41="Muy Blanda", 'Encuesta Trabajabilidad'!O$33, IF(P41="Blanda", 'Encuesta Trabajabilidad'!P$33, IF(P41="Media",'Encuesta Trabajabilidad'!Q$33)))</f>
        <v>MUY DIFíCIL</v>
      </c>
      <c r="R41" s="23">
        <f>IF(P41="Muy Blanda", 'Encuesta Trabajabilidad'!O$32, IF(P41="Blanda", 'Encuesta Trabajabilidad'!P$32, IF(P41="Media",'Encuesta Trabajabilidad'!Q$32)))</f>
        <v>50.454545454545453</v>
      </c>
      <c r="S41" s="62">
        <f t="shared" si="2"/>
        <v>0.50454545454545452</v>
      </c>
    </row>
    <row r="42" spans="1:19" ht="15.75" x14ac:dyDescent="0.25">
      <c r="A42" s="74">
        <f t="shared" si="3"/>
        <v>39</v>
      </c>
      <c r="B42" s="61">
        <v>2008</v>
      </c>
      <c r="C42" s="24" t="s">
        <v>24</v>
      </c>
      <c r="D42" s="16" t="s">
        <v>26</v>
      </c>
      <c r="E42" s="64">
        <f>'Cálculo N60'!Q18</f>
        <v>3.6</v>
      </c>
      <c r="F42" s="24">
        <v>244</v>
      </c>
      <c r="G42" s="84">
        <v>193</v>
      </c>
      <c r="H42" s="23">
        <v>338</v>
      </c>
      <c r="I42" s="23"/>
      <c r="J42" s="23"/>
      <c r="K42" s="23"/>
      <c r="L42" s="23">
        <v>2</v>
      </c>
      <c r="M42" s="23"/>
      <c r="N42" s="62">
        <f t="shared" si="0"/>
        <v>-1.8431372549019607</v>
      </c>
      <c r="O42" s="24" t="s">
        <v>170</v>
      </c>
      <c r="P42" s="67" t="str">
        <f t="shared" si="1"/>
        <v>Muy Blanda</v>
      </c>
      <c r="Q42" s="16" t="str">
        <f>IF(P42="Muy Blanda", 'Encuesta Trabajabilidad'!O$33, IF(P42="Blanda", 'Encuesta Trabajabilidad'!P$33, IF(P42="Media",'Encuesta Trabajabilidad'!Q$33)))</f>
        <v>MUY DIFíCIL</v>
      </c>
      <c r="R42" s="23">
        <f>IF(P42="Muy Blanda", 'Encuesta Trabajabilidad'!O$32, IF(P42="Blanda", 'Encuesta Trabajabilidad'!P$32, IF(P42="Media",'Encuesta Trabajabilidad'!Q$32)))</f>
        <v>50.454545454545453</v>
      </c>
      <c r="S42" s="62">
        <f t="shared" si="2"/>
        <v>0.50454545454545452</v>
      </c>
    </row>
    <row r="43" spans="1:19" ht="15.75" x14ac:dyDescent="0.25">
      <c r="A43" s="74">
        <f t="shared" si="3"/>
        <v>40</v>
      </c>
      <c r="B43" s="61">
        <v>2008</v>
      </c>
      <c r="C43" s="24" t="s">
        <v>24</v>
      </c>
      <c r="D43" s="16" t="s">
        <v>26</v>
      </c>
      <c r="E43" s="64">
        <f>'Cálculo N60'!Q19</f>
        <v>4.8</v>
      </c>
      <c r="F43" s="24">
        <v>335</v>
      </c>
      <c r="G43" s="84">
        <v>272</v>
      </c>
      <c r="H43" s="23">
        <v>410</v>
      </c>
      <c r="I43" s="23"/>
      <c r="J43" s="23"/>
      <c r="K43" s="23"/>
      <c r="L43" s="23">
        <v>2</v>
      </c>
      <c r="M43" s="23"/>
      <c r="N43" s="62">
        <f t="shared" si="0"/>
        <v>-1.1904761904761905</v>
      </c>
      <c r="O43" s="24" t="s">
        <v>170</v>
      </c>
      <c r="P43" s="67" t="str">
        <f t="shared" si="1"/>
        <v>Muy Blanda</v>
      </c>
      <c r="Q43" s="16" t="str">
        <f>IF(P43="Muy Blanda", 'Encuesta Trabajabilidad'!O$33, IF(P43="Blanda", 'Encuesta Trabajabilidad'!P$33, IF(P43="Media",'Encuesta Trabajabilidad'!Q$33)))</f>
        <v>MUY DIFíCIL</v>
      </c>
      <c r="R43" s="23">
        <f>IF(P43="Muy Blanda", 'Encuesta Trabajabilidad'!O$32, IF(P43="Blanda", 'Encuesta Trabajabilidad'!P$32, IF(P43="Media",'Encuesta Trabajabilidad'!Q$32)))</f>
        <v>50.454545454545453</v>
      </c>
      <c r="S43" s="62">
        <f t="shared" si="2"/>
        <v>0.50454545454545452</v>
      </c>
    </row>
    <row r="44" spans="1:19" ht="15.75" x14ac:dyDescent="0.25">
      <c r="A44" s="74">
        <f t="shared" si="3"/>
        <v>41</v>
      </c>
      <c r="B44" s="61">
        <v>2010</v>
      </c>
      <c r="C44" s="24" t="s">
        <v>24</v>
      </c>
      <c r="D44" s="16" t="s">
        <v>26</v>
      </c>
      <c r="E44" s="64">
        <f>'Cálculo N60'!Q42</f>
        <v>9</v>
      </c>
      <c r="F44" s="24">
        <v>64</v>
      </c>
      <c r="G44" s="84">
        <v>50</v>
      </c>
      <c r="H44" s="23">
        <v>52</v>
      </c>
      <c r="I44" s="23"/>
      <c r="J44" s="23"/>
      <c r="K44" s="23"/>
      <c r="L44" s="23"/>
      <c r="M44" s="23"/>
      <c r="N44" s="62">
        <f t="shared" si="0"/>
        <v>0.8571428571428571</v>
      </c>
      <c r="O44" s="24" t="s">
        <v>167</v>
      </c>
      <c r="P44" s="67" t="str">
        <f t="shared" ref="P44:P50" si="4">IF(N44&lt;=0.5,"Muy Blanda",IF(AND(0.5&lt;N44,N44&lt;=0.75),"Blanda",IF(AND(0.75&lt;N44,N44&lt;=1),"Media",IF(AND(1&lt;N44,N44&lt;=1.5),"Firme",IF(N44&gt;1.5,"Muy Firme")))))</f>
        <v>Media</v>
      </c>
      <c r="Q44" s="16" t="str">
        <f>IF(P44="Muy Blanda", 'Encuesta Trabajabilidad'!O$33, IF(P44="Blanda", 'Encuesta Trabajabilidad'!P$33, IF(P44="Media",'Encuesta Trabajabilidad'!Q$33)))</f>
        <v>MUY DIFíCIL</v>
      </c>
      <c r="R44" s="23">
        <f>IF(P44="Muy Blanda", 'Encuesta Trabajabilidad'!O$32, IF(P44="Blanda", 'Encuesta Trabajabilidad'!P$32, IF(P44="Media",'Encuesta Trabajabilidad'!Q$32)))</f>
        <v>52.443181818181813</v>
      </c>
      <c r="S44" s="62">
        <f t="shared" si="2"/>
        <v>0.52443181818181817</v>
      </c>
    </row>
    <row r="45" spans="1:19" ht="15.75" x14ac:dyDescent="0.25">
      <c r="A45" s="74">
        <f t="shared" si="3"/>
        <v>42</v>
      </c>
      <c r="B45" s="61">
        <v>2008</v>
      </c>
      <c r="C45" s="24" t="s">
        <v>24</v>
      </c>
      <c r="D45" s="16" t="s">
        <v>26</v>
      </c>
      <c r="E45" s="64">
        <f>'Cálculo N60'!Q21</f>
        <v>1.8</v>
      </c>
      <c r="F45" s="24">
        <v>258</v>
      </c>
      <c r="G45" s="84">
        <v>171</v>
      </c>
      <c r="H45" s="23">
        <v>284</v>
      </c>
      <c r="I45" s="23"/>
      <c r="J45" s="23"/>
      <c r="K45" s="23"/>
      <c r="L45" s="23">
        <v>2</v>
      </c>
      <c r="M45" s="23"/>
      <c r="N45" s="62">
        <f t="shared" si="0"/>
        <v>-0.2988505747126437</v>
      </c>
      <c r="O45" s="24" t="s">
        <v>170</v>
      </c>
      <c r="P45" s="67" t="str">
        <f t="shared" si="4"/>
        <v>Muy Blanda</v>
      </c>
      <c r="Q45" s="16" t="str">
        <f>IF(P45="Muy Blanda", 'Encuesta Trabajabilidad'!O$33, IF(P45="Blanda", 'Encuesta Trabajabilidad'!P$33, IF(P45="Media",'Encuesta Trabajabilidad'!Q$33)))</f>
        <v>MUY DIFíCIL</v>
      </c>
      <c r="R45" s="23">
        <f>IF(P45="Muy Blanda", 'Encuesta Trabajabilidad'!O$32, IF(P45="Blanda", 'Encuesta Trabajabilidad'!P$32, IF(P45="Media",'Encuesta Trabajabilidad'!Q$32)))</f>
        <v>50.454545454545453</v>
      </c>
      <c r="S45" s="62">
        <f t="shared" si="2"/>
        <v>0.50454545454545452</v>
      </c>
    </row>
    <row r="46" spans="1:19" ht="15.75" x14ac:dyDescent="0.25">
      <c r="A46" s="74">
        <f t="shared" si="3"/>
        <v>43</v>
      </c>
      <c r="B46" s="61">
        <v>2008</v>
      </c>
      <c r="C46" s="24" t="s">
        <v>24</v>
      </c>
      <c r="D46" s="16" t="s">
        <v>26</v>
      </c>
      <c r="E46" s="64">
        <f>'Cálculo N60'!Q22</f>
        <v>20.399999999999999</v>
      </c>
      <c r="F46" s="24">
        <v>47</v>
      </c>
      <c r="G46" s="84">
        <v>35</v>
      </c>
      <c r="H46" s="23">
        <v>40</v>
      </c>
      <c r="I46" s="23"/>
      <c r="J46" s="23"/>
      <c r="K46" s="23"/>
      <c r="L46" s="23">
        <v>2</v>
      </c>
      <c r="M46" s="23"/>
      <c r="N46" s="62">
        <f t="shared" si="0"/>
        <v>0.58333333333333337</v>
      </c>
      <c r="O46" s="24" t="s">
        <v>167</v>
      </c>
      <c r="P46" s="67" t="str">
        <f t="shared" si="4"/>
        <v>Blanda</v>
      </c>
      <c r="Q46" s="16" t="str">
        <f>IF(P46="Muy Blanda", 'Encuesta Trabajabilidad'!O$33, IF(P46="Blanda", 'Encuesta Trabajabilidad'!P$33, IF(P46="Media",'Encuesta Trabajabilidad'!Q$33)))</f>
        <v>DIFíCIL</v>
      </c>
      <c r="R46" s="23">
        <f>IF(P46="Muy Blanda", 'Encuesta Trabajabilidad'!O$32, IF(P46="Blanda", 'Encuesta Trabajabilidad'!P$32, IF(P46="Media",'Encuesta Trabajabilidad'!Q$32)))</f>
        <v>68.844696969696955</v>
      </c>
      <c r="S46" s="62">
        <f t="shared" si="2"/>
        <v>0.6884469696969695</v>
      </c>
    </row>
    <row r="47" spans="1:19" ht="15.75" x14ac:dyDescent="0.25">
      <c r="A47" s="74">
        <f t="shared" si="3"/>
        <v>44</v>
      </c>
      <c r="B47" s="61">
        <v>2008</v>
      </c>
      <c r="C47" s="24" t="s">
        <v>24</v>
      </c>
      <c r="D47" s="16" t="s">
        <v>26</v>
      </c>
      <c r="E47" s="64">
        <f>'Cálculo N60'!Q23</f>
        <v>0.6</v>
      </c>
      <c r="F47" s="24">
        <v>452</v>
      </c>
      <c r="G47" s="84">
        <v>355</v>
      </c>
      <c r="H47" s="23">
        <v>493</v>
      </c>
      <c r="I47" s="23"/>
      <c r="J47" s="23"/>
      <c r="K47" s="23"/>
      <c r="L47" s="23">
        <v>2</v>
      </c>
      <c r="M47" s="23"/>
      <c r="N47" s="62">
        <f t="shared" si="0"/>
        <v>-0.42268041237113402</v>
      </c>
      <c r="O47" s="24" t="s">
        <v>170</v>
      </c>
      <c r="P47" s="67" t="str">
        <f t="shared" si="4"/>
        <v>Muy Blanda</v>
      </c>
      <c r="Q47" s="16" t="str">
        <f>IF(P47="Muy Blanda", 'Encuesta Trabajabilidad'!O$33, IF(P47="Blanda", 'Encuesta Trabajabilidad'!P$33, IF(P47="Media",'Encuesta Trabajabilidad'!Q$33)))</f>
        <v>MUY DIFíCIL</v>
      </c>
      <c r="R47" s="23">
        <f>IF(P47="Muy Blanda", 'Encuesta Trabajabilidad'!O$32, IF(P47="Blanda", 'Encuesta Trabajabilidad'!P$32, IF(P47="Media",'Encuesta Trabajabilidad'!Q$32)))</f>
        <v>50.454545454545453</v>
      </c>
      <c r="S47" s="62">
        <f t="shared" si="2"/>
        <v>0.50454545454545452</v>
      </c>
    </row>
    <row r="48" spans="1:19" ht="15.75" x14ac:dyDescent="0.25">
      <c r="A48" s="74">
        <f t="shared" si="3"/>
        <v>45</v>
      </c>
      <c r="B48" s="61">
        <v>2008</v>
      </c>
      <c r="C48" s="24" t="s">
        <v>24</v>
      </c>
      <c r="D48" s="16" t="s">
        <v>26</v>
      </c>
      <c r="E48" s="64">
        <f>'Cálculo N60'!Q24</f>
        <v>0.6</v>
      </c>
      <c r="F48" s="24">
        <v>292</v>
      </c>
      <c r="G48" s="84">
        <v>243</v>
      </c>
      <c r="H48" s="23">
        <v>422</v>
      </c>
      <c r="I48" s="23"/>
      <c r="J48" s="23"/>
      <c r="K48" s="23"/>
      <c r="L48" s="23">
        <v>2</v>
      </c>
      <c r="M48" s="23"/>
      <c r="N48" s="62">
        <f t="shared" si="0"/>
        <v>-2.6530612244897958</v>
      </c>
      <c r="O48" s="24" t="s">
        <v>170</v>
      </c>
      <c r="P48" s="67" t="str">
        <f t="shared" si="4"/>
        <v>Muy Blanda</v>
      </c>
      <c r="Q48" s="16" t="str">
        <f>IF(P48="Muy Blanda", 'Encuesta Trabajabilidad'!O$33, IF(P48="Blanda", 'Encuesta Trabajabilidad'!P$33, IF(P48="Media",'Encuesta Trabajabilidad'!Q$33)))</f>
        <v>MUY DIFíCIL</v>
      </c>
      <c r="R48" s="23">
        <f>IF(P48="Muy Blanda", 'Encuesta Trabajabilidad'!O$32, IF(P48="Blanda", 'Encuesta Trabajabilidad'!P$32, IF(P48="Media",'Encuesta Trabajabilidad'!Q$32)))</f>
        <v>50.454545454545453</v>
      </c>
      <c r="S48" s="62">
        <f t="shared" si="2"/>
        <v>0.50454545454545452</v>
      </c>
    </row>
    <row r="49" spans="1:19" ht="15.75" x14ac:dyDescent="0.25">
      <c r="A49" s="74">
        <f t="shared" si="3"/>
        <v>46</v>
      </c>
      <c r="B49" s="61">
        <v>2006</v>
      </c>
      <c r="C49" s="24" t="s">
        <v>24</v>
      </c>
      <c r="D49" s="16" t="s">
        <v>26</v>
      </c>
      <c r="E49" s="64">
        <f>'Cálculo N60'!Q26</f>
        <v>20.399999999999999</v>
      </c>
      <c r="F49" s="24">
        <v>52</v>
      </c>
      <c r="G49" s="84">
        <v>37</v>
      </c>
      <c r="H49" s="23">
        <v>37</v>
      </c>
      <c r="I49" s="23"/>
      <c r="J49" s="23"/>
      <c r="K49" s="23">
        <v>75</v>
      </c>
      <c r="L49" s="23">
        <v>2.21</v>
      </c>
      <c r="M49" s="23"/>
      <c r="N49" s="62">
        <f t="shared" si="0"/>
        <v>1</v>
      </c>
      <c r="O49" s="24" t="s">
        <v>170</v>
      </c>
      <c r="P49" s="67" t="str">
        <f t="shared" si="4"/>
        <v>Media</v>
      </c>
      <c r="Q49" s="16" t="str">
        <f>IF(P49="Muy Blanda", 'Encuesta Trabajabilidad'!O$33, IF(P49="Blanda", 'Encuesta Trabajabilidad'!P$33, IF(P49="Media",'Encuesta Trabajabilidad'!Q$33)))</f>
        <v>MUY DIFíCIL</v>
      </c>
      <c r="R49" s="23">
        <f>IF(P49="Muy Blanda", 'Encuesta Trabajabilidad'!O$32, IF(P49="Blanda", 'Encuesta Trabajabilidad'!P$32, IF(P49="Media",'Encuesta Trabajabilidad'!Q$32)))</f>
        <v>52.443181818181813</v>
      </c>
      <c r="S49" s="62">
        <f t="shared" si="2"/>
        <v>0.52443181818181817</v>
      </c>
    </row>
    <row r="50" spans="1:19" ht="15.75" x14ac:dyDescent="0.25">
      <c r="A50" s="74">
        <f t="shared" si="3"/>
        <v>47</v>
      </c>
      <c r="B50" s="61">
        <v>2014</v>
      </c>
      <c r="C50" s="24" t="s">
        <v>24</v>
      </c>
      <c r="D50" s="16" t="s">
        <v>24</v>
      </c>
      <c r="E50" s="64">
        <f>'Cálculo N60'!Q63</f>
        <v>0</v>
      </c>
      <c r="F50" s="24">
        <v>40</v>
      </c>
      <c r="G50" s="84">
        <v>27</v>
      </c>
      <c r="H50" s="23">
        <v>27</v>
      </c>
      <c r="I50" s="23"/>
      <c r="J50" s="23"/>
      <c r="K50" s="23"/>
      <c r="L50" s="23"/>
      <c r="M50" s="23"/>
      <c r="N50" s="62">
        <f t="shared" si="0"/>
        <v>1</v>
      </c>
      <c r="O50" s="24" t="s">
        <v>167</v>
      </c>
      <c r="P50" s="67" t="str">
        <f t="shared" si="4"/>
        <v>Media</v>
      </c>
      <c r="Q50" s="16" t="str">
        <f>IF(P50="Muy Blanda", 'Encuesta Trabajabilidad'!O$33, IF(P50="Blanda", 'Encuesta Trabajabilidad'!P$33, IF(P50="Media",'Encuesta Trabajabilidad'!Q$33)))</f>
        <v>MUY DIFíCIL</v>
      </c>
      <c r="R50" s="23">
        <f>IF(P50="Muy Blanda", 'Encuesta Trabajabilidad'!O$32, IF(P50="Blanda", 'Encuesta Trabajabilidad'!P$32, IF(P50="Media",'Encuesta Trabajabilidad'!Q$32)))</f>
        <v>52.443181818181813</v>
      </c>
      <c r="S50" s="62">
        <f t="shared" si="2"/>
        <v>0.52443181818181817</v>
      </c>
    </row>
    <row r="51" spans="1:19" ht="15.75" x14ac:dyDescent="0.25">
      <c r="A51" s="74">
        <f t="shared" si="3"/>
        <v>48</v>
      </c>
      <c r="B51" s="61">
        <v>2014</v>
      </c>
      <c r="C51" s="24" t="s">
        <v>24</v>
      </c>
      <c r="D51" s="16" t="s">
        <v>24</v>
      </c>
      <c r="E51" s="64">
        <f>'Cálculo N60'!Q64</f>
        <v>0</v>
      </c>
      <c r="F51" s="24">
        <v>42</v>
      </c>
      <c r="G51" s="84">
        <v>31</v>
      </c>
      <c r="H51" s="23">
        <v>32</v>
      </c>
      <c r="I51" s="23"/>
      <c r="J51" s="23"/>
      <c r="K51" s="23"/>
      <c r="L51" s="23"/>
      <c r="M51" s="23"/>
      <c r="N51" s="62">
        <f t="shared" si="0"/>
        <v>0.90909090909090906</v>
      </c>
      <c r="O51" s="24" t="s">
        <v>167</v>
      </c>
      <c r="P51" s="67" t="str">
        <f t="shared" ref="P51:P62" si="5">IF(N51&lt;=0.5,"Muy Blanda",IF(AND(0.5&lt;N51,N51&lt;=0.75),"Blanda",IF(AND(0.75&lt;N51,N51&lt;=1),"Media",IF(AND(1&lt;N51,N51&lt;=1.5),"Firme",IF(N51&gt;1.5,"Muy Firme")))))</f>
        <v>Media</v>
      </c>
      <c r="Q51" s="16" t="str">
        <f>IF(P51="Muy Blanda", 'Encuesta Trabajabilidad'!O$33, IF(P51="Blanda", 'Encuesta Trabajabilidad'!P$33, IF(P51="Media",'Encuesta Trabajabilidad'!Q$33)))</f>
        <v>MUY DIFíCIL</v>
      </c>
      <c r="R51" s="23">
        <f>IF(P51="Muy Blanda", 'Encuesta Trabajabilidad'!O$32, IF(P51="Blanda", 'Encuesta Trabajabilidad'!P$32, IF(P51="Media",'Encuesta Trabajabilidad'!Q$32)))</f>
        <v>52.443181818181813</v>
      </c>
      <c r="S51" s="62">
        <f t="shared" si="2"/>
        <v>0.52443181818181817</v>
      </c>
    </row>
    <row r="52" spans="1:19" ht="15.75" x14ac:dyDescent="0.25">
      <c r="A52" s="74">
        <f t="shared" si="3"/>
        <v>49</v>
      </c>
      <c r="B52" s="61">
        <v>2014</v>
      </c>
      <c r="C52" s="24" t="s">
        <v>24</v>
      </c>
      <c r="D52" s="16" t="s">
        <v>24</v>
      </c>
      <c r="E52" s="64">
        <f>'Cálculo N60'!Q65</f>
        <v>0</v>
      </c>
      <c r="F52" s="24">
        <v>39</v>
      </c>
      <c r="G52" s="84">
        <v>31</v>
      </c>
      <c r="H52" s="23">
        <v>32</v>
      </c>
      <c r="I52" s="23"/>
      <c r="J52" s="23"/>
      <c r="K52" s="23"/>
      <c r="L52" s="23"/>
      <c r="M52" s="23"/>
      <c r="N52" s="62">
        <f t="shared" si="0"/>
        <v>0.875</v>
      </c>
      <c r="O52" s="24" t="s">
        <v>167</v>
      </c>
      <c r="P52" s="67" t="str">
        <f t="shared" si="5"/>
        <v>Media</v>
      </c>
      <c r="Q52" s="16" t="str">
        <f>IF(P52="Muy Blanda", 'Encuesta Trabajabilidad'!O$33, IF(P52="Blanda", 'Encuesta Trabajabilidad'!P$33, IF(P52="Media",'Encuesta Trabajabilidad'!Q$33)))</f>
        <v>MUY DIFíCIL</v>
      </c>
      <c r="R52" s="23">
        <f>IF(P52="Muy Blanda", 'Encuesta Trabajabilidad'!O$32, IF(P52="Blanda", 'Encuesta Trabajabilidad'!P$32, IF(P52="Media",'Encuesta Trabajabilidad'!Q$32)))</f>
        <v>52.443181818181813</v>
      </c>
      <c r="S52" s="62">
        <f t="shared" si="2"/>
        <v>0.52443181818181817</v>
      </c>
    </row>
    <row r="53" spans="1:19" ht="15.75" x14ac:dyDescent="0.25">
      <c r="A53" s="74">
        <f t="shared" si="3"/>
        <v>50</v>
      </c>
      <c r="B53" s="61">
        <v>2014</v>
      </c>
      <c r="C53" s="24" t="s">
        <v>24</v>
      </c>
      <c r="D53" s="16" t="s">
        <v>24</v>
      </c>
      <c r="E53" s="64">
        <f>'Cálculo N60'!Q66</f>
        <v>0</v>
      </c>
      <c r="F53" s="24">
        <v>41</v>
      </c>
      <c r="G53" s="84">
        <v>27</v>
      </c>
      <c r="H53" s="23">
        <v>27</v>
      </c>
      <c r="I53" s="23"/>
      <c r="J53" s="23"/>
      <c r="K53" s="23"/>
      <c r="L53" s="23"/>
      <c r="M53" s="23"/>
      <c r="N53" s="62">
        <f t="shared" si="0"/>
        <v>1</v>
      </c>
      <c r="O53" s="24" t="s">
        <v>167</v>
      </c>
      <c r="P53" s="67" t="str">
        <f t="shared" si="5"/>
        <v>Media</v>
      </c>
      <c r="Q53" s="16" t="str">
        <f>IF(P53="Muy Blanda", 'Encuesta Trabajabilidad'!O$33, IF(P53="Blanda", 'Encuesta Trabajabilidad'!P$33, IF(P53="Media",'Encuesta Trabajabilidad'!Q$33)))</f>
        <v>MUY DIFíCIL</v>
      </c>
      <c r="R53" s="23">
        <f>IF(P53="Muy Blanda", 'Encuesta Trabajabilidad'!O$32, IF(P53="Blanda", 'Encuesta Trabajabilidad'!P$32, IF(P53="Media",'Encuesta Trabajabilidad'!Q$32)))</f>
        <v>52.443181818181813</v>
      </c>
      <c r="S53" s="62">
        <f t="shared" si="2"/>
        <v>0.52443181818181817</v>
      </c>
    </row>
    <row r="54" spans="1:19" ht="15.75" x14ac:dyDescent="0.25">
      <c r="A54" s="74">
        <f t="shared" si="3"/>
        <v>51</v>
      </c>
      <c r="B54" s="61">
        <v>2014</v>
      </c>
      <c r="C54" s="24" t="s">
        <v>24</v>
      </c>
      <c r="D54" s="16" t="s">
        <v>24</v>
      </c>
      <c r="E54" s="64">
        <f>'Cálculo N60'!Q67</f>
        <v>0</v>
      </c>
      <c r="F54" s="24">
        <v>38</v>
      </c>
      <c r="G54" s="84">
        <v>28</v>
      </c>
      <c r="H54" s="23">
        <v>30</v>
      </c>
      <c r="I54" s="23"/>
      <c r="J54" s="23"/>
      <c r="K54" s="23"/>
      <c r="L54" s="23"/>
      <c r="M54" s="23"/>
      <c r="N54" s="62">
        <f t="shared" si="0"/>
        <v>0.8</v>
      </c>
      <c r="O54" s="24" t="s">
        <v>167</v>
      </c>
      <c r="P54" s="67" t="str">
        <f t="shared" si="5"/>
        <v>Media</v>
      </c>
      <c r="Q54" s="16" t="str">
        <f>IF(P54="Muy Blanda", 'Encuesta Trabajabilidad'!O$33, IF(P54="Blanda", 'Encuesta Trabajabilidad'!P$33, IF(P54="Media",'Encuesta Trabajabilidad'!Q$33)))</f>
        <v>MUY DIFíCIL</v>
      </c>
      <c r="R54" s="23">
        <f>IF(P54="Muy Blanda", 'Encuesta Trabajabilidad'!O$32, IF(P54="Blanda", 'Encuesta Trabajabilidad'!P$32, IF(P54="Media",'Encuesta Trabajabilidad'!Q$32)))</f>
        <v>52.443181818181813</v>
      </c>
      <c r="S54" s="62">
        <f t="shared" si="2"/>
        <v>0.52443181818181817</v>
      </c>
    </row>
    <row r="55" spans="1:19" ht="15.75" x14ac:dyDescent="0.25">
      <c r="A55" s="74">
        <f t="shared" si="3"/>
        <v>52</v>
      </c>
      <c r="B55" s="61">
        <v>2014</v>
      </c>
      <c r="C55" s="24" t="s">
        <v>24</v>
      </c>
      <c r="D55" s="16" t="s">
        <v>24</v>
      </c>
      <c r="E55" s="64">
        <f>'Cálculo N60'!Q68</f>
        <v>0</v>
      </c>
      <c r="F55" s="24">
        <v>36</v>
      </c>
      <c r="G55" s="84">
        <v>25</v>
      </c>
      <c r="H55" s="23">
        <v>28</v>
      </c>
      <c r="I55" s="23"/>
      <c r="J55" s="23"/>
      <c r="K55" s="23"/>
      <c r="L55" s="23"/>
      <c r="M55" s="23"/>
      <c r="N55" s="62">
        <f t="shared" si="0"/>
        <v>0.72727272727272729</v>
      </c>
      <c r="O55" s="24" t="s">
        <v>169</v>
      </c>
      <c r="P55" s="67" t="str">
        <f t="shared" si="5"/>
        <v>Blanda</v>
      </c>
      <c r="Q55" s="16" t="str">
        <f>IF(P55="Muy Blanda", 'Encuesta Trabajabilidad'!O$33, IF(P55="Blanda", 'Encuesta Trabajabilidad'!P$33, IF(P55="Media",'Encuesta Trabajabilidad'!Q$33)))</f>
        <v>DIFíCIL</v>
      </c>
      <c r="R55" s="23">
        <f>IF(P55="Muy Blanda", 'Encuesta Trabajabilidad'!O$32, IF(P55="Blanda", 'Encuesta Trabajabilidad'!P$32, IF(P55="Media",'Encuesta Trabajabilidad'!Q$32)))</f>
        <v>68.844696969696955</v>
      </c>
      <c r="S55" s="62">
        <f t="shared" si="2"/>
        <v>0.6884469696969695</v>
      </c>
    </row>
    <row r="56" spans="1:19" ht="15.75" x14ac:dyDescent="0.25">
      <c r="A56" s="74">
        <f t="shared" si="3"/>
        <v>53</v>
      </c>
      <c r="B56" s="61">
        <v>2014</v>
      </c>
      <c r="C56" s="24" t="s">
        <v>24</v>
      </c>
      <c r="D56" s="16" t="s">
        <v>24</v>
      </c>
      <c r="E56" s="64">
        <f>'Cálculo N60'!Q69</f>
        <v>0</v>
      </c>
      <c r="F56" s="24">
        <v>42</v>
      </c>
      <c r="G56" s="84">
        <v>25</v>
      </c>
      <c r="H56" s="23">
        <v>30</v>
      </c>
      <c r="I56" s="23"/>
      <c r="J56" s="23"/>
      <c r="K56" s="23"/>
      <c r="L56" s="23"/>
      <c r="M56" s="23"/>
      <c r="N56" s="62">
        <f t="shared" si="0"/>
        <v>0.70588235294117652</v>
      </c>
      <c r="O56" s="24" t="s">
        <v>169</v>
      </c>
      <c r="P56" s="67" t="str">
        <f t="shared" si="5"/>
        <v>Blanda</v>
      </c>
      <c r="Q56" s="16" t="str">
        <f>IF(P56="Muy Blanda", 'Encuesta Trabajabilidad'!O$33, IF(P56="Blanda", 'Encuesta Trabajabilidad'!P$33, IF(P56="Media",'Encuesta Trabajabilidad'!Q$33)))</f>
        <v>DIFíCIL</v>
      </c>
      <c r="R56" s="23">
        <f>IF(P56="Muy Blanda", 'Encuesta Trabajabilidad'!O$32, IF(P56="Blanda", 'Encuesta Trabajabilidad'!P$32, IF(P56="Media",'Encuesta Trabajabilidad'!Q$32)))</f>
        <v>68.844696969696955</v>
      </c>
      <c r="S56" s="62">
        <f t="shared" si="2"/>
        <v>0.6884469696969695</v>
      </c>
    </row>
    <row r="57" spans="1:19" ht="15.75" x14ac:dyDescent="0.25">
      <c r="A57" s="74">
        <f t="shared" si="3"/>
        <v>54</v>
      </c>
      <c r="B57" s="61">
        <v>2014</v>
      </c>
      <c r="C57" s="24" t="s">
        <v>24</v>
      </c>
      <c r="D57" s="16" t="s">
        <v>24</v>
      </c>
      <c r="E57" s="64">
        <f>'Cálculo N60'!Q70</f>
        <v>0</v>
      </c>
      <c r="F57" s="24">
        <v>49</v>
      </c>
      <c r="G57" s="84">
        <v>25</v>
      </c>
      <c r="H57" s="23">
        <v>30</v>
      </c>
      <c r="I57" s="23"/>
      <c r="J57" s="23"/>
      <c r="K57" s="23"/>
      <c r="L57" s="23"/>
      <c r="M57" s="23"/>
      <c r="N57" s="62">
        <f t="shared" si="0"/>
        <v>0.79166666666666663</v>
      </c>
      <c r="O57" s="24" t="s">
        <v>169</v>
      </c>
      <c r="P57" s="67" t="str">
        <f t="shared" si="5"/>
        <v>Media</v>
      </c>
      <c r="Q57" s="16" t="str">
        <f>IF(P57="Muy Blanda", 'Encuesta Trabajabilidad'!O$33, IF(P57="Blanda", 'Encuesta Trabajabilidad'!P$33, IF(P57="Media",'Encuesta Trabajabilidad'!Q$33)))</f>
        <v>MUY DIFíCIL</v>
      </c>
      <c r="R57" s="23">
        <f>IF(P57="Muy Blanda", 'Encuesta Trabajabilidad'!O$32, IF(P57="Blanda", 'Encuesta Trabajabilidad'!P$32, IF(P57="Media",'Encuesta Trabajabilidad'!Q$32)))</f>
        <v>52.443181818181813</v>
      </c>
      <c r="S57" s="62">
        <f t="shared" si="2"/>
        <v>0.52443181818181817</v>
      </c>
    </row>
    <row r="58" spans="1:19" ht="15.75" x14ac:dyDescent="0.25">
      <c r="A58" s="74">
        <f t="shared" si="3"/>
        <v>55</v>
      </c>
      <c r="B58" s="61">
        <v>2014</v>
      </c>
      <c r="C58" s="24" t="s">
        <v>24</v>
      </c>
      <c r="D58" s="16" t="s">
        <v>24</v>
      </c>
      <c r="E58" s="64">
        <f>'Cálculo N60'!Q71</f>
        <v>0</v>
      </c>
      <c r="F58" s="24">
        <v>38</v>
      </c>
      <c r="G58" s="84">
        <v>25</v>
      </c>
      <c r="H58" s="23">
        <v>27</v>
      </c>
      <c r="I58" s="23"/>
      <c r="J58" s="23"/>
      <c r="K58" s="23"/>
      <c r="L58" s="23"/>
      <c r="M58" s="23"/>
      <c r="N58" s="62">
        <f t="shared" si="0"/>
        <v>0.84615384615384615</v>
      </c>
      <c r="O58" s="24" t="s">
        <v>169</v>
      </c>
      <c r="P58" s="67" t="str">
        <f t="shared" si="5"/>
        <v>Media</v>
      </c>
      <c r="Q58" s="16" t="str">
        <f>IF(P58="Muy Blanda", 'Encuesta Trabajabilidad'!O$33, IF(P58="Blanda", 'Encuesta Trabajabilidad'!P$33, IF(P58="Media",'Encuesta Trabajabilidad'!Q$33)))</f>
        <v>MUY DIFíCIL</v>
      </c>
      <c r="R58" s="23">
        <f>IF(P58="Muy Blanda", 'Encuesta Trabajabilidad'!O$32, IF(P58="Blanda", 'Encuesta Trabajabilidad'!P$32, IF(P58="Media",'Encuesta Trabajabilidad'!Q$32)))</f>
        <v>52.443181818181813</v>
      </c>
      <c r="S58" s="62">
        <f t="shared" si="2"/>
        <v>0.52443181818181817</v>
      </c>
    </row>
    <row r="59" spans="1:19" ht="15.75" x14ac:dyDescent="0.25">
      <c r="A59" s="74">
        <f t="shared" si="3"/>
        <v>56</v>
      </c>
      <c r="B59" s="61">
        <v>2014</v>
      </c>
      <c r="C59" s="24" t="s">
        <v>24</v>
      </c>
      <c r="D59" s="16" t="s">
        <v>24</v>
      </c>
      <c r="E59" s="64">
        <f>'Cálculo N60'!Q72</f>
        <v>0</v>
      </c>
      <c r="F59" s="24">
        <v>40</v>
      </c>
      <c r="G59" s="84">
        <v>31</v>
      </c>
      <c r="H59" s="23">
        <v>37</v>
      </c>
      <c r="I59" s="23"/>
      <c r="J59" s="23"/>
      <c r="K59" s="23"/>
      <c r="L59" s="23"/>
      <c r="M59" s="23"/>
      <c r="N59" s="62">
        <f t="shared" si="0"/>
        <v>0.33333333333333331</v>
      </c>
      <c r="O59" s="24" t="s">
        <v>167</v>
      </c>
      <c r="P59" s="67" t="str">
        <f t="shared" si="5"/>
        <v>Muy Blanda</v>
      </c>
      <c r="Q59" s="16" t="str">
        <f>IF(P59="Muy Blanda", 'Encuesta Trabajabilidad'!O$33, IF(P59="Blanda", 'Encuesta Trabajabilidad'!P$33, IF(P59="Media",'Encuesta Trabajabilidad'!Q$33)))</f>
        <v>MUY DIFíCIL</v>
      </c>
      <c r="R59" s="23">
        <f>IF(P59="Muy Blanda", 'Encuesta Trabajabilidad'!O$32, IF(P59="Blanda", 'Encuesta Trabajabilidad'!P$32, IF(P59="Media",'Encuesta Trabajabilidad'!Q$32)))</f>
        <v>50.454545454545453</v>
      </c>
      <c r="S59" s="62">
        <f t="shared" si="2"/>
        <v>0.50454545454545452</v>
      </c>
    </row>
    <row r="60" spans="1:19" ht="15.75" x14ac:dyDescent="0.25">
      <c r="A60" s="74">
        <f t="shared" si="3"/>
        <v>57</v>
      </c>
      <c r="B60" s="61">
        <v>2014</v>
      </c>
      <c r="C60" s="24" t="s">
        <v>24</v>
      </c>
      <c r="D60" s="16" t="s">
        <v>24</v>
      </c>
      <c r="E60" s="64">
        <f>'Cálculo N60'!Q73</f>
        <v>0</v>
      </c>
      <c r="F60" s="24">
        <v>32</v>
      </c>
      <c r="G60" s="84">
        <v>26</v>
      </c>
      <c r="H60" s="23">
        <v>28</v>
      </c>
      <c r="I60" s="23"/>
      <c r="J60" s="23"/>
      <c r="K60" s="23"/>
      <c r="L60" s="23"/>
      <c r="M60" s="23"/>
      <c r="N60" s="62">
        <f t="shared" si="0"/>
        <v>0.66666666666666663</v>
      </c>
      <c r="O60" s="24" t="s">
        <v>167</v>
      </c>
      <c r="P60" s="67" t="str">
        <f t="shared" si="5"/>
        <v>Blanda</v>
      </c>
      <c r="Q60" s="16" t="str">
        <f>IF(P60="Muy Blanda", 'Encuesta Trabajabilidad'!O$33, IF(P60="Blanda", 'Encuesta Trabajabilidad'!P$33, IF(P60="Media",'Encuesta Trabajabilidad'!Q$33)))</f>
        <v>DIFíCIL</v>
      </c>
      <c r="R60" s="23">
        <f>IF(P60="Muy Blanda", 'Encuesta Trabajabilidad'!O$32, IF(P60="Blanda", 'Encuesta Trabajabilidad'!P$32, IF(P60="Media",'Encuesta Trabajabilidad'!Q$32)))</f>
        <v>68.844696969696955</v>
      </c>
      <c r="S60" s="62">
        <f t="shared" si="2"/>
        <v>0.6884469696969695</v>
      </c>
    </row>
    <row r="61" spans="1:19" ht="15.75" x14ac:dyDescent="0.25">
      <c r="A61" s="74">
        <f t="shared" si="3"/>
        <v>58</v>
      </c>
      <c r="B61" s="61">
        <v>2014</v>
      </c>
      <c r="C61" s="24" t="s">
        <v>24</v>
      </c>
      <c r="D61" s="16" t="s">
        <v>24</v>
      </c>
      <c r="E61" s="64">
        <f>'Cálculo N60'!Q74</f>
        <v>0</v>
      </c>
      <c r="F61" s="24">
        <v>35</v>
      </c>
      <c r="G61" s="84">
        <v>28</v>
      </c>
      <c r="H61" s="23">
        <v>33</v>
      </c>
      <c r="I61" s="23"/>
      <c r="J61" s="23"/>
      <c r="K61" s="23"/>
      <c r="L61" s="23"/>
      <c r="M61" s="23"/>
      <c r="N61" s="62">
        <f t="shared" si="0"/>
        <v>0.2857142857142857</v>
      </c>
      <c r="O61" s="24" t="s">
        <v>167</v>
      </c>
      <c r="P61" s="67" t="str">
        <f t="shared" si="5"/>
        <v>Muy Blanda</v>
      </c>
      <c r="Q61" s="16" t="str">
        <f>IF(P61="Muy Blanda", 'Encuesta Trabajabilidad'!O$33, IF(P61="Blanda", 'Encuesta Trabajabilidad'!P$33, IF(P61="Media",'Encuesta Trabajabilidad'!Q$33)))</f>
        <v>MUY DIFíCIL</v>
      </c>
      <c r="R61" s="23">
        <f>IF(P61="Muy Blanda", 'Encuesta Trabajabilidad'!O$32, IF(P61="Blanda", 'Encuesta Trabajabilidad'!P$32, IF(P61="Media",'Encuesta Trabajabilidad'!Q$32)))</f>
        <v>50.454545454545453</v>
      </c>
      <c r="S61" s="62">
        <f t="shared" si="2"/>
        <v>0.50454545454545452</v>
      </c>
    </row>
    <row r="62" spans="1:19" ht="16.5" thickBot="1" x14ac:dyDescent="0.3">
      <c r="A62" s="74">
        <f t="shared" si="3"/>
        <v>59</v>
      </c>
      <c r="B62" s="61">
        <v>2014</v>
      </c>
      <c r="C62" s="24" t="s">
        <v>24</v>
      </c>
      <c r="D62" s="16" t="s">
        <v>24</v>
      </c>
      <c r="E62" s="64">
        <f>'Cálculo N60'!Q75</f>
        <v>0</v>
      </c>
      <c r="F62" s="24">
        <v>36</v>
      </c>
      <c r="G62" s="84">
        <v>32</v>
      </c>
      <c r="H62" s="23">
        <v>33</v>
      </c>
      <c r="I62" s="23"/>
      <c r="J62" s="23"/>
      <c r="K62" s="23"/>
      <c r="L62" s="23"/>
      <c r="M62" s="23"/>
      <c r="N62" s="62">
        <f t="shared" si="0"/>
        <v>0.75</v>
      </c>
      <c r="O62" s="24" t="s">
        <v>169</v>
      </c>
      <c r="P62" s="67" t="str">
        <f t="shared" si="5"/>
        <v>Blanda</v>
      </c>
      <c r="Q62" s="16" t="str">
        <f>IF(P62="Muy Blanda", 'Encuesta Trabajabilidad'!O$33, IF(P62="Blanda", 'Encuesta Trabajabilidad'!P$33, IF(P62="Media",'Encuesta Trabajabilidad'!Q$33)))</f>
        <v>DIFíCIL</v>
      </c>
      <c r="R62" s="23">
        <f>IF(P62="Muy Blanda", 'Encuesta Trabajabilidad'!O$32, IF(P62="Blanda", 'Encuesta Trabajabilidad'!P$32, IF(P62="Media",'Encuesta Trabajabilidad'!Q$32)))</f>
        <v>68.844696969696955</v>
      </c>
      <c r="S62" s="62">
        <f t="shared" si="2"/>
        <v>0.6884469696969695</v>
      </c>
    </row>
    <row r="63" spans="1:19" s="26" customFormat="1" ht="16.5" thickBot="1" x14ac:dyDescent="0.3">
      <c r="A63" s="275" t="s">
        <v>200</v>
      </c>
      <c r="B63" s="276"/>
      <c r="C63" s="276"/>
      <c r="D63" s="276"/>
      <c r="E63" s="276"/>
      <c r="F63" s="276"/>
      <c r="G63" s="276"/>
      <c r="H63" s="276"/>
      <c r="I63" s="276"/>
      <c r="J63" s="276"/>
      <c r="K63" s="276"/>
      <c r="L63" s="276"/>
      <c r="M63" s="276"/>
      <c r="N63" s="276"/>
      <c r="O63" s="276"/>
      <c r="P63" s="276"/>
      <c r="Q63" s="276"/>
      <c r="R63" s="276"/>
      <c r="S63" s="276"/>
    </row>
    <row r="64" spans="1:19" ht="15.75" x14ac:dyDescent="0.25">
      <c r="A64" s="74">
        <f>A62+1</f>
        <v>60</v>
      </c>
      <c r="B64" s="61">
        <v>2006</v>
      </c>
      <c r="C64" s="24" t="s">
        <v>24</v>
      </c>
      <c r="D64" s="16" t="s">
        <v>26</v>
      </c>
      <c r="E64" s="64">
        <f>'Cálculo N60'!Q27</f>
        <v>0.6</v>
      </c>
      <c r="F64" s="24"/>
      <c r="G64" s="84"/>
      <c r="H64" s="23">
        <v>247</v>
      </c>
      <c r="I64" s="23"/>
      <c r="J64" s="23"/>
      <c r="K64" s="23">
        <v>75</v>
      </c>
      <c r="L64" s="23">
        <v>2.21</v>
      </c>
      <c r="M64" s="23"/>
      <c r="N64" s="62" t="e">
        <f t="shared" ref="N64:N100" si="6">(F64-H64)/(F64-G64)</f>
        <v>#DIV/0!</v>
      </c>
      <c r="O64" s="24" t="s">
        <v>169</v>
      </c>
      <c r="P64" s="67" t="str">
        <f>IF(E64&lt;=2,"Muy Blanda",IF(AND(2&lt;E64,E64&lt;=8),"Blanda",IF(AND(8&lt;E64,E64&lt;=15),"Media",IF(AND(15&lt;E64,E64&lt;=30),"Firme",IF(E64&gt;30,"Muy Firme")))))</f>
        <v>Muy Blanda</v>
      </c>
      <c r="Q64" s="16" t="str">
        <f>IF(P64="Muy Blanda", 'Encuesta Trabajabilidad'!O$33, IF(P64="Blanda", 'Encuesta Trabajabilidad'!P$33, IF(P64="Media",'Encuesta Trabajabilidad'!Q$33)))</f>
        <v>MUY DIFíCIL</v>
      </c>
      <c r="R64" s="23">
        <f>IF(P64="Muy Blanda", 'Encuesta Trabajabilidad'!O$32, IF(P64="Blanda", 'Encuesta Trabajabilidad'!P$32, IF(P64="Media",'Encuesta Trabajabilidad'!Q$32)))</f>
        <v>50.454545454545453</v>
      </c>
      <c r="S64" s="62">
        <f>R64/100</f>
        <v>0.50454545454545452</v>
      </c>
    </row>
    <row r="65" spans="1:19" ht="15.75" x14ac:dyDescent="0.25">
      <c r="A65" s="74">
        <f>A64+1</f>
        <v>61</v>
      </c>
      <c r="B65" s="61">
        <v>2006</v>
      </c>
      <c r="C65" s="24" t="s">
        <v>24</v>
      </c>
      <c r="D65" s="16" t="s">
        <v>26</v>
      </c>
      <c r="E65" s="64">
        <f>'Cálculo N60'!Q28</f>
        <v>5.4</v>
      </c>
      <c r="F65" s="24"/>
      <c r="G65" s="84"/>
      <c r="H65" s="23">
        <v>146</v>
      </c>
      <c r="I65" s="23"/>
      <c r="J65" s="23"/>
      <c r="K65" s="23">
        <v>75</v>
      </c>
      <c r="L65" s="23">
        <v>2.21</v>
      </c>
      <c r="M65" s="23"/>
      <c r="N65" s="62" t="e">
        <f t="shared" si="6"/>
        <v>#DIV/0!</v>
      </c>
      <c r="O65" s="24" t="s">
        <v>167</v>
      </c>
      <c r="P65" s="67" t="str">
        <f t="shared" ref="P65:P78" si="7">IF(E65&lt;=2,"Muy Blanda",IF(AND(2&lt;E65,E65&lt;=8),"Blanda",IF(AND(8&lt;E65,E65&lt;=15),"Media",IF(AND(15&lt;E65,E65&lt;=30),"Firme",IF(E65&gt;30,"Muy Firme")))))</f>
        <v>Blanda</v>
      </c>
      <c r="Q65" s="16" t="str">
        <f>IF(P65="Muy Blanda", 'Encuesta Trabajabilidad'!O$33, IF(P65="Blanda", 'Encuesta Trabajabilidad'!P$33, IF(P65="Media",'Encuesta Trabajabilidad'!Q$33)))</f>
        <v>DIFíCIL</v>
      </c>
      <c r="R65" s="23">
        <f>IF(P65="Muy Blanda", 'Encuesta Trabajabilidad'!O$32, IF(P65="Blanda", 'Encuesta Trabajabilidad'!P$32, IF(P65="Media",'Encuesta Trabajabilidad'!Q$32)))</f>
        <v>68.844696969696955</v>
      </c>
      <c r="S65" s="62">
        <f t="shared" ref="S65:S100" si="8">R65/100</f>
        <v>0.6884469696969695</v>
      </c>
    </row>
    <row r="66" spans="1:19" ht="15.75" x14ac:dyDescent="0.25">
      <c r="A66" s="74">
        <f t="shared" ref="A66:A100" si="9">A65+1</f>
        <v>62</v>
      </c>
      <c r="B66" s="61">
        <v>2006</v>
      </c>
      <c r="C66" s="24" t="s">
        <v>24</v>
      </c>
      <c r="D66" s="16" t="s">
        <v>26</v>
      </c>
      <c r="E66" s="64">
        <f>'Cálculo N60'!Q29</f>
        <v>4.2</v>
      </c>
      <c r="F66" s="24"/>
      <c r="G66" s="84"/>
      <c r="H66" s="23">
        <v>62</v>
      </c>
      <c r="I66" s="23"/>
      <c r="J66" s="23"/>
      <c r="K66" s="23">
        <v>75</v>
      </c>
      <c r="L66" s="23">
        <v>2.21</v>
      </c>
      <c r="M66" s="23"/>
      <c r="N66" s="62" t="e">
        <f t="shared" si="6"/>
        <v>#DIV/0!</v>
      </c>
      <c r="O66" s="24" t="s">
        <v>167</v>
      </c>
      <c r="P66" s="67" t="str">
        <f t="shared" si="7"/>
        <v>Blanda</v>
      </c>
      <c r="Q66" s="16" t="str">
        <f>IF(P66="Muy Blanda", 'Encuesta Trabajabilidad'!O$33, IF(P66="Blanda", 'Encuesta Trabajabilidad'!P$33, IF(P66="Media",'Encuesta Trabajabilidad'!Q$33)))</f>
        <v>DIFíCIL</v>
      </c>
      <c r="R66" s="23">
        <f>IF(P66="Muy Blanda", 'Encuesta Trabajabilidad'!O$32, IF(P66="Blanda", 'Encuesta Trabajabilidad'!P$32, IF(P66="Media",'Encuesta Trabajabilidad'!Q$32)))</f>
        <v>68.844696969696955</v>
      </c>
      <c r="S66" s="62">
        <f t="shared" si="8"/>
        <v>0.6884469696969695</v>
      </c>
    </row>
    <row r="67" spans="1:19" ht="15.75" x14ac:dyDescent="0.25">
      <c r="A67" s="74">
        <f t="shared" si="9"/>
        <v>63</v>
      </c>
      <c r="B67" s="61">
        <v>2006</v>
      </c>
      <c r="C67" s="24" t="s">
        <v>24</v>
      </c>
      <c r="D67" s="16" t="s">
        <v>26</v>
      </c>
      <c r="E67" s="64">
        <f>'Cálculo N60'!Q30</f>
        <v>12.6</v>
      </c>
      <c r="F67" s="24"/>
      <c r="G67" s="84"/>
      <c r="H67" s="23">
        <v>37</v>
      </c>
      <c r="I67" s="23"/>
      <c r="J67" s="23"/>
      <c r="K67" s="23">
        <v>75</v>
      </c>
      <c r="L67" s="23">
        <v>2.21</v>
      </c>
      <c r="M67" s="23"/>
      <c r="N67" s="62" t="e">
        <f t="shared" si="6"/>
        <v>#DIV/0!</v>
      </c>
      <c r="O67" s="24" t="s">
        <v>167</v>
      </c>
      <c r="P67" s="67" t="str">
        <f t="shared" si="7"/>
        <v>Media</v>
      </c>
      <c r="Q67" s="16" t="str">
        <f>IF(P67="Muy Blanda", 'Encuesta Trabajabilidad'!O$33, IF(P67="Blanda", 'Encuesta Trabajabilidad'!P$33, IF(P67="Media",'Encuesta Trabajabilidad'!Q$33)))</f>
        <v>MUY DIFíCIL</v>
      </c>
      <c r="R67" s="23">
        <f>IF(P67="Muy Blanda", 'Encuesta Trabajabilidad'!O$32, IF(P67="Blanda", 'Encuesta Trabajabilidad'!P$32, IF(P67="Media",'Encuesta Trabajabilidad'!Q$32)))</f>
        <v>52.443181818181813</v>
      </c>
      <c r="S67" s="62">
        <f t="shared" si="8"/>
        <v>0.52443181818181817</v>
      </c>
    </row>
    <row r="68" spans="1:19" ht="15.75" x14ac:dyDescent="0.25">
      <c r="A68" s="74">
        <f t="shared" si="9"/>
        <v>64</v>
      </c>
      <c r="B68" s="61">
        <v>2006</v>
      </c>
      <c r="C68" s="24" t="s">
        <v>24</v>
      </c>
      <c r="D68" s="16" t="s">
        <v>26</v>
      </c>
      <c r="E68" s="64">
        <f>'Cálculo N60'!Q31</f>
        <v>2.4</v>
      </c>
      <c r="F68" s="24"/>
      <c r="G68" s="84"/>
      <c r="H68" s="23">
        <v>48</v>
      </c>
      <c r="I68" s="23"/>
      <c r="J68" s="23"/>
      <c r="K68" s="23">
        <v>75</v>
      </c>
      <c r="L68" s="23">
        <v>2.21</v>
      </c>
      <c r="M68" s="23"/>
      <c r="N68" s="62" t="e">
        <f t="shared" si="6"/>
        <v>#DIV/0!</v>
      </c>
      <c r="O68" s="24" t="s">
        <v>167</v>
      </c>
      <c r="P68" s="67" t="str">
        <f t="shared" si="7"/>
        <v>Blanda</v>
      </c>
      <c r="Q68" s="16" t="str">
        <f>IF(P68="Muy Blanda", 'Encuesta Trabajabilidad'!O$33, IF(P68="Blanda", 'Encuesta Trabajabilidad'!P$33, IF(P68="Media",'Encuesta Trabajabilidad'!Q$33)))</f>
        <v>DIFíCIL</v>
      </c>
      <c r="R68" s="23">
        <f>IF(P68="Muy Blanda", 'Encuesta Trabajabilidad'!O$32, IF(P68="Blanda", 'Encuesta Trabajabilidad'!P$32, IF(P68="Media",'Encuesta Trabajabilidad'!Q$32)))</f>
        <v>68.844696969696955</v>
      </c>
      <c r="S68" s="62">
        <f t="shared" si="8"/>
        <v>0.6884469696969695</v>
      </c>
    </row>
    <row r="69" spans="1:19" ht="15.75" x14ac:dyDescent="0.25">
      <c r="A69" s="74">
        <f t="shared" si="9"/>
        <v>65</v>
      </c>
      <c r="B69" s="61">
        <v>2006</v>
      </c>
      <c r="C69" s="24" t="s">
        <v>24</v>
      </c>
      <c r="D69" s="16" t="s">
        <v>26</v>
      </c>
      <c r="E69" s="64">
        <f>'Cálculo N60'!Q32</f>
        <v>1.8</v>
      </c>
      <c r="F69" s="24"/>
      <c r="G69" s="84"/>
      <c r="H69" s="23">
        <v>264</v>
      </c>
      <c r="I69" s="23"/>
      <c r="J69" s="23"/>
      <c r="K69" s="23">
        <v>75</v>
      </c>
      <c r="L69" s="23">
        <v>2.21</v>
      </c>
      <c r="M69" s="23"/>
      <c r="N69" s="62" t="e">
        <f t="shared" si="6"/>
        <v>#DIV/0!</v>
      </c>
      <c r="O69" s="24" t="s">
        <v>167</v>
      </c>
      <c r="P69" s="67" t="str">
        <f t="shared" si="7"/>
        <v>Muy Blanda</v>
      </c>
      <c r="Q69" s="16" t="str">
        <f>IF(P69="Muy Blanda", 'Encuesta Trabajabilidad'!O$33, IF(P69="Blanda", 'Encuesta Trabajabilidad'!P$33, IF(P69="Media",'Encuesta Trabajabilidad'!Q$33)))</f>
        <v>MUY DIFíCIL</v>
      </c>
      <c r="R69" s="23">
        <f>IF(P69="Muy Blanda", 'Encuesta Trabajabilidad'!O$32, IF(P69="Blanda", 'Encuesta Trabajabilidad'!P$32, IF(P69="Media",'Encuesta Trabajabilidad'!Q$32)))</f>
        <v>50.454545454545453</v>
      </c>
      <c r="S69" s="62">
        <f t="shared" si="8"/>
        <v>0.50454545454545452</v>
      </c>
    </row>
    <row r="70" spans="1:19" ht="15.75" x14ac:dyDescent="0.25">
      <c r="A70" s="74">
        <f t="shared" si="9"/>
        <v>66</v>
      </c>
      <c r="B70" s="61">
        <v>2006</v>
      </c>
      <c r="C70" s="24" t="s">
        <v>24</v>
      </c>
      <c r="D70" s="16" t="s">
        <v>26</v>
      </c>
      <c r="E70" s="64">
        <f>'Cálculo N60'!Q33</f>
        <v>12.6</v>
      </c>
      <c r="F70" s="24"/>
      <c r="G70" s="84"/>
      <c r="H70" s="23">
        <v>34</v>
      </c>
      <c r="I70" s="23"/>
      <c r="J70" s="23"/>
      <c r="K70" s="23">
        <v>75</v>
      </c>
      <c r="L70" s="23">
        <v>2.21</v>
      </c>
      <c r="M70" s="23"/>
      <c r="N70" s="62" t="e">
        <f t="shared" si="6"/>
        <v>#DIV/0!</v>
      </c>
      <c r="O70" s="24" t="s">
        <v>167</v>
      </c>
      <c r="P70" s="67" t="str">
        <f t="shared" si="7"/>
        <v>Media</v>
      </c>
      <c r="Q70" s="16" t="str">
        <f>IF(P70="Muy Blanda", 'Encuesta Trabajabilidad'!O$33, IF(P70="Blanda", 'Encuesta Trabajabilidad'!P$33, IF(P70="Media",'Encuesta Trabajabilidad'!Q$33)))</f>
        <v>MUY DIFíCIL</v>
      </c>
      <c r="R70" s="23">
        <f>IF(P70="Muy Blanda", 'Encuesta Trabajabilidad'!O$32, IF(P70="Blanda", 'Encuesta Trabajabilidad'!P$32, IF(P70="Media",'Encuesta Trabajabilidad'!Q$32)))</f>
        <v>52.443181818181813</v>
      </c>
      <c r="S70" s="62">
        <f t="shared" si="8"/>
        <v>0.52443181818181817</v>
      </c>
    </row>
    <row r="71" spans="1:19" ht="15.75" x14ac:dyDescent="0.25">
      <c r="A71" s="74">
        <f t="shared" si="9"/>
        <v>67</v>
      </c>
      <c r="B71" s="61">
        <v>2006</v>
      </c>
      <c r="C71" s="24" t="s">
        <v>24</v>
      </c>
      <c r="D71" s="16" t="s">
        <v>26</v>
      </c>
      <c r="E71" s="64">
        <f>'Cálculo N60'!Q34</f>
        <v>3.6</v>
      </c>
      <c r="F71" s="24"/>
      <c r="G71" s="84"/>
      <c r="H71" s="23">
        <v>42</v>
      </c>
      <c r="I71" s="23"/>
      <c r="J71" s="23"/>
      <c r="K71" s="23">
        <v>75</v>
      </c>
      <c r="L71" s="23">
        <v>2.21</v>
      </c>
      <c r="M71" s="23"/>
      <c r="N71" s="62" t="e">
        <f t="shared" si="6"/>
        <v>#DIV/0!</v>
      </c>
      <c r="O71" s="24" t="s">
        <v>167</v>
      </c>
      <c r="P71" s="67" t="str">
        <f t="shared" si="7"/>
        <v>Blanda</v>
      </c>
      <c r="Q71" s="16" t="str">
        <f>IF(P71="Muy Blanda", 'Encuesta Trabajabilidad'!O$33, IF(P71="Blanda", 'Encuesta Trabajabilidad'!P$33, IF(P71="Media",'Encuesta Trabajabilidad'!Q$33)))</f>
        <v>DIFíCIL</v>
      </c>
      <c r="R71" s="23">
        <f>IF(P71="Muy Blanda", 'Encuesta Trabajabilidad'!O$32, IF(P71="Blanda", 'Encuesta Trabajabilidad'!P$32, IF(P71="Media",'Encuesta Trabajabilidad'!Q$32)))</f>
        <v>68.844696969696955</v>
      </c>
      <c r="S71" s="62">
        <f t="shared" si="8"/>
        <v>0.6884469696969695</v>
      </c>
    </row>
    <row r="72" spans="1:19" ht="15.75" x14ac:dyDescent="0.25">
      <c r="A72" s="74">
        <f t="shared" si="9"/>
        <v>68</v>
      </c>
      <c r="B72" s="61">
        <v>2006</v>
      </c>
      <c r="C72" s="24" t="s">
        <v>24</v>
      </c>
      <c r="D72" s="16" t="s">
        <v>26</v>
      </c>
      <c r="E72" s="64">
        <f>'Cálculo N60'!Q35</f>
        <v>15</v>
      </c>
      <c r="F72" s="24"/>
      <c r="G72" s="84"/>
      <c r="H72" s="23">
        <v>36</v>
      </c>
      <c r="I72" s="23"/>
      <c r="J72" s="23"/>
      <c r="K72" s="23">
        <v>75</v>
      </c>
      <c r="L72" s="23">
        <v>2.21</v>
      </c>
      <c r="M72" s="23"/>
      <c r="N72" s="62" t="e">
        <f t="shared" si="6"/>
        <v>#DIV/0!</v>
      </c>
      <c r="O72" s="24" t="s">
        <v>167</v>
      </c>
      <c r="P72" s="67" t="str">
        <f t="shared" si="7"/>
        <v>Media</v>
      </c>
      <c r="Q72" s="16" t="str">
        <f>IF(P72="Muy Blanda", 'Encuesta Trabajabilidad'!O$33, IF(P72="Blanda", 'Encuesta Trabajabilidad'!P$33, IF(P72="Media",'Encuesta Trabajabilidad'!Q$33)))</f>
        <v>MUY DIFíCIL</v>
      </c>
      <c r="R72" s="23">
        <f>IF(P72="Muy Blanda", 'Encuesta Trabajabilidad'!O$32, IF(P72="Blanda", 'Encuesta Trabajabilidad'!P$32, IF(P72="Media",'Encuesta Trabajabilidad'!Q$32)))</f>
        <v>52.443181818181813</v>
      </c>
      <c r="S72" s="62">
        <f t="shared" si="8"/>
        <v>0.52443181818181817</v>
      </c>
    </row>
    <row r="73" spans="1:19" ht="15.75" x14ac:dyDescent="0.25">
      <c r="A73" s="74">
        <f t="shared" si="9"/>
        <v>69</v>
      </c>
      <c r="B73" s="61">
        <v>2006</v>
      </c>
      <c r="C73" s="24" t="s">
        <v>24</v>
      </c>
      <c r="D73" s="16" t="s">
        <v>26</v>
      </c>
      <c r="E73" s="64">
        <f>'Cálculo N60'!Q36</f>
        <v>13.8</v>
      </c>
      <c r="F73" s="24"/>
      <c r="G73" s="84"/>
      <c r="H73" s="23">
        <v>33</v>
      </c>
      <c r="I73" s="23"/>
      <c r="J73" s="23"/>
      <c r="K73" s="23">
        <v>75</v>
      </c>
      <c r="L73" s="23">
        <v>2.21</v>
      </c>
      <c r="M73" s="23"/>
      <c r="N73" s="62" t="e">
        <f t="shared" si="6"/>
        <v>#DIV/0!</v>
      </c>
      <c r="O73" s="24" t="s">
        <v>167</v>
      </c>
      <c r="P73" s="67" t="str">
        <f t="shared" si="7"/>
        <v>Media</v>
      </c>
      <c r="Q73" s="16" t="str">
        <f>IF(P73="Muy Blanda", 'Encuesta Trabajabilidad'!O$33, IF(P73="Blanda", 'Encuesta Trabajabilidad'!P$33, IF(P73="Media",'Encuesta Trabajabilidad'!Q$33)))</f>
        <v>MUY DIFíCIL</v>
      </c>
      <c r="R73" s="23">
        <f>IF(P73="Muy Blanda", 'Encuesta Trabajabilidad'!O$32, IF(P73="Blanda", 'Encuesta Trabajabilidad'!P$32, IF(P73="Media",'Encuesta Trabajabilidad'!Q$32)))</f>
        <v>52.443181818181813</v>
      </c>
      <c r="S73" s="62">
        <f t="shared" si="8"/>
        <v>0.52443181818181817</v>
      </c>
    </row>
    <row r="74" spans="1:19" ht="15.75" x14ac:dyDescent="0.25">
      <c r="A74" s="74">
        <f t="shared" si="9"/>
        <v>70</v>
      </c>
      <c r="B74" s="61">
        <v>2010</v>
      </c>
      <c r="C74" s="24" t="s">
        <v>24</v>
      </c>
      <c r="D74" s="16" t="s">
        <v>26</v>
      </c>
      <c r="E74" s="64">
        <f>'Cálculo N60'!Q37</f>
        <v>0.6</v>
      </c>
      <c r="F74" s="24"/>
      <c r="G74" s="84"/>
      <c r="H74" s="23">
        <v>183</v>
      </c>
      <c r="I74" s="23"/>
      <c r="J74" s="23"/>
      <c r="K74" s="23"/>
      <c r="L74" s="23"/>
      <c r="M74" s="23"/>
      <c r="N74" s="62" t="e">
        <f t="shared" si="6"/>
        <v>#DIV/0!</v>
      </c>
      <c r="O74" s="24" t="s">
        <v>167</v>
      </c>
      <c r="P74" s="67" t="str">
        <f t="shared" si="7"/>
        <v>Muy Blanda</v>
      </c>
      <c r="Q74" s="16" t="str">
        <f>IF(P74="Muy Blanda", 'Encuesta Trabajabilidad'!O$33, IF(P74="Blanda", 'Encuesta Trabajabilidad'!P$33, IF(P74="Media",'Encuesta Trabajabilidad'!Q$33)))</f>
        <v>MUY DIFíCIL</v>
      </c>
      <c r="R74" s="23">
        <f>IF(P74="Muy Blanda", 'Encuesta Trabajabilidad'!O$32, IF(P74="Blanda", 'Encuesta Trabajabilidad'!P$32, IF(P74="Media",'Encuesta Trabajabilidad'!Q$32)))</f>
        <v>50.454545454545453</v>
      </c>
      <c r="S74" s="62">
        <f t="shared" si="8"/>
        <v>0.50454545454545452</v>
      </c>
    </row>
    <row r="75" spans="1:19" ht="15.75" x14ac:dyDescent="0.25">
      <c r="A75" s="74">
        <f t="shared" si="9"/>
        <v>71</v>
      </c>
      <c r="B75" s="61">
        <v>2010</v>
      </c>
      <c r="C75" s="24" t="s">
        <v>24</v>
      </c>
      <c r="D75" s="16" t="s">
        <v>26</v>
      </c>
      <c r="E75" s="64">
        <f>'Cálculo N60'!Q38</f>
        <v>3</v>
      </c>
      <c r="F75" s="24"/>
      <c r="G75" s="84"/>
      <c r="H75" s="23">
        <v>253</v>
      </c>
      <c r="I75" s="23"/>
      <c r="J75" s="23"/>
      <c r="K75" s="23"/>
      <c r="L75" s="23"/>
      <c r="M75" s="23"/>
      <c r="N75" s="62" t="e">
        <f t="shared" si="6"/>
        <v>#DIV/0!</v>
      </c>
      <c r="O75" s="24" t="s">
        <v>167</v>
      </c>
      <c r="P75" s="67" t="str">
        <f t="shared" si="7"/>
        <v>Blanda</v>
      </c>
      <c r="Q75" s="16" t="str">
        <f>IF(P75="Muy Blanda", 'Encuesta Trabajabilidad'!O$33, IF(P75="Blanda", 'Encuesta Trabajabilidad'!P$33, IF(P75="Media",'Encuesta Trabajabilidad'!Q$33)))</f>
        <v>DIFíCIL</v>
      </c>
      <c r="R75" s="23">
        <f>IF(P75="Muy Blanda", 'Encuesta Trabajabilidad'!O$32, IF(P75="Blanda", 'Encuesta Trabajabilidad'!P$32, IF(P75="Media",'Encuesta Trabajabilidad'!Q$32)))</f>
        <v>68.844696969696955</v>
      </c>
      <c r="S75" s="62">
        <f t="shared" si="8"/>
        <v>0.6884469696969695</v>
      </c>
    </row>
    <row r="76" spans="1:19" ht="15.75" x14ac:dyDescent="0.25">
      <c r="A76" s="74">
        <f t="shared" si="9"/>
        <v>72</v>
      </c>
      <c r="B76" s="61">
        <v>2010</v>
      </c>
      <c r="C76" s="24" t="s">
        <v>24</v>
      </c>
      <c r="D76" s="16" t="s">
        <v>26</v>
      </c>
      <c r="E76" s="64">
        <f>'Cálculo N60'!Q39</f>
        <v>0.6</v>
      </c>
      <c r="F76" s="24"/>
      <c r="G76" s="84"/>
      <c r="H76" s="23">
        <v>181</v>
      </c>
      <c r="I76" s="23"/>
      <c r="J76" s="23"/>
      <c r="K76" s="23"/>
      <c r="L76" s="23"/>
      <c r="M76" s="23"/>
      <c r="N76" s="62" t="e">
        <f t="shared" si="6"/>
        <v>#DIV/0!</v>
      </c>
      <c r="O76" s="24" t="s">
        <v>167</v>
      </c>
      <c r="P76" s="67" t="str">
        <f t="shared" si="7"/>
        <v>Muy Blanda</v>
      </c>
      <c r="Q76" s="16" t="str">
        <f>IF(P76="Muy Blanda", 'Encuesta Trabajabilidad'!O$33, IF(P76="Blanda", 'Encuesta Trabajabilidad'!P$33, IF(P76="Media",'Encuesta Trabajabilidad'!Q$33)))</f>
        <v>MUY DIFíCIL</v>
      </c>
      <c r="R76" s="23">
        <f>IF(P76="Muy Blanda", 'Encuesta Trabajabilidad'!O$32, IF(P76="Blanda", 'Encuesta Trabajabilidad'!P$32, IF(P76="Media",'Encuesta Trabajabilidad'!Q$32)))</f>
        <v>50.454545454545453</v>
      </c>
      <c r="S76" s="62">
        <f t="shared" si="8"/>
        <v>0.50454545454545452</v>
      </c>
    </row>
    <row r="77" spans="1:19" ht="15.75" x14ac:dyDescent="0.25">
      <c r="A77" s="74">
        <f t="shared" si="9"/>
        <v>73</v>
      </c>
      <c r="B77" s="61">
        <v>2010</v>
      </c>
      <c r="C77" s="24" t="s">
        <v>24</v>
      </c>
      <c r="D77" s="16" t="s">
        <v>26</v>
      </c>
      <c r="E77" s="64">
        <f>'Cálculo N60'!Q40</f>
        <v>1.8</v>
      </c>
      <c r="F77" s="24"/>
      <c r="G77" s="84"/>
      <c r="H77" s="23">
        <v>201</v>
      </c>
      <c r="I77" s="23"/>
      <c r="J77" s="23"/>
      <c r="K77" s="23"/>
      <c r="L77" s="23"/>
      <c r="M77" s="23"/>
      <c r="N77" s="62" t="e">
        <f t="shared" si="6"/>
        <v>#DIV/0!</v>
      </c>
      <c r="O77" s="24" t="s">
        <v>167</v>
      </c>
      <c r="P77" s="67" t="str">
        <f t="shared" si="7"/>
        <v>Muy Blanda</v>
      </c>
      <c r="Q77" s="16" t="str">
        <f>IF(P77="Muy Blanda", 'Encuesta Trabajabilidad'!O$33, IF(P77="Blanda", 'Encuesta Trabajabilidad'!P$33, IF(P77="Media",'Encuesta Trabajabilidad'!Q$33)))</f>
        <v>MUY DIFíCIL</v>
      </c>
      <c r="R77" s="23">
        <f>IF(P77="Muy Blanda", 'Encuesta Trabajabilidad'!O$32, IF(P77="Blanda", 'Encuesta Trabajabilidad'!P$32, IF(P77="Media",'Encuesta Trabajabilidad'!Q$32)))</f>
        <v>50.454545454545453</v>
      </c>
      <c r="S77" s="62">
        <f t="shared" si="8"/>
        <v>0.50454545454545452</v>
      </c>
    </row>
    <row r="78" spans="1:19" ht="15.75" x14ac:dyDescent="0.25">
      <c r="A78" s="74">
        <f t="shared" si="9"/>
        <v>74</v>
      </c>
      <c r="B78" s="61">
        <v>2010</v>
      </c>
      <c r="C78" s="24" t="s">
        <v>24</v>
      </c>
      <c r="D78" s="16" t="s">
        <v>26</v>
      </c>
      <c r="E78" s="64">
        <f>'Cálculo N60'!Q41</f>
        <v>7.8</v>
      </c>
      <c r="F78" s="24"/>
      <c r="G78" s="84"/>
      <c r="H78" s="23">
        <v>155</v>
      </c>
      <c r="I78" s="23"/>
      <c r="J78" s="23"/>
      <c r="K78" s="23"/>
      <c r="L78" s="23"/>
      <c r="M78" s="23"/>
      <c r="N78" s="62" t="e">
        <f t="shared" si="6"/>
        <v>#DIV/0!</v>
      </c>
      <c r="O78" s="24" t="s">
        <v>167</v>
      </c>
      <c r="P78" s="67" t="str">
        <f t="shared" si="7"/>
        <v>Blanda</v>
      </c>
      <c r="Q78" s="16" t="str">
        <f>IF(P78="Muy Blanda", 'Encuesta Trabajabilidad'!O$33, IF(P78="Blanda", 'Encuesta Trabajabilidad'!P$33, IF(P78="Media",'Encuesta Trabajabilidad'!Q$33)))</f>
        <v>DIFíCIL</v>
      </c>
      <c r="R78" s="23">
        <f>IF(P78="Muy Blanda", 'Encuesta Trabajabilidad'!O$32, IF(P78="Blanda", 'Encuesta Trabajabilidad'!P$32, IF(P78="Media",'Encuesta Trabajabilidad'!Q$32)))</f>
        <v>68.844696969696955</v>
      </c>
      <c r="S78" s="62">
        <f t="shared" si="8"/>
        <v>0.6884469696969695</v>
      </c>
    </row>
    <row r="79" spans="1:19" ht="15.75" x14ac:dyDescent="0.25">
      <c r="A79" s="74">
        <f t="shared" si="9"/>
        <v>75</v>
      </c>
      <c r="B79" s="61">
        <v>2010</v>
      </c>
      <c r="C79" s="24" t="s">
        <v>24</v>
      </c>
      <c r="D79" s="16" t="s">
        <v>26</v>
      </c>
      <c r="E79" s="64">
        <f>'Cálculo N60'!Q43</f>
        <v>3</v>
      </c>
      <c r="F79" s="24"/>
      <c r="G79" s="84"/>
      <c r="H79" s="23">
        <v>270</v>
      </c>
      <c r="I79" s="23"/>
      <c r="J79" s="23"/>
      <c r="K79" s="23"/>
      <c r="L79" s="23"/>
      <c r="M79" s="23"/>
      <c r="N79" s="62" t="e">
        <f t="shared" si="6"/>
        <v>#DIV/0!</v>
      </c>
      <c r="O79" s="24" t="s">
        <v>167</v>
      </c>
      <c r="P79" s="67" t="str">
        <f>IF(E79&lt;=2,"Muy Blanda",IF(AND(2&lt;E79,E79&lt;=8),"Blanda",IF(AND(8&lt;E79,E79&lt;=15),"Media",IF(AND(15&lt;E79,E79&lt;=30),"Firme",IF(E79&gt;30,"Muy Firme")))))</f>
        <v>Blanda</v>
      </c>
      <c r="Q79" s="16" t="str">
        <f>IF(P79="Muy Blanda", 'Encuesta Trabajabilidad'!O$33, IF(P79="Blanda", 'Encuesta Trabajabilidad'!P$33, IF(P79="Media",'Encuesta Trabajabilidad'!Q$33)))</f>
        <v>DIFíCIL</v>
      </c>
      <c r="R79" s="23">
        <f>IF(P79="Muy Blanda", 'Encuesta Trabajabilidad'!O$32, IF(P79="Blanda", 'Encuesta Trabajabilidad'!P$32, IF(P79="Media",'Encuesta Trabajabilidad'!Q$32)))</f>
        <v>68.844696969696955</v>
      </c>
      <c r="S79" s="62">
        <f t="shared" si="8"/>
        <v>0.6884469696969695</v>
      </c>
    </row>
    <row r="80" spans="1:19" ht="15.75" x14ac:dyDescent="0.25">
      <c r="A80" s="74">
        <f t="shared" si="9"/>
        <v>76</v>
      </c>
      <c r="B80" s="61">
        <v>2010</v>
      </c>
      <c r="C80" s="24" t="s">
        <v>24</v>
      </c>
      <c r="D80" s="16" t="s">
        <v>26</v>
      </c>
      <c r="E80" s="64">
        <f>'Cálculo N60'!Q44</f>
        <v>8.4</v>
      </c>
      <c r="F80" s="24"/>
      <c r="G80" s="84"/>
      <c r="H80" s="23">
        <v>272</v>
      </c>
      <c r="I80" s="23"/>
      <c r="J80" s="23"/>
      <c r="K80" s="23"/>
      <c r="L80" s="23"/>
      <c r="M80" s="23"/>
      <c r="N80" s="62" t="e">
        <f t="shared" si="6"/>
        <v>#DIV/0!</v>
      </c>
      <c r="O80" s="24" t="s">
        <v>167</v>
      </c>
      <c r="P80" s="67" t="str">
        <f t="shared" ref="P80:P98" si="10">IF(E80&lt;=2,"Muy Blanda",IF(AND(2&lt;E80,E80&lt;=8),"Blanda",IF(AND(8&lt;E80,E80&lt;=15),"Media",IF(AND(15&lt;E80,E80&lt;=30),"Firme",IF(E80&gt;30,"Muy Firme")))))</f>
        <v>Media</v>
      </c>
      <c r="Q80" s="16" t="str">
        <f>IF(P80="Muy Blanda", 'Encuesta Trabajabilidad'!O$33, IF(P80="Blanda", 'Encuesta Trabajabilidad'!P$33, IF(P80="Media",'Encuesta Trabajabilidad'!Q$33)))</f>
        <v>MUY DIFíCIL</v>
      </c>
      <c r="R80" s="23">
        <f>IF(P80="Muy Blanda", 'Encuesta Trabajabilidad'!O$32, IF(P80="Blanda", 'Encuesta Trabajabilidad'!P$32, IF(P80="Media",'Encuesta Trabajabilidad'!Q$32)))</f>
        <v>52.443181818181813</v>
      </c>
      <c r="S80" s="62">
        <f t="shared" si="8"/>
        <v>0.52443181818181817</v>
      </c>
    </row>
    <row r="81" spans="1:19" ht="15.75" x14ac:dyDescent="0.25">
      <c r="A81" s="74">
        <f t="shared" si="9"/>
        <v>77</v>
      </c>
      <c r="B81" s="61">
        <v>2010</v>
      </c>
      <c r="C81" s="24" t="s">
        <v>24</v>
      </c>
      <c r="D81" s="16" t="s">
        <v>26</v>
      </c>
      <c r="E81" s="64">
        <f>'Cálculo N60'!Q45</f>
        <v>1.2</v>
      </c>
      <c r="F81" s="24"/>
      <c r="G81" s="84"/>
      <c r="H81" s="23">
        <v>272</v>
      </c>
      <c r="I81" s="23"/>
      <c r="J81" s="23"/>
      <c r="K81" s="23"/>
      <c r="L81" s="23"/>
      <c r="M81" s="23"/>
      <c r="N81" s="62" t="e">
        <f t="shared" si="6"/>
        <v>#DIV/0!</v>
      </c>
      <c r="O81" s="24" t="s">
        <v>167</v>
      </c>
      <c r="P81" s="67" t="str">
        <f t="shared" si="10"/>
        <v>Muy Blanda</v>
      </c>
      <c r="Q81" s="16" t="str">
        <f>IF(P81="Muy Blanda", 'Encuesta Trabajabilidad'!O$33, IF(P81="Blanda", 'Encuesta Trabajabilidad'!P$33, IF(P81="Media",'Encuesta Trabajabilidad'!Q$33)))</f>
        <v>MUY DIFíCIL</v>
      </c>
      <c r="R81" s="23">
        <f>IF(P81="Muy Blanda", 'Encuesta Trabajabilidad'!O$32, IF(P81="Blanda", 'Encuesta Trabajabilidad'!P$32, IF(P81="Media",'Encuesta Trabajabilidad'!Q$32)))</f>
        <v>50.454545454545453</v>
      </c>
      <c r="S81" s="62">
        <f t="shared" si="8"/>
        <v>0.50454545454545452</v>
      </c>
    </row>
    <row r="82" spans="1:19" ht="15.75" x14ac:dyDescent="0.25">
      <c r="A82" s="74">
        <f t="shared" si="9"/>
        <v>78</v>
      </c>
      <c r="B82" s="61">
        <v>2010</v>
      </c>
      <c r="C82" s="24" t="s">
        <v>24</v>
      </c>
      <c r="D82" s="16" t="s">
        <v>26</v>
      </c>
      <c r="E82" s="64">
        <f>'Cálculo N60'!Q46</f>
        <v>4.2</v>
      </c>
      <c r="F82" s="24"/>
      <c r="G82" s="84"/>
      <c r="H82" s="23">
        <v>269</v>
      </c>
      <c r="I82" s="23"/>
      <c r="J82" s="23"/>
      <c r="K82" s="23"/>
      <c r="L82" s="23"/>
      <c r="M82" s="23"/>
      <c r="N82" s="62" t="e">
        <f t="shared" si="6"/>
        <v>#DIV/0!</v>
      </c>
      <c r="O82" s="24" t="s">
        <v>167</v>
      </c>
      <c r="P82" s="67" t="str">
        <f t="shared" si="10"/>
        <v>Blanda</v>
      </c>
      <c r="Q82" s="16" t="str">
        <f>IF(P82="Muy Blanda", 'Encuesta Trabajabilidad'!O$33, IF(P82="Blanda", 'Encuesta Trabajabilidad'!P$33, IF(P82="Media",'Encuesta Trabajabilidad'!Q$33)))</f>
        <v>DIFíCIL</v>
      </c>
      <c r="R82" s="23">
        <f>IF(P82="Muy Blanda", 'Encuesta Trabajabilidad'!O$32, IF(P82="Blanda", 'Encuesta Trabajabilidad'!P$32, IF(P82="Media",'Encuesta Trabajabilidad'!Q$32)))</f>
        <v>68.844696969696955</v>
      </c>
      <c r="S82" s="62">
        <f t="shared" si="8"/>
        <v>0.6884469696969695</v>
      </c>
    </row>
    <row r="83" spans="1:19" ht="15.75" x14ac:dyDescent="0.25">
      <c r="A83" s="74">
        <f t="shared" si="9"/>
        <v>79</v>
      </c>
      <c r="B83" s="61">
        <v>2008</v>
      </c>
      <c r="C83" s="24" t="s">
        <v>24</v>
      </c>
      <c r="D83" s="16" t="s">
        <v>26</v>
      </c>
      <c r="E83" s="64">
        <f>'Cálculo N60'!Q47</f>
        <v>0</v>
      </c>
      <c r="F83" s="24"/>
      <c r="G83" s="84"/>
      <c r="H83" s="23">
        <v>96</v>
      </c>
      <c r="I83" s="23"/>
      <c r="J83" s="23"/>
      <c r="K83" s="23"/>
      <c r="L83" s="23">
        <v>2.2200000000000002</v>
      </c>
      <c r="M83" s="23"/>
      <c r="N83" s="62" t="e">
        <f t="shared" si="6"/>
        <v>#DIV/0!</v>
      </c>
      <c r="O83" s="24" t="s">
        <v>163</v>
      </c>
      <c r="P83" s="67" t="str">
        <f t="shared" si="10"/>
        <v>Muy Blanda</v>
      </c>
      <c r="Q83" s="16" t="str">
        <f>IF(P83="Muy Blanda", 'Encuesta Trabajabilidad'!O$33, IF(P83="Blanda", 'Encuesta Trabajabilidad'!P$33, IF(P83="Media",'Encuesta Trabajabilidad'!Q$33)))</f>
        <v>MUY DIFíCIL</v>
      </c>
      <c r="R83" s="23">
        <f>IF(P83="Muy Blanda", 'Encuesta Trabajabilidad'!O$32, IF(P83="Blanda", 'Encuesta Trabajabilidad'!P$32, IF(P83="Media",'Encuesta Trabajabilidad'!Q$32)))</f>
        <v>50.454545454545453</v>
      </c>
      <c r="S83" s="62">
        <f t="shared" si="8"/>
        <v>0.50454545454545452</v>
      </c>
    </row>
    <row r="84" spans="1:19" ht="15.75" x14ac:dyDescent="0.25">
      <c r="A84" s="74">
        <f t="shared" si="9"/>
        <v>80</v>
      </c>
      <c r="B84" s="61">
        <v>2008</v>
      </c>
      <c r="C84" s="24" t="s">
        <v>24</v>
      </c>
      <c r="D84" s="16" t="s">
        <v>26</v>
      </c>
      <c r="E84" s="64">
        <f>'Cálculo N60'!Q48</f>
        <v>2.4</v>
      </c>
      <c r="F84" s="24"/>
      <c r="G84" s="84"/>
      <c r="H84" s="23">
        <v>304</v>
      </c>
      <c r="I84" s="23"/>
      <c r="J84" s="23"/>
      <c r="K84" s="23"/>
      <c r="L84" s="23">
        <v>2.2200000000000002</v>
      </c>
      <c r="M84" s="23"/>
      <c r="N84" s="62" t="e">
        <f t="shared" si="6"/>
        <v>#DIV/0!</v>
      </c>
      <c r="O84" s="24" t="s">
        <v>163</v>
      </c>
      <c r="P84" s="67" t="str">
        <f t="shared" si="10"/>
        <v>Blanda</v>
      </c>
      <c r="Q84" s="16" t="str">
        <f>IF(P84="Muy Blanda", 'Encuesta Trabajabilidad'!O$33, IF(P84="Blanda", 'Encuesta Trabajabilidad'!P$33, IF(P84="Media",'Encuesta Trabajabilidad'!Q$33)))</f>
        <v>DIFíCIL</v>
      </c>
      <c r="R84" s="23">
        <f>IF(P84="Muy Blanda", 'Encuesta Trabajabilidad'!O$32, IF(P84="Blanda", 'Encuesta Trabajabilidad'!P$32, IF(P84="Media",'Encuesta Trabajabilidad'!Q$32)))</f>
        <v>68.844696969696955</v>
      </c>
      <c r="S84" s="62">
        <f t="shared" si="8"/>
        <v>0.6884469696969695</v>
      </c>
    </row>
    <row r="85" spans="1:19" ht="15.75" x14ac:dyDescent="0.25">
      <c r="A85" s="74">
        <f t="shared" si="9"/>
        <v>81</v>
      </c>
      <c r="B85" s="61">
        <v>2008</v>
      </c>
      <c r="C85" s="24" t="s">
        <v>24</v>
      </c>
      <c r="D85" s="16" t="s">
        <v>26</v>
      </c>
      <c r="E85" s="64">
        <f>'Cálculo N60'!Q49</f>
        <v>0.6</v>
      </c>
      <c r="F85" s="24"/>
      <c r="G85" s="84"/>
      <c r="H85" s="23">
        <v>241</v>
      </c>
      <c r="I85" s="23"/>
      <c r="J85" s="23"/>
      <c r="K85" s="23"/>
      <c r="L85" s="23">
        <v>2.2200000000000002</v>
      </c>
      <c r="M85" s="23"/>
      <c r="N85" s="62" t="e">
        <f t="shared" si="6"/>
        <v>#DIV/0!</v>
      </c>
      <c r="O85" s="24" t="s">
        <v>163</v>
      </c>
      <c r="P85" s="67" t="str">
        <f t="shared" si="10"/>
        <v>Muy Blanda</v>
      </c>
      <c r="Q85" s="16" t="str">
        <f>IF(P85="Muy Blanda", 'Encuesta Trabajabilidad'!O$33, IF(P85="Blanda", 'Encuesta Trabajabilidad'!P$33, IF(P85="Media",'Encuesta Trabajabilidad'!Q$33)))</f>
        <v>MUY DIFíCIL</v>
      </c>
      <c r="R85" s="23">
        <f>IF(P85="Muy Blanda", 'Encuesta Trabajabilidad'!O$32, IF(P85="Blanda", 'Encuesta Trabajabilidad'!P$32, IF(P85="Media",'Encuesta Trabajabilidad'!Q$32)))</f>
        <v>50.454545454545453</v>
      </c>
      <c r="S85" s="62">
        <f t="shared" si="8"/>
        <v>0.50454545454545452</v>
      </c>
    </row>
    <row r="86" spans="1:19" ht="15.75" x14ac:dyDescent="0.25">
      <c r="A86" s="74">
        <f t="shared" si="9"/>
        <v>82</v>
      </c>
      <c r="B86" s="61">
        <v>2008</v>
      </c>
      <c r="C86" s="24" t="s">
        <v>24</v>
      </c>
      <c r="D86" s="16" t="s">
        <v>26</v>
      </c>
      <c r="E86" s="64">
        <f>'Cálculo N60'!Q50</f>
        <v>0.6</v>
      </c>
      <c r="F86" s="24"/>
      <c r="G86" s="84"/>
      <c r="H86" s="23">
        <v>299</v>
      </c>
      <c r="I86" s="23"/>
      <c r="J86" s="23"/>
      <c r="K86" s="23"/>
      <c r="L86" s="23">
        <v>2.2200000000000002</v>
      </c>
      <c r="M86" s="23"/>
      <c r="N86" s="62" t="e">
        <f t="shared" si="6"/>
        <v>#DIV/0!</v>
      </c>
      <c r="O86" s="24" t="s">
        <v>163</v>
      </c>
      <c r="P86" s="67" t="str">
        <f t="shared" si="10"/>
        <v>Muy Blanda</v>
      </c>
      <c r="Q86" s="16" t="str">
        <f>IF(P86="Muy Blanda", 'Encuesta Trabajabilidad'!O$33, IF(P86="Blanda", 'Encuesta Trabajabilidad'!P$33, IF(P86="Media",'Encuesta Trabajabilidad'!Q$33)))</f>
        <v>MUY DIFíCIL</v>
      </c>
      <c r="R86" s="23">
        <f>IF(P86="Muy Blanda", 'Encuesta Trabajabilidad'!O$32, IF(P86="Blanda", 'Encuesta Trabajabilidad'!P$32, IF(P86="Media",'Encuesta Trabajabilidad'!Q$32)))</f>
        <v>50.454545454545453</v>
      </c>
      <c r="S86" s="62">
        <f t="shared" si="8"/>
        <v>0.50454545454545452</v>
      </c>
    </row>
    <row r="87" spans="1:19" ht="15.75" x14ac:dyDescent="0.25">
      <c r="A87" s="74">
        <f t="shared" si="9"/>
        <v>83</v>
      </c>
      <c r="B87" s="61">
        <v>2008</v>
      </c>
      <c r="C87" s="24" t="s">
        <v>24</v>
      </c>
      <c r="D87" s="16" t="s">
        <v>26</v>
      </c>
      <c r="E87" s="64">
        <f>'Cálculo N60'!Q51</f>
        <v>0.6</v>
      </c>
      <c r="F87" s="24"/>
      <c r="G87" s="84"/>
      <c r="H87" s="23">
        <v>246</v>
      </c>
      <c r="I87" s="23"/>
      <c r="J87" s="23"/>
      <c r="K87" s="23"/>
      <c r="L87" s="23">
        <v>2.2200000000000002</v>
      </c>
      <c r="M87" s="23"/>
      <c r="N87" s="62" t="e">
        <f t="shared" si="6"/>
        <v>#DIV/0!</v>
      </c>
      <c r="O87" s="24" t="s">
        <v>163</v>
      </c>
      <c r="P87" s="67" t="str">
        <f t="shared" si="10"/>
        <v>Muy Blanda</v>
      </c>
      <c r="Q87" s="16" t="str">
        <f>IF(P87="Muy Blanda", 'Encuesta Trabajabilidad'!O$33, IF(P87="Blanda", 'Encuesta Trabajabilidad'!P$33, IF(P87="Media",'Encuesta Trabajabilidad'!Q$33)))</f>
        <v>MUY DIFíCIL</v>
      </c>
      <c r="R87" s="23">
        <f>IF(P87="Muy Blanda", 'Encuesta Trabajabilidad'!O$32, IF(P87="Blanda", 'Encuesta Trabajabilidad'!P$32, IF(P87="Media",'Encuesta Trabajabilidad'!Q$32)))</f>
        <v>50.454545454545453</v>
      </c>
      <c r="S87" s="62">
        <f t="shared" si="8"/>
        <v>0.50454545454545452</v>
      </c>
    </row>
    <row r="88" spans="1:19" ht="15.75" x14ac:dyDescent="0.25">
      <c r="A88" s="74">
        <f t="shared" si="9"/>
        <v>84</v>
      </c>
      <c r="B88" s="61">
        <v>2008</v>
      </c>
      <c r="C88" s="24" t="s">
        <v>24</v>
      </c>
      <c r="D88" s="16" t="s">
        <v>26</v>
      </c>
      <c r="E88" s="64">
        <f>'Cálculo N60'!Q52</f>
        <v>1.2</v>
      </c>
      <c r="F88" s="24"/>
      <c r="G88" s="84"/>
      <c r="H88" s="23">
        <v>182</v>
      </c>
      <c r="I88" s="23"/>
      <c r="J88" s="23"/>
      <c r="K88" s="23"/>
      <c r="L88" s="23">
        <v>2.2200000000000002</v>
      </c>
      <c r="M88" s="23"/>
      <c r="N88" s="62" t="e">
        <f t="shared" si="6"/>
        <v>#DIV/0!</v>
      </c>
      <c r="O88" s="24" t="s">
        <v>163</v>
      </c>
      <c r="P88" s="67" t="str">
        <f t="shared" si="10"/>
        <v>Muy Blanda</v>
      </c>
      <c r="Q88" s="16" t="str">
        <f>IF(P88="Muy Blanda", 'Encuesta Trabajabilidad'!O$33, IF(P88="Blanda", 'Encuesta Trabajabilidad'!P$33, IF(P88="Media",'Encuesta Trabajabilidad'!Q$33)))</f>
        <v>MUY DIFíCIL</v>
      </c>
      <c r="R88" s="23">
        <f>IF(P88="Muy Blanda", 'Encuesta Trabajabilidad'!O$32, IF(P88="Blanda", 'Encuesta Trabajabilidad'!P$32, IF(P88="Media",'Encuesta Trabajabilidad'!Q$32)))</f>
        <v>50.454545454545453</v>
      </c>
      <c r="S88" s="62">
        <f t="shared" si="8"/>
        <v>0.50454545454545452</v>
      </c>
    </row>
    <row r="89" spans="1:19" ht="15.75" x14ac:dyDescent="0.25">
      <c r="A89" s="74">
        <f t="shared" si="9"/>
        <v>85</v>
      </c>
      <c r="B89" s="61">
        <v>2008</v>
      </c>
      <c r="C89" s="24" t="s">
        <v>24</v>
      </c>
      <c r="D89" s="16" t="s">
        <v>26</v>
      </c>
      <c r="E89" s="64">
        <f>'Cálculo N60'!Q53</f>
        <v>1.2</v>
      </c>
      <c r="F89" s="24"/>
      <c r="G89" s="84"/>
      <c r="H89" s="23">
        <v>154</v>
      </c>
      <c r="I89" s="23"/>
      <c r="J89" s="23"/>
      <c r="K89" s="23"/>
      <c r="L89" s="23">
        <v>2.2200000000000002</v>
      </c>
      <c r="M89" s="23"/>
      <c r="N89" s="62" t="e">
        <f t="shared" si="6"/>
        <v>#DIV/0!</v>
      </c>
      <c r="O89" s="24" t="s">
        <v>163</v>
      </c>
      <c r="P89" s="67" t="str">
        <f t="shared" si="10"/>
        <v>Muy Blanda</v>
      </c>
      <c r="Q89" s="16" t="str">
        <f>IF(P89="Muy Blanda", 'Encuesta Trabajabilidad'!O$33, IF(P89="Blanda", 'Encuesta Trabajabilidad'!P$33, IF(P89="Media",'Encuesta Trabajabilidad'!Q$33)))</f>
        <v>MUY DIFíCIL</v>
      </c>
      <c r="R89" s="23">
        <f>IF(P89="Muy Blanda", 'Encuesta Trabajabilidad'!O$32, IF(P89="Blanda", 'Encuesta Trabajabilidad'!P$32, IF(P89="Media",'Encuesta Trabajabilidad'!Q$32)))</f>
        <v>50.454545454545453</v>
      </c>
      <c r="S89" s="62">
        <f t="shared" si="8"/>
        <v>0.50454545454545452</v>
      </c>
    </row>
    <row r="90" spans="1:19" ht="15.75" x14ac:dyDescent="0.25">
      <c r="A90" s="74">
        <f t="shared" si="9"/>
        <v>86</v>
      </c>
      <c r="B90" s="61">
        <v>2008</v>
      </c>
      <c r="C90" s="24" t="s">
        <v>24</v>
      </c>
      <c r="D90" s="16" t="s">
        <v>26</v>
      </c>
      <c r="E90" s="64">
        <f>'Cálculo N60'!Q54</f>
        <v>2.4</v>
      </c>
      <c r="F90" s="24"/>
      <c r="G90" s="84"/>
      <c r="H90" s="23">
        <v>277</v>
      </c>
      <c r="I90" s="23"/>
      <c r="J90" s="23"/>
      <c r="K90" s="23"/>
      <c r="L90" s="23">
        <v>2.2200000000000002</v>
      </c>
      <c r="M90" s="23"/>
      <c r="N90" s="62" t="e">
        <f t="shared" si="6"/>
        <v>#DIV/0!</v>
      </c>
      <c r="O90" s="24" t="s">
        <v>163</v>
      </c>
      <c r="P90" s="67" t="str">
        <f t="shared" si="10"/>
        <v>Blanda</v>
      </c>
      <c r="Q90" s="16" t="str">
        <f>IF(P90="Muy Blanda", 'Encuesta Trabajabilidad'!O$33, IF(P90="Blanda", 'Encuesta Trabajabilidad'!P$33, IF(P90="Media",'Encuesta Trabajabilidad'!Q$33)))</f>
        <v>DIFíCIL</v>
      </c>
      <c r="R90" s="23">
        <f>IF(P90="Muy Blanda", 'Encuesta Trabajabilidad'!O$32, IF(P90="Blanda", 'Encuesta Trabajabilidad'!P$32, IF(P90="Media",'Encuesta Trabajabilidad'!Q$32)))</f>
        <v>68.844696969696955</v>
      </c>
      <c r="S90" s="62">
        <f t="shared" si="8"/>
        <v>0.6884469696969695</v>
      </c>
    </row>
    <row r="91" spans="1:19" ht="15.75" x14ac:dyDescent="0.25">
      <c r="A91" s="74">
        <f t="shared" si="9"/>
        <v>87</v>
      </c>
      <c r="B91" s="61">
        <v>2008</v>
      </c>
      <c r="C91" s="24" t="s">
        <v>24</v>
      </c>
      <c r="D91" s="16" t="s">
        <v>26</v>
      </c>
      <c r="E91" s="64">
        <f>'Cálculo N60'!Q55</f>
        <v>2.4</v>
      </c>
      <c r="F91" s="24"/>
      <c r="G91" s="84"/>
      <c r="H91" s="23">
        <v>123</v>
      </c>
      <c r="I91" s="23"/>
      <c r="J91" s="23"/>
      <c r="K91" s="23"/>
      <c r="L91" s="23">
        <v>2.2599999999999998</v>
      </c>
      <c r="M91" s="23"/>
      <c r="N91" s="62" t="e">
        <f t="shared" si="6"/>
        <v>#DIV/0!</v>
      </c>
      <c r="O91" s="24" t="s">
        <v>163</v>
      </c>
      <c r="P91" s="67" t="str">
        <f t="shared" si="10"/>
        <v>Blanda</v>
      </c>
      <c r="Q91" s="16" t="str">
        <f>IF(P91="Muy Blanda", 'Encuesta Trabajabilidad'!O$33, IF(P91="Blanda", 'Encuesta Trabajabilidad'!P$33, IF(P91="Media",'Encuesta Trabajabilidad'!Q$33)))</f>
        <v>DIFíCIL</v>
      </c>
      <c r="R91" s="23">
        <f>IF(P91="Muy Blanda", 'Encuesta Trabajabilidad'!O$32, IF(P91="Blanda", 'Encuesta Trabajabilidad'!P$32, IF(P91="Media",'Encuesta Trabajabilidad'!Q$32)))</f>
        <v>68.844696969696955</v>
      </c>
      <c r="S91" s="62">
        <f t="shared" si="8"/>
        <v>0.6884469696969695</v>
      </c>
    </row>
    <row r="92" spans="1:19" ht="15.75" x14ac:dyDescent="0.25">
      <c r="A92" s="74">
        <f t="shared" si="9"/>
        <v>88</v>
      </c>
      <c r="B92" s="61">
        <v>2008</v>
      </c>
      <c r="C92" s="24" t="s">
        <v>24</v>
      </c>
      <c r="D92" s="16" t="s">
        <v>26</v>
      </c>
      <c r="E92" s="64">
        <f>'Cálculo N60'!Q56</f>
        <v>2.4</v>
      </c>
      <c r="F92" s="24"/>
      <c r="G92" s="84"/>
      <c r="H92" s="23">
        <v>184</v>
      </c>
      <c r="I92" s="23"/>
      <c r="J92" s="23"/>
      <c r="K92" s="23"/>
      <c r="L92" s="23">
        <v>2.2599999999999998</v>
      </c>
      <c r="M92" s="23"/>
      <c r="N92" s="62" t="e">
        <f t="shared" si="6"/>
        <v>#DIV/0!</v>
      </c>
      <c r="O92" s="24" t="s">
        <v>163</v>
      </c>
      <c r="P92" s="67" t="str">
        <f t="shared" si="10"/>
        <v>Blanda</v>
      </c>
      <c r="Q92" s="16" t="str">
        <f>IF(P92="Muy Blanda", 'Encuesta Trabajabilidad'!O$33, IF(P92="Blanda", 'Encuesta Trabajabilidad'!P$33, IF(P92="Media",'Encuesta Trabajabilidad'!Q$33)))</f>
        <v>DIFíCIL</v>
      </c>
      <c r="R92" s="23">
        <f>IF(P92="Muy Blanda", 'Encuesta Trabajabilidad'!O$32, IF(P92="Blanda", 'Encuesta Trabajabilidad'!P$32, IF(P92="Media",'Encuesta Trabajabilidad'!Q$32)))</f>
        <v>68.844696969696955</v>
      </c>
      <c r="S92" s="62">
        <f t="shared" si="8"/>
        <v>0.6884469696969695</v>
      </c>
    </row>
    <row r="93" spans="1:19" ht="15.75" x14ac:dyDescent="0.25">
      <c r="A93" s="74">
        <f t="shared" si="9"/>
        <v>89</v>
      </c>
      <c r="B93" s="61">
        <v>2008</v>
      </c>
      <c r="C93" s="24" t="s">
        <v>24</v>
      </c>
      <c r="D93" s="16" t="s">
        <v>26</v>
      </c>
      <c r="E93" s="64">
        <f>'Cálculo N60'!Q57</f>
        <v>0</v>
      </c>
      <c r="F93" s="24"/>
      <c r="G93" s="84"/>
      <c r="H93" s="23">
        <v>106</v>
      </c>
      <c r="I93" s="23"/>
      <c r="J93" s="23"/>
      <c r="K93" s="23"/>
      <c r="L93" s="23">
        <v>2.2599999999999998</v>
      </c>
      <c r="M93" s="23"/>
      <c r="N93" s="62" t="e">
        <f t="shared" si="6"/>
        <v>#DIV/0!</v>
      </c>
      <c r="O93" s="24" t="s">
        <v>163</v>
      </c>
      <c r="P93" s="67" t="str">
        <f t="shared" si="10"/>
        <v>Muy Blanda</v>
      </c>
      <c r="Q93" s="16" t="str">
        <f>IF(P93="Muy Blanda", 'Encuesta Trabajabilidad'!O$33, IF(P93="Blanda", 'Encuesta Trabajabilidad'!P$33, IF(P93="Media",'Encuesta Trabajabilidad'!Q$33)))</f>
        <v>MUY DIFíCIL</v>
      </c>
      <c r="R93" s="23">
        <f>IF(P93="Muy Blanda", 'Encuesta Trabajabilidad'!O$32, IF(P93="Blanda", 'Encuesta Trabajabilidad'!P$32, IF(P93="Media",'Encuesta Trabajabilidad'!Q$32)))</f>
        <v>50.454545454545453</v>
      </c>
      <c r="S93" s="62">
        <f t="shared" si="8"/>
        <v>0.50454545454545452</v>
      </c>
    </row>
    <row r="94" spans="1:19" ht="15.75" x14ac:dyDescent="0.25">
      <c r="A94" s="74">
        <f t="shared" si="9"/>
        <v>90</v>
      </c>
      <c r="B94" s="61">
        <v>2008</v>
      </c>
      <c r="C94" s="24" t="s">
        <v>24</v>
      </c>
      <c r="D94" s="16" t="s">
        <v>26</v>
      </c>
      <c r="E94" s="64">
        <f>'Cálculo N60'!Q58</f>
        <v>0</v>
      </c>
      <c r="F94" s="24"/>
      <c r="G94" s="84"/>
      <c r="H94" s="23">
        <v>41</v>
      </c>
      <c r="I94" s="23"/>
      <c r="J94" s="23"/>
      <c r="K94" s="23"/>
      <c r="L94" s="23">
        <v>2.2599999999999998</v>
      </c>
      <c r="M94" s="23"/>
      <c r="N94" s="62" t="e">
        <f t="shared" si="6"/>
        <v>#DIV/0!</v>
      </c>
      <c r="O94" s="24" t="s">
        <v>163</v>
      </c>
      <c r="P94" s="67" t="str">
        <f t="shared" si="10"/>
        <v>Muy Blanda</v>
      </c>
      <c r="Q94" s="16" t="str">
        <f>IF(P94="Muy Blanda", 'Encuesta Trabajabilidad'!O$33, IF(P94="Blanda", 'Encuesta Trabajabilidad'!P$33, IF(P94="Media",'Encuesta Trabajabilidad'!Q$33)))</f>
        <v>MUY DIFíCIL</v>
      </c>
      <c r="R94" s="23">
        <f>IF(P94="Muy Blanda", 'Encuesta Trabajabilidad'!O$32, IF(P94="Blanda", 'Encuesta Trabajabilidad'!P$32, IF(P94="Media",'Encuesta Trabajabilidad'!Q$32)))</f>
        <v>50.454545454545453</v>
      </c>
      <c r="S94" s="62">
        <f t="shared" si="8"/>
        <v>0.50454545454545452</v>
      </c>
    </row>
    <row r="95" spans="1:19" ht="15.75" x14ac:dyDescent="0.25">
      <c r="A95" s="74">
        <f t="shared" si="9"/>
        <v>91</v>
      </c>
      <c r="B95" s="61">
        <v>2008</v>
      </c>
      <c r="C95" s="24" t="s">
        <v>24</v>
      </c>
      <c r="D95" s="16" t="s">
        <v>26</v>
      </c>
      <c r="E95" s="64">
        <f>'Cálculo N60'!Q59</f>
        <v>1.2</v>
      </c>
      <c r="F95" s="24"/>
      <c r="G95" s="84"/>
      <c r="H95" s="23">
        <v>183</v>
      </c>
      <c r="I95" s="23"/>
      <c r="J95" s="23"/>
      <c r="K95" s="23"/>
      <c r="L95" s="23">
        <v>2.2599999999999998</v>
      </c>
      <c r="M95" s="23"/>
      <c r="N95" s="62" t="e">
        <f t="shared" si="6"/>
        <v>#DIV/0!</v>
      </c>
      <c r="O95" s="24" t="s">
        <v>163</v>
      </c>
      <c r="P95" s="67" t="str">
        <f t="shared" si="10"/>
        <v>Muy Blanda</v>
      </c>
      <c r="Q95" s="16" t="str">
        <f>IF(P95="Muy Blanda", 'Encuesta Trabajabilidad'!O$33, IF(P95="Blanda", 'Encuesta Trabajabilidad'!P$33, IF(P95="Media",'Encuesta Trabajabilidad'!Q$33)))</f>
        <v>MUY DIFíCIL</v>
      </c>
      <c r="R95" s="23">
        <f>IF(P95="Muy Blanda", 'Encuesta Trabajabilidad'!O$32, IF(P95="Blanda", 'Encuesta Trabajabilidad'!P$32, IF(P95="Media",'Encuesta Trabajabilidad'!Q$32)))</f>
        <v>50.454545454545453</v>
      </c>
      <c r="S95" s="62">
        <f t="shared" si="8"/>
        <v>0.50454545454545452</v>
      </c>
    </row>
    <row r="96" spans="1:19" ht="15.75" x14ac:dyDescent="0.25">
      <c r="A96" s="74">
        <f t="shared" si="9"/>
        <v>92</v>
      </c>
      <c r="B96" s="61">
        <v>2008</v>
      </c>
      <c r="C96" s="24" t="s">
        <v>24</v>
      </c>
      <c r="D96" s="16" t="s">
        <v>26</v>
      </c>
      <c r="E96" s="64">
        <f>'Cálculo N60'!Q60</f>
        <v>1.2</v>
      </c>
      <c r="F96" s="24"/>
      <c r="G96" s="84"/>
      <c r="H96" s="23">
        <v>278</v>
      </c>
      <c r="I96" s="23"/>
      <c r="J96" s="23"/>
      <c r="K96" s="23"/>
      <c r="L96" s="23">
        <v>2.2599999999999998</v>
      </c>
      <c r="M96" s="23"/>
      <c r="N96" s="62" t="e">
        <f t="shared" si="6"/>
        <v>#DIV/0!</v>
      </c>
      <c r="O96" s="24" t="s">
        <v>163</v>
      </c>
      <c r="P96" s="67" t="str">
        <f t="shared" si="10"/>
        <v>Muy Blanda</v>
      </c>
      <c r="Q96" s="16" t="str">
        <f>IF(P96="Muy Blanda", 'Encuesta Trabajabilidad'!O$33, IF(P96="Blanda", 'Encuesta Trabajabilidad'!P$33, IF(P96="Media",'Encuesta Trabajabilidad'!Q$33)))</f>
        <v>MUY DIFíCIL</v>
      </c>
      <c r="R96" s="23">
        <f>IF(P96="Muy Blanda", 'Encuesta Trabajabilidad'!O$32, IF(P96="Blanda", 'Encuesta Trabajabilidad'!P$32, IF(P96="Media",'Encuesta Trabajabilidad'!Q$32)))</f>
        <v>50.454545454545453</v>
      </c>
      <c r="S96" s="62">
        <f t="shared" si="8"/>
        <v>0.50454545454545452</v>
      </c>
    </row>
    <row r="97" spans="1:19" ht="15.75" x14ac:dyDescent="0.25">
      <c r="A97" s="74">
        <f t="shared" si="9"/>
        <v>93</v>
      </c>
      <c r="B97" s="61">
        <v>2008</v>
      </c>
      <c r="C97" s="24" t="s">
        <v>24</v>
      </c>
      <c r="D97" s="16" t="s">
        <v>26</v>
      </c>
      <c r="E97" s="64">
        <f>'Cálculo N60'!Q61</f>
        <v>0.6</v>
      </c>
      <c r="F97" s="24"/>
      <c r="G97" s="84"/>
      <c r="H97" s="23">
        <v>180</v>
      </c>
      <c r="I97" s="23"/>
      <c r="J97" s="23"/>
      <c r="K97" s="23"/>
      <c r="L97" s="23">
        <v>2.2599999999999998</v>
      </c>
      <c r="M97" s="23"/>
      <c r="N97" s="62" t="e">
        <f t="shared" si="6"/>
        <v>#DIV/0!</v>
      </c>
      <c r="O97" s="24" t="s">
        <v>163</v>
      </c>
      <c r="P97" s="67" t="str">
        <f t="shared" si="10"/>
        <v>Muy Blanda</v>
      </c>
      <c r="Q97" s="16" t="str">
        <f>IF(P97="Muy Blanda", 'Encuesta Trabajabilidad'!O$33, IF(P97="Blanda", 'Encuesta Trabajabilidad'!P$33, IF(P97="Media",'Encuesta Trabajabilidad'!Q$33)))</f>
        <v>MUY DIFíCIL</v>
      </c>
      <c r="R97" s="23">
        <f>IF(P97="Muy Blanda", 'Encuesta Trabajabilidad'!O$32, IF(P97="Blanda", 'Encuesta Trabajabilidad'!P$32, IF(P97="Media",'Encuesta Trabajabilidad'!Q$32)))</f>
        <v>50.454545454545453</v>
      </c>
      <c r="S97" s="62">
        <f t="shared" si="8"/>
        <v>0.50454545454545452</v>
      </c>
    </row>
    <row r="98" spans="1:19" ht="15.75" x14ac:dyDescent="0.25">
      <c r="A98" s="74">
        <f t="shared" si="9"/>
        <v>94</v>
      </c>
      <c r="B98" s="61">
        <v>2008</v>
      </c>
      <c r="C98" s="24" t="s">
        <v>15</v>
      </c>
      <c r="D98" s="16" t="s">
        <v>26</v>
      </c>
      <c r="E98" s="64">
        <f>'Cálculo N60'!Q62</f>
        <v>1.2</v>
      </c>
      <c r="F98" s="24"/>
      <c r="G98" s="84"/>
      <c r="H98" s="23">
        <v>224</v>
      </c>
      <c r="I98" s="23"/>
      <c r="J98" s="23"/>
      <c r="K98" s="23"/>
      <c r="L98" s="23">
        <v>2.2599999999999998</v>
      </c>
      <c r="M98" s="23"/>
      <c r="N98" s="62" t="e">
        <f t="shared" si="6"/>
        <v>#DIV/0!</v>
      </c>
      <c r="O98" s="24" t="s">
        <v>163</v>
      </c>
      <c r="P98" s="67" t="str">
        <f t="shared" si="10"/>
        <v>Muy Blanda</v>
      </c>
      <c r="Q98" s="16" t="str">
        <f>IF(P98="Muy Blanda", 'Encuesta Trabajabilidad'!O$33, IF(P98="Blanda", 'Encuesta Trabajabilidad'!P$33, IF(P98="Media",'Encuesta Trabajabilidad'!Q$33)))</f>
        <v>MUY DIFíCIL</v>
      </c>
      <c r="R98" s="23">
        <f>IF(P98="Muy Blanda", 'Encuesta Trabajabilidad'!O$32, IF(P98="Blanda", 'Encuesta Trabajabilidad'!P$32, IF(P98="Media",'Encuesta Trabajabilidad'!Q$32)))</f>
        <v>50.454545454545453</v>
      </c>
      <c r="S98" s="62">
        <f t="shared" si="8"/>
        <v>0.50454545454545452</v>
      </c>
    </row>
    <row r="99" spans="1:19" ht="15.75" x14ac:dyDescent="0.25">
      <c r="A99" s="74">
        <f t="shared" si="9"/>
        <v>95</v>
      </c>
      <c r="B99" s="61">
        <v>2006</v>
      </c>
      <c r="C99" s="24" t="s">
        <v>24</v>
      </c>
      <c r="D99" s="16" t="s">
        <v>26</v>
      </c>
      <c r="E99" s="64">
        <f>'Cálculo N60'!Q25</f>
        <v>0.6</v>
      </c>
      <c r="F99" s="24"/>
      <c r="G99" s="84"/>
      <c r="H99" s="23">
        <v>171</v>
      </c>
      <c r="I99" s="23"/>
      <c r="J99" s="23"/>
      <c r="K99" s="23">
        <v>75</v>
      </c>
      <c r="L99" s="23">
        <v>2.21</v>
      </c>
      <c r="M99" s="23"/>
      <c r="N99" s="62" t="e">
        <f t="shared" si="6"/>
        <v>#DIV/0!</v>
      </c>
      <c r="O99" s="24" t="s">
        <v>169</v>
      </c>
      <c r="P99" s="67" t="str">
        <f>IF(E99&lt;=2,"Muy Blanda",IF(AND(2&lt;E99,E99&lt;=8),"Blanda",IF(AND(8&lt;E99,E99&lt;=15),"Media",IF(AND(15&lt;E99,E99&lt;=30),"Firme",IF(E99&gt;30,"""MuyFirme")))))</f>
        <v>Muy Blanda</v>
      </c>
      <c r="Q99" s="16" t="str">
        <f>IF(P99="Muy Blanda", 'Encuesta Trabajabilidad'!O$33, IF(P99="Blanda", 'Encuesta Trabajabilidad'!P$33, IF(P99="Media",'Encuesta Trabajabilidad'!Q$33)))</f>
        <v>MUY DIFíCIL</v>
      </c>
      <c r="R99" s="23">
        <f>IF(P99="Muy Blanda", 'Encuesta Trabajabilidad'!O$32, IF(P99="Blanda", 'Encuesta Trabajabilidad'!P$32, IF(P99="Media",'Encuesta Trabajabilidad'!Q$32)))</f>
        <v>50.454545454545453</v>
      </c>
      <c r="S99" s="62">
        <f t="shared" si="8"/>
        <v>0.50454545454545452</v>
      </c>
    </row>
    <row r="100" spans="1:19" ht="16.5" thickBot="1" x14ac:dyDescent="0.3">
      <c r="A100" s="132">
        <f t="shared" si="9"/>
        <v>96</v>
      </c>
      <c r="B100" s="133">
        <v>2008</v>
      </c>
      <c r="C100" s="134" t="s">
        <v>24</v>
      </c>
      <c r="D100" s="135" t="s">
        <v>26</v>
      </c>
      <c r="E100" s="136">
        <f>'Cálculo N60'!Q20</f>
        <v>0.6</v>
      </c>
      <c r="F100" s="134">
        <v>0</v>
      </c>
      <c r="G100" s="137">
        <v>0</v>
      </c>
      <c r="H100" s="138">
        <v>160</v>
      </c>
      <c r="I100" s="138"/>
      <c r="J100" s="138"/>
      <c r="K100" s="138"/>
      <c r="L100" s="138">
        <v>2</v>
      </c>
      <c r="M100" s="138"/>
      <c r="N100" s="139" t="e">
        <f t="shared" si="6"/>
        <v>#DIV/0!</v>
      </c>
      <c r="O100" s="134" t="s">
        <v>167</v>
      </c>
      <c r="P100" s="140" t="str">
        <f>IF(E100&lt;=2,"Muy Blanda",IF(AND(2&lt;E100,E100&lt;=8),"Blanda",IF(AND(8&lt;E100,E100&lt;=15),"Media",IF(AND(15&lt;E100,E100&lt;=30),"Firme",IF(E100&gt;30,"Muy firme")))))</f>
        <v>Muy Blanda</v>
      </c>
      <c r="Q100" s="135" t="str">
        <f>IF(P100="Muy Blanda", 'Encuesta Trabajabilidad'!O$33, IF(P100="Blanda", 'Encuesta Trabajabilidad'!P$33, IF(P100="Media",'Encuesta Trabajabilidad'!Q$33)))</f>
        <v>MUY DIFíCIL</v>
      </c>
      <c r="R100" s="138">
        <f>IF(P100="Muy Blanda", 'Encuesta Trabajabilidad'!O$32, IF(P100="Blanda", 'Encuesta Trabajabilidad'!P$32, IF(P100="Media",'Encuesta Trabajabilidad'!Q$32)))</f>
        <v>50.454545454545453</v>
      </c>
      <c r="S100" s="62">
        <f t="shared" si="8"/>
        <v>0.50454545454545452</v>
      </c>
    </row>
    <row r="101" spans="1:19" ht="16.5" thickBot="1" x14ac:dyDescent="0.3">
      <c r="F101" s="150">
        <f>AVERAGE(F4:F62)</f>
        <v>83.627118644067792</v>
      </c>
      <c r="G101" s="150">
        <f>AVERAGE(G4:G62)</f>
        <v>62.322033898305087</v>
      </c>
      <c r="H101" s="150">
        <f>AVERAGE(AVERAGE(H64:H100)+AVERAGE(H4:H62))</f>
        <v>258.48327989005952</v>
      </c>
      <c r="I101" s="150">
        <f>AVERAGE(I34:I38)</f>
        <v>4.9275000000000002</v>
      </c>
      <c r="J101" s="150">
        <f>AVERAGE(J34:J38)</f>
        <v>23.252000000000002</v>
      </c>
      <c r="K101" s="150">
        <f>AVERAGE(K99,K64:K73,K49,K34:K40)</f>
        <v>76.326315789473682</v>
      </c>
      <c r="L101" s="150">
        <f>AVERAGE(L4:L15,L34:L43,L45:L49,L64:L73,L83:L100)</f>
        <v>2.273636363636363</v>
      </c>
      <c r="M101" s="150">
        <f>AVERAGE(M4:M10,M34:M38)</f>
        <v>16.691666666666663</v>
      </c>
      <c r="S101" s="144">
        <f>(SUM(S4:S62)+SUM(S64:S100))/A100</f>
        <v>0.56165364583333277</v>
      </c>
    </row>
  </sheetData>
  <mergeCells count="3">
    <mergeCell ref="D1:S1"/>
    <mergeCell ref="D2:S2"/>
    <mergeCell ref="A63:S63"/>
  </mergeCells>
  <dataValidations count="1">
    <dataValidation type="list" allowBlank="1" showInputMessage="1" showErrorMessage="1" sqref="O4:O62 O64:O100">
      <formula1>$AB$10:$AB$14</formula1>
    </dataValidation>
  </dataValidations>
  <pageMargins left="0.7" right="0.7" top="0.75" bottom="0.75" header="0.3" footer="0.3"/>
  <pageSetup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'Mapa temático'!$AD$3:$AD$5</xm:f>
          </x14:formula1>
          <xm:sqref>C4:C62 C64:C100</xm:sqref>
        </x14:dataValidation>
        <x14:dataValidation type="list" allowBlank="1" showInputMessage="1" showErrorMessage="1">
          <x14:formula1>
            <xm:f>'Mapa temático'!$AE$3:$AE$18</xm:f>
          </x14:formula1>
          <xm:sqref>D4:D62 D64:D100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I6" sqref="I6"/>
    </sheetView>
  </sheetViews>
  <sheetFormatPr baseColWidth="10" defaultColWidth="9.140625" defaultRowHeight="15" x14ac:dyDescent="0.25"/>
  <cols>
    <col min="1" max="1" width="31.140625" customWidth="1"/>
    <col min="2" max="2" width="12.42578125" customWidth="1"/>
    <col min="3" max="3" width="16.5703125" customWidth="1"/>
  </cols>
  <sheetData>
    <row r="1" spans="1:3" ht="34.5" customHeight="1" thickBot="1" x14ac:dyDescent="0.3">
      <c r="A1" s="277" t="s">
        <v>89</v>
      </c>
      <c r="B1" s="277"/>
      <c r="C1" s="277"/>
    </row>
    <row r="2" spans="1:3" ht="32.25" thickBot="1" x14ac:dyDescent="0.3">
      <c r="A2" s="1" t="s">
        <v>140</v>
      </c>
      <c r="B2" s="2" t="s">
        <v>141</v>
      </c>
      <c r="C2" s="3" t="s">
        <v>142</v>
      </c>
    </row>
    <row r="3" spans="1:3" ht="53.25" customHeight="1" x14ac:dyDescent="0.25">
      <c r="A3" s="63" t="s">
        <v>143</v>
      </c>
      <c r="B3" s="66">
        <v>1</v>
      </c>
      <c r="C3" s="70" t="s">
        <v>148</v>
      </c>
    </row>
    <row r="4" spans="1:3" ht="72.75" customHeight="1" x14ac:dyDescent="0.25">
      <c r="A4" s="64" t="s">
        <v>144</v>
      </c>
      <c r="B4" s="67">
        <v>0.9</v>
      </c>
      <c r="C4" s="71" t="s">
        <v>149</v>
      </c>
    </row>
    <row r="5" spans="1:3" ht="53.25" customHeight="1" x14ac:dyDescent="0.25">
      <c r="A5" s="64" t="s">
        <v>145</v>
      </c>
      <c r="B5" s="67">
        <v>0.8</v>
      </c>
      <c r="C5" s="71" t="s">
        <v>33</v>
      </c>
    </row>
    <row r="6" spans="1:3" ht="60" x14ac:dyDescent="0.25">
      <c r="A6" s="64" t="s">
        <v>146</v>
      </c>
      <c r="B6" s="67">
        <v>0.7</v>
      </c>
      <c r="C6" s="71" t="s">
        <v>150</v>
      </c>
    </row>
    <row r="7" spans="1:3" ht="15.75" thickBot="1" x14ac:dyDescent="0.3">
      <c r="A7" s="65" t="s">
        <v>147</v>
      </c>
      <c r="B7" s="68">
        <v>0.6</v>
      </c>
      <c r="C7" s="72" t="s">
        <v>151</v>
      </c>
    </row>
  </sheetData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workbookViewId="0">
      <selection activeCell="E3" sqref="A1:H3"/>
    </sheetView>
  </sheetViews>
  <sheetFormatPr baseColWidth="10" defaultColWidth="9.140625" defaultRowHeight="15" x14ac:dyDescent="0.25"/>
  <sheetData>
    <row r="1" spans="1:8" ht="21" thickBot="1" x14ac:dyDescent="0.35">
      <c r="A1" s="278" t="s">
        <v>201</v>
      </c>
      <c r="B1" s="278"/>
      <c r="C1" s="278"/>
      <c r="D1" s="278"/>
      <c r="E1" s="278"/>
      <c r="F1" s="278"/>
      <c r="G1" s="278"/>
      <c r="H1" s="278"/>
    </row>
    <row r="2" spans="1:8" ht="30.75" customHeight="1" thickBot="1" x14ac:dyDescent="0.3">
      <c r="A2" s="279" t="s">
        <v>155</v>
      </c>
      <c r="B2" s="280"/>
      <c r="C2" s="280"/>
      <c r="D2" s="281"/>
      <c r="E2" s="279" t="s">
        <v>156</v>
      </c>
      <c r="F2" s="280"/>
      <c r="G2" s="280"/>
      <c r="H2" s="281"/>
    </row>
    <row r="3" spans="1:8" ht="15.75" thickBot="1" x14ac:dyDescent="0.3">
      <c r="A3" s="282">
        <f>'Factores Eficiencia'!J9*'Factores Eficiencia'!J16*'Factores Eficiencia'!J23*'Factores Eficiencia'!J30*'Factores Eficiencia'!J36*'Factores Eficiencia'!J41*'Factores Eficiencia'!J47*'Factores Eficiencia'!J55*'Factores Eficiencia'!J62*'Factores Eficiencia'!J69*'Factores "m" anteriores'!B3</f>
        <v>0.2936553045949431</v>
      </c>
      <c r="B3" s="283"/>
      <c r="C3" s="283"/>
      <c r="D3" s="284"/>
      <c r="E3" s="282">
        <f>'Factores Eficiencia'!J9*'Factores Eficiencia'!J16*'Factores Eficiencia'!J23*'Factores Eficiencia'!J30*'Factores Eficiencia'!J36*'Factores Eficiencia'!J41*'Factores Eficiencia'!J47*'Factores Eficiencia'!J55*'Factores Eficiencia'!J62*'Factores Eficiencia'!J69*'Datos tabulados de laboratorio'!$S$101</f>
        <v>0.16493257244404763</v>
      </c>
      <c r="F3" s="283"/>
      <c r="G3" s="283"/>
      <c r="H3" s="284"/>
    </row>
  </sheetData>
  <mergeCells count="5">
    <mergeCell ref="A1:H1"/>
    <mergeCell ref="A2:D2"/>
    <mergeCell ref="E2:H2"/>
    <mergeCell ref="A3:D3"/>
    <mergeCell ref="E3:H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0"/>
  <sheetViews>
    <sheetView workbookViewId="0">
      <selection activeCell="D4" sqref="D4:F7"/>
    </sheetView>
  </sheetViews>
  <sheetFormatPr baseColWidth="10" defaultColWidth="11.42578125" defaultRowHeight="15" x14ac:dyDescent="0.25"/>
  <cols>
    <col min="1" max="1" width="23.140625" customWidth="1"/>
    <col min="2" max="2" width="20" customWidth="1"/>
    <col min="3" max="3" width="15.28515625" customWidth="1"/>
    <col min="4" max="4" width="21.7109375" customWidth="1"/>
    <col min="5" max="5" width="12.42578125" customWidth="1"/>
    <col min="6" max="6" width="13.140625" customWidth="1"/>
  </cols>
  <sheetData>
    <row r="1" spans="1:6" x14ac:dyDescent="0.25">
      <c r="A1" t="str">
        <f>'Datos tabulados de laboratorio'!C3</f>
        <v>ADMINISTRACION ZONAL</v>
      </c>
      <c r="B1" t="str">
        <f>'Datos tabulados de laboratorio'!S3</f>
        <v>FACTOR "m" obtenido</v>
      </c>
    </row>
    <row r="2" spans="1:6" x14ac:dyDescent="0.25">
      <c r="A2" s="26" t="str">
        <f>'Datos tabulados de laboratorio'!C4</f>
        <v>Manuela Saenz</v>
      </c>
      <c r="B2" s="26">
        <f>'Datos tabulados de laboratorio'!S4</f>
        <v>0.50454545454545452</v>
      </c>
    </row>
    <row r="3" spans="1:6" x14ac:dyDescent="0.25">
      <c r="A3" s="26" t="str">
        <f>'Datos tabulados de laboratorio'!C5</f>
        <v>Manuela Saenz</v>
      </c>
      <c r="B3" s="26">
        <f>'Datos tabulados de laboratorio'!S5</f>
        <v>0.6884469696969695</v>
      </c>
    </row>
    <row r="4" spans="1:6" x14ac:dyDescent="0.25">
      <c r="A4" s="26" t="str">
        <f>'Datos tabulados de laboratorio'!C6</f>
        <v>Quitumbe</v>
      </c>
      <c r="B4" s="26">
        <f>'Datos tabulados de laboratorio'!S6</f>
        <v>0.6884469696969695</v>
      </c>
      <c r="D4" s="153" t="s">
        <v>206</v>
      </c>
      <c r="E4" s="154" t="s">
        <v>207</v>
      </c>
      <c r="F4" s="155" t="s">
        <v>208</v>
      </c>
    </row>
    <row r="5" spans="1:6" x14ac:dyDescent="0.25">
      <c r="A5" s="26" t="str">
        <f>'Datos tabulados de laboratorio'!C7</f>
        <v>Quitumbe</v>
      </c>
      <c r="B5" s="26">
        <f>'Datos tabulados de laboratorio'!S7</f>
        <v>0.52443181818181817</v>
      </c>
      <c r="D5" s="151" t="str">
        <f>A2</f>
        <v>Manuela Saenz</v>
      </c>
      <c r="E5" s="150">
        <f>(B2+B3)/2</f>
        <v>0.59649621212121207</v>
      </c>
      <c r="F5" s="152">
        <f>100*'Factores Eficiencia'!J9*'Factores Eficiencia'!J16*'Factores Eficiencia'!J23*'Factores Eficiencia'!J30*'Factores Eficiencia'!J36*'Factores Eficiencia'!J41*'Factores Eficiencia'!J47*'Factores Eficiencia'!J55*'Factores Eficiencia'!J62*'Factores Eficiencia'!J69*E5</f>
        <v>17.516427686018432</v>
      </c>
    </row>
    <row r="6" spans="1:6" x14ac:dyDescent="0.25">
      <c r="A6" s="26" t="str">
        <f>'Datos tabulados de laboratorio'!C8</f>
        <v>Quitumbe</v>
      </c>
      <c r="B6" s="26">
        <f>'Datos tabulados de laboratorio'!S8</f>
        <v>0.52443181818181817</v>
      </c>
      <c r="D6" s="151" t="str">
        <f>A4</f>
        <v>Quitumbe</v>
      </c>
      <c r="E6" s="150">
        <f>(SUM(B4:B8)+SUM(B14:B94)+SUM(B96:B97))/88</f>
        <v>0.5624397382920111</v>
      </c>
      <c r="F6" s="152">
        <f>100*'Factores Eficiencia'!J9*'Factores Eficiencia'!J16*'Factores Eficiencia'!J23*'Factores Eficiencia'!J30*'Factores Eficiencia'!J36*'Factores Eficiencia'!J41*'Factores Eficiencia'!J47*'Factores Eficiencia'!J55*'Factores Eficiencia'!J62*'Factores Eficiencia'!J69*E6</f>
        <v>16.516341266444059</v>
      </c>
    </row>
    <row r="7" spans="1:6" x14ac:dyDescent="0.25">
      <c r="A7" s="26" t="str">
        <f>'Datos tabulados de laboratorio'!C9</f>
        <v>Quitumbe</v>
      </c>
      <c r="B7" s="26">
        <f>'Datos tabulados de laboratorio'!S9</f>
        <v>0.52443181818181817</v>
      </c>
      <c r="D7" s="156" t="str">
        <f>A9</f>
        <v>Eloy Alfaro</v>
      </c>
      <c r="E7" s="157">
        <f>(SUM(B9:B13)+B95)/5</f>
        <v>0.64621212121212113</v>
      </c>
      <c r="F7" s="158">
        <f>100*'Factores Eficiencia'!J9*'Factores Eficiencia'!J16*'Factores Eficiencia'!J23*'Factores Eficiencia'!J30*'Factores Eficiencia'!J36*'Factores Eficiencia'!J41*'Factores Eficiencia'!J47*'Factores Eficiencia'!J55*'Factores Eficiencia'!J62*'Factores Eficiencia'!J69*E7</f>
        <v>18.976361728748973</v>
      </c>
    </row>
    <row r="8" spans="1:6" x14ac:dyDescent="0.25">
      <c r="A8" s="26" t="str">
        <f>'Datos tabulados de laboratorio'!C10</f>
        <v>Quitumbe</v>
      </c>
      <c r="B8" s="26">
        <f>'Datos tabulados de laboratorio'!S10</f>
        <v>0.52443181818181817</v>
      </c>
    </row>
    <row r="9" spans="1:6" x14ac:dyDescent="0.25">
      <c r="A9" s="26" t="str">
        <f>'Datos tabulados de laboratorio'!C11</f>
        <v>Eloy Alfaro</v>
      </c>
      <c r="B9" s="26">
        <f>'Datos tabulados de laboratorio'!S11</f>
        <v>0.50454545454545452</v>
      </c>
    </row>
    <row r="10" spans="1:6" x14ac:dyDescent="0.25">
      <c r="A10" s="26" t="str">
        <f>'Datos tabulados de laboratorio'!C12</f>
        <v>Eloy Alfaro</v>
      </c>
      <c r="B10" s="26">
        <f>'Datos tabulados de laboratorio'!S12</f>
        <v>0.50454545454545452</v>
      </c>
    </row>
    <row r="11" spans="1:6" x14ac:dyDescent="0.25">
      <c r="A11" s="26" t="str">
        <f>'Datos tabulados de laboratorio'!C13</f>
        <v>Eloy Alfaro</v>
      </c>
      <c r="B11" s="26">
        <f>'Datos tabulados de laboratorio'!S13</f>
        <v>0.52443181818181817</v>
      </c>
    </row>
    <row r="12" spans="1:6" x14ac:dyDescent="0.25">
      <c r="A12" s="26" t="str">
        <f>'Datos tabulados de laboratorio'!C14</f>
        <v>Eloy Alfaro</v>
      </c>
      <c r="B12" s="26">
        <f>'Datos tabulados de laboratorio'!S14</f>
        <v>0.6884469696969695</v>
      </c>
    </row>
    <row r="13" spans="1:6" x14ac:dyDescent="0.25">
      <c r="A13" s="26" t="str">
        <f>'Datos tabulados de laboratorio'!C15</f>
        <v>Eloy Alfaro</v>
      </c>
      <c r="B13" s="26">
        <f>'Datos tabulados de laboratorio'!S15</f>
        <v>0.50454545454545452</v>
      </c>
    </row>
    <row r="14" spans="1:6" x14ac:dyDescent="0.25">
      <c r="A14" s="26" t="str">
        <f>'Datos tabulados de laboratorio'!C16</f>
        <v>Quitumbe</v>
      </c>
      <c r="B14" s="26">
        <f>'Datos tabulados de laboratorio'!S16</f>
        <v>0.6884469696969695</v>
      </c>
    </row>
    <row r="15" spans="1:6" x14ac:dyDescent="0.25">
      <c r="A15" s="26" t="str">
        <f>'Datos tabulados de laboratorio'!C17</f>
        <v>Quitumbe</v>
      </c>
      <c r="B15" s="26">
        <f>'Datos tabulados de laboratorio'!S17</f>
        <v>0.6884469696969695</v>
      </c>
    </row>
    <row r="16" spans="1:6" x14ac:dyDescent="0.25">
      <c r="A16" s="26" t="str">
        <f>'Datos tabulados de laboratorio'!C18</f>
        <v>Quitumbe</v>
      </c>
      <c r="B16" s="26">
        <f>'Datos tabulados de laboratorio'!S18</f>
        <v>0.50454545454545452</v>
      </c>
    </row>
    <row r="17" spans="1:2" x14ac:dyDescent="0.25">
      <c r="A17" s="26" t="str">
        <f>'Datos tabulados de laboratorio'!C19</f>
        <v>Quitumbe</v>
      </c>
      <c r="B17" s="26">
        <f>'Datos tabulados de laboratorio'!S19</f>
        <v>0.52443181818181817</v>
      </c>
    </row>
    <row r="18" spans="1:2" x14ac:dyDescent="0.25">
      <c r="A18" s="26" t="str">
        <f>'Datos tabulados de laboratorio'!C20</f>
        <v>Quitumbe</v>
      </c>
      <c r="B18" s="26">
        <f>'Datos tabulados de laboratorio'!S20</f>
        <v>0.50454545454545452</v>
      </c>
    </row>
    <row r="19" spans="1:2" x14ac:dyDescent="0.25">
      <c r="A19" s="26" t="str">
        <f>'Datos tabulados de laboratorio'!C21</f>
        <v>Quitumbe</v>
      </c>
      <c r="B19" s="26">
        <f>'Datos tabulados de laboratorio'!S21</f>
        <v>0.6884469696969695</v>
      </c>
    </row>
    <row r="20" spans="1:2" x14ac:dyDescent="0.25">
      <c r="A20" s="26" t="str">
        <f>'Datos tabulados de laboratorio'!C22</f>
        <v>Quitumbe</v>
      </c>
      <c r="B20" s="26">
        <f>'Datos tabulados de laboratorio'!S22</f>
        <v>0.52443181818181817</v>
      </c>
    </row>
    <row r="21" spans="1:2" x14ac:dyDescent="0.25">
      <c r="A21" s="26" t="str">
        <f>'Datos tabulados de laboratorio'!C23</f>
        <v>Quitumbe</v>
      </c>
      <c r="B21" s="26">
        <f>'Datos tabulados de laboratorio'!S23</f>
        <v>0.52443181818181817</v>
      </c>
    </row>
    <row r="22" spans="1:2" x14ac:dyDescent="0.25">
      <c r="A22" s="26" t="str">
        <f>'Datos tabulados de laboratorio'!C24</f>
        <v>Quitumbe</v>
      </c>
      <c r="B22" s="26">
        <f>'Datos tabulados de laboratorio'!S24</f>
        <v>0.52443181818181817</v>
      </c>
    </row>
    <row r="23" spans="1:2" x14ac:dyDescent="0.25">
      <c r="A23" s="26" t="str">
        <f>'Datos tabulados de laboratorio'!C25</f>
        <v>Quitumbe</v>
      </c>
      <c r="B23" s="26">
        <f>'Datos tabulados de laboratorio'!S25</f>
        <v>0.6884469696969695</v>
      </c>
    </row>
    <row r="24" spans="1:2" x14ac:dyDescent="0.25">
      <c r="A24" s="26" t="str">
        <f>'Datos tabulados de laboratorio'!C26</f>
        <v>Quitumbe</v>
      </c>
      <c r="B24" s="26">
        <f>'Datos tabulados de laboratorio'!S26</f>
        <v>0.6884469696969695</v>
      </c>
    </row>
    <row r="25" spans="1:2" x14ac:dyDescent="0.25">
      <c r="A25" s="26" t="str">
        <f>'Datos tabulados de laboratorio'!C27</f>
        <v>Quitumbe</v>
      </c>
      <c r="B25" s="26">
        <f>'Datos tabulados de laboratorio'!S27</f>
        <v>0.50454545454545452</v>
      </c>
    </row>
    <row r="26" spans="1:2" x14ac:dyDescent="0.25">
      <c r="A26" s="26" t="str">
        <f>'Datos tabulados de laboratorio'!C28</f>
        <v>Quitumbe</v>
      </c>
      <c r="B26" s="26">
        <f>'Datos tabulados de laboratorio'!S28</f>
        <v>0.50454545454545452</v>
      </c>
    </row>
    <row r="27" spans="1:2" x14ac:dyDescent="0.25">
      <c r="A27" s="26" t="str">
        <f>'Datos tabulados de laboratorio'!C29</f>
        <v>Quitumbe</v>
      </c>
      <c r="B27" s="26">
        <f>'Datos tabulados de laboratorio'!S29</f>
        <v>0.50454545454545452</v>
      </c>
    </row>
    <row r="28" spans="1:2" x14ac:dyDescent="0.25">
      <c r="A28" s="26" t="str">
        <f>'Datos tabulados de laboratorio'!C30</f>
        <v>Quitumbe</v>
      </c>
      <c r="B28" s="26">
        <f>'Datos tabulados de laboratorio'!S30</f>
        <v>0.50454545454545452</v>
      </c>
    </row>
    <row r="29" spans="1:2" x14ac:dyDescent="0.25">
      <c r="A29" s="26" t="str">
        <f>'Datos tabulados de laboratorio'!C31</f>
        <v>Quitumbe</v>
      </c>
      <c r="B29" s="26">
        <f>'Datos tabulados de laboratorio'!S31</f>
        <v>0.52443181818181817</v>
      </c>
    </row>
    <row r="30" spans="1:2" x14ac:dyDescent="0.25">
      <c r="A30" s="26" t="str">
        <f>'Datos tabulados de laboratorio'!C32</f>
        <v>Quitumbe</v>
      </c>
      <c r="B30" s="26">
        <f>'Datos tabulados de laboratorio'!S32</f>
        <v>0.52443181818181817</v>
      </c>
    </row>
    <row r="31" spans="1:2" x14ac:dyDescent="0.25">
      <c r="A31" s="26" t="str">
        <f>'Datos tabulados de laboratorio'!C33</f>
        <v>Quitumbe</v>
      </c>
      <c r="B31" s="26">
        <f>'Datos tabulados de laboratorio'!S33</f>
        <v>0.6884469696969695</v>
      </c>
    </row>
    <row r="32" spans="1:2" x14ac:dyDescent="0.25">
      <c r="A32" s="26" t="str">
        <f>'Datos tabulados de laboratorio'!C34</f>
        <v>Quitumbe</v>
      </c>
      <c r="B32" s="26">
        <f>'Datos tabulados de laboratorio'!S34</f>
        <v>0.50454545454545452</v>
      </c>
    </row>
    <row r="33" spans="1:2" x14ac:dyDescent="0.25">
      <c r="A33" s="26" t="str">
        <f>'Datos tabulados de laboratorio'!C35</f>
        <v>Quitumbe</v>
      </c>
      <c r="B33" s="26">
        <f>'Datos tabulados de laboratorio'!S35</f>
        <v>0.50454545454545452</v>
      </c>
    </row>
    <row r="34" spans="1:2" x14ac:dyDescent="0.25">
      <c r="A34" s="26" t="str">
        <f>'Datos tabulados de laboratorio'!C36</f>
        <v>Quitumbe</v>
      </c>
      <c r="B34" s="26">
        <f>'Datos tabulados de laboratorio'!S36</f>
        <v>0.50454545454545452</v>
      </c>
    </row>
    <row r="35" spans="1:2" x14ac:dyDescent="0.25">
      <c r="A35" s="26" t="str">
        <f>'Datos tabulados de laboratorio'!C37</f>
        <v>Quitumbe</v>
      </c>
      <c r="B35" s="26">
        <f>'Datos tabulados de laboratorio'!S37</f>
        <v>0.50454545454545452</v>
      </c>
    </row>
    <row r="36" spans="1:2" x14ac:dyDescent="0.25">
      <c r="A36" s="26" t="str">
        <f>'Datos tabulados de laboratorio'!C38</f>
        <v>Quitumbe</v>
      </c>
      <c r="B36" s="26">
        <f>'Datos tabulados de laboratorio'!S38</f>
        <v>0.50454545454545452</v>
      </c>
    </row>
    <row r="37" spans="1:2" x14ac:dyDescent="0.25">
      <c r="A37" s="26" t="str">
        <f>'Datos tabulados de laboratorio'!C39</f>
        <v>Quitumbe</v>
      </c>
      <c r="B37" s="26">
        <f>'Datos tabulados de laboratorio'!S39</f>
        <v>0.6884469696969695</v>
      </c>
    </row>
    <row r="38" spans="1:2" x14ac:dyDescent="0.25">
      <c r="A38" s="26" t="str">
        <f>'Datos tabulados de laboratorio'!C40</f>
        <v>Quitumbe</v>
      </c>
      <c r="B38" s="26">
        <f>'Datos tabulados de laboratorio'!S40</f>
        <v>0.52443181818181817</v>
      </c>
    </row>
    <row r="39" spans="1:2" x14ac:dyDescent="0.25">
      <c r="A39" s="26" t="str">
        <f>'Datos tabulados de laboratorio'!C41</f>
        <v>Quitumbe</v>
      </c>
      <c r="B39" s="26">
        <f>'Datos tabulados de laboratorio'!S41</f>
        <v>0.50454545454545452</v>
      </c>
    </row>
    <row r="40" spans="1:2" x14ac:dyDescent="0.25">
      <c r="A40" s="26" t="str">
        <f>'Datos tabulados de laboratorio'!C42</f>
        <v>Quitumbe</v>
      </c>
      <c r="B40" s="26">
        <f>'Datos tabulados de laboratorio'!S42</f>
        <v>0.50454545454545452</v>
      </c>
    </row>
    <row r="41" spans="1:2" x14ac:dyDescent="0.25">
      <c r="A41" s="26" t="str">
        <f>'Datos tabulados de laboratorio'!C43</f>
        <v>Quitumbe</v>
      </c>
      <c r="B41" s="26">
        <f>'Datos tabulados de laboratorio'!S43</f>
        <v>0.50454545454545452</v>
      </c>
    </row>
    <row r="42" spans="1:2" x14ac:dyDescent="0.25">
      <c r="A42" s="26" t="str">
        <f>'Datos tabulados de laboratorio'!C44</f>
        <v>Quitumbe</v>
      </c>
      <c r="B42" s="26">
        <f>'Datos tabulados de laboratorio'!S44</f>
        <v>0.52443181818181817</v>
      </c>
    </row>
    <row r="43" spans="1:2" x14ac:dyDescent="0.25">
      <c r="A43" s="26" t="str">
        <f>'Datos tabulados de laboratorio'!C45</f>
        <v>Quitumbe</v>
      </c>
      <c r="B43" s="26">
        <f>'Datos tabulados de laboratorio'!S45</f>
        <v>0.50454545454545452</v>
      </c>
    </row>
    <row r="44" spans="1:2" x14ac:dyDescent="0.25">
      <c r="A44" s="26" t="str">
        <f>'Datos tabulados de laboratorio'!C46</f>
        <v>Quitumbe</v>
      </c>
      <c r="B44" s="26">
        <f>'Datos tabulados de laboratorio'!S46</f>
        <v>0.6884469696969695</v>
      </c>
    </row>
    <row r="45" spans="1:2" x14ac:dyDescent="0.25">
      <c r="A45" s="26" t="str">
        <f>'Datos tabulados de laboratorio'!C47</f>
        <v>Quitumbe</v>
      </c>
      <c r="B45" s="26">
        <f>'Datos tabulados de laboratorio'!S47</f>
        <v>0.50454545454545452</v>
      </c>
    </row>
    <row r="46" spans="1:2" x14ac:dyDescent="0.25">
      <c r="A46" s="26" t="str">
        <f>'Datos tabulados de laboratorio'!C48</f>
        <v>Quitumbe</v>
      </c>
      <c r="B46" s="26">
        <f>'Datos tabulados de laboratorio'!S48</f>
        <v>0.50454545454545452</v>
      </c>
    </row>
    <row r="47" spans="1:2" x14ac:dyDescent="0.25">
      <c r="A47" s="26" t="str">
        <f>'Datos tabulados de laboratorio'!C49</f>
        <v>Quitumbe</v>
      </c>
      <c r="B47" s="26">
        <f>'Datos tabulados de laboratorio'!S49</f>
        <v>0.52443181818181817</v>
      </c>
    </row>
    <row r="48" spans="1:2" x14ac:dyDescent="0.25">
      <c r="A48" s="26" t="str">
        <f>'Datos tabulados de laboratorio'!C50</f>
        <v>Quitumbe</v>
      </c>
      <c r="B48" s="26">
        <f>'Datos tabulados de laboratorio'!S50</f>
        <v>0.52443181818181817</v>
      </c>
    </row>
    <row r="49" spans="1:2" x14ac:dyDescent="0.25">
      <c r="A49" s="26" t="str">
        <f>'Datos tabulados de laboratorio'!C51</f>
        <v>Quitumbe</v>
      </c>
      <c r="B49" s="26">
        <f>'Datos tabulados de laboratorio'!S51</f>
        <v>0.52443181818181817</v>
      </c>
    </row>
    <row r="50" spans="1:2" x14ac:dyDescent="0.25">
      <c r="A50" s="26" t="str">
        <f>'Datos tabulados de laboratorio'!C52</f>
        <v>Quitumbe</v>
      </c>
      <c r="B50" s="26">
        <f>'Datos tabulados de laboratorio'!S52</f>
        <v>0.52443181818181817</v>
      </c>
    </row>
    <row r="51" spans="1:2" x14ac:dyDescent="0.25">
      <c r="A51" s="26" t="str">
        <f>'Datos tabulados de laboratorio'!C53</f>
        <v>Quitumbe</v>
      </c>
      <c r="B51" s="26">
        <f>'Datos tabulados de laboratorio'!S53</f>
        <v>0.52443181818181817</v>
      </c>
    </row>
    <row r="52" spans="1:2" x14ac:dyDescent="0.25">
      <c r="A52" s="26" t="str">
        <f>'Datos tabulados de laboratorio'!C54</f>
        <v>Quitumbe</v>
      </c>
      <c r="B52" s="26">
        <f>'Datos tabulados de laboratorio'!S54</f>
        <v>0.52443181818181817</v>
      </c>
    </row>
    <row r="53" spans="1:2" x14ac:dyDescent="0.25">
      <c r="A53" s="26" t="str">
        <f>'Datos tabulados de laboratorio'!C55</f>
        <v>Quitumbe</v>
      </c>
      <c r="B53" s="26">
        <f>'Datos tabulados de laboratorio'!S55</f>
        <v>0.6884469696969695</v>
      </c>
    </row>
    <row r="54" spans="1:2" x14ac:dyDescent="0.25">
      <c r="A54" s="26" t="str">
        <f>'Datos tabulados de laboratorio'!C56</f>
        <v>Quitumbe</v>
      </c>
      <c r="B54" s="26">
        <f>'Datos tabulados de laboratorio'!S56</f>
        <v>0.6884469696969695</v>
      </c>
    </row>
    <row r="55" spans="1:2" x14ac:dyDescent="0.25">
      <c r="A55" s="26" t="str">
        <f>'Datos tabulados de laboratorio'!C57</f>
        <v>Quitumbe</v>
      </c>
      <c r="B55" s="26">
        <f>'Datos tabulados de laboratorio'!S57</f>
        <v>0.52443181818181817</v>
      </c>
    </row>
    <row r="56" spans="1:2" x14ac:dyDescent="0.25">
      <c r="A56" s="26" t="str">
        <f>'Datos tabulados de laboratorio'!C58</f>
        <v>Quitumbe</v>
      </c>
      <c r="B56" s="26">
        <f>'Datos tabulados de laboratorio'!S58</f>
        <v>0.52443181818181817</v>
      </c>
    </row>
    <row r="57" spans="1:2" x14ac:dyDescent="0.25">
      <c r="A57" s="26" t="str">
        <f>'Datos tabulados de laboratorio'!C59</f>
        <v>Quitumbe</v>
      </c>
      <c r="B57" s="26">
        <f>'Datos tabulados de laboratorio'!S59</f>
        <v>0.50454545454545452</v>
      </c>
    </row>
    <row r="58" spans="1:2" x14ac:dyDescent="0.25">
      <c r="A58" s="26" t="str">
        <f>'Datos tabulados de laboratorio'!C60</f>
        <v>Quitumbe</v>
      </c>
      <c r="B58" s="26">
        <f>'Datos tabulados de laboratorio'!S60</f>
        <v>0.6884469696969695</v>
      </c>
    </row>
    <row r="59" spans="1:2" x14ac:dyDescent="0.25">
      <c r="A59" s="26" t="str">
        <f>'Datos tabulados de laboratorio'!C61</f>
        <v>Quitumbe</v>
      </c>
      <c r="B59" s="26">
        <f>'Datos tabulados de laboratorio'!S61</f>
        <v>0.50454545454545452</v>
      </c>
    </row>
    <row r="60" spans="1:2" x14ac:dyDescent="0.25">
      <c r="A60" s="26" t="str">
        <f>'Datos tabulados de laboratorio'!C62</f>
        <v>Quitumbe</v>
      </c>
      <c r="B60" s="26">
        <f>'Datos tabulados de laboratorio'!S62</f>
        <v>0.6884469696969695</v>
      </c>
    </row>
    <row r="61" spans="1:2" x14ac:dyDescent="0.25">
      <c r="A61" t="str">
        <f>'Datos tabulados de laboratorio'!C64</f>
        <v>Quitumbe</v>
      </c>
      <c r="B61">
        <f>'Datos tabulados de laboratorio'!S64</f>
        <v>0.50454545454545452</v>
      </c>
    </row>
    <row r="62" spans="1:2" x14ac:dyDescent="0.25">
      <c r="A62" s="26" t="str">
        <f>'Datos tabulados de laboratorio'!C65</f>
        <v>Quitumbe</v>
      </c>
      <c r="B62" s="26">
        <f>'Datos tabulados de laboratorio'!S65</f>
        <v>0.6884469696969695</v>
      </c>
    </row>
    <row r="63" spans="1:2" x14ac:dyDescent="0.25">
      <c r="A63" s="26" t="str">
        <f>'Datos tabulados de laboratorio'!C66</f>
        <v>Quitumbe</v>
      </c>
      <c r="B63" s="26">
        <f>'Datos tabulados de laboratorio'!S66</f>
        <v>0.6884469696969695</v>
      </c>
    </row>
    <row r="64" spans="1:2" x14ac:dyDescent="0.25">
      <c r="A64" s="26" t="str">
        <f>'Datos tabulados de laboratorio'!C67</f>
        <v>Quitumbe</v>
      </c>
      <c r="B64" s="26">
        <f>'Datos tabulados de laboratorio'!S67</f>
        <v>0.52443181818181817</v>
      </c>
    </row>
    <row r="65" spans="1:2" x14ac:dyDescent="0.25">
      <c r="A65" s="26" t="str">
        <f>'Datos tabulados de laboratorio'!C68</f>
        <v>Quitumbe</v>
      </c>
      <c r="B65" s="26">
        <f>'Datos tabulados de laboratorio'!S68</f>
        <v>0.6884469696969695</v>
      </c>
    </row>
    <row r="66" spans="1:2" x14ac:dyDescent="0.25">
      <c r="A66" s="26" t="str">
        <f>'Datos tabulados de laboratorio'!C69</f>
        <v>Quitumbe</v>
      </c>
      <c r="B66" s="26">
        <f>'Datos tabulados de laboratorio'!S69</f>
        <v>0.50454545454545452</v>
      </c>
    </row>
    <row r="67" spans="1:2" x14ac:dyDescent="0.25">
      <c r="A67" s="26" t="str">
        <f>'Datos tabulados de laboratorio'!C70</f>
        <v>Quitumbe</v>
      </c>
      <c r="B67" s="26">
        <f>'Datos tabulados de laboratorio'!S70</f>
        <v>0.52443181818181817</v>
      </c>
    </row>
    <row r="68" spans="1:2" x14ac:dyDescent="0.25">
      <c r="A68" s="26" t="str">
        <f>'Datos tabulados de laboratorio'!C71</f>
        <v>Quitumbe</v>
      </c>
      <c r="B68" s="26">
        <f>'Datos tabulados de laboratorio'!S71</f>
        <v>0.6884469696969695</v>
      </c>
    </row>
    <row r="69" spans="1:2" x14ac:dyDescent="0.25">
      <c r="A69" s="26" t="str">
        <f>'Datos tabulados de laboratorio'!C72</f>
        <v>Quitumbe</v>
      </c>
      <c r="B69" s="26">
        <f>'Datos tabulados de laboratorio'!S72</f>
        <v>0.52443181818181817</v>
      </c>
    </row>
    <row r="70" spans="1:2" x14ac:dyDescent="0.25">
      <c r="A70" s="26" t="str">
        <f>'Datos tabulados de laboratorio'!C73</f>
        <v>Quitumbe</v>
      </c>
      <c r="B70" s="26">
        <f>'Datos tabulados de laboratorio'!S73</f>
        <v>0.52443181818181817</v>
      </c>
    </row>
    <row r="71" spans="1:2" x14ac:dyDescent="0.25">
      <c r="A71" s="26" t="str">
        <f>'Datos tabulados de laboratorio'!C74</f>
        <v>Quitumbe</v>
      </c>
      <c r="B71" s="26">
        <f>'Datos tabulados de laboratorio'!S74</f>
        <v>0.50454545454545452</v>
      </c>
    </row>
    <row r="72" spans="1:2" x14ac:dyDescent="0.25">
      <c r="A72" s="26" t="str">
        <f>'Datos tabulados de laboratorio'!C75</f>
        <v>Quitumbe</v>
      </c>
      <c r="B72" s="26">
        <f>'Datos tabulados de laboratorio'!S75</f>
        <v>0.6884469696969695</v>
      </c>
    </row>
    <row r="73" spans="1:2" x14ac:dyDescent="0.25">
      <c r="A73" s="26" t="str">
        <f>'Datos tabulados de laboratorio'!C76</f>
        <v>Quitumbe</v>
      </c>
      <c r="B73" s="26">
        <f>'Datos tabulados de laboratorio'!S76</f>
        <v>0.50454545454545452</v>
      </c>
    </row>
    <row r="74" spans="1:2" x14ac:dyDescent="0.25">
      <c r="A74" s="26" t="str">
        <f>'Datos tabulados de laboratorio'!C77</f>
        <v>Quitumbe</v>
      </c>
      <c r="B74" s="26">
        <f>'Datos tabulados de laboratorio'!S77</f>
        <v>0.50454545454545452</v>
      </c>
    </row>
    <row r="75" spans="1:2" x14ac:dyDescent="0.25">
      <c r="A75" s="26" t="str">
        <f>'Datos tabulados de laboratorio'!C78</f>
        <v>Quitumbe</v>
      </c>
      <c r="B75" s="26">
        <f>'Datos tabulados de laboratorio'!S78</f>
        <v>0.6884469696969695</v>
      </c>
    </row>
    <row r="76" spans="1:2" x14ac:dyDescent="0.25">
      <c r="A76" s="26" t="str">
        <f>'Datos tabulados de laboratorio'!C79</f>
        <v>Quitumbe</v>
      </c>
      <c r="B76" s="26">
        <f>'Datos tabulados de laboratorio'!S79</f>
        <v>0.6884469696969695</v>
      </c>
    </row>
    <row r="77" spans="1:2" x14ac:dyDescent="0.25">
      <c r="A77" s="26" t="str">
        <f>'Datos tabulados de laboratorio'!C80</f>
        <v>Quitumbe</v>
      </c>
      <c r="B77" s="26">
        <f>'Datos tabulados de laboratorio'!S80</f>
        <v>0.52443181818181817</v>
      </c>
    </row>
    <row r="78" spans="1:2" x14ac:dyDescent="0.25">
      <c r="A78" s="26" t="str">
        <f>'Datos tabulados de laboratorio'!C81</f>
        <v>Quitumbe</v>
      </c>
      <c r="B78" s="26">
        <f>'Datos tabulados de laboratorio'!S81</f>
        <v>0.50454545454545452</v>
      </c>
    </row>
    <row r="79" spans="1:2" x14ac:dyDescent="0.25">
      <c r="A79" s="26" t="str">
        <f>'Datos tabulados de laboratorio'!C82</f>
        <v>Quitumbe</v>
      </c>
      <c r="B79" s="26">
        <f>'Datos tabulados de laboratorio'!S82</f>
        <v>0.6884469696969695</v>
      </c>
    </row>
    <row r="80" spans="1:2" x14ac:dyDescent="0.25">
      <c r="A80" s="26" t="str">
        <f>'Datos tabulados de laboratorio'!C83</f>
        <v>Quitumbe</v>
      </c>
      <c r="B80" s="26">
        <f>'Datos tabulados de laboratorio'!S83</f>
        <v>0.50454545454545452</v>
      </c>
    </row>
    <row r="81" spans="1:2" x14ac:dyDescent="0.25">
      <c r="A81" s="26" t="str">
        <f>'Datos tabulados de laboratorio'!C84</f>
        <v>Quitumbe</v>
      </c>
      <c r="B81" s="26">
        <f>'Datos tabulados de laboratorio'!S84</f>
        <v>0.6884469696969695</v>
      </c>
    </row>
    <row r="82" spans="1:2" x14ac:dyDescent="0.25">
      <c r="A82" s="26" t="str">
        <f>'Datos tabulados de laboratorio'!C85</f>
        <v>Quitumbe</v>
      </c>
      <c r="B82" s="26">
        <f>'Datos tabulados de laboratorio'!S85</f>
        <v>0.50454545454545452</v>
      </c>
    </row>
    <row r="83" spans="1:2" x14ac:dyDescent="0.25">
      <c r="A83" s="26" t="str">
        <f>'Datos tabulados de laboratorio'!C86</f>
        <v>Quitumbe</v>
      </c>
      <c r="B83" s="26">
        <f>'Datos tabulados de laboratorio'!S86</f>
        <v>0.50454545454545452</v>
      </c>
    </row>
    <row r="84" spans="1:2" x14ac:dyDescent="0.25">
      <c r="A84" s="26" t="str">
        <f>'Datos tabulados de laboratorio'!C87</f>
        <v>Quitumbe</v>
      </c>
      <c r="B84" s="26">
        <f>'Datos tabulados de laboratorio'!S87</f>
        <v>0.50454545454545452</v>
      </c>
    </row>
    <row r="85" spans="1:2" x14ac:dyDescent="0.25">
      <c r="A85" s="26" t="str">
        <f>'Datos tabulados de laboratorio'!C88</f>
        <v>Quitumbe</v>
      </c>
      <c r="B85" s="26">
        <f>'Datos tabulados de laboratorio'!S88</f>
        <v>0.50454545454545452</v>
      </c>
    </row>
    <row r="86" spans="1:2" x14ac:dyDescent="0.25">
      <c r="A86" s="26" t="str">
        <f>'Datos tabulados de laboratorio'!C89</f>
        <v>Quitumbe</v>
      </c>
      <c r="B86" s="26">
        <f>'Datos tabulados de laboratorio'!S89</f>
        <v>0.50454545454545452</v>
      </c>
    </row>
    <row r="87" spans="1:2" x14ac:dyDescent="0.25">
      <c r="A87" s="26" t="str">
        <f>'Datos tabulados de laboratorio'!C90</f>
        <v>Quitumbe</v>
      </c>
      <c r="B87" s="26">
        <f>'Datos tabulados de laboratorio'!S90</f>
        <v>0.6884469696969695</v>
      </c>
    </row>
    <row r="88" spans="1:2" x14ac:dyDescent="0.25">
      <c r="A88" s="26" t="str">
        <f>'Datos tabulados de laboratorio'!C91</f>
        <v>Quitumbe</v>
      </c>
      <c r="B88" s="26">
        <f>'Datos tabulados de laboratorio'!S91</f>
        <v>0.6884469696969695</v>
      </c>
    </row>
    <row r="89" spans="1:2" x14ac:dyDescent="0.25">
      <c r="A89" s="26" t="str">
        <f>'Datos tabulados de laboratorio'!C92</f>
        <v>Quitumbe</v>
      </c>
      <c r="B89" s="26">
        <f>'Datos tabulados de laboratorio'!S92</f>
        <v>0.6884469696969695</v>
      </c>
    </row>
    <row r="90" spans="1:2" x14ac:dyDescent="0.25">
      <c r="A90" s="26" t="str">
        <f>'Datos tabulados de laboratorio'!C93</f>
        <v>Quitumbe</v>
      </c>
      <c r="B90" s="26">
        <f>'Datos tabulados de laboratorio'!S93</f>
        <v>0.50454545454545452</v>
      </c>
    </row>
    <row r="91" spans="1:2" x14ac:dyDescent="0.25">
      <c r="A91" s="26" t="str">
        <f>'Datos tabulados de laboratorio'!C94</f>
        <v>Quitumbe</v>
      </c>
      <c r="B91" s="26">
        <f>'Datos tabulados de laboratorio'!S94</f>
        <v>0.50454545454545452</v>
      </c>
    </row>
    <row r="92" spans="1:2" x14ac:dyDescent="0.25">
      <c r="A92" s="26" t="str">
        <f>'Datos tabulados de laboratorio'!C95</f>
        <v>Quitumbe</v>
      </c>
      <c r="B92" s="26">
        <f>'Datos tabulados de laboratorio'!S95</f>
        <v>0.50454545454545452</v>
      </c>
    </row>
    <row r="93" spans="1:2" x14ac:dyDescent="0.25">
      <c r="A93" s="26" t="str">
        <f>'Datos tabulados de laboratorio'!C96</f>
        <v>Quitumbe</v>
      </c>
      <c r="B93" s="26">
        <f>'Datos tabulados de laboratorio'!S96</f>
        <v>0.50454545454545452</v>
      </c>
    </row>
    <row r="94" spans="1:2" x14ac:dyDescent="0.25">
      <c r="A94" s="26" t="str">
        <f>'Datos tabulados de laboratorio'!C97</f>
        <v>Quitumbe</v>
      </c>
      <c r="B94" s="26">
        <f>'Datos tabulados de laboratorio'!S97</f>
        <v>0.50454545454545452</v>
      </c>
    </row>
    <row r="95" spans="1:2" x14ac:dyDescent="0.25">
      <c r="A95" s="26" t="str">
        <f>'Datos tabulados de laboratorio'!C98</f>
        <v>Eloy Alfaro</v>
      </c>
      <c r="B95" s="26">
        <f>'Datos tabulados de laboratorio'!S98</f>
        <v>0.50454545454545452</v>
      </c>
    </row>
    <row r="96" spans="1:2" x14ac:dyDescent="0.25">
      <c r="A96" s="26" t="str">
        <f>'Datos tabulados de laboratorio'!C99</f>
        <v>Quitumbe</v>
      </c>
      <c r="B96" s="26">
        <f>'Datos tabulados de laboratorio'!S99</f>
        <v>0.50454545454545452</v>
      </c>
    </row>
    <row r="97" spans="1:2" x14ac:dyDescent="0.25">
      <c r="A97" s="26" t="str">
        <f>'Datos tabulados de laboratorio'!C100</f>
        <v>Quitumbe</v>
      </c>
      <c r="B97" s="26">
        <f>'Datos tabulados de laboratorio'!S100</f>
        <v>0.50454545454545452</v>
      </c>
    </row>
    <row r="98" spans="1:2" x14ac:dyDescent="0.25">
      <c r="A98" s="26"/>
    </row>
    <row r="99" spans="1:2" x14ac:dyDescent="0.25">
      <c r="A99" s="26"/>
    </row>
    <row r="100" spans="1:2" x14ac:dyDescent="0.25">
      <c r="A100" s="26"/>
    </row>
    <row r="101" spans="1:2" x14ac:dyDescent="0.25">
      <c r="A101" s="26"/>
    </row>
    <row r="102" spans="1:2" x14ac:dyDescent="0.25">
      <c r="A102" s="26"/>
    </row>
    <row r="103" spans="1:2" x14ac:dyDescent="0.25">
      <c r="A103" s="26"/>
    </row>
    <row r="104" spans="1:2" x14ac:dyDescent="0.25">
      <c r="A104" s="26"/>
    </row>
    <row r="105" spans="1:2" x14ac:dyDescent="0.25">
      <c r="A105" s="26"/>
    </row>
    <row r="106" spans="1:2" x14ac:dyDescent="0.25">
      <c r="A106" s="26"/>
    </row>
    <row r="107" spans="1:2" x14ac:dyDescent="0.25">
      <c r="A107" s="26"/>
    </row>
    <row r="108" spans="1:2" x14ac:dyDescent="0.25">
      <c r="A108" s="26"/>
    </row>
    <row r="109" spans="1:2" x14ac:dyDescent="0.25">
      <c r="A109" s="26"/>
    </row>
    <row r="110" spans="1:2" x14ac:dyDescent="0.25">
      <c r="A110" s="26"/>
    </row>
    <row r="111" spans="1:2" x14ac:dyDescent="0.25">
      <c r="A111" s="26"/>
    </row>
    <row r="112" spans="1:2" x14ac:dyDescent="0.25">
      <c r="A112" s="26"/>
    </row>
    <row r="113" spans="1:1" x14ac:dyDescent="0.25">
      <c r="A113" s="26"/>
    </row>
    <row r="114" spans="1:1" x14ac:dyDescent="0.25">
      <c r="A114" s="26"/>
    </row>
    <row r="115" spans="1:1" x14ac:dyDescent="0.25">
      <c r="A115" s="26"/>
    </row>
    <row r="116" spans="1:1" x14ac:dyDescent="0.25">
      <c r="A116" s="26"/>
    </row>
    <row r="117" spans="1:1" x14ac:dyDescent="0.25">
      <c r="A117" s="26"/>
    </row>
    <row r="118" spans="1:1" x14ac:dyDescent="0.25">
      <c r="A118" s="26"/>
    </row>
    <row r="119" spans="1:1" x14ac:dyDescent="0.25">
      <c r="A119" s="26"/>
    </row>
    <row r="120" spans="1:1" x14ac:dyDescent="0.25">
      <c r="A120" s="26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Mapa temático</vt:lpstr>
      <vt:lpstr>Factores Eficiencia</vt:lpstr>
      <vt:lpstr>Cálculo N60</vt:lpstr>
      <vt:lpstr>Encuesta Trabajabilidad</vt:lpstr>
      <vt:lpstr>Datos tabulados de laboratorio</vt:lpstr>
      <vt:lpstr>Factores "m" anteriores</vt:lpstr>
      <vt:lpstr>Comparación de eficiencias</vt:lpstr>
      <vt:lpstr>Eficiencias por adm. zonal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DELGADO AYALA PABLO CAMILO</cp:lastModifiedBy>
  <dcterms:created xsi:type="dcterms:W3CDTF">2017-06-30T08:25:19Z</dcterms:created>
  <dcterms:modified xsi:type="dcterms:W3CDTF">2018-04-09T15:47:49Z</dcterms:modified>
</cp:coreProperties>
</file>