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15\Desktop\"/>
    </mc:Choice>
  </mc:AlternateContent>
  <bookViews>
    <workbookView xWindow="0" yWindow="0" windowWidth="21600" windowHeight="9735" tabRatio="500" firstSheet="3" activeTab="3"/>
  </bookViews>
  <sheets>
    <sheet name="Supuestos" sheetId="7" r:id="rId1"/>
    <sheet name="Caso Base | Edificabilidad" sheetId="4" r:id="rId2"/>
    <sheet name="Caso Base | m2 del Proyecto" sheetId="3" r:id="rId3"/>
    <sheet name="Caso Base | Flujo de Caja" sheetId="8" r:id="rId4"/>
    <sheet name="Caso RT | Edificabilidad" sheetId="18" r:id="rId5"/>
    <sheet name="Caso RT | m2 del Proyecto" sheetId="19" r:id="rId6"/>
    <sheet name="Caso RT | Flujo de Caja" sheetId="20" r:id="rId7"/>
    <sheet name="Comp. Valores de Propiedad" sheetId="13" r:id="rId8"/>
    <sheet name="Caso Opt. RT | Edificabilidad" sheetId="22" r:id="rId9"/>
    <sheet name="Caso Opt. RT | m2 del Proyecto" sheetId="23" r:id="rId10"/>
    <sheet name="Caso Opt. RT| Flujo de Caja" sheetId="24" r:id="rId11"/>
    <sheet name="Comp. Valores de Propiedad Opt." sheetId="25" r:id="rId12"/>
  </sheets>
  <definedNames>
    <definedName name="_xlnm.Print_Area" localSheetId="1">'Caso Base | Edificabilidad'!$B$2:$Q$37</definedName>
    <definedName name="_xlnm.Print_Area" localSheetId="2">'Caso Base | m2 del Proyecto'!$A$2:$L$45</definedName>
    <definedName name="_xlnm.Print_Area" localSheetId="8">'Caso Opt. RT | Edificabilidad'!$B$2:$Q$37</definedName>
    <definedName name="_xlnm.Print_Area" localSheetId="9">'Caso Opt. RT | m2 del Proyecto'!$A$2:$L$43</definedName>
    <definedName name="_xlnm.Print_Area" localSheetId="4">'Caso RT | Edificabilidad'!$B$2:$Q$37</definedName>
    <definedName name="_xlnm.Print_Area" localSheetId="5">'Caso RT | m2 del Proyecto'!$A$2:$L$43</definedName>
  </definedNames>
  <calcPr calcId="152511" iterate="1" concurrentCalc="0"/>
</workbook>
</file>

<file path=xl/calcChain.xml><?xml version="1.0" encoding="utf-8"?>
<calcChain xmlns="http://schemas.openxmlformats.org/spreadsheetml/2006/main">
  <c r="E7" i="23" l="1"/>
  <c r="I7" i="23"/>
  <c r="E15" i="23"/>
  <c r="I15" i="23"/>
  <c r="I17" i="23"/>
  <c r="E18" i="23"/>
  <c r="I18" i="23"/>
  <c r="E27" i="23"/>
  <c r="I27" i="23"/>
  <c r="I29" i="23"/>
  <c r="I30" i="23"/>
  <c r="D43" i="23"/>
  <c r="E43" i="23"/>
  <c r="F43" i="23"/>
  <c r="G46" i="23"/>
  <c r="H7" i="23"/>
  <c r="H15" i="23"/>
  <c r="H17" i="23"/>
  <c r="H18" i="23"/>
  <c r="E23" i="23"/>
  <c r="H23" i="23"/>
  <c r="H27" i="23"/>
  <c r="H29" i="23"/>
  <c r="H30" i="23"/>
  <c r="D42" i="23"/>
  <c r="E42" i="23"/>
  <c r="F42" i="23"/>
  <c r="G45" i="23"/>
  <c r="E65" i="8"/>
  <c r="G7" i="3"/>
  <c r="E8" i="3"/>
  <c r="G8" i="3"/>
  <c r="G10" i="3"/>
  <c r="G13" i="3"/>
  <c r="G16" i="3"/>
  <c r="G17" i="3"/>
  <c r="G18" i="3"/>
  <c r="G19" i="3"/>
  <c r="E20" i="3"/>
  <c r="G20" i="3"/>
  <c r="G22" i="3"/>
  <c r="G27" i="3"/>
  <c r="G28" i="3"/>
  <c r="G29" i="3"/>
  <c r="G30" i="3"/>
  <c r="D43" i="3"/>
  <c r="E43" i="3"/>
  <c r="F43" i="3"/>
  <c r="B5" i="8"/>
  <c r="G73" i="8"/>
  <c r="G74" i="8"/>
  <c r="G75" i="8"/>
  <c r="H18" i="3"/>
  <c r="H19" i="3"/>
  <c r="H20" i="3"/>
  <c r="H22" i="3"/>
  <c r="H27" i="3"/>
  <c r="H28" i="3"/>
  <c r="H29" i="3"/>
  <c r="H30" i="3"/>
  <c r="D44" i="3"/>
  <c r="E44" i="3"/>
  <c r="F44" i="3"/>
  <c r="G5" i="8"/>
  <c r="G6" i="8"/>
  <c r="G66" i="8"/>
  <c r="G76" i="8"/>
  <c r="G77" i="8"/>
  <c r="G8" i="8"/>
  <c r="G78" i="8"/>
  <c r="I7" i="3"/>
  <c r="I8" i="3"/>
  <c r="I10" i="3"/>
  <c r="I13" i="3"/>
  <c r="I16" i="3"/>
  <c r="I17" i="3"/>
  <c r="I18" i="3"/>
  <c r="I19" i="3"/>
  <c r="I20" i="3"/>
  <c r="I22" i="3"/>
  <c r="I27" i="3"/>
  <c r="I28" i="3"/>
  <c r="I29" i="3"/>
  <c r="I30" i="3"/>
  <c r="D45" i="3"/>
  <c r="E45" i="3"/>
  <c r="F45" i="3"/>
  <c r="L5" i="8"/>
  <c r="L6" i="8"/>
  <c r="G67" i="8"/>
  <c r="G79" i="8"/>
  <c r="G80" i="8"/>
  <c r="L8" i="8"/>
  <c r="G81" i="8"/>
  <c r="J19" i="3"/>
  <c r="J20" i="3"/>
  <c r="J22" i="3"/>
  <c r="J27" i="3"/>
  <c r="J28" i="3"/>
  <c r="J29" i="3"/>
  <c r="H43" i="3"/>
  <c r="E8" i="8"/>
  <c r="G82" i="8"/>
  <c r="G84" i="8"/>
  <c r="G85" i="8"/>
  <c r="G86" i="8"/>
  <c r="G87" i="8"/>
  <c r="H73" i="8"/>
  <c r="H74" i="8"/>
  <c r="H75" i="8"/>
  <c r="H66" i="8"/>
  <c r="H76" i="8"/>
  <c r="H77" i="8"/>
  <c r="H78" i="8"/>
  <c r="H67" i="8"/>
  <c r="H79" i="8"/>
  <c r="H80" i="8"/>
  <c r="H81" i="8"/>
  <c r="H82" i="8"/>
  <c r="H84" i="8"/>
  <c r="H85" i="8"/>
  <c r="H86" i="8"/>
  <c r="H87" i="8"/>
  <c r="H88" i="8"/>
  <c r="H89" i="8"/>
  <c r="I73" i="8"/>
  <c r="I74" i="8"/>
  <c r="I75" i="8"/>
  <c r="I66" i="8"/>
  <c r="I76" i="8"/>
  <c r="I77" i="8"/>
  <c r="I78" i="8"/>
  <c r="I67" i="8"/>
  <c r="I79" i="8"/>
  <c r="I80" i="8"/>
  <c r="I81" i="8"/>
  <c r="I82" i="8"/>
  <c r="I84" i="8"/>
  <c r="I85" i="8"/>
  <c r="I86" i="8"/>
  <c r="I87" i="8"/>
  <c r="I88" i="8"/>
  <c r="I89" i="8"/>
  <c r="J73" i="8"/>
  <c r="J74" i="8"/>
  <c r="J75" i="8"/>
  <c r="J66" i="8"/>
  <c r="J76" i="8"/>
  <c r="J77" i="8"/>
  <c r="J78" i="8"/>
  <c r="J67" i="8"/>
  <c r="J79" i="8"/>
  <c r="J80" i="8"/>
  <c r="J81" i="8"/>
  <c r="J82" i="8"/>
  <c r="J84" i="8"/>
  <c r="J85" i="8"/>
  <c r="J86" i="8"/>
  <c r="J87" i="8"/>
  <c r="J88" i="8"/>
  <c r="J89" i="8"/>
  <c r="K73" i="8"/>
  <c r="K74" i="8"/>
  <c r="K75" i="8"/>
  <c r="K66" i="8"/>
  <c r="K76" i="8"/>
  <c r="K77" i="8"/>
  <c r="K78" i="8"/>
  <c r="K67" i="8"/>
  <c r="K79" i="8"/>
  <c r="K80" i="8"/>
  <c r="K81" i="8"/>
  <c r="K82" i="8"/>
  <c r="K84" i="8"/>
  <c r="K85" i="8"/>
  <c r="K86" i="8"/>
  <c r="K87" i="8"/>
  <c r="K88" i="8"/>
  <c r="K89" i="8"/>
  <c r="L73" i="8"/>
  <c r="L74" i="8"/>
  <c r="L75" i="8"/>
  <c r="L66" i="8"/>
  <c r="L76" i="8"/>
  <c r="L77" i="8"/>
  <c r="L78" i="8"/>
  <c r="L67" i="8"/>
  <c r="L79" i="8"/>
  <c r="L80" i="8"/>
  <c r="L81" i="8"/>
  <c r="L82" i="8"/>
  <c r="L84" i="8"/>
  <c r="L85" i="8"/>
  <c r="L86" i="8"/>
  <c r="L87" i="8"/>
  <c r="L88" i="8"/>
  <c r="L89" i="8"/>
  <c r="M73" i="8"/>
  <c r="M74" i="8"/>
  <c r="M75" i="8"/>
  <c r="M66" i="8"/>
  <c r="M76" i="8"/>
  <c r="M77" i="8"/>
  <c r="M78" i="8"/>
  <c r="M67" i="8"/>
  <c r="M79" i="8"/>
  <c r="M80" i="8"/>
  <c r="M81" i="8"/>
  <c r="M82" i="8"/>
  <c r="M84" i="8"/>
  <c r="M85" i="8"/>
  <c r="M86" i="8"/>
  <c r="M87" i="8"/>
  <c r="M88" i="8"/>
  <c r="M89" i="8"/>
  <c r="N73" i="8"/>
  <c r="N74" i="8"/>
  <c r="N75" i="8"/>
  <c r="N66" i="8"/>
  <c r="N76" i="8"/>
  <c r="N77" i="8"/>
  <c r="N78" i="8"/>
  <c r="N67" i="8"/>
  <c r="N79" i="8"/>
  <c r="N80" i="8"/>
  <c r="N81" i="8"/>
  <c r="N82" i="8"/>
  <c r="N84" i="8"/>
  <c r="N85" i="8"/>
  <c r="N86" i="8"/>
  <c r="N87" i="8"/>
  <c r="O73" i="8"/>
  <c r="O74" i="8"/>
  <c r="O75" i="8"/>
  <c r="O66" i="8"/>
  <c r="O76" i="8"/>
  <c r="O77" i="8"/>
  <c r="O78" i="8"/>
  <c r="O67" i="8"/>
  <c r="O79" i="8"/>
  <c r="O80" i="8"/>
  <c r="O81" i="8"/>
  <c r="O82" i="8"/>
  <c r="O84" i="8"/>
  <c r="O85" i="8"/>
  <c r="O86" i="8"/>
  <c r="N88" i="8"/>
  <c r="N89" i="8"/>
  <c r="G90" i="8"/>
  <c r="G91" i="8"/>
  <c r="G96" i="8"/>
  <c r="D98" i="8"/>
  <c r="D7" i="3"/>
  <c r="F10" i="3"/>
  <c r="F16" i="3"/>
  <c r="D19" i="3"/>
  <c r="F22" i="3"/>
  <c r="F27" i="3"/>
  <c r="F32" i="3"/>
  <c r="E51" i="8"/>
  <c r="B4" i="8"/>
  <c r="E53" i="8"/>
  <c r="G4" i="8"/>
  <c r="K19" i="3"/>
  <c r="K20" i="3"/>
  <c r="K22" i="3"/>
  <c r="K27" i="3"/>
  <c r="K28" i="3"/>
  <c r="K29" i="3"/>
  <c r="H44" i="3"/>
  <c r="J8" i="8"/>
  <c r="E54" i="8"/>
  <c r="L4" i="8"/>
  <c r="L19" i="3"/>
  <c r="L20" i="3"/>
  <c r="L22" i="3"/>
  <c r="L27" i="3"/>
  <c r="L28" i="3"/>
  <c r="L29" i="3"/>
  <c r="H45" i="3"/>
  <c r="O8" i="8"/>
  <c r="E55" i="8"/>
  <c r="E52" i="8"/>
  <c r="F53" i="8"/>
  <c r="F54" i="8"/>
  <c r="F55" i="8"/>
  <c r="E33" i="3"/>
  <c r="F56" i="8"/>
  <c r="F52" i="8"/>
  <c r="E57" i="8"/>
  <c r="E58" i="8"/>
  <c r="E59" i="8"/>
  <c r="E60" i="8"/>
  <c r="E91" i="8"/>
  <c r="F58" i="8"/>
  <c r="F59" i="8"/>
  <c r="F60" i="8"/>
  <c r="F91" i="8"/>
  <c r="D99" i="8"/>
  <c r="D100" i="8"/>
  <c r="B34" i="8"/>
  <c r="E7" i="25"/>
  <c r="B34" i="24"/>
  <c r="D49" i="24"/>
  <c r="G7" i="23"/>
  <c r="E13" i="23"/>
  <c r="G13" i="23"/>
  <c r="G15" i="23"/>
  <c r="G17" i="23"/>
  <c r="G18" i="23"/>
  <c r="G23" i="23"/>
  <c r="G27" i="23"/>
  <c r="G29" i="23"/>
  <c r="G30" i="23"/>
  <c r="D41" i="23"/>
  <c r="E41" i="23"/>
  <c r="F41" i="23"/>
  <c r="B5" i="24"/>
  <c r="B6" i="24"/>
  <c r="B7" i="24"/>
  <c r="F62" i="24"/>
  <c r="G62" i="24"/>
  <c r="G64" i="24"/>
  <c r="C45" i="24"/>
  <c r="G72" i="24"/>
  <c r="G73" i="24"/>
  <c r="B8" i="24"/>
  <c r="G74" i="24"/>
  <c r="G5" i="24"/>
  <c r="G6" i="24"/>
  <c r="G65" i="24"/>
  <c r="G75" i="24"/>
  <c r="G76" i="24"/>
  <c r="G8" i="24"/>
  <c r="G77" i="24"/>
  <c r="L5" i="24"/>
  <c r="L6" i="24"/>
  <c r="G66" i="24"/>
  <c r="G78" i="24"/>
  <c r="G79" i="24"/>
  <c r="L8" i="24"/>
  <c r="G80" i="24"/>
  <c r="E18" i="19"/>
  <c r="G18" i="19"/>
  <c r="J18" i="19"/>
  <c r="E23" i="19"/>
  <c r="G23" i="19"/>
  <c r="J23" i="19"/>
  <c r="E27" i="19"/>
  <c r="G27" i="19"/>
  <c r="J27" i="19"/>
  <c r="J29" i="19"/>
  <c r="H41" i="19"/>
  <c r="E8" i="24"/>
  <c r="E9" i="24"/>
  <c r="G68" i="24"/>
  <c r="G81" i="24"/>
  <c r="G83" i="24"/>
  <c r="B9" i="24"/>
  <c r="B10" i="24"/>
  <c r="F63" i="24"/>
  <c r="G63" i="24"/>
  <c r="G67" i="24"/>
  <c r="G84" i="24"/>
  <c r="G85" i="24"/>
  <c r="G86" i="24"/>
  <c r="E11" i="24"/>
  <c r="H62" i="24"/>
  <c r="H64" i="24"/>
  <c r="H72" i="24"/>
  <c r="H73" i="24"/>
  <c r="H74" i="24"/>
  <c r="H65" i="24"/>
  <c r="H75" i="24"/>
  <c r="H76" i="24"/>
  <c r="H77" i="24"/>
  <c r="H66" i="24"/>
  <c r="H78" i="24"/>
  <c r="H79" i="24"/>
  <c r="H80" i="24"/>
  <c r="H68" i="24"/>
  <c r="H81" i="24"/>
  <c r="H83" i="24"/>
  <c r="H63" i="24"/>
  <c r="H67" i="24"/>
  <c r="H84" i="24"/>
  <c r="H85" i="24"/>
  <c r="H86" i="24"/>
  <c r="H87" i="24"/>
  <c r="H88" i="24"/>
  <c r="I62" i="24"/>
  <c r="I64" i="24"/>
  <c r="I72" i="24"/>
  <c r="I73" i="24"/>
  <c r="I74" i="24"/>
  <c r="I65" i="24"/>
  <c r="I75" i="24"/>
  <c r="I76" i="24"/>
  <c r="I77" i="24"/>
  <c r="I66" i="24"/>
  <c r="I78" i="24"/>
  <c r="I79" i="24"/>
  <c r="I80" i="24"/>
  <c r="I68" i="24"/>
  <c r="I81" i="24"/>
  <c r="I83" i="24"/>
  <c r="I63" i="24"/>
  <c r="I67" i="24"/>
  <c r="I84" i="24"/>
  <c r="I85" i="24"/>
  <c r="I86" i="24"/>
  <c r="I87" i="24"/>
  <c r="I88" i="24"/>
  <c r="J62" i="24"/>
  <c r="J64" i="24"/>
  <c r="J72" i="24"/>
  <c r="J73" i="24"/>
  <c r="J74" i="24"/>
  <c r="J65" i="24"/>
  <c r="J75" i="24"/>
  <c r="J76" i="24"/>
  <c r="J77" i="24"/>
  <c r="J66" i="24"/>
  <c r="J78" i="24"/>
  <c r="J79" i="24"/>
  <c r="J80" i="24"/>
  <c r="J68" i="24"/>
  <c r="J81" i="24"/>
  <c r="J83" i="24"/>
  <c r="J63" i="24"/>
  <c r="J67" i="24"/>
  <c r="J84" i="24"/>
  <c r="J85" i="24"/>
  <c r="J86" i="24"/>
  <c r="J87" i="24"/>
  <c r="J88" i="24"/>
  <c r="K62" i="24"/>
  <c r="K64" i="24"/>
  <c r="K72" i="24"/>
  <c r="K73" i="24"/>
  <c r="K74" i="24"/>
  <c r="K65" i="24"/>
  <c r="K75" i="24"/>
  <c r="K76" i="24"/>
  <c r="K77" i="24"/>
  <c r="K66" i="24"/>
  <c r="K78" i="24"/>
  <c r="K79" i="24"/>
  <c r="K80" i="24"/>
  <c r="K68" i="24"/>
  <c r="K81" i="24"/>
  <c r="K83" i="24"/>
  <c r="K63" i="24"/>
  <c r="K67" i="24"/>
  <c r="K84" i="24"/>
  <c r="K85" i="24"/>
  <c r="K86" i="24"/>
  <c r="K87" i="24"/>
  <c r="K88" i="24"/>
  <c r="L62" i="24"/>
  <c r="L64" i="24"/>
  <c r="L72" i="24"/>
  <c r="L73" i="24"/>
  <c r="L74" i="24"/>
  <c r="L65" i="24"/>
  <c r="L75" i="24"/>
  <c r="L76" i="24"/>
  <c r="L77" i="24"/>
  <c r="L66" i="24"/>
  <c r="L78" i="24"/>
  <c r="L79" i="24"/>
  <c r="L80" i="24"/>
  <c r="L68" i="24"/>
  <c r="L81" i="24"/>
  <c r="L83" i="24"/>
  <c r="L63" i="24"/>
  <c r="L67" i="24"/>
  <c r="L84" i="24"/>
  <c r="L85" i="24"/>
  <c r="L86" i="24"/>
  <c r="L87" i="24"/>
  <c r="L88" i="24"/>
  <c r="M62" i="24"/>
  <c r="M64" i="24"/>
  <c r="M72" i="24"/>
  <c r="M73" i="24"/>
  <c r="M74" i="24"/>
  <c r="M65" i="24"/>
  <c r="M75" i="24"/>
  <c r="M76" i="24"/>
  <c r="M77" i="24"/>
  <c r="M66" i="24"/>
  <c r="M78" i="24"/>
  <c r="M79" i="24"/>
  <c r="M80" i="24"/>
  <c r="M68" i="24"/>
  <c r="M81" i="24"/>
  <c r="M83" i="24"/>
  <c r="M63" i="24"/>
  <c r="M67" i="24"/>
  <c r="M84" i="24"/>
  <c r="M85" i="24"/>
  <c r="M86" i="24"/>
  <c r="M87" i="24"/>
  <c r="M88" i="24"/>
  <c r="N62" i="24"/>
  <c r="N64" i="24"/>
  <c r="N72" i="24"/>
  <c r="N73" i="24"/>
  <c r="N74" i="24"/>
  <c r="N65" i="24"/>
  <c r="N75" i="24"/>
  <c r="N76" i="24"/>
  <c r="N77" i="24"/>
  <c r="N66" i="24"/>
  <c r="N78" i="24"/>
  <c r="N79" i="24"/>
  <c r="N80" i="24"/>
  <c r="N68" i="24"/>
  <c r="N81" i="24"/>
  <c r="N83" i="24"/>
  <c r="N63" i="24"/>
  <c r="N67" i="24"/>
  <c r="N84" i="24"/>
  <c r="N85" i="24"/>
  <c r="N86" i="24"/>
  <c r="O62" i="24"/>
  <c r="O64" i="24"/>
  <c r="O72" i="24"/>
  <c r="O73" i="24"/>
  <c r="O74" i="24"/>
  <c r="O65" i="24"/>
  <c r="O75" i="24"/>
  <c r="O76" i="24"/>
  <c r="O77" i="24"/>
  <c r="O66" i="24"/>
  <c r="O78" i="24"/>
  <c r="O79" i="24"/>
  <c r="O80" i="24"/>
  <c r="O68" i="24"/>
  <c r="O81" i="24"/>
  <c r="O83" i="24"/>
  <c r="O63" i="24"/>
  <c r="O67" i="24"/>
  <c r="O84" i="24"/>
  <c r="O85" i="24"/>
  <c r="E12" i="24"/>
  <c r="N87" i="24"/>
  <c r="N88" i="24"/>
  <c r="G89" i="24"/>
  <c r="G90" i="24"/>
  <c r="G95" i="24"/>
  <c r="C17" i="24"/>
  <c r="C98" i="24"/>
  <c r="E51" i="24"/>
  <c r="B4" i="24"/>
  <c r="B11" i="24"/>
  <c r="B12" i="24"/>
  <c r="C22" i="24"/>
  <c r="E53" i="24"/>
  <c r="G4" i="24"/>
  <c r="G11" i="24"/>
  <c r="G12" i="24"/>
  <c r="H18" i="19"/>
  <c r="K18" i="19"/>
  <c r="H23" i="19"/>
  <c r="K23" i="19"/>
  <c r="H27" i="19"/>
  <c r="K27" i="19"/>
  <c r="K29" i="19"/>
  <c r="H42" i="19"/>
  <c r="J8" i="24"/>
  <c r="E54" i="24"/>
  <c r="L4" i="24"/>
  <c r="L11" i="24"/>
  <c r="L12" i="24"/>
  <c r="I18" i="19"/>
  <c r="L18" i="19"/>
  <c r="I27" i="19"/>
  <c r="L27" i="19"/>
  <c r="L29" i="19"/>
  <c r="H43" i="19"/>
  <c r="O8" i="24"/>
  <c r="E55" i="24"/>
  <c r="E52" i="24"/>
  <c r="C26" i="24"/>
  <c r="C24" i="24"/>
  <c r="C25" i="24"/>
  <c r="F53" i="24"/>
  <c r="F54" i="24"/>
  <c r="F55" i="24"/>
  <c r="F52" i="24"/>
  <c r="E57" i="24"/>
  <c r="E58" i="24"/>
  <c r="C27" i="24"/>
  <c r="E59" i="24"/>
  <c r="E60" i="24"/>
  <c r="E90" i="24"/>
  <c r="F58" i="24"/>
  <c r="F59" i="24"/>
  <c r="F60" i="24"/>
  <c r="F90" i="24"/>
  <c r="D98" i="24"/>
  <c r="C96" i="24"/>
  <c r="G96" i="24"/>
  <c r="E10" i="24"/>
  <c r="C97" i="24"/>
  <c r="D97" i="24"/>
  <c r="C94" i="24"/>
  <c r="N34" i="24"/>
  <c r="D60" i="24"/>
  <c r="D90" i="24"/>
  <c r="D92" i="24"/>
  <c r="E92" i="24"/>
  <c r="F92" i="24"/>
  <c r="G92" i="24"/>
  <c r="H89" i="24"/>
  <c r="H92" i="24"/>
  <c r="I89" i="24"/>
  <c r="I92" i="24"/>
  <c r="J89" i="24"/>
  <c r="J92" i="24"/>
  <c r="K89" i="24"/>
  <c r="K92" i="24"/>
  <c r="L89" i="24"/>
  <c r="L92" i="24"/>
  <c r="M89" i="24"/>
  <c r="M92" i="24"/>
  <c r="N89" i="24"/>
  <c r="N92" i="24"/>
  <c r="C92" i="24"/>
  <c r="M34" i="24"/>
  <c r="C91" i="24"/>
  <c r="L34" i="24"/>
  <c r="D99" i="24"/>
  <c r="D100" i="24"/>
  <c r="H34" i="24"/>
  <c r="J34" i="24"/>
  <c r="D34" i="24"/>
  <c r="F34" i="24"/>
  <c r="E7" i="13"/>
  <c r="B34" i="20"/>
  <c r="C45" i="20"/>
  <c r="D49" i="20"/>
  <c r="D60" i="20"/>
  <c r="D90" i="20"/>
  <c r="D99" i="20"/>
  <c r="E7" i="19"/>
  <c r="G7" i="19"/>
  <c r="E13" i="19"/>
  <c r="G13" i="19"/>
  <c r="E15" i="19"/>
  <c r="G15" i="19"/>
  <c r="G17" i="19"/>
  <c r="G29" i="19"/>
  <c r="G30" i="19"/>
  <c r="D41" i="19"/>
  <c r="E41" i="19"/>
  <c r="F41" i="19"/>
  <c r="B5" i="20"/>
  <c r="B6" i="20"/>
  <c r="B7" i="20"/>
  <c r="F62" i="20"/>
  <c r="G62" i="20"/>
  <c r="G64" i="20"/>
  <c r="G72" i="20"/>
  <c r="G73" i="20"/>
  <c r="B8" i="20"/>
  <c r="G74" i="20"/>
  <c r="H17" i="19"/>
  <c r="H29" i="19"/>
  <c r="H30" i="19"/>
  <c r="D42" i="19"/>
  <c r="E42" i="19"/>
  <c r="F42" i="19"/>
  <c r="G5" i="20"/>
  <c r="G6" i="20"/>
  <c r="G65" i="20"/>
  <c r="G75" i="20"/>
  <c r="G76" i="20"/>
  <c r="G8" i="20"/>
  <c r="G77" i="20"/>
  <c r="I7" i="19"/>
  <c r="I15" i="19"/>
  <c r="I17" i="19"/>
  <c r="I29" i="19"/>
  <c r="I30" i="19"/>
  <c r="D43" i="19"/>
  <c r="E43" i="19"/>
  <c r="F43" i="19"/>
  <c r="L5" i="20"/>
  <c r="L6" i="20"/>
  <c r="G66" i="20"/>
  <c r="G78" i="20"/>
  <c r="G79" i="20"/>
  <c r="L8" i="20"/>
  <c r="G80" i="20"/>
  <c r="E8" i="20"/>
  <c r="E9" i="20"/>
  <c r="G68" i="20"/>
  <c r="G81" i="20"/>
  <c r="G83" i="20"/>
  <c r="B9" i="20"/>
  <c r="B10" i="20"/>
  <c r="F63" i="20"/>
  <c r="G63" i="20"/>
  <c r="G67" i="20"/>
  <c r="G84" i="20"/>
  <c r="G85" i="20"/>
  <c r="G86" i="20"/>
  <c r="E11" i="20"/>
  <c r="H62" i="20"/>
  <c r="H64" i="20"/>
  <c r="H72" i="20"/>
  <c r="H73" i="20"/>
  <c r="H74" i="20"/>
  <c r="H65" i="20"/>
  <c r="H75" i="20"/>
  <c r="H76" i="20"/>
  <c r="H77" i="20"/>
  <c r="H66" i="20"/>
  <c r="H78" i="20"/>
  <c r="H79" i="20"/>
  <c r="H80" i="20"/>
  <c r="H68" i="20"/>
  <c r="H81" i="20"/>
  <c r="H83" i="20"/>
  <c r="H63" i="20"/>
  <c r="H67" i="20"/>
  <c r="H84" i="20"/>
  <c r="H85" i="20"/>
  <c r="H86" i="20"/>
  <c r="H87" i="20"/>
  <c r="H88" i="20"/>
  <c r="I62" i="20"/>
  <c r="I64" i="20"/>
  <c r="I72" i="20"/>
  <c r="I73" i="20"/>
  <c r="I74" i="20"/>
  <c r="I65" i="20"/>
  <c r="I75" i="20"/>
  <c r="I76" i="20"/>
  <c r="I77" i="20"/>
  <c r="I66" i="20"/>
  <c r="I78" i="20"/>
  <c r="I79" i="20"/>
  <c r="I80" i="20"/>
  <c r="I68" i="20"/>
  <c r="I81" i="20"/>
  <c r="I83" i="20"/>
  <c r="I63" i="20"/>
  <c r="I67" i="20"/>
  <c r="I84" i="20"/>
  <c r="I85" i="20"/>
  <c r="I86" i="20"/>
  <c r="I87" i="20"/>
  <c r="I88" i="20"/>
  <c r="J62" i="20"/>
  <c r="J64" i="20"/>
  <c r="J72" i="20"/>
  <c r="J73" i="20"/>
  <c r="J74" i="20"/>
  <c r="J65" i="20"/>
  <c r="J75" i="20"/>
  <c r="J76" i="20"/>
  <c r="J77" i="20"/>
  <c r="J66" i="20"/>
  <c r="J78" i="20"/>
  <c r="J79" i="20"/>
  <c r="J80" i="20"/>
  <c r="J68" i="20"/>
  <c r="J81" i="20"/>
  <c r="J83" i="20"/>
  <c r="J63" i="20"/>
  <c r="J67" i="20"/>
  <c r="J84" i="20"/>
  <c r="J85" i="20"/>
  <c r="J86" i="20"/>
  <c r="J87" i="20"/>
  <c r="J88" i="20"/>
  <c r="K62" i="20"/>
  <c r="K64" i="20"/>
  <c r="K72" i="20"/>
  <c r="K73" i="20"/>
  <c r="K74" i="20"/>
  <c r="K65" i="20"/>
  <c r="K75" i="20"/>
  <c r="K76" i="20"/>
  <c r="K77" i="20"/>
  <c r="K66" i="20"/>
  <c r="K78" i="20"/>
  <c r="K79" i="20"/>
  <c r="K80" i="20"/>
  <c r="K68" i="20"/>
  <c r="K81" i="20"/>
  <c r="K83" i="20"/>
  <c r="K63" i="20"/>
  <c r="K67" i="20"/>
  <c r="K84" i="20"/>
  <c r="K85" i="20"/>
  <c r="K86" i="20"/>
  <c r="K87" i="20"/>
  <c r="K88" i="20"/>
  <c r="L62" i="20"/>
  <c r="L64" i="20"/>
  <c r="L72" i="20"/>
  <c r="L73" i="20"/>
  <c r="L74" i="20"/>
  <c r="L65" i="20"/>
  <c r="L75" i="20"/>
  <c r="L76" i="20"/>
  <c r="L77" i="20"/>
  <c r="L66" i="20"/>
  <c r="L78" i="20"/>
  <c r="L79" i="20"/>
  <c r="L80" i="20"/>
  <c r="L68" i="20"/>
  <c r="L81" i="20"/>
  <c r="L83" i="20"/>
  <c r="L63" i="20"/>
  <c r="L67" i="20"/>
  <c r="L84" i="20"/>
  <c r="L85" i="20"/>
  <c r="L86" i="20"/>
  <c r="L87" i="20"/>
  <c r="L88" i="20"/>
  <c r="M62" i="20"/>
  <c r="M64" i="20"/>
  <c r="M72" i="20"/>
  <c r="M73" i="20"/>
  <c r="M74" i="20"/>
  <c r="M65" i="20"/>
  <c r="M75" i="20"/>
  <c r="M76" i="20"/>
  <c r="M77" i="20"/>
  <c r="M66" i="20"/>
  <c r="M78" i="20"/>
  <c r="M79" i="20"/>
  <c r="M80" i="20"/>
  <c r="M68" i="20"/>
  <c r="M81" i="20"/>
  <c r="M83" i="20"/>
  <c r="M63" i="20"/>
  <c r="M67" i="20"/>
  <c r="M84" i="20"/>
  <c r="M85" i="20"/>
  <c r="M86" i="20"/>
  <c r="M87" i="20"/>
  <c r="M88" i="20"/>
  <c r="N62" i="20"/>
  <c r="N64" i="20"/>
  <c r="N72" i="20"/>
  <c r="N73" i="20"/>
  <c r="N74" i="20"/>
  <c r="N65" i="20"/>
  <c r="N75" i="20"/>
  <c r="N76" i="20"/>
  <c r="N77" i="20"/>
  <c r="N66" i="20"/>
  <c r="N78" i="20"/>
  <c r="N79" i="20"/>
  <c r="N80" i="20"/>
  <c r="N68" i="20"/>
  <c r="N81" i="20"/>
  <c r="N83" i="20"/>
  <c r="N63" i="20"/>
  <c r="N67" i="20"/>
  <c r="N84" i="20"/>
  <c r="N85" i="20"/>
  <c r="N86" i="20"/>
  <c r="O62" i="20"/>
  <c r="O64" i="20"/>
  <c r="O72" i="20"/>
  <c r="O73" i="20"/>
  <c r="O74" i="20"/>
  <c r="O65" i="20"/>
  <c r="O75" i="20"/>
  <c r="O76" i="20"/>
  <c r="O77" i="20"/>
  <c r="O66" i="20"/>
  <c r="O78" i="20"/>
  <c r="O79" i="20"/>
  <c r="O80" i="20"/>
  <c r="O68" i="20"/>
  <c r="O81" i="20"/>
  <c r="O83" i="20"/>
  <c r="O63" i="20"/>
  <c r="O67" i="20"/>
  <c r="O84" i="20"/>
  <c r="O85" i="20"/>
  <c r="E12" i="20"/>
  <c r="N87" i="20"/>
  <c r="N88" i="20"/>
  <c r="G89" i="20"/>
  <c r="G90" i="20"/>
  <c r="G95" i="20"/>
  <c r="E10" i="20"/>
  <c r="C97" i="20"/>
  <c r="D97" i="20"/>
  <c r="C17" i="20"/>
  <c r="C98" i="20"/>
  <c r="E51" i="20"/>
  <c r="B4" i="20"/>
  <c r="B11" i="20"/>
  <c r="B12" i="20"/>
  <c r="C22" i="20"/>
  <c r="E53" i="20"/>
  <c r="G4" i="20"/>
  <c r="G11" i="20"/>
  <c r="G12" i="20"/>
  <c r="J8" i="20"/>
  <c r="E54" i="20"/>
  <c r="L4" i="20"/>
  <c r="L11" i="20"/>
  <c r="L12" i="20"/>
  <c r="O8" i="20"/>
  <c r="E55" i="20"/>
  <c r="E52" i="20"/>
  <c r="C26" i="20"/>
  <c r="C24" i="20"/>
  <c r="C25" i="20"/>
  <c r="F53" i="20"/>
  <c r="F54" i="20"/>
  <c r="F55" i="20"/>
  <c r="F52" i="20"/>
  <c r="E57" i="20"/>
  <c r="E58" i="20"/>
  <c r="C27" i="20"/>
  <c r="E59" i="20"/>
  <c r="E60" i="20"/>
  <c r="E90" i="20"/>
  <c r="F58" i="20"/>
  <c r="F59" i="20"/>
  <c r="F60" i="20"/>
  <c r="F90" i="20"/>
  <c r="D98" i="20"/>
  <c r="D100" i="20"/>
  <c r="D34" i="20"/>
  <c r="F34" i="20"/>
  <c r="C91" i="20"/>
  <c r="D92" i="20"/>
  <c r="E92" i="20"/>
  <c r="F92" i="20"/>
  <c r="G92" i="20"/>
  <c r="H89" i="20"/>
  <c r="H92" i="20"/>
  <c r="I89" i="20"/>
  <c r="I92" i="20"/>
  <c r="J89" i="20"/>
  <c r="J92" i="20"/>
  <c r="K89" i="20"/>
  <c r="K92" i="20"/>
  <c r="L89" i="20"/>
  <c r="L92" i="20"/>
  <c r="M89" i="20"/>
  <c r="M92" i="20"/>
  <c r="N89" i="20"/>
  <c r="N92" i="20"/>
  <c r="C92" i="20"/>
  <c r="C96" i="20"/>
  <c r="G96" i="20"/>
  <c r="C94" i="20"/>
  <c r="N34" i="20"/>
  <c r="M34" i="20"/>
  <c r="L34" i="20"/>
  <c r="H34" i="20"/>
  <c r="J34" i="20"/>
  <c r="B6" i="8"/>
  <c r="B7" i="8"/>
  <c r="F63" i="8"/>
  <c r="G63" i="8"/>
  <c r="G65" i="8"/>
  <c r="C45" i="8"/>
  <c r="B8" i="8"/>
  <c r="E9" i="8"/>
  <c r="G69" i="8"/>
  <c r="B9" i="8"/>
  <c r="B10" i="8"/>
  <c r="F64" i="8"/>
  <c r="G64" i="8"/>
  <c r="G68" i="8"/>
  <c r="E11" i="8"/>
  <c r="H63" i="8"/>
  <c r="H65" i="8"/>
  <c r="H69" i="8"/>
  <c r="H64" i="8"/>
  <c r="H68" i="8"/>
  <c r="I63" i="8"/>
  <c r="I65" i="8"/>
  <c r="I69" i="8"/>
  <c r="I64" i="8"/>
  <c r="I68" i="8"/>
  <c r="J63" i="8"/>
  <c r="J65" i="8"/>
  <c r="J69" i="8"/>
  <c r="J64" i="8"/>
  <c r="J68" i="8"/>
  <c r="K63" i="8"/>
  <c r="K65" i="8"/>
  <c r="K69" i="8"/>
  <c r="K64" i="8"/>
  <c r="K68" i="8"/>
  <c r="L63" i="8"/>
  <c r="L65" i="8"/>
  <c r="L69" i="8"/>
  <c r="L64" i="8"/>
  <c r="L68" i="8"/>
  <c r="M63" i="8"/>
  <c r="M65" i="8"/>
  <c r="M69" i="8"/>
  <c r="M64" i="8"/>
  <c r="M68" i="8"/>
  <c r="N63" i="8"/>
  <c r="N65" i="8"/>
  <c r="N69" i="8"/>
  <c r="N64" i="8"/>
  <c r="N68" i="8"/>
  <c r="O63" i="8"/>
  <c r="O65" i="8"/>
  <c r="O69" i="8"/>
  <c r="O64" i="8"/>
  <c r="O68" i="8"/>
  <c r="E12" i="8"/>
  <c r="C17" i="8"/>
  <c r="C99" i="8"/>
  <c r="B11" i="8"/>
  <c r="B12" i="8"/>
  <c r="C22" i="8"/>
  <c r="G11" i="8"/>
  <c r="G12" i="8"/>
  <c r="L11" i="8"/>
  <c r="L12" i="8"/>
  <c r="C26" i="8"/>
  <c r="C24" i="8"/>
  <c r="C25" i="8"/>
  <c r="C27" i="8"/>
  <c r="C97" i="8"/>
  <c r="G97" i="8"/>
  <c r="E10" i="8"/>
  <c r="C98" i="8"/>
  <c r="C95" i="8"/>
  <c r="J34" i="8"/>
  <c r="E31" i="3"/>
  <c r="E32" i="3"/>
  <c r="D49" i="8"/>
  <c r="D50" i="8"/>
  <c r="D60" i="8"/>
  <c r="D91" i="8"/>
  <c r="D93" i="8"/>
  <c r="E93" i="8"/>
  <c r="F93" i="8"/>
  <c r="G93" i="8"/>
  <c r="H90" i="8"/>
  <c r="H93" i="8"/>
  <c r="I90" i="8"/>
  <c r="I93" i="8"/>
  <c r="J90" i="8"/>
  <c r="J93" i="8"/>
  <c r="K90" i="8"/>
  <c r="K93" i="8"/>
  <c r="L90" i="8"/>
  <c r="L93" i="8"/>
  <c r="M90" i="8"/>
  <c r="M93" i="8"/>
  <c r="N90" i="8"/>
  <c r="N93" i="8"/>
  <c r="C93" i="8"/>
  <c r="I34" i="8"/>
  <c r="C92" i="8"/>
  <c r="H34" i="8"/>
  <c r="D34" i="8"/>
  <c r="F34" i="8"/>
  <c r="C96" i="8"/>
  <c r="L7" i="7"/>
  <c r="K7" i="7"/>
  <c r="J7" i="7"/>
  <c r="J10" i="7"/>
  <c r="I43" i="3"/>
  <c r="I41" i="19"/>
  <c r="I41" i="23"/>
  <c r="S2" i="13"/>
  <c r="J12" i="7"/>
  <c r="F7" i="13"/>
  <c r="F8" i="13"/>
  <c r="F10" i="13"/>
  <c r="F11" i="13"/>
  <c r="F9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G28" i="13"/>
  <c r="H7" i="13"/>
  <c r="H8" i="13"/>
  <c r="H10" i="13"/>
  <c r="H11" i="13"/>
  <c r="H9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K15" i="23"/>
  <c r="K7" i="23"/>
  <c r="G28" i="25"/>
  <c r="C28" i="25"/>
  <c r="D9" i="25"/>
  <c r="H9" i="25"/>
  <c r="D13" i="25"/>
  <c r="H13" i="25"/>
  <c r="D14" i="25"/>
  <c r="H14" i="25"/>
  <c r="D17" i="25"/>
  <c r="H17" i="25"/>
  <c r="D7" i="25"/>
  <c r="H7" i="25"/>
  <c r="D8" i="25"/>
  <c r="H8" i="25"/>
  <c r="D10" i="25"/>
  <c r="H10" i="25"/>
  <c r="D11" i="25"/>
  <c r="H11" i="25"/>
  <c r="D12" i="25"/>
  <c r="H12" i="25"/>
  <c r="D15" i="25"/>
  <c r="H15" i="25"/>
  <c r="D16" i="25"/>
  <c r="H16" i="25"/>
  <c r="D18" i="25"/>
  <c r="H18" i="25"/>
  <c r="D19" i="25"/>
  <c r="H19" i="25"/>
  <c r="D20" i="25"/>
  <c r="H20" i="25"/>
  <c r="D21" i="25"/>
  <c r="H21" i="25"/>
  <c r="D22" i="25"/>
  <c r="H22" i="25"/>
  <c r="D23" i="25"/>
  <c r="H23" i="25"/>
  <c r="D24" i="25"/>
  <c r="H24" i="25"/>
  <c r="D25" i="25"/>
  <c r="H25" i="25"/>
  <c r="D26" i="25"/>
  <c r="H26" i="25"/>
  <c r="D27" i="25"/>
  <c r="H27" i="25"/>
  <c r="F9" i="25"/>
  <c r="F13" i="25"/>
  <c r="F14" i="25"/>
  <c r="F17" i="25"/>
  <c r="F7" i="25"/>
  <c r="F8" i="25"/>
  <c r="F10" i="25"/>
  <c r="F11" i="25"/>
  <c r="F12" i="25"/>
  <c r="F15" i="25"/>
  <c r="F16" i="25"/>
  <c r="F18" i="25"/>
  <c r="F19" i="25"/>
  <c r="F20" i="25"/>
  <c r="F21" i="25"/>
  <c r="F22" i="25"/>
  <c r="F23" i="25"/>
  <c r="F24" i="25"/>
  <c r="F25" i="25"/>
  <c r="F26" i="25"/>
  <c r="F27" i="25"/>
  <c r="E17" i="19"/>
  <c r="E29" i="19"/>
  <c r="E30" i="19"/>
  <c r="E31" i="19"/>
  <c r="G29" i="25"/>
  <c r="E28" i="25"/>
  <c r="E29" i="25"/>
  <c r="I28" i="25"/>
  <c r="J28" i="25"/>
  <c r="Q28" i="25"/>
  <c r="O7" i="25"/>
  <c r="N7" i="25"/>
  <c r="P7" i="25"/>
  <c r="O8" i="25"/>
  <c r="N8" i="25"/>
  <c r="P8" i="25"/>
  <c r="O9" i="25"/>
  <c r="N9" i="25"/>
  <c r="P9" i="25"/>
  <c r="O10" i="25"/>
  <c r="N10" i="25"/>
  <c r="P10" i="25"/>
  <c r="O11" i="25"/>
  <c r="N11" i="25"/>
  <c r="P11" i="25"/>
  <c r="O12" i="25"/>
  <c r="N12" i="25"/>
  <c r="P12" i="25"/>
  <c r="O13" i="25"/>
  <c r="N13" i="25"/>
  <c r="P13" i="25"/>
  <c r="O14" i="25"/>
  <c r="N14" i="25"/>
  <c r="P14" i="25"/>
  <c r="O15" i="25"/>
  <c r="N15" i="25"/>
  <c r="P15" i="25"/>
  <c r="O16" i="25"/>
  <c r="N16" i="25"/>
  <c r="P16" i="25"/>
  <c r="O17" i="25"/>
  <c r="N17" i="25"/>
  <c r="P17" i="25"/>
  <c r="O18" i="25"/>
  <c r="N18" i="25"/>
  <c r="P18" i="25"/>
  <c r="O19" i="25"/>
  <c r="N19" i="25"/>
  <c r="P19" i="25"/>
  <c r="O20" i="25"/>
  <c r="N20" i="25"/>
  <c r="P20" i="25"/>
  <c r="O21" i="25"/>
  <c r="N21" i="25"/>
  <c r="P21" i="25"/>
  <c r="O22" i="25"/>
  <c r="N22" i="25"/>
  <c r="P22" i="25"/>
  <c r="O23" i="25"/>
  <c r="N23" i="25"/>
  <c r="P23" i="25"/>
  <c r="O24" i="25"/>
  <c r="N24" i="25"/>
  <c r="P24" i="25"/>
  <c r="O25" i="25"/>
  <c r="N25" i="25"/>
  <c r="P25" i="25"/>
  <c r="O26" i="25"/>
  <c r="N26" i="25"/>
  <c r="P26" i="25"/>
  <c r="O27" i="25"/>
  <c r="N27" i="25"/>
  <c r="P27" i="25"/>
  <c r="P28" i="25"/>
  <c r="O28" i="25"/>
  <c r="N28" i="25"/>
  <c r="H28" i="25"/>
  <c r="F28" i="25"/>
  <c r="D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I10" i="25"/>
  <c r="I9" i="25"/>
  <c r="I8" i="25"/>
  <c r="Q7" i="25"/>
  <c r="I7" i="25"/>
  <c r="J7" i="25"/>
  <c r="G7" i="25"/>
  <c r="C95" i="24"/>
  <c r="G87" i="24"/>
  <c r="P62" i="24"/>
  <c r="Q62" i="24"/>
  <c r="R62" i="24"/>
  <c r="R64" i="24"/>
  <c r="R72" i="24"/>
  <c r="R73" i="24"/>
  <c r="R74" i="24"/>
  <c r="R65" i="24"/>
  <c r="R75" i="24"/>
  <c r="R76" i="24"/>
  <c r="R77" i="24"/>
  <c r="R66" i="24"/>
  <c r="R78" i="24"/>
  <c r="R79" i="24"/>
  <c r="R80" i="24"/>
  <c r="R68" i="24"/>
  <c r="R81" i="24"/>
  <c r="R83" i="24"/>
  <c r="P63" i="24"/>
  <c r="Q63" i="24"/>
  <c r="R63" i="24"/>
  <c r="R67" i="24"/>
  <c r="R84" i="24"/>
  <c r="R85" i="24"/>
  <c r="Q64" i="24"/>
  <c r="Q72" i="24"/>
  <c r="Q73" i="24"/>
  <c r="Q74" i="24"/>
  <c r="Q65" i="24"/>
  <c r="Q75" i="24"/>
  <c r="Q76" i="24"/>
  <c r="Q77" i="24"/>
  <c r="Q66" i="24"/>
  <c r="Q78" i="24"/>
  <c r="Q79" i="24"/>
  <c r="Q80" i="24"/>
  <c r="Q68" i="24"/>
  <c r="Q81" i="24"/>
  <c r="Q83" i="24"/>
  <c r="Q67" i="24"/>
  <c r="Q84" i="24"/>
  <c r="Q85" i="24"/>
  <c r="P64" i="24"/>
  <c r="P72" i="24"/>
  <c r="P73" i="24"/>
  <c r="P74" i="24"/>
  <c r="P65" i="24"/>
  <c r="P75" i="24"/>
  <c r="P76" i="24"/>
  <c r="P77" i="24"/>
  <c r="P66" i="24"/>
  <c r="P78" i="24"/>
  <c r="P79" i="24"/>
  <c r="P80" i="24"/>
  <c r="P68" i="24"/>
  <c r="P81" i="24"/>
  <c r="P83" i="24"/>
  <c r="P67" i="24"/>
  <c r="P84" i="24"/>
  <c r="P85" i="24"/>
  <c r="F68" i="24"/>
  <c r="E68" i="24"/>
  <c r="F67" i="24"/>
  <c r="E67" i="24"/>
  <c r="F66" i="24"/>
  <c r="E66" i="24"/>
  <c r="F65" i="24"/>
  <c r="E65" i="24"/>
  <c r="F64" i="24"/>
  <c r="E64" i="24"/>
  <c r="E32" i="19"/>
  <c r="F56" i="24"/>
  <c r="O47" i="24"/>
  <c r="N47" i="24"/>
  <c r="M47" i="24"/>
  <c r="L47" i="24"/>
  <c r="K47" i="24"/>
  <c r="J47" i="24"/>
  <c r="I47" i="24"/>
  <c r="H47" i="24"/>
  <c r="C23" i="24"/>
  <c r="O12" i="24"/>
  <c r="J12" i="24"/>
  <c r="O11" i="24"/>
  <c r="J11" i="24"/>
  <c r="O10" i="24"/>
  <c r="L10" i="24"/>
  <c r="J10" i="24"/>
  <c r="G10" i="24"/>
  <c r="O9" i="24"/>
  <c r="L12" i="7"/>
  <c r="L9" i="24"/>
  <c r="J9" i="24"/>
  <c r="K12" i="7"/>
  <c r="G9" i="24"/>
  <c r="O7" i="24"/>
  <c r="L7" i="24"/>
  <c r="J7" i="24"/>
  <c r="G7" i="24"/>
  <c r="E7" i="24"/>
  <c r="O6" i="24"/>
  <c r="J6" i="24"/>
  <c r="E6" i="24"/>
  <c r="O5" i="24"/>
  <c r="J5" i="24"/>
  <c r="E5" i="24"/>
  <c r="L7" i="3"/>
  <c r="L8" i="3"/>
  <c r="L10" i="3"/>
  <c r="L13" i="3"/>
  <c r="L16" i="3"/>
  <c r="L17" i="3"/>
  <c r="L18" i="3"/>
  <c r="L30" i="3"/>
  <c r="G45" i="3"/>
  <c r="O4" i="24"/>
  <c r="J4" i="24"/>
  <c r="D7" i="23"/>
  <c r="F13" i="23"/>
  <c r="L18" i="23"/>
  <c r="L27" i="23"/>
  <c r="L29" i="23"/>
  <c r="H43" i="23"/>
  <c r="L7" i="23"/>
  <c r="L15" i="23"/>
  <c r="L17" i="23"/>
  <c r="L30" i="23"/>
  <c r="G43" i="23"/>
  <c r="F7" i="23"/>
  <c r="F15" i="23"/>
  <c r="F17" i="23"/>
  <c r="D18" i="23"/>
  <c r="F18" i="23"/>
  <c r="F23" i="23"/>
  <c r="F27" i="23"/>
  <c r="F29" i="23"/>
  <c r="F30" i="23"/>
  <c r="C43" i="23"/>
  <c r="K18" i="23"/>
  <c r="K23" i="23"/>
  <c r="K27" i="23"/>
  <c r="K29" i="23"/>
  <c r="H42" i="23"/>
  <c r="K17" i="23"/>
  <c r="K30" i="23"/>
  <c r="G42" i="23"/>
  <c r="C42" i="23"/>
  <c r="J18" i="23"/>
  <c r="J23" i="23"/>
  <c r="J27" i="23"/>
  <c r="J29" i="23"/>
  <c r="H41" i="23"/>
  <c r="J7" i="23"/>
  <c r="J13" i="23"/>
  <c r="J15" i="23"/>
  <c r="J17" i="23"/>
  <c r="J30" i="23"/>
  <c r="G41" i="23"/>
  <c r="C41" i="23"/>
  <c r="E32" i="23"/>
  <c r="E31" i="23"/>
  <c r="E17" i="23"/>
  <c r="E29" i="23"/>
  <c r="E30" i="23"/>
  <c r="O19" i="23"/>
  <c r="C18" i="23"/>
  <c r="C7" i="23"/>
  <c r="E28" i="13"/>
  <c r="E29" i="13"/>
  <c r="G29" i="13"/>
  <c r="C28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G7" i="13"/>
  <c r="I7" i="13"/>
  <c r="J7" i="13"/>
  <c r="F56" i="20"/>
  <c r="C95" i="20"/>
  <c r="G87" i="20"/>
  <c r="P62" i="20"/>
  <c r="Q62" i="20"/>
  <c r="R62" i="20"/>
  <c r="R64" i="20"/>
  <c r="R72" i="20"/>
  <c r="R73" i="20"/>
  <c r="R74" i="20"/>
  <c r="R65" i="20"/>
  <c r="R75" i="20"/>
  <c r="R76" i="20"/>
  <c r="R77" i="20"/>
  <c r="R66" i="20"/>
  <c r="R78" i="20"/>
  <c r="R79" i="20"/>
  <c r="R80" i="20"/>
  <c r="R68" i="20"/>
  <c r="R81" i="20"/>
  <c r="R83" i="20"/>
  <c r="P63" i="20"/>
  <c r="Q63" i="20"/>
  <c r="R63" i="20"/>
  <c r="R67" i="20"/>
  <c r="R84" i="20"/>
  <c r="R85" i="20"/>
  <c r="Q64" i="20"/>
  <c r="Q72" i="20"/>
  <c r="Q73" i="20"/>
  <c r="Q74" i="20"/>
  <c r="Q65" i="20"/>
  <c r="Q75" i="20"/>
  <c r="Q76" i="20"/>
  <c r="Q77" i="20"/>
  <c r="Q66" i="20"/>
  <c r="Q78" i="20"/>
  <c r="Q79" i="20"/>
  <c r="Q80" i="20"/>
  <c r="Q68" i="20"/>
  <c r="Q81" i="20"/>
  <c r="Q83" i="20"/>
  <c r="Q67" i="20"/>
  <c r="Q84" i="20"/>
  <c r="Q85" i="20"/>
  <c r="P64" i="20"/>
  <c r="P72" i="20"/>
  <c r="P73" i="20"/>
  <c r="P74" i="20"/>
  <c r="P65" i="20"/>
  <c r="P75" i="20"/>
  <c r="P76" i="20"/>
  <c r="P77" i="20"/>
  <c r="P66" i="20"/>
  <c r="P78" i="20"/>
  <c r="P79" i="20"/>
  <c r="P80" i="20"/>
  <c r="P68" i="20"/>
  <c r="P81" i="20"/>
  <c r="P83" i="20"/>
  <c r="P67" i="20"/>
  <c r="P84" i="20"/>
  <c r="P85" i="20"/>
  <c r="F68" i="20"/>
  <c r="E68" i="20"/>
  <c r="F67" i="20"/>
  <c r="E67" i="20"/>
  <c r="F66" i="20"/>
  <c r="E66" i="20"/>
  <c r="F65" i="20"/>
  <c r="E65" i="20"/>
  <c r="F64" i="20"/>
  <c r="E64" i="20"/>
  <c r="O47" i="20"/>
  <c r="N47" i="20"/>
  <c r="M47" i="20"/>
  <c r="L47" i="20"/>
  <c r="K47" i="20"/>
  <c r="J47" i="20"/>
  <c r="I47" i="20"/>
  <c r="H47" i="20"/>
  <c r="C23" i="20"/>
  <c r="O12" i="20"/>
  <c r="J12" i="20"/>
  <c r="O11" i="20"/>
  <c r="J11" i="20"/>
  <c r="O10" i="20"/>
  <c r="L10" i="20"/>
  <c r="J10" i="20"/>
  <c r="G10" i="20"/>
  <c r="O9" i="20"/>
  <c r="L9" i="20"/>
  <c r="J9" i="20"/>
  <c r="G9" i="20"/>
  <c r="O7" i="20"/>
  <c r="L7" i="20"/>
  <c r="J7" i="20"/>
  <c r="G7" i="20"/>
  <c r="E7" i="20"/>
  <c r="O6" i="20"/>
  <c r="J6" i="20"/>
  <c r="E6" i="20"/>
  <c r="O5" i="20"/>
  <c r="J5" i="20"/>
  <c r="E5" i="20"/>
  <c r="O4" i="20"/>
  <c r="J4" i="20"/>
  <c r="J16" i="3"/>
  <c r="J10" i="3"/>
  <c r="J8" i="3"/>
  <c r="F8" i="3"/>
  <c r="D7" i="19"/>
  <c r="F13" i="19"/>
  <c r="D18" i="19"/>
  <c r="F18" i="19"/>
  <c r="F27" i="19"/>
  <c r="F23" i="19"/>
  <c r="F29" i="19"/>
  <c r="L15" i="19"/>
  <c r="J15" i="19"/>
  <c r="F15" i="19"/>
  <c r="J13" i="19"/>
  <c r="L7" i="19"/>
  <c r="L17" i="19"/>
  <c r="L30" i="19"/>
  <c r="G43" i="19"/>
  <c r="F7" i="19"/>
  <c r="F17" i="19"/>
  <c r="F30" i="19"/>
  <c r="C43" i="19"/>
  <c r="K17" i="19"/>
  <c r="K30" i="19"/>
  <c r="G42" i="19"/>
  <c r="C42" i="19"/>
  <c r="J7" i="19"/>
  <c r="J17" i="19"/>
  <c r="J30" i="19"/>
  <c r="G41" i="19"/>
  <c r="C41" i="19"/>
  <c r="O19" i="19"/>
  <c r="C18" i="19"/>
  <c r="C7" i="19"/>
  <c r="P63" i="8"/>
  <c r="P65" i="8"/>
  <c r="P73" i="8"/>
  <c r="Q63" i="8"/>
  <c r="Q65" i="8"/>
  <c r="Q73" i="8"/>
  <c r="R63" i="8"/>
  <c r="R65" i="8"/>
  <c r="R73" i="8"/>
  <c r="P74" i="8"/>
  <c r="Q74" i="8"/>
  <c r="R74" i="8"/>
  <c r="P75" i="8"/>
  <c r="Q75" i="8"/>
  <c r="R75" i="8"/>
  <c r="P66" i="8"/>
  <c r="P76" i="8"/>
  <c r="Q66" i="8"/>
  <c r="Q76" i="8"/>
  <c r="R66" i="8"/>
  <c r="R76" i="8"/>
  <c r="P77" i="8"/>
  <c r="Q77" i="8"/>
  <c r="R77" i="8"/>
  <c r="P78" i="8"/>
  <c r="Q78" i="8"/>
  <c r="R78" i="8"/>
  <c r="P67" i="8"/>
  <c r="P79" i="8"/>
  <c r="Q67" i="8"/>
  <c r="Q79" i="8"/>
  <c r="R67" i="8"/>
  <c r="R79" i="8"/>
  <c r="P80" i="8"/>
  <c r="Q80" i="8"/>
  <c r="R80" i="8"/>
  <c r="P81" i="8"/>
  <c r="Q81" i="8"/>
  <c r="R81" i="8"/>
  <c r="P69" i="8"/>
  <c r="P82" i="8"/>
  <c r="Q69" i="8"/>
  <c r="Q82" i="8"/>
  <c r="R69" i="8"/>
  <c r="R82" i="8"/>
  <c r="E5" i="8"/>
  <c r="E6" i="8"/>
  <c r="E7" i="8"/>
  <c r="F67" i="8"/>
  <c r="E67" i="8"/>
  <c r="F66" i="8"/>
  <c r="E66" i="8"/>
  <c r="E18" i="3"/>
  <c r="E29" i="3"/>
  <c r="E30" i="3"/>
  <c r="J4" i="8"/>
  <c r="C23" i="8"/>
  <c r="L10" i="7"/>
  <c r="K10" i="7"/>
  <c r="F33" i="3"/>
  <c r="I32" i="3"/>
  <c r="H32" i="3"/>
  <c r="G32" i="3"/>
  <c r="H31" i="3"/>
  <c r="G31" i="3"/>
  <c r="E34" i="3"/>
  <c r="F7" i="3"/>
  <c r="F13" i="3"/>
  <c r="F17" i="3"/>
  <c r="F18" i="3"/>
  <c r="F19" i="3"/>
  <c r="F20" i="3"/>
  <c r="F28" i="3"/>
  <c r="F31" i="3"/>
  <c r="J7" i="3"/>
  <c r="J13" i="3"/>
  <c r="J17" i="3"/>
  <c r="J18" i="3"/>
  <c r="J30" i="3"/>
  <c r="G43" i="3"/>
  <c r="K18" i="3"/>
  <c r="K30" i="3"/>
  <c r="G44" i="3"/>
  <c r="F29" i="3"/>
  <c r="F30" i="3"/>
  <c r="C45" i="3"/>
  <c r="C44" i="3"/>
  <c r="C43" i="3"/>
  <c r="L21" i="7"/>
  <c r="L19" i="7"/>
  <c r="K21" i="7"/>
  <c r="K19" i="7"/>
  <c r="J21" i="7"/>
  <c r="J19" i="7"/>
  <c r="L7" i="8"/>
  <c r="O9" i="8"/>
  <c r="L9" i="8"/>
  <c r="L10" i="8"/>
  <c r="O5" i="8"/>
  <c r="O6" i="8"/>
  <c r="O7" i="8"/>
  <c r="O11" i="8"/>
  <c r="O12" i="8"/>
  <c r="O10" i="8"/>
  <c r="G7" i="8"/>
  <c r="J9" i="8"/>
  <c r="G9" i="8"/>
  <c r="G10" i="8"/>
  <c r="J5" i="8"/>
  <c r="J6" i="8"/>
  <c r="J7" i="8"/>
  <c r="J11" i="8"/>
  <c r="J12" i="8"/>
  <c r="J10" i="8"/>
  <c r="O4" i="8"/>
  <c r="P84" i="8"/>
  <c r="Q84" i="8"/>
  <c r="R84" i="8"/>
  <c r="P64" i="8"/>
  <c r="P68" i="8"/>
  <c r="P85" i="8"/>
  <c r="Q64" i="8"/>
  <c r="Q68" i="8"/>
  <c r="Q85" i="8"/>
  <c r="R64" i="8"/>
  <c r="R68" i="8"/>
  <c r="R85" i="8"/>
  <c r="P86" i="8"/>
  <c r="Q86" i="8"/>
  <c r="R86" i="8"/>
  <c r="F65" i="8"/>
  <c r="F68" i="8"/>
  <c r="F69" i="8"/>
  <c r="E69" i="8"/>
  <c r="E68" i="8"/>
  <c r="H47" i="8"/>
  <c r="I47" i="8"/>
  <c r="J47" i="8"/>
  <c r="K47" i="8"/>
  <c r="L47" i="8"/>
  <c r="M47" i="8"/>
  <c r="N47" i="8"/>
  <c r="O47" i="8"/>
  <c r="G88" i="8"/>
  <c r="O19" i="3"/>
  <c r="C19" i="3"/>
  <c r="C7" i="3"/>
  <c r="O7" i="13"/>
  <c r="O8" i="13"/>
  <c r="O9" i="13"/>
  <c r="O10" i="13"/>
  <c r="O11" i="13"/>
  <c r="O12" i="13"/>
  <c r="O13" i="13"/>
  <c r="O14" i="13"/>
  <c r="O15" i="13"/>
  <c r="O16" i="13"/>
  <c r="H28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N7" i="13"/>
  <c r="P7" i="13"/>
  <c r="Q7" i="13"/>
  <c r="I8" i="13"/>
  <c r="N8" i="13"/>
  <c r="P8" i="13"/>
  <c r="I9" i="13"/>
  <c r="N9" i="13"/>
  <c r="P9" i="13"/>
  <c r="I10" i="13"/>
  <c r="N10" i="13"/>
  <c r="P10" i="13"/>
  <c r="I11" i="13"/>
  <c r="N11" i="13"/>
  <c r="P11" i="13"/>
  <c r="I12" i="13"/>
  <c r="N12" i="13"/>
  <c r="P12" i="13"/>
  <c r="I13" i="13"/>
  <c r="N13" i="13"/>
  <c r="P13" i="13"/>
  <c r="I14" i="13"/>
  <c r="N14" i="13"/>
  <c r="P14" i="13"/>
  <c r="I15" i="13"/>
  <c r="N15" i="13"/>
  <c r="P15" i="13"/>
  <c r="I16" i="13"/>
  <c r="N16" i="13"/>
  <c r="P16" i="13"/>
  <c r="I17" i="13"/>
  <c r="N17" i="13"/>
  <c r="P17" i="13"/>
  <c r="I18" i="13"/>
  <c r="N18" i="13"/>
  <c r="P18" i="13"/>
  <c r="I19" i="13"/>
  <c r="N19" i="13"/>
  <c r="P19" i="13"/>
  <c r="I20" i="13"/>
  <c r="N20" i="13"/>
  <c r="P20" i="13"/>
  <c r="I21" i="13"/>
  <c r="N21" i="13"/>
  <c r="P21" i="13"/>
  <c r="I22" i="13"/>
  <c r="N22" i="13"/>
  <c r="P22" i="13"/>
  <c r="I23" i="13"/>
  <c r="N23" i="13"/>
  <c r="P23" i="13"/>
  <c r="I24" i="13"/>
  <c r="N24" i="13"/>
  <c r="P24" i="13"/>
  <c r="I25" i="13"/>
  <c r="N25" i="13"/>
  <c r="P25" i="13"/>
  <c r="I26" i="13"/>
  <c r="N26" i="13"/>
  <c r="P26" i="13"/>
  <c r="I27" i="13"/>
  <c r="N27" i="13"/>
  <c r="P27" i="13"/>
  <c r="F28" i="13"/>
  <c r="I28" i="13"/>
  <c r="J28" i="13"/>
  <c r="N28" i="13"/>
  <c r="P28" i="13"/>
  <c r="Q28" i="13"/>
  <c r="I31" i="3"/>
</calcChain>
</file>

<file path=xl/comments1.xml><?xml version="1.0" encoding="utf-8"?>
<comments xmlns="http://schemas.openxmlformats.org/spreadsheetml/2006/main">
  <authors>
    <author>Melissa Schrock</author>
  </authors>
  <commentList>
    <comment ref="I19" authorId="0" shapeId="0">
      <text>
        <r>
          <rPr>
            <b/>
            <sz val="9"/>
            <color indexed="81"/>
            <rFont val="Calibri"/>
            <family val="2"/>
          </rPr>
          <t>Melissa Schrock:</t>
        </r>
        <r>
          <rPr>
            <sz val="9"/>
            <color indexed="81"/>
            <rFont val="Calibri"/>
            <family val="2"/>
          </rPr>
          <t xml:space="preserve">
50-200 bps are added to Stabilized Phase OCC to account for risk associated with lease-up.</t>
        </r>
      </text>
    </comment>
    <comment ref="I21" authorId="0" shapeId="0">
      <text>
        <r>
          <rPr>
            <b/>
            <sz val="9"/>
            <color indexed="81"/>
            <rFont val="Calibri"/>
            <family val="2"/>
          </rPr>
          <t>Melissa Schrock:</t>
        </r>
        <r>
          <rPr>
            <sz val="9"/>
            <color indexed="81"/>
            <rFont val="Calibri"/>
            <family val="2"/>
          </rPr>
          <t xml:space="preserve">
50-100 bps are added to Stabilized Phase OCC to account for increased risk associated with older buildings. (Cap Rate creep.)</t>
        </r>
      </text>
    </comment>
  </commentList>
</comments>
</file>

<file path=xl/comments2.xml><?xml version="1.0" encoding="utf-8"?>
<comments xmlns="http://schemas.openxmlformats.org/spreadsheetml/2006/main">
  <authors>
    <author>Melissa Schrock</author>
  </authors>
  <commentList>
    <comment ref="G74" authorId="0" shapeId="0">
      <text>
        <r>
          <rPr>
            <b/>
            <sz val="9"/>
            <color indexed="81"/>
            <rFont val="Calibri"/>
            <family val="2"/>
          </rPr>
          <t>Melissa Schrock:</t>
        </r>
        <r>
          <rPr>
            <sz val="9"/>
            <color indexed="81"/>
            <rFont val="Calibri"/>
            <family val="2"/>
          </rPr>
          <t xml:space="preserve">
In the first year, half  the potential rental revenue is considered lost due to initial absorption. In the years that follow, it depends on estimated turnover rates.</t>
        </r>
      </text>
    </comment>
    <comment ref="G77" authorId="0" shapeId="0">
      <text>
        <r>
          <rPr>
            <b/>
            <sz val="9"/>
            <color indexed="81"/>
            <rFont val="Calibri"/>
            <family val="2"/>
          </rPr>
          <t>Melissa Schrock:</t>
        </r>
        <r>
          <rPr>
            <sz val="9"/>
            <color indexed="81"/>
            <rFont val="Calibri"/>
            <family val="2"/>
          </rPr>
          <t xml:space="preserve">
In the first year, half  the potential rental revenue is considered lost due to initial absorption. In the years that follow, it depends on estimated turnover rates.</t>
        </r>
      </text>
    </comment>
    <comment ref="G80" authorId="0" shapeId="0">
      <text>
        <r>
          <rPr>
            <b/>
            <sz val="9"/>
            <color indexed="81"/>
            <rFont val="Calibri"/>
            <family val="2"/>
          </rPr>
          <t>Melissa Schrock:</t>
        </r>
        <r>
          <rPr>
            <sz val="9"/>
            <color indexed="81"/>
            <rFont val="Calibri"/>
            <family val="2"/>
          </rPr>
          <t xml:space="preserve">
In the first year, half  the potential rental revenue is considered lost due to initial absorption. In the years that follow, it depends on estimated turnover rates.</t>
        </r>
      </text>
    </comment>
  </commentList>
</comments>
</file>

<file path=xl/comments3.xml><?xml version="1.0" encoding="utf-8"?>
<comments xmlns="http://schemas.openxmlformats.org/spreadsheetml/2006/main">
  <authors>
    <author>Melissa Schrock</author>
  </authors>
  <commentList>
    <comment ref="G73" authorId="0" shapeId="0">
      <text>
        <r>
          <rPr>
            <b/>
            <sz val="9"/>
            <color indexed="81"/>
            <rFont val="Calibri"/>
            <family val="2"/>
          </rPr>
          <t>Melissa Schrock:</t>
        </r>
        <r>
          <rPr>
            <sz val="9"/>
            <color indexed="81"/>
            <rFont val="Calibri"/>
            <family val="2"/>
          </rPr>
          <t xml:space="preserve">
In the first year, half  the potential rental revenue is considered lost due to initial absorption. In the years that follow, it depends on estimated turnover rates.</t>
        </r>
      </text>
    </comment>
    <comment ref="G76" authorId="0" shapeId="0">
      <text>
        <r>
          <rPr>
            <b/>
            <sz val="9"/>
            <color indexed="81"/>
            <rFont val="Calibri"/>
            <family val="2"/>
          </rPr>
          <t>Melissa Schrock:</t>
        </r>
        <r>
          <rPr>
            <sz val="9"/>
            <color indexed="81"/>
            <rFont val="Calibri"/>
            <family val="2"/>
          </rPr>
          <t xml:space="preserve">
In the first year, half  the potential rental revenue is considered lost due to initial absorption. In the years that follow, it depends on estimated turnover rates.</t>
        </r>
      </text>
    </comment>
    <comment ref="G79" authorId="0" shapeId="0">
      <text>
        <r>
          <rPr>
            <b/>
            <sz val="9"/>
            <color indexed="81"/>
            <rFont val="Calibri"/>
            <family val="2"/>
          </rPr>
          <t>Melissa Schrock:</t>
        </r>
        <r>
          <rPr>
            <sz val="9"/>
            <color indexed="81"/>
            <rFont val="Calibri"/>
            <family val="2"/>
          </rPr>
          <t xml:space="preserve">
In the first year, half  the potential rental revenue is considered lost due to initial absorption. In the years that follow, it depends on estimated turnover rates.</t>
        </r>
      </text>
    </comment>
  </commentList>
</comments>
</file>

<file path=xl/comments4.xml><?xml version="1.0" encoding="utf-8"?>
<comments xmlns="http://schemas.openxmlformats.org/spreadsheetml/2006/main">
  <authors>
    <author>Melissa Schrock</author>
  </authors>
  <commentList>
    <comment ref="G73" authorId="0" shapeId="0">
      <text>
        <r>
          <rPr>
            <b/>
            <sz val="9"/>
            <color indexed="81"/>
            <rFont val="Calibri"/>
            <family val="2"/>
          </rPr>
          <t>Melissa Schrock:</t>
        </r>
        <r>
          <rPr>
            <sz val="9"/>
            <color indexed="81"/>
            <rFont val="Calibri"/>
            <family val="2"/>
          </rPr>
          <t xml:space="preserve">
In the first year, half  the potential rental revenue is considered lost due to initial absorption. In the years that follow, it depends on estimated turnover rates.</t>
        </r>
      </text>
    </comment>
    <comment ref="G76" authorId="0" shapeId="0">
      <text>
        <r>
          <rPr>
            <b/>
            <sz val="9"/>
            <color indexed="81"/>
            <rFont val="Calibri"/>
            <family val="2"/>
          </rPr>
          <t>Melissa Schrock:</t>
        </r>
        <r>
          <rPr>
            <sz val="9"/>
            <color indexed="81"/>
            <rFont val="Calibri"/>
            <family val="2"/>
          </rPr>
          <t xml:space="preserve">
In the first year, half  the potential rental revenue is considered lost due to initial absorption. In the years that follow, it depends on estimated turnover rates.</t>
        </r>
      </text>
    </comment>
    <comment ref="G79" authorId="0" shapeId="0">
      <text>
        <r>
          <rPr>
            <b/>
            <sz val="9"/>
            <color indexed="81"/>
            <rFont val="Calibri"/>
            <family val="2"/>
          </rPr>
          <t>Melissa Schrock:</t>
        </r>
        <r>
          <rPr>
            <sz val="9"/>
            <color indexed="81"/>
            <rFont val="Calibri"/>
            <family val="2"/>
          </rPr>
          <t xml:space="preserve">
In the first year, half  the potential rental revenue is considered lost due to initial absorption. In the years that follow, it depends on estimated turnover rates.</t>
        </r>
      </text>
    </comment>
  </commentList>
</comments>
</file>

<file path=xl/sharedStrings.xml><?xml version="1.0" encoding="utf-8"?>
<sst xmlns="http://schemas.openxmlformats.org/spreadsheetml/2006/main" count="952" uniqueCount="247">
  <si>
    <t>Public or Private</t>
  </si>
  <si>
    <t>Public</t>
  </si>
  <si>
    <t>Private</t>
  </si>
  <si>
    <t>-</t>
  </si>
  <si>
    <t>Analysis Year</t>
  </si>
  <si>
    <t>Lease-up</t>
  </si>
  <si>
    <t>Totals</t>
  </si>
  <si>
    <t>Tenant Lease-up &amp; Turnover</t>
  </si>
  <si>
    <t>"Canonical" OCC</t>
  </si>
  <si>
    <t>Existing</t>
  </si>
  <si>
    <t>A</t>
  </si>
  <si>
    <t>B</t>
  </si>
  <si>
    <t>A + B = C</t>
  </si>
  <si>
    <t>D</t>
  </si>
  <si>
    <t>A + D = E</t>
  </si>
  <si>
    <t xml:space="preserve">Total </t>
  </si>
  <si>
    <t>OCC:</t>
  </si>
  <si>
    <t>SUPUESTOS</t>
  </si>
  <si>
    <t>COSTOS DE DESARROLLO</t>
  </si>
  <si>
    <t>COSTOS DIRECTOS</t>
  </si>
  <si>
    <t>Construcción Parque</t>
  </si>
  <si>
    <t>/m2</t>
  </si>
  <si>
    <t xml:space="preserve">Costos Construcción </t>
  </si>
  <si>
    <t>Acabados</t>
  </si>
  <si>
    <t>Parqueadero</t>
  </si>
  <si>
    <t>COSTOS INDIRECTOS</t>
  </si>
  <si>
    <t>(Costo Directo)</t>
  </si>
  <si>
    <t>(Costo Directo e Indirecto)</t>
  </si>
  <si>
    <t>Comercio</t>
  </si>
  <si>
    <t>Oficina</t>
  </si>
  <si>
    <t>Residencial</t>
  </si>
  <si>
    <t>/parqueadero</t>
  </si>
  <si>
    <t>Arquitectura e Ingenierías</t>
  </si>
  <si>
    <t>Legal y Otros Profesionales</t>
  </si>
  <si>
    <t>Contingencia</t>
  </si>
  <si>
    <t>Rentabilidad Contratista</t>
  </si>
  <si>
    <t>Demolición</t>
  </si>
  <si>
    <t>Categoría B</t>
  </si>
  <si>
    <t>Categoría G</t>
  </si>
  <si>
    <t>Altura Máxima Edificación</t>
  </si>
  <si>
    <t>Pisos</t>
  </si>
  <si>
    <t>Mts</t>
  </si>
  <si>
    <t>CUS</t>
  </si>
  <si>
    <t>COS</t>
  </si>
  <si>
    <t>Zonificación</t>
  </si>
  <si>
    <t>Estacionamientos</t>
  </si>
  <si>
    <t>por unidad de vivienda u oficina</t>
  </si>
  <si>
    <t>Retiros mínimos</t>
  </si>
  <si>
    <t>F</t>
  </si>
  <si>
    <t>L</t>
  </si>
  <si>
    <t>P</t>
  </si>
  <si>
    <t>EB</t>
  </si>
  <si>
    <t>0 (3 de portal)</t>
  </si>
  <si>
    <t>Espacios de estacionamiento en la calle</t>
  </si>
  <si>
    <t>Caso Base de Redesarrollo</t>
  </si>
  <si>
    <t>Predio 1</t>
  </si>
  <si>
    <t>Predio 2</t>
  </si>
  <si>
    <t>Predio 3</t>
  </si>
  <si>
    <t>Predio 4</t>
  </si>
  <si>
    <t>Predio 5</t>
  </si>
  <si>
    <t>Predio 6</t>
  </si>
  <si>
    <t>Predio 7</t>
  </si>
  <si>
    <t>Predio 8</t>
  </si>
  <si>
    <t>Predio 9</t>
  </si>
  <si>
    <t>Predio 10</t>
  </si>
  <si>
    <t>Predio 15</t>
  </si>
  <si>
    <t>Predio 16</t>
  </si>
  <si>
    <t>Predio 17</t>
  </si>
  <si>
    <t>Predio 18</t>
  </si>
  <si>
    <t>Predio 19</t>
  </si>
  <si>
    <t>Predio 20</t>
  </si>
  <si>
    <t>Predio 21</t>
  </si>
  <si>
    <t xml:space="preserve">Subtotal </t>
  </si>
  <si>
    <t>Predio 11</t>
  </si>
  <si>
    <t>Predio 12</t>
  </si>
  <si>
    <t>Predio 13</t>
  </si>
  <si>
    <t>Predio 14</t>
  </si>
  <si>
    <t>Expropiación</t>
  </si>
  <si>
    <t>Estado del Terreno</t>
  </si>
  <si>
    <t>Existente</t>
  </si>
  <si>
    <t>Vacante</t>
  </si>
  <si>
    <t>m2 Construibles</t>
  </si>
  <si>
    <t>Tamaño del Predio 
(m2)</t>
  </si>
  <si>
    <t xml:space="preserve">  Unidades de Comercio
# Max.</t>
  </si>
  <si>
    <t xml:space="preserve">  Unidades de Oficina 
# Max.</t>
  </si>
  <si>
    <t xml:space="preserve">  Unidades de Residencia 
# Max.</t>
  </si>
  <si>
    <t>Comerciales</t>
  </si>
  <si>
    <t>Residenciales</t>
  </si>
  <si>
    <t>Total Edificación Nueva</t>
  </si>
  <si>
    <t>TOTALES</t>
  </si>
  <si>
    <t>Ingresos</t>
  </si>
  <si>
    <t>Caso Base</t>
  </si>
  <si>
    <t>Fase de Desarrollo</t>
  </si>
  <si>
    <t>Fase de Estabilización</t>
  </si>
  <si>
    <t>Costos de Desarrollo</t>
  </si>
  <si>
    <t>Costos Directos</t>
  </si>
  <si>
    <t>Costos Indirectos</t>
  </si>
  <si>
    <t>Honorarios del Promotor</t>
  </si>
  <si>
    <t>en</t>
  </si>
  <si>
    <t>Costo de Terreno</t>
  </si>
  <si>
    <t>Adquisición</t>
  </si>
  <si>
    <t>Ejecución</t>
  </si>
  <si>
    <t>Total Expropiación</t>
  </si>
  <si>
    <t>Total Existente</t>
  </si>
  <si>
    <t>Total Demolición</t>
  </si>
  <si>
    <t>Costo de Demolición</t>
  </si>
  <si>
    <t>Residencia</t>
  </si>
  <si>
    <t>Costo de Expropiación</t>
  </si>
  <si>
    <t>Parque</t>
  </si>
  <si>
    <t>Edificabilidad</t>
  </si>
  <si>
    <t>Area bruta Construible (m2)</t>
  </si>
  <si>
    <t>Area bruta Comercio (m2)</t>
  </si>
  <si>
    <t>Area bruta Oficina 
(m2)</t>
  </si>
  <si>
    <t>Area bruta Residencial (m2)</t>
  </si>
  <si>
    <t>% del Área bruta</t>
  </si>
  <si>
    <t>Área bruta Construible</t>
  </si>
  <si>
    <t>Factor de Eficiencia</t>
  </si>
  <si>
    <t>Área Útil</t>
  </si>
  <si>
    <t>Tamaño promedio</t>
  </si>
  <si>
    <t># de Parqueos</t>
  </si>
  <si>
    <t>Productos Inmobiliarios</t>
  </si>
  <si>
    <t>Tipo</t>
  </si>
  <si>
    <t>Usos de suelo</t>
  </si>
  <si>
    <t>Caso de Reajuste de Terrenos</t>
  </si>
  <si>
    <t>Terreno Reajustado</t>
  </si>
  <si>
    <t>C</t>
  </si>
  <si>
    <t>Total Parque</t>
  </si>
  <si>
    <t>de los Costos Directos</t>
  </si>
  <si>
    <t>Costo de Oportunidad del Terreno (Caso Base)</t>
  </si>
  <si>
    <t xml:space="preserve"> =  Valor de Inversión creado por el RT</t>
  </si>
  <si>
    <t>Comparasión de Valores de Propiedad</t>
  </si>
  <si>
    <t>Factores Comunes</t>
  </si>
  <si>
    <t>Tamaño del Predio (m2)</t>
  </si>
  <si>
    <t>% del Área Total</t>
  </si>
  <si>
    <t>Nuevo Valor Residual del Suelo Total</t>
  </si>
  <si>
    <t>Valores por propiedad individual</t>
  </si>
  <si>
    <t>Nuevos Valores de Propiedad respecto del % Contribuido</t>
  </si>
  <si>
    <t>Diferencia</t>
  </si>
  <si>
    <t>Resultados</t>
  </si>
  <si>
    <t>% de Diferencia</t>
  </si>
  <si>
    <t>Valor de Suelo Total</t>
  </si>
  <si>
    <t>Inormación del Predio</t>
  </si>
  <si>
    <t>Valores Iniciales</t>
  </si>
  <si>
    <t>Valores Finales</t>
  </si>
  <si>
    <t>% Diferencia</t>
  </si>
  <si>
    <t>Factor de Eficiencia Área Útil</t>
  </si>
  <si>
    <t>Renta Anual</t>
  </si>
  <si>
    <t>Vacancia General</t>
  </si>
  <si>
    <t>Inflación de Renta Anual</t>
  </si>
  <si>
    <t>Renta de Parqueadero Anual</t>
  </si>
  <si>
    <t>Gastos Operativos</t>
  </si>
  <si>
    <t>Gastos Operativos Anuales</t>
  </si>
  <si>
    <t>Tasa Libre de Riesgo</t>
  </si>
  <si>
    <t>Costos de Desarrollo Totales</t>
  </si>
  <si>
    <t>Ingeros por Rentas Comercio</t>
  </si>
  <si>
    <t>Ingresos por Rentas Oficina</t>
  </si>
  <si>
    <t>Ingresos por Rentas Residencia</t>
  </si>
  <si>
    <t>Ingresos por Rentas Parqueadero</t>
  </si>
  <si>
    <t>Ingresos Operativos Netos (NOI)</t>
  </si>
  <si>
    <t>Flujo de Caja - Fase Ejecución</t>
  </si>
  <si>
    <t>TIR - Proyecto General</t>
  </si>
  <si>
    <t>Análisis de Inversión</t>
  </si>
  <si>
    <t>TIR - Fase Desarrollo</t>
  </si>
  <si>
    <t>Caso Base de Redesarrollo - Resumen</t>
  </si>
  <si>
    <t>Ingresos y Gastos de Rentas</t>
  </si>
  <si>
    <t>/m2 de A.U.</t>
  </si>
  <si>
    <t>Inflación Acumulada en Rentas</t>
  </si>
  <si>
    <t>Inflación Acumulada de Gastos Op.</t>
  </si>
  <si>
    <t>Renta Anual por Comercio</t>
  </si>
  <si>
    <t>Renta Anual por Oficina</t>
  </si>
  <si>
    <t>Renta Anual por Residencia</t>
  </si>
  <si>
    <t>Renta Anual por Parqueaderos</t>
  </si>
  <si>
    <t>Resumen</t>
  </si>
  <si>
    <t>Tiempo 0 VP de los Costos de Construcción</t>
  </si>
  <si>
    <t>Inversión Total</t>
  </si>
  <si>
    <t>Valor de Mercado del Suelo</t>
  </si>
  <si>
    <t>TIR
Fase de Desarrollo</t>
  </si>
  <si>
    <t>TIR
Proyecto</t>
  </si>
  <si>
    <t>Tiempo 0 VAN 
Costos de Construcción</t>
  </si>
  <si>
    <t>Valor de Inversión Creado por el RT</t>
  </si>
  <si>
    <t>Valor Residual del Proyecto</t>
  </si>
  <si>
    <t>Optimización Caso de Reajuste de Terrenos</t>
  </si>
  <si>
    <t>Caso de Reajuste de Terrenos Optimizado</t>
  </si>
  <si>
    <t>Área para Demolición</t>
  </si>
  <si>
    <t>Valores Distribuidos</t>
  </si>
  <si>
    <t>TOTAL</t>
  </si>
  <si>
    <t>Tamaño promedio (m2)</t>
  </si>
  <si>
    <t>Caso de RT Optimizado</t>
  </si>
  <si>
    <t>Valores Distribuídos</t>
  </si>
  <si>
    <t>Entorno de Inversión</t>
  </si>
  <si>
    <t>Gastos Adicionales</t>
  </si>
  <si>
    <t>Mejoras del Propietario</t>
  </si>
  <si>
    <t>Comisión de Renta</t>
  </si>
  <si>
    <t>Reserva de Capital</t>
  </si>
  <si>
    <t>Inflación de G. Op. Anuales</t>
  </si>
  <si>
    <t>m2 Obra</t>
  </si>
  <si>
    <t>m2 A.U.</t>
  </si>
  <si>
    <t>Inflación</t>
  </si>
  <si>
    <t>Vacancia</t>
  </si>
  <si>
    <t>Gastos Op.</t>
  </si>
  <si>
    <t>Costo O. gris</t>
  </si>
  <si>
    <t>Costos Acabados</t>
  </si>
  <si>
    <t>Mejoras del propietario</t>
  </si>
  <si>
    <t>Comisión de renta</t>
  </si>
  <si>
    <t>Reserva de capital</t>
  </si>
  <si>
    <t>Parqueaderos</t>
  </si>
  <si>
    <t>Renta anual parqueaderos</t>
  </si>
  <si>
    <t>Costo Oportunidad Fase Lanzamiento</t>
  </si>
  <si>
    <t>Costo Oportunidad Fase Estabilización</t>
  </si>
  <si>
    <t>Tasa de reversión de capital</t>
  </si>
  <si>
    <t>Costo Op. Fase Lanzamiento</t>
  </si>
  <si>
    <t>Costo Op. Fase Establización</t>
  </si>
  <si>
    <t>Tasa revesión capital</t>
  </si>
  <si>
    <t>Costo demolición</t>
  </si>
  <si>
    <t>Área promedio inmueble</t>
  </si>
  <si>
    <t>Tasa libre de riesgo</t>
  </si>
  <si>
    <t>Supuestos de Ejecución</t>
  </si>
  <si>
    <t>Tiempo construcción (años)</t>
  </si>
  <si>
    <t>Reversión (años)</t>
  </si>
  <si>
    <t>Costo parqueadero</t>
  </si>
  <si>
    <t>Arquitectura e Ingenierias</t>
  </si>
  <si>
    <t>Absorción</t>
  </si>
  <si>
    <t>Ingresos Totales</t>
  </si>
  <si>
    <t>Gastos Operativos e Impuestos</t>
  </si>
  <si>
    <t>Flujo de ingresos antes de Impuestos (PBTCF) de Gastos Operativos</t>
  </si>
  <si>
    <t>Flujo de ingresos antes de Impuestos (PBTCF) de la Reversión</t>
  </si>
  <si>
    <r>
      <t>Flujo de ingresos antes de Impuestos (PBTCF) TOTAL</t>
    </r>
    <r>
      <rPr>
        <i/>
        <sz val="10"/>
        <color theme="1"/>
        <rFont val="Eurostile"/>
      </rPr>
      <t xml:space="preserve"> (Fase Estabilización)</t>
    </r>
  </si>
  <si>
    <t>Tiempo T VP Stabilized Asset</t>
  </si>
  <si>
    <t>Tiempo T VP Construcción</t>
  </si>
  <si>
    <t>Tiempo 0 VP Spec. Asset</t>
  </si>
  <si>
    <t>Tiempo 0 VP Construcción</t>
  </si>
  <si>
    <t>NOTA: Los valores del flujo de caja se muestran en</t>
  </si>
  <si>
    <t>Operación y Mantenimiento</t>
  </si>
  <si>
    <t>Operación</t>
  </si>
  <si>
    <t>Tiempo 0</t>
  </si>
  <si>
    <t>Tiempo T</t>
  </si>
  <si>
    <t>Tiempo 0 VAN Desarrollo del Proyecto (Excluyendo Costo de Terreno)</t>
  </si>
  <si>
    <t xml:space="preserve"> =  Valor de Mercado del Suelo</t>
  </si>
  <si>
    <t>Flujo de Caja - Fase Operación y Mantenimiento</t>
  </si>
  <si>
    <t>Supuestos de Inversión</t>
  </si>
  <si>
    <t xml:space="preserve">F. Desarrollo OCC </t>
  </si>
  <si>
    <t>Tiempo 0 Costo adquisición terreno</t>
  </si>
  <si>
    <t>Caso Reajuste de Terrenos Optimizado</t>
  </si>
  <si>
    <t>Caso RT</t>
  </si>
  <si>
    <t>Caso RT Op.</t>
  </si>
  <si>
    <t>Ingresos Potenciales</t>
  </si>
  <si>
    <t>Análisis de Flujo de Caja con regímenes de riesgo por fases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</si>
</sst>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$&quot;#,##0"/>
    <numFmt numFmtId="168" formatCode="_(&quot;$&quot;* #,##0_);_(&quot;$&quot;* \(#,##0\);_(&quot;$&quot;* &quot;-&quot;??_);_(@_)"/>
    <numFmt numFmtId="169" formatCode="&quot;$&quot;#,##0.00"/>
    <numFmt numFmtId="170" formatCode="0.0"/>
    <numFmt numFmtId="171" formatCode="_(* #,##0_);_(* \(#,##0\);_(* &quot;-&quot;??_);_(@_)"/>
    <numFmt numFmtId="172" formatCode="0.0%"/>
    <numFmt numFmtId="173" formatCode="&quot;per &quot;#&quot; SF&quot;"/>
    <numFmt numFmtId="174" formatCode="&quot;$&quot;0&quot;/NSF&quot;"/>
    <numFmt numFmtId="175" formatCode="\(&quot;$&quot;#,##0&quot;s)&quot;"/>
    <numFmt numFmtId="176" formatCode="0&quot; SF&quot;"/>
    <numFmt numFmtId="177" formatCode="0&quot; LF&quot;"/>
    <numFmt numFmtId="178" formatCode="&quot;+&quot;\ 0%"/>
    <numFmt numFmtId="179" formatCode="&quot;$&quot;#,#00&quot;/m2&quot;"/>
    <numFmt numFmtId="180" formatCode="&quot;$&quot;0&quot;/m2&quot;"/>
    <numFmt numFmtId="181" formatCode="&quot;$&quot;0&quot;/m2 A.U.&quot;"/>
    <numFmt numFmtId="182" formatCode="0&quot; m2&quot;"/>
    <numFmt numFmtId="183" formatCode="&quot;Año &quot;#"/>
  </numFmts>
  <fonts count="3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Eurostile"/>
    </font>
    <font>
      <sz val="11"/>
      <color theme="1"/>
      <name val="Eurostile"/>
    </font>
    <font>
      <b/>
      <sz val="11"/>
      <color rgb="FF000000"/>
      <name val="Eurostile"/>
    </font>
    <font>
      <b/>
      <sz val="11"/>
      <color theme="1"/>
      <name val="Eurostile"/>
    </font>
    <font>
      <sz val="11"/>
      <color rgb="FF000000"/>
      <name val="Eurostile"/>
    </font>
    <font>
      <sz val="12"/>
      <color theme="1"/>
      <name val="Eurostile"/>
    </font>
    <font>
      <b/>
      <sz val="12"/>
      <color theme="1"/>
      <name val="Eurostile"/>
    </font>
    <font>
      <sz val="10"/>
      <color theme="1"/>
      <name val="Eurostile"/>
    </font>
    <font>
      <b/>
      <sz val="10"/>
      <color theme="1"/>
      <name val="Eurostile"/>
    </font>
    <font>
      <b/>
      <sz val="10"/>
      <color theme="0"/>
      <name val="Eurostile"/>
    </font>
    <font>
      <b/>
      <sz val="10"/>
      <name val="Eurostile"/>
    </font>
    <font>
      <b/>
      <i/>
      <sz val="10"/>
      <color theme="1"/>
      <name val="Eurostile"/>
    </font>
    <font>
      <i/>
      <sz val="10"/>
      <color theme="1"/>
      <name val="Eurostile"/>
    </font>
    <font>
      <b/>
      <sz val="14"/>
      <name val="Eurostile"/>
    </font>
    <font>
      <b/>
      <sz val="14"/>
      <color theme="0"/>
      <name val="Eurostile"/>
    </font>
    <font>
      <sz val="10"/>
      <name val="Eurostile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sz val="8"/>
      <name val="Calibri"/>
      <family val="2"/>
      <scheme val="minor"/>
    </font>
    <font>
      <b/>
      <sz val="10"/>
      <color rgb="FF3366FF"/>
      <name val="Eurostile"/>
    </font>
    <font>
      <b/>
      <i/>
      <sz val="10"/>
      <color rgb="FF3366FF"/>
      <name val="Eurostile"/>
    </font>
    <font>
      <b/>
      <sz val="11"/>
      <color rgb="FF3366FF"/>
      <name val="Eurostile"/>
    </font>
    <font>
      <b/>
      <sz val="12"/>
      <color theme="0"/>
      <name val="Eurostile"/>
    </font>
    <font>
      <sz val="11"/>
      <name val="Eurostile"/>
    </font>
    <font>
      <b/>
      <sz val="12"/>
      <name val="Eurostile"/>
    </font>
    <font>
      <sz val="10"/>
      <color rgb="FFFF0000"/>
      <name val="Eurostile"/>
    </font>
    <font>
      <b/>
      <u/>
      <sz val="10"/>
      <color theme="1"/>
      <name val="Eurostile"/>
    </font>
    <font>
      <b/>
      <sz val="9"/>
      <color theme="1"/>
      <name val="Eurostile"/>
    </font>
    <font>
      <b/>
      <sz val="10"/>
      <color rgb="FF000000"/>
      <name val="Eurostile"/>
    </font>
    <font>
      <b/>
      <sz val="12"/>
      <color theme="0"/>
      <name val="Eurostile"/>
      <family val="2"/>
    </font>
    <font>
      <b/>
      <sz val="11"/>
      <color theme="0"/>
      <name val="Eurostile"/>
      <family val="2"/>
    </font>
    <font>
      <sz val="11"/>
      <color theme="1"/>
      <name val="Eurostile"/>
      <family val="2"/>
    </font>
    <font>
      <b/>
      <sz val="11"/>
      <color theme="0"/>
      <name val="Eurostile"/>
    </font>
  </fonts>
  <fills count="1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74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81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/>
    </xf>
    <xf numFmtId="171" fontId="6" fillId="0" borderId="8" xfId="109" applyNumberFormat="1" applyFont="1" applyBorder="1" applyAlignment="1"/>
    <xf numFmtId="0" fontId="8" fillId="0" borderId="0" xfId="0" applyFont="1"/>
    <xf numFmtId="0" fontId="6" fillId="0" borderId="8" xfId="0" applyFont="1" applyBorder="1"/>
    <xf numFmtId="171" fontId="6" fillId="0" borderId="0" xfId="0" applyNumberFormat="1" applyFont="1"/>
    <xf numFmtId="166" fontId="6" fillId="0" borderId="0" xfId="0" applyNumberFormat="1" applyFont="1"/>
    <xf numFmtId="0" fontId="6" fillId="0" borderId="1" xfId="0" applyFont="1" applyBorder="1"/>
    <xf numFmtId="0" fontId="10" fillId="0" borderId="0" xfId="0" applyFont="1"/>
    <xf numFmtId="171" fontId="6" fillId="0" borderId="1" xfId="109" applyNumberFormat="1" applyFont="1" applyBorder="1" applyAlignment="1">
      <alignment horizontal="center" vertical="center"/>
    </xf>
    <xf numFmtId="171" fontId="8" fillId="0" borderId="8" xfId="109" applyNumberFormat="1" applyFont="1" applyBorder="1" applyAlignment="1"/>
    <xf numFmtId="0" fontId="6" fillId="0" borderId="41" xfId="0" applyFont="1" applyBorder="1"/>
    <xf numFmtId="0" fontId="6" fillId="0" borderId="0" xfId="0" applyFont="1" applyBorder="1"/>
    <xf numFmtId="9" fontId="6" fillId="0" borderId="1" xfId="2" applyFont="1" applyBorder="1" applyAlignment="1">
      <alignment horizontal="center"/>
    </xf>
    <xf numFmtId="171" fontId="6" fillId="0" borderId="1" xfId="0" applyNumberFormat="1" applyFont="1" applyBorder="1"/>
    <xf numFmtId="9" fontId="6" fillId="0" borderId="1" xfId="0" applyNumberFormat="1" applyFont="1" applyBorder="1" applyAlignment="1">
      <alignment horizontal="center"/>
    </xf>
    <xf numFmtId="171" fontId="6" fillId="0" borderId="5" xfId="0" applyNumberFormat="1" applyFont="1" applyBorder="1"/>
    <xf numFmtId="9" fontId="6" fillId="0" borderId="5" xfId="0" applyNumberFormat="1" applyFont="1" applyBorder="1" applyAlignment="1">
      <alignment horizontal="center"/>
    </xf>
    <xf numFmtId="171" fontId="6" fillId="0" borderId="8" xfId="0" applyNumberFormat="1" applyFont="1" applyBorder="1"/>
    <xf numFmtId="9" fontId="6" fillId="0" borderId="8" xfId="0" applyNumberFormat="1" applyFont="1" applyBorder="1" applyAlignment="1">
      <alignment horizontal="center"/>
    </xf>
    <xf numFmtId="9" fontId="6" fillId="0" borderId="8" xfId="2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2" fillId="0" borderId="38" xfId="0" applyFont="1" applyBorder="1"/>
    <xf numFmtId="168" fontId="12" fillId="0" borderId="38" xfId="0" applyNumberFormat="1" applyFont="1" applyBorder="1"/>
    <xf numFmtId="0" fontId="13" fillId="0" borderId="50" xfId="0" applyFont="1" applyBorder="1"/>
    <xf numFmtId="168" fontId="13" fillId="0" borderId="50" xfId="0" applyNumberFormat="1" applyFont="1" applyBorder="1"/>
    <xf numFmtId="0" fontId="12" fillId="0" borderId="2" xfId="0" applyFont="1" applyBorder="1"/>
    <xf numFmtId="0" fontId="12" fillId="0" borderId="31" xfId="0" applyFont="1" applyBorder="1"/>
    <xf numFmtId="168" fontId="12" fillId="0" borderId="31" xfId="0" applyNumberFormat="1" applyFont="1" applyBorder="1"/>
    <xf numFmtId="168" fontId="13" fillId="0" borderId="51" xfId="0" applyNumberFormat="1" applyFont="1" applyBorder="1"/>
    <xf numFmtId="0" fontId="12" fillId="0" borderId="0" xfId="0" applyFont="1" applyAlignment="1">
      <alignment horizontal="center"/>
    </xf>
    <xf numFmtId="0" fontId="12" fillId="0" borderId="0" xfId="0" applyFont="1" applyBorder="1"/>
    <xf numFmtId="0" fontId="6" fillId="0" borderId="5" xfId="0" applyFont="1" applyBorder="1"/>
    <xf numFmtId="49" fontId="6" fillId="0" borderId="13" xfId="0" applyNumberFormat="1" applyFont="1" applyBorder="1"/>
    <xf numFmtId="171" fontId="8" fillId="0" borderId="1" xfId="109" applyNumberFormat="1" applyFont="1" applyBorder="1" applyAlignment="1"/>
    <xf numFmtId="171" fontId="19" fillId="5" borderId="35" xfId="109" applyNumberFormat="1" applyFont="1" applyFill="1" applyBorder="1" applyAlignment="1"/>
    <xf numFmtId="0" fontId="12" fillId="0" borderId="0" xfId="0" applyFont="1" applyFill="1"/>
    <xf numFmtId="0" fontId="12" fillId="0" borderId="40" xfId="0" applyFont="1" applyBorder="1"/>
    <xf numFmtId="0" fontId="14" fillId="0" borderId="40" xfId="0" applyFont="1" applyFill="1" applyBorder="1" applyAlignment="1">
      <alignment horizontal="center"/>
    </xf>
    <xf numFmtId="0" fontId="13" fillId="0" borderId="47" xfId="0" applyFont="1" applyBorder="1"/>
    <xf numFmtId="0" fontId="14" fillId="0" borderId="0" xfId="0" applyFont="1" applyFill="1" applyBorder="1"/>
    <xf numFmtId="0" fontId="12" fillId="0" borderId="47" xfId="0" applyFont="1" applyBorder="1"/>
    <xf numFmtId="168" fontId="12" fillId="0" borderId="0" xfId="0" applyNumberFormat="1" applyFont="1" applyBorder="1"/>
    <xf numFmtId="0" fontId="12" fillId="0" borderId="47" xfId="0" applyFont="1" applyBorder="1" applyAlignment="1">
      <alignment horizontal="left" indent="1"/>
    </xf>
    <xf numFmtId="171" fontId="12" fillId="0" borderId="0" xfId="109" applyNumberFormat="1" applyFont="1" applyBorder="1"/>
    <xf numFmtId="9" fontId="12" fillId="0" borderId="0" xfId="0" applyNumberFormat="1" applyFont="1" applyBorder="1"/>
    <xf numFmtId="0" fontId="13" fillId="0" borderId="54" xfId="0" applyFont="1" applyBorder="1"/>
    <xf numFmtId="0" fontId="12" fillId="0" borderId="34" xfId="0" applyFont="1" applyBorder="1"/>
    <xf numFmtId="0" fontId="12" fillId="0" borderId="24" xfId="0" applyFont="1" applyBorder="1"/>
    <xf numFmtId="0" fontId="13" fillId="3" borderId="47" xfId="0" applyFont="1" applyFill="1" applyBorder="1"/>
    <xf numFmtId="0" fontId="13" fillId="3" borderId="0" xfId="0" applyFont="1" applyFill="1" applyBorder="1"/>
    <xf numFmtId="0" fontId="12" fillId="0" borderId="0" xfId="0" applyFont="1" applyFill="1" applyBorder="1"/>
    <xf numFmtId="0" fontId="20" fillId="0" borderId="0" xfId="0" applyFont="1" applyBorder="1"/>
    <xf numFmtId="0" fontId="20" fillId="0" borderId="31" xfId="0" applyFont="1" applyBorder="1"/>
    <xf numFmtId="0" fontId="20" fillId="0" borderId="0" xfId="0" applyFont="1"/>
    <xf numFmtId="0" fontId="20" fillId="0" borderId="0" xfId="0" applyFont="1" applyFill="1" applyBorder="1"/>
    <xf numFmtId="168" fontId="20" fillId="0" borderId="0" xfId="1" applyNumberFormat="1" applyFont="1" applyFill="1" applyBorder="1"/>
    <xf numFmtId="168" fontId="12" fillId="0" borderId="0" xfId="0" applyNumberFormat="1" applyFont="1" applyFill="1" applyBorder="1"/>
    <xf numFmtId="168" fontId="12" fillId="0" borderId="38" xfId="0" applyNumberFormat="1" applyFont="1" applyFill="1" applyBorder="1"/>
    <xf numFmtId="168" fontId="20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3" fillId="4" borderId="22" xfId="0" applyFont="1" applyFill="1" applyBorder="1" applyAlignment="1">
      <alignment horizontal="center"/>
    </xf>
    <xf numFmtId="168" fontId="12" fillId="8" borderId="0" xfId="0" applyNumberFormat="1" applyFont="1" applyFill="1" applyBorder="1"/>
    <xf numFmtId="0" fontId="12" fillId="0" borderId="47" xfId="0" applyFont="1" applyFill="1" applyBorder="1"/>
    <xf numFmtId="0" fontId="13" fillId="9" borderId="0" xfId="0" applyFont="1" applyFill="1" applyBorder="1"/>
    <xf numFmtId="0" fontId="12" fillId="9" borderId="0" xfId="0" applyFont="1" applyFill="1" applyBorder="1"/>
    <xf numFmtId="0" fontId="12" fillId="9" borderId="47" xfId="0" applyFont="1" applyFill="1" applyBorder="1"/>
    <xf numFmtId="172" fontId="12" fillId="9" borderId="0" xfId="0" applyNumberFormat="1" applyFont="1" applyFill="1" applyBorder="1"/>
    <xf numFmtId="168" fontId="12" fillId="9" borderId="0" xfId="0" applyNumberFormat="1" applyFont="1" applyFill="1" applyBorder="1"/>
    <xf numFmtId="168" fontId="12" fillId="9" borderId="0" xfId="1" applyNumberFormat="1" applyFont="1" applyFill="1" applyBorder="1"/>
    <xf numFmtId="0" fontId="12" fillId="9" borderId="38" xfId="0" applyFont="1" applyFill="1" applyBorder="1"/>
    <xf numFmtId="1" fontId="8" fillId="0" borderId="8" xfId="109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0" fontId="12" fillId="0" borderId="24" xfId="0" applyFont="1" applyBorder="1" applyAlignment="1">
      <alignment horizontal="left"/>
    </xf>
    <xf numFmtId="172" fontId="20" fillId="0" borderId="0" xfId="0" applyNumberFormat="1" applyFont="1" applyAlignment="1">
      <alignment horizontal="left"/>
    </xf>
    <xf numFmtId="169" fontId="12" fillId="0" borderId="0" xfId="0" applyNumberFormat="1" applyFont="1" applyAlignment="1">
      <alignment horizontal="left"/>
    </xf>
    <xf numFmtId="0" fontId="8" fillId="0" borderId="0" xfId="0" applyFont="1" applyFill="1" applyBorder="1" applyAlignment="1"/>
    <xf numFmtId="0" fontId="6" fillId="0" borderId="0" xfId="0" applyFont="1" applyFill="1" applyBorder="1"/>
    <xf numFmtId="0" fontId="8" fillId="0" borderId="0" xfId="0" applyFont="1" applyBorder="1"/>
    <xf numFmtId="9" fontId="6" fillId="0" borderId="0" xfId="2" applyFont="1" applyBorder="1" applyAlignment="1">
      <alignment vertical="center"/>
    </xf>
    <xf numFmtId="0" fontId="6" fillId="0" borderId="26" xfId="0" applyFont="1" applyFill="1" applyBorder="1"/>
    <xf numFmtId="0" fontId="6" fillId="0" borderId="27" xfId="0" applyFont="1" applyFill="1" applyBorder="1"/>
    <xf numFmtId="0" fontId="6" fillId="0" borderId="29" xfId="0" applyFont="1" applyFill="1" applyBorder="1"/>
    <xf numFmtId="0" fontId="8" fillId="0" borderId="27" xfId="0" applyFont="1" applyFill="1" applyBorder="1" applyAlignment="1"/>
    <xf numFmtId="0" fontId="6" fillId="0" borderId="42" xfId="0" applyFont="1" applyFill="1" applyBorder="1"/>
    <xf numFmtId="0" fontId="6" fillId="0" borderId="30" xfId="0" applyFont="1" applyFill="1" applyBorder="1"/>
    <xf numFmtId="0" fontId="8" fillId="0" borderId="37" xfId="0" applyFont="1" applyFill="1" applyBorder="1" applyAlignment="1"/>
    <xf numFmtId="0" fontId="5" fillId="0" borderId="41" xfId="0" applyFont="1" applyFill="1" applyBorder="1" applyAlignment="1"/>
    <xf numFmtId="0" fontId="5" fillId="0" borderId="26" xfId="0" applyFont="1" applyFill="1" applyBorder="1" applyAlignment="1"/>
    <xf numFmtId="0" fontId="9" fillId="0" borderId="27" xfId="0" applyFont="1" applyFill="1" applyBorder="1" applyAlignment="1">
      <alignment horizontal="left" indent="1"/>
    </xf>
    <xf numFmtId="0" fontId="8" fillId="0" borderId="28" xfId="0" applyFont="1" applyFill="1" applyBorder="1"/>
    <xf numFmtId="0" fontId="20" fillId="0" borderId="47" xfId="0" applyFont="1" applyBorder="1" applyAlignment="1">
      <alignment horizontal="left" indent="1"/>
    </xf>
    <xf numFmtId="0" fontId="20" fillId="0" borderId="47" xfId="0" applyFont="1" applyFill="1" applyBorder="1" applyAlignment="1">
      <alignment horizontal="left" indent="1"/>
    </xf>
    <xf numFmtId="0" fontId="15" fillId="0" borderId="54" xfId="0" applyFont="1" applyFill="1" applyBorder="1" applyAlignment="1"/>
    <xf numFmtId="0" fontId="15" fillId="0" borderId="50" xfId="0" applyFont="1" applyFill="1" applyBorder="1"/>
    <xf numFmtId="168" fontId="15" fillId="0" borderId="50" xfId="0" applyNumberFormat="1" applyFont="1" applyFill="1" applyBorder="1"/>
    <xf numFmtId="168" fontId="12" fillId="0" borderId="47" xfId="0" applyNumberFormat="1" applyFont="1" applyBorder="1"/>
    <xf numFmtId="168" fontId="13" fillId="0" borderId="54" xfId="0" applyNumberFormat="1" applyFont="1" applyBorder="1"/>
    <xf numFmtId="0" fontId="13" fillId="9" borderId="38" xfId="0" applyFont="1" applyFill="1" applyBorder="1"/>
    <xf numFmtId="1" fontId="12" fillId="0" borderId="0" xfId="0" applyNumberFormat="1" applyFont="1" applyBorder="1" applyAlignment="1">
      <alignment horizontal="left"/>
    </xf>
    <xf numFmtId="1" fontId="12" fillId="0" borderId="0" xfId="109" applyNumberFormat="1" applyFont="1" applyBorder="1" applyAlignment="1">
      <alignment horizontal="left"/>
    </xf>
    <xf numFmtId="169" fontId="12" fillId="0" borderId="0" xfId="0" applyNumberFormat="1" applyFont="1" applyBorder="1" applyAlignment="1">
      <alignment horizontal="left"/>
    </xf>
    <xf numFmtId="169" fontId="12" fillId="0" borderId="34" xfId="0" applyNumberFormat="1" applyFont="1" applyBorder="1" applyAlignment="1">
      <alignment horizontal="left"/>
    </xf>
    <xf numFmtId="9" fontId="12" fillId="0" borderId="0" xfId="0" applyNumberFormat="1" applyFont="1" applyBorder="1" applyAlignment="1">
      <alignment horizontal="left"/>
    </xf>
    <xf numFmtId="9" fontId="12" fillId="0" borderId="34" xfId="0" applyNumberFormat="1" applyFont="1" applyBorder="1" applyAlignment="1">
      <alignment horizontal="left"/>
    </xf>
    <xf numFmtId="1" fontId="12" fillId="0" borderId="34" xfId="0" applyNumberFormat="1" applyFont="1" applyBorder="1" applyAlignment="1">
      <alignment horizontal="left"/>
    </xf>
    <xf numFmtId="169" fontId="12" fillId="0" borderId="0" xfId="1" applyNumberFormat="1" applyFont="1" applyBorder="1" applyAlignment="1">
      <alignment horizontal="left"/>
    </xf>
    <xf numFmtId="167" fontId="12" fillId="0" borderId="0" xfId="0" applyNumberFormat="1" applyFont="1" applyBorder="1" applyAlignment="1">
      <alignment horizontal="left"/>
    </xf>
    <xf numFmtId="167" fontId="12" fillId="0" borderId="34" xfId="0" applyNumberFormat="1" applyFont="1" applyBorder="1" applyAlignment="1">
      <alignment horizontal="left"/>
    </xf>
    <xf numFmtId="172" fontId="20" fillId="0" borderId="0" xfId="0" applyNumberFormat="1" applyFont="1" applyBorder="1" applyAlignment="1">
      <alignment horizontal="left"/>
    </xf>
    <xf numFmtId="172" fontId="20" fillId="0" borderId="34" xfId="0" applyNumberFormat="1" applyFont="1" applyBorder="1" applyAlignment="1">
      <alignment horizontal="left"/>
    </xf>
    <xf numFmtId="172" fontId="20" fillId="0" borderId="38" xfId="0" applyNumberFormat="1" applyFont="1" applyBorder="1" applyAlignment="1">
      <alignment horizontal="left"/>
    </xf>
    <xf numFmtId="0" fontId="20" fillId="0" borderId="38" xfId="0" applyFont="1" applyBorder="1"/>
    <xf numFmtId="172" fontId="20" fillId="0" borderId="16" xfId="0" applyNumberFormat="1" applyFont="1" applyBorder="1" applyAlignment="1">
      <alignment horizontal="left"/>
    </xf>
    <xf numFmtId="9" fontId="17" fillId="0" borderId="0" xfId="2" applyFont="1" applyBorder="1"/>
    <xf numFmtId="9" fontId="17" fillId="0" borderId="31" xfId="2" applyFont="1" applyBorder="1"/>
    <xf numFmtId="165" fontId="17" fillId="0" borderId="0" xfId="0" applyNumberFormat="1" applyFont="1" applyBorder="1"/>
    <xf numFmtId="165" fontId="17" fillId="0" borderId="31" xfId="0" applyNumberFormat="1" applyFont="1" applyBorder="1"/>
    <xf numFmtId="168" fontId="17" fillId="0" borderId="0" xfId="0" applyNumberFormat="1" applyFont="1" applyBorder="1"/>
    <xf numFmtId="168" fontId="17" fillId="0" borderId="31" xfId="0" applyNumberFormat="1" applyFont="1" applyBorder="1"/>
    <xf numFmtId="9" fontId="17" fillId="0" borderId="47" xfId="2" applyFont="1" applyBorder="1"/>
    <xf numFmtId="165" fontId="17" fillId="0" borderId="47" xfId="0" applyNumberFormat="1" applyFont="1" applyBorder="1"/>
    <xf numFmtId="168" fontId="17" fillId="0" borderId="47" xfId="0" applyNumberFormat="1" applyFont="1" applyBorder="1"/>
    <xf numFmtId="0" fontId="13" fillId="0" borderId="0" xfId="0" applyFont="1" applyBorder="1"/>
    <xf numFmtId="168" fontId="12" fillId="0" borderId="40" xfId="0" applyNumberFormat="1" applyFont="1" applyBorder="1"/>
    <xf numFmtId="172" fontId="20" fillId="0" borderId="34" xfId="0" applyNumberFormat="1" applyFont="1" applyBorder="1" applyAlignment="1">
      <alignment horizontal="right"/>
    </xf>
    <xf numFmtId="167" fontId="12" fillId="0" borderId="34" xfId="0" applyNumberFormat="1" applyFont="1" applyBorder="1"/>
    <xf numFmtId="172" fontId="12" fillId="0" borderId="34" xfId="2" applyNumberFormat="1" applyFont="1" applyBorder="1"/>
    <xf numFmtId="0" fontId="12" fillId="0" borderId="24" xfId="0" applyFont="1" applyFill="1" applyBorder="1"/>
    <xf numFmtId="172" fontId="12" fillId="0" borderId="16" xfId="2" applyNumberFormat="1" applyFont="1" applyBorder="1"/>
    <xf numFmtId="0" fontId="14" fillId="2" borderId="0" xfId="0" applyFont="1" applyFill="1" applyBorder="1"/>
    <xf numFmtId="0" fontId="14" fillId="2" borderId="0" xfId="0" applyFont="1" applyFill="1" applyBorder="1" applyAlignment="1">
      <alignment horizontal="center"/>
    </xf>
    <xf numFmtId="0" fontId="13" fillId="0" borderId="22" xfId="0" applyFont="1" applyBorder="1"/>
    <xf numFmtId="0" fontId="13" fillId="0" borderId="39" xfId="0" applyFont="1" applyBorder="1"/>
    <xf numFmtId="0" fontId="14" fillId="2" borderId="47" xfId="0" applyFont="1" applyFill="1" applyBorder="1"/>
    <xf numFmtId="0" fontId="13" fillId="9" borderId="24" xfId="0" applyFont="1" applyFill="1" applyBorder="1"/>
    <xf numFmtId="0" fontId="12" fillId="9" borderId="24" xfId="0" applyFont="1" applyFill="1" applyBorder="1"/>
    <xf numFmtId="172" fontId="12" fillId="9" borderId="38" xfId="0" applyNumberFormat="1" applyFont="1" applyFill="1" applyBorder="1"/>
    <xf numFmtId="168" fontId="12" fillId="9" borderId="38" xfId="1" applyNumberFormat="1" applyFont="1" applyFill="1" applyBorder="1"/>
    <xf numFmtId="0" fontId="24" fillId="0" borderId="34" xfId="0" applyFont="1" applyBorder="1"/>
    <xf numFmtId="0" fontId="13" fillId="0" borderId="23" xfId="0" applyFont="1" applyBorder="1"/>
    <xf numFmtId="175" fontId="13" fillId="0" borderId="0" xfId="0" applyNumberFormat="1" applyFont="1" applyBorder="1" applyAlignment="1"/>
    <xf numFmtId="0" fontId="14" fillId="2" borderId="38" xfId="0" applyFont="1" applyFill="1" applyBorder="1" applyAlignment="1">
      <alignment horizontal="center"/>
    </xf>
    <xf numFmtId="0" fontId="14" fillId="0" borderId="38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172" fontId="12" fillId="0" borderId="0" xfId="2" applyNumberFormat="1" applyFont="1" applyBorder="1"/>
    <xf numFmtId="1" fontId="24" fillId="0" borderId="34" xfId="0" applyNumberFormat="1" applyFont="1" applyBorder="1" applyAlignment="1">
      <alignment horizontal="right"/>
    </xf>
    <xf numFmtId="9" fontId="25" fillId="0" borderId="0" xfId="0" applyNumberFormat="1" applyFont="1" applyBorder="1"/>
    <xf numFmtId="9" fontId="25" fillId="0" borderId="31" xfId="0" applyNumberFormat="1" applyFont="1" applyBorder="1"/>
    <xf numFmtId="9" fontId="25" fillId="0" borderId="47" xfId="0" applyNumberFormat="1" applyFont="1" applyBorder="1"/>
    <xf numFmtId="168" fontId="26" fillId="0" borderId="0" xfId="1" applyNumberFormat="1" applyFont="1" applyFill="1" applyBorder="1"/>
    <xf numFmtId="0" fontId="26" fillId="0" borderId="0" xfId="0" applyFont="1" applyFill="1" applyBorder="1"/>
    <xf numFmtId="172" fontId="26" fillId="0" borderId="0" xfId="0" applyNumberFormat="1" applyFont="1" applyFill="1" applyBorder="1"/>
    <xf numFmtId="9" fontId="26" fillId="0" borderId="42" xfId="2" applyFont="1" applyBorder="1" applyAlignment="1">
      <alignment vertical="center"/>
    </xf>
    <xf numFmtId="9" fontId="26" fillId="0" borderId="31" xfId="2" applyFont="1" applyBorder="1" applyAlignment="1">
      <alignment horizontal="right"/>
    </xf>
    <xf numFmtId="9" fontId="26" fillId="0" borderId="0" xfId="2" applyFont="1" applyBorder="1" applyAlignment="1">
      <alignment horizontal="right"/>
    </xf>
    <xf numFmtId="0" fontId="26" fillId="0" borderId="31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165" fontId="26" fillId="0" borderId="31" xfId="1" applyNumberFormat="1" applyFont="1" applyBorder="1" applyAlignment="1">
      <alignment horizontal="right"/>
    </xf>
    <xf numFmtId="165" fontId="26" fillId="0" borderId="0" xfId="1" applyNumberFormat="1" applyFont="1" applyBorder="1" applyAlignment="1">
      <alignment horizontal="right"/>
    </xf>
    <xf numFmtId="168" fontId="26" fillId="0" borderId="31" xfId="1" applyNumberFormat="1" applyFont="1" applyBorder="1" applyAlignment="1">
      <alignment horizontal="right"/>
    </xf>
    <xf numFmtId="168" fontId="26" fillId="0" borderId="0" xfId="1" applyNumberFormat="1" applyFont="1" applyBorder="1" applyAlignment="1">
      <alignment horizontal="right"/>
    </xf>
    <xf numFmtId="165" fontId="26" fillId="0" borderId="31" xfId="1" applyFont="1" applyBorder="1" applyAlignment="1">
      <alignment horizontal="right"/>
    </xf>
    <xf numFmtId="165" fontId="26" fillId="0" borderId="0" xfId="1" applyFont="1" applyBorder="1" applyAlignment="1">
      <alignment horizontal="right"/>
    </xf>
    <xf numFmtId="172" fontId="26" fillId="0" borderId="31" xfId="2" applyNumberFormat="1" applyFont="1" applyBorder="1" applyAlignment="1">
      <alignment horizontal="right"/>
    </xf>
    <xf numFmtId="172" fontId="26" fillId="0" borderId="0" xfId="2" applyNumberFormat="1" applyFont="1" applyBorder="1" applyAlignment="1">
      <alignment horizontal="right"/>
    </xf>
    <xf numFmtId="172" fontId="26" fillId="0" borderId="20" xfId="2" applyNumberFormat="1" applyFont="1" applyBorder="1" applyAlignment="1">
      <alignment horizontal="right"/>
    </xf>
    <xf numFmtId="172" fontId="26" fillId="0" borderId="42" xfId="2" applyNumberFormat="1" applyFont="1" applyBorder="1" applyAlignment="1">
      <alignment horizontal="right"/>
    </xf>
    <xf numFmtId="0" fontId="16" fillId="10" borderId="22" xfId="0" applyFont="1" applyFill="1" applyBorder="1" applyAlignment="1">
      <alignment horizontal="center"/>
    </xf>
    <xf numFmtId="0" fontId="10" fillId="6" borderId="22" xfId="0" applyFont="1" applyFill="1" applyBorder="1"/>
    <xf numFmtId="0" fontId="10" fillId="6" borderId="39" xfId="0" applyFont="1" applyFill="1" applyBorder="1"/>
    <xf numFmtId="0" fontId="20" fillId="6" borderId="22" xfId="0" applyFont="1" applyFill="1" applyBorder="1"/>
    <xf numFmtId="0" fontId="20" fillId="6" borderId="39" xfId="0" applyFont="1" applyFill="1" applyBorder="1"/>
    <xf numFmtId="0" fontId="13" fillId="6" borderId="47" xfId="0" applyFont="1" applyFill="1" applyBorder="1"/>
    <xf numFmtId="0" fontId="12" fillId="6" borderId="0" xfId="0" applyFont="1" applyFill="1" applyBorder="1"/>
    <xf numFmtId="168" fontId="13" fillId="6" borderId="0" xfId="1" applyNumberFormat="1" applyFont="1" applyFill="1" applyBorder="1"/>
    <xf numFmtId="168" fontId="13" fillId="6" borderId="0" xfId="0" applyNumberFormat="1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6" borderId="22" xfId="0" applyFont="1" applyFill="1" applyBorder="1"/>
    <xf numFmtId="0" fontId="12" fillId="6" borderId="39" xfId="0" applyFont="1" applyFill="1" applyBorder="1"/>
    <xf numFmtId="0" fontId="12" fillId="0" borderId="39" xfId="0" applyFont="1" applyBorder="1"/>
    <xf numFmtId="0" fontId="12" fillId="0" borderId="17" xfId="0" applyFont="1" applyBorder="1"/>
    <xf numFmtId="9" fontId="17" fillId="8" borderId="0" xfId="2" applyFont="1" applyFill="1" applyBorder="1"/>
    <xf numFmtId="176" fontId="12" fillId="0" borderId="0" xfId="0" applyNumberFormat="1" applyFont="1" applyBorder="1"/>
    <xf numFmtId="175" fontId="13" fillId="0" borderId="16" xfId="0" applyNumberFormat="1" applyFont="1" applyBorder="1" applyAlignment="1"/>
    <xf numFmtId="0" fontId="11" fillId="0" borderId="18" xfId="0" applyFont="1" applyBorder="1" applyAlignment="1">
      <alignment horizontal="center"/>
    </xf>
    <xf numFmtId="0" fontId="12" fillId="0" borderId="38" xfId="0" applyFont="1" applyFill="1" applyBorder="1"/>
    <xf numFmtId="0" fontId="12" fillId="0" borderId="16" xfId="0" applyFont="1" applyFill="1" applyBorder="1"/>
    <xf numFmtId="0" fontId="13" fillId="0" borderId="0" xfId="0" applyFont="1" applyFill="1" applyBorder="1" applyAlignment="1">
      <alignment horizontal="left" wrapText="1"/>
    </xf>
    <xf numFmtId="168" fontId="13" fillId="0" borderId="38" xfId="1" applyNumberFormat="1" applyFont="1" applyFill="1" applyBorder="1" applyAlignment="1">
      <alignment vertical="center"/>
    </xf>
    <xf numFmtId="0" fontId="13" fillId="0" borderId="38" xfId="0" applyFont="1" applyFill="1" applyBorder="1" applyAlignment="1"/>
    <xf numFmtId="0" fontId="13" fillId="0" borderId="38" xfId="0" applyFont="1" applyFill="1" applyBorder="1" applyAlignment="1">
      <alignment horizontal="left" wrapText="1"/>
    </xf>
    <xf numFmtId="168" fontId="26" fillId="0" borderId="0" xfId="0" applyNumberFormat="1" applyFont="1" applyFill="1" applyBorder="1"/>
    <xf numFmtId="168" fontId="6" fillId="0" borderId="0" xfId="0" applyNumberFormat="1" applyFont="1"/>
    <xf numFmtId="177" fontId="12" fillId="0" borderId="34" xfId="0" applyNumberFormat="1" applyFont="1" applyBorder="1" applyAlignment="1">
      <alignment horizontal="left"/>
    </xf>
    <xf numFmtId="1" fontId="6" fillId="0" borderId="5" xfId="109" applyNumberFormat="1" applyFont="1" applyBorder="1" applyAlignment="1">
      <alignment horizontal="center" vertical="center"/>
    </xf>
    <xf numFmtId="1" fontId="6" fillId="0" borderId="1" xfId="109" applyNumberFormat="1" applyFont="1" applyBorder="1" applyAlignment="1">
      <alignment horizontal="center" vertical="center"/>
    </xf>
    <xf numFmtId="1" fontId="6" fillId="0" borderId="8" xfId="109" applyNumberFormat="1" applyFont="1" applyBorder="1" applyAlignment="1">
      <alignment horizontal="center"/>
    </xf>
    <xf numFmtId="0" fontId="6" fillId="0" borderId="8" xfId="0" applyFont="1" applyBorder="1" applyAlignment="1">
      <alignment horizontal="right"/>
    </xf>
    <xf numFmtId="49" fontId="6" fillId="0" borderId="12" xfId="0" applyNumberFormat="1" applyFont="1" applyBorder="1"/>
    <xf numFmtId="49" fontId="6" fillId="0" borderId="3" xfId="0" applyNumberFormat="1" applyFont="1" applyBorder="1" applyAlignment="1">
      <alignment horizontal="center"/>
    </xf>
    <xf numFmtId="171" fontId="8" fillId="0" borderId="2" xfId="109" applyNumberFormat="1" applyFont="1" applyBorder="1" applyAlignment="1"/>
    <xf numFmtId="2" fontId="19" fillId="5" borderId="5" xfId="0" applyNumberFormat="1" applyFont="1" applyFill="1" applyBorder="1" applyAlignment="1">
      <alignment horizontal="right"/>
    </xf>
    <xf numFmtId="171" fontId="19" fillId="5" borderId="5" xfId="109" applyNumberFormat="1" applyFont="1" applyFill="1" applyBorder="1" applyAlignment="1"/>
    <xf numFmtId="9" fontId="19" fillId="5" borderId="5" xfId="2" applyFont="1" applyFill="1" applyBorder="1" applyAlignment="1">
      <alignment horizontal="center"/>
    </xf>
    <xf numFmtId="174" fontId="12" fillId="0" borderId="0" xfId="0" applyNumberFormat="1" applyFont="1" applyBorder="1" applyAlignment="1">
      <alignment horizontal="left"/>
    </xf>
    <xf numFmtId="178" fontId="19" fillId="5" borderId="6" xfId="2" applyNumberFormat="1" applyFont="1" applyFill="1" applyBorder="1" applyAlignment="1">
      <alignment horizontal="center"/>
    </xf>
    <xf numFmtId="167" fontId="6" fillId="0" borderId="3" xfId="2" applyNumberFormat="1" applyFont="1" applyBorder="1" applyAlignment="1">
      <alignment horizontal="center"/>
    </xf>
    <xf numFmtId="167" fontId="6" fillId="0" borderId="1" xfId="2" applyNumberFormat="1" applyFont="1" applyBorder="1" applyAlignment="1">
      <alignment horizontal="center"/>
    </xf>
    <xf numFmtId="167" fontId="19" fillId="5" borderId="5" xfId="109" applyNumberFormat="1" applyFont="1" applyFill="1" applyBorder="1" applyAlignment="1">
      <alignment horizontal="center"/>
    </xf>
    <xf numFmtId="167" fontId="6" fillId="0" borderId="1" xfId="109" applyNumberFormat="1" applyFont="1" applyBorder="1" applyAlignment="1">
      <alignment horizontal="center"/>
    </xf>
    <xf numFmtId="167" fontId="6" fillId="0" borderId="8" xfId="109" applyNumberFormat="1" applyFont="1" applyBorder="1" applyAlignment="1">
      <alignment horizontal="center"/>
    </xf>
    <xf numFmtId="167" fontId="6" fillId="0" borderId="8" xfId="2" applyNumberFormat="1" applyFont="1" applyBorder="1" applyAlignment="1">
      <alignment horizontal="center"/>
    </xf>
    <xf numFmtId="9" fontId="6" fillId="0" borderId="0" xfId="2" applyFont="1"/>
    <xf numFmtId="49" fontId="6" fillId="0" borderId="1" xfId="0" applyNumberFormat="1" applyFont="1" applyFill="1" applyBorder="1"/>
    <xf numFmtId="167" fontId="6" fillId="6" borderId="1" xfId="0" applyNumberFormat="1" applyFont="1" applyFill="1" applyBorder="1"/>
    <xf numFmtId="172" fontId="13" fillId="3" borderId="0" xfId="0" applyNumberFormat="1" applyFont="1" applyFill="1" applyBorder="1"/>
    <xf numFmtId="0" fontId="13" fillId="9" borderId="47" xfId="0" applyFont="1" applyFill="1" applyBorder="1"/>
    <xf numFmtId="172" fontId="13" fillId="9" borderId="0" xfId="0" applyNumberFormat="1" applyFont="1" applyFill="1" applyBorder="1"/>
    <xf numFmtId="168" fontId="13" fillId="3" borderId="0" xfId="1" applyNumberFormat="1" applyFont="1" applyFill="1" applyBorder="1"/>
    <xf numFmtId="0" fontId="13" fillId="8" borderId="47" xfId="0" applyFont="1" applyFill="1" applyBorder="1"/>
    <xf numFmtId="0" fontId="13" fillId="8" borderId="0" xfId="0" applyFont="1" applyFill="1" applyBorder="1"/>
    <xf numFmtId="172" fontId="13" fillId="8" borderId="0" xfId="0" applyNumberFormat="1" applyFont="1" applyFill="1" applyBorder="1" applyAlignment="1">
      <alignment horizontal="right" wrapText="1"/>
    </xf>
    <xf numFmtId="168" fontId="12" fillId="8" borderId="0" xfId="1" applyNumberFormat="1" applyFont="1" applyFill="1" applyBorder="1" applyAlignment="1">
      <alignment vertical="center"/>
    </xf>
    <xf numFmtId="0" fontId="13" fillId="9" borderId="38" xfId="0" applyFont="1" applyFill="1" applyBorder="1" applyAlignment="1">
      <alignment horizontal="right"/>
    </xf>
    <xf numFmtId="167" fontId="6" fillId="7" borderId="22" xfId="0" applyNumberFormat="1" applyFont="1" applyFill="1" applyBorder="1"/>
    <xf numFmtId="171" fontId="6" fillId="0" borderId="1" xfId="109" applyNumberFormat="1" applyFont="1" applyBorder="1" applyAlignment="1"/>
    <xf numFmtId="0" fontId="8" fillId="0" borderId="33" xfId="0" applyFont="1" applyFill="1" applyBorder="1" applyAlignment="1">
      <alignment horizontal="center"/>
    </xf>
    <xf numFmtId="0" fontId="8" fillId="0" borderId="41" xfId="0" applyFont="1" applyFill="1" applyBorder="1" applyAlignment="1">
      <alignment horizontal="center"/>
    </xf>
    <xf numFmtId="167" fontId="6" fillId="0" borderId="24" xfId="2" applyNumberFormat="1" applyFont="1" applyBorder="1" applyAlignment="1">
      <alignment horizontal="center"/>
    </xf>
    <xf numFmtId="167" fontId="6" fillId="0" borderId="22" xfId="2" applyNumberFormat="1" applyFont="1" applyBorder="1" applyAlignment="1">
      <alignment horizontal="center"/>
    </xf>
    <xf numFmtId="167" fontId="6" fillId="0" borderId="46" xfId="2" applyNumberFormat="1" applyFont="1" applyBorder="1" applyAlignment="1">
      <alignment horizontal="center"/>
    </xf>
    <xf numFmtId="167" fontId="27" fillId="5" borderId="2" xfId="0" applyNumberFormat="1" applyFont="1" applyFill="1" applyBorder="1"/>
    <xf numFmtId="167" fontId="27" fillId="5" borderId="23" xfId="0" applyNumberFormat="1" applyFont="1" applyFill="1" applyBorder="1"/>
    <xf numFmtId="178" fontId="27" fillId="5" borderId="2" xfId="2" applyNumberFormat="1" applyFont="1" applyFill="1" applyBorder="1" applyAlignment="1">
      <alignment horizontal="center"/>
    </xf>
    <xf numFmtId="167" fontId="6" fillId="0" borderId="1" xfId="0" applyNumberFormat="1" applyFont="1" applyBorder="1"/>
    <xf numFmtId="167" fontId="27" fillId="5" borderId="1" xfId="0" applyNumberFormat="1" applyFont="1" applyFill="1" applyBorder="1"/>
    <xf numFmtId="167" fontId="28" fillId="6" borderId="1" xfId="2" applyNumberFormat="1" applyFont="1" applyFill="1" applyBorder="1" applyAlignment="1">
      <alignment horizontal="center"/>
    </xf>
    <xf numFmtId="167" fontId="28" fillId="7" borderId="22" xfId="2" applyNumberFormat="1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right"/>
    </xf>
    <xf numFmtId="167" fontId="19" fillId="5" borderId="25" xfId="2" applyNumberFormat="1" applyFont="1" applyFill="1" applyBorder="1" applyAlignment="1">
      <alignment horizontal="center"/>
    </xf>
    <xf numFmtId="178" fontId="8" fillId="0" borderId="11" xfId="2" applyNumberFormat="1" applyFont="1" applyBorder="1" applyAlignment="1">
      <alignment horizontal="center"/>
    </xf>
    <xf numFmtId="178" fontId="8" fillId="0" borderId="9" xfId="2" applyNumberFormat="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178" fontId="29" fillId="0" borderId="1" xfId="2" applyNumberFormat="1" applyFont="1" applyFill="1" applyBorder="1" applyAlignment="1">
      <alignment horizontal="center"/>
    </xf>
    <xf numFmtId="0" fontId="18" fillId="0" borderId="0" xfId="0" applyFont="1" applyFill="1" applyBorder="1" applyAlignment="1"/>
    <xf numFmtId="2" fontId="6" fillId="0" borderId="0" xfId="0" applyNumberFormat="1" applyFont="1"/>
    <xf numFmtId="171" fontId="6" fillId="0" borderId="1" xfId="109" applyNumberFormat="1" applyFont="1" applyBorder="1" applyAlignment="1"/>
    <xf numFmtId="1" fontId="6" fillId="0" borderId="5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vertical="center"/>
    </xf>
    <xf numFmtId="170" fontId="9" fillId="0" borderId="3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73" fontId="9" fillId="0" borderId="15" xfId="0" applyNumberFormat="1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170" fontId="9" fillId="0" borderId="8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166" fontId="6" fillId="0" borderId="5" xfId="109" applyNumberFormat="1" applyFont="1" applyBorder="1" applyAlignment="1"/>
    <xf numFmtId="166" fontId="6" fillId="0" borderId="1" xfId="109" applyNumberFormat="1" applyFont="1" applyBorder="1" applyAlignment="1"/>
    <xf numFmtId="166" fontId="8" fillId="0" borderId="1" xfId="109" applyNumberFormat="1" applyFont="1" applyBorder="1" applyAlignment="1"/>
    <xf numFmtId="166" fontId="8" fillId="0" borderId="8" xfId="109" applyNumberFormat="1" applyFont="1" applyBorder="1" applyAlignment="1"/>
    <xf numFmtId="166" fontId="6" fillId="0" borderId="33" xfId="109" applyNumberFormat="1" applyFont="1" applyBorder="1" applyAlignment="1"/>
    <xf numFmtId="166" fontId="6" fillId="0" borderId="31" xfId="109" applyNumberFormat="1" applyFont="1" applyBorder="1" applyAlignment="1"/>
    <xf numFmtId="1" fontId="6" fillId="0" borderId="47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71" fontId="19" fillId="5" borderId="35" xfId="109" applyNumberFormat="1" applyFont="1" applyFill="1" applyBorder="1" applyAlignment="1">
      <alignment horizontal="center"/>
    </xf>
    <xf numFmtId="166" fontId="6" fillId="0" borderId="2" xfId="109" applyNumberFormat="1" applyFont="1" applyBorder="1" applyAlignment="1"/>
    <xf numFmtId="1" fontId="6" fillId="0" borderId="3" xfId="0" applyNumberFormat="1" applyFont="1" applyBorder="1" applyAlignment="1">
      <alignment horizontal="center" vertical="center" wrapText="1"/>
    </xf>
    <xf numFmtId="1" fontId="8" fillId="0" borderId="1" xfId="109" applyNumberFormat="1" applyFont="1" applyBorder="1" applyAlignment="1">
      <alignment horizontal="center"/>
    </xf>
    <xf numFmtId="166" fontId="6" fillId="0" borderId="47" xfId="109" applyNumberFormat="1" applyFont="1" applyBorder="1" applyAlignment="1"/>
    <xf numFmtId="166" fontId="6" fillId="0" borderId="3" xfId="109" applyNumberFormat="1" applyFont="1" applyBorder="1" applyAlignment="1"/>
    <xf numFmtId="0" fontId="5" fillId="6" borderId="0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 wrapText="1"/>
    </xf>
    <xf numFmtId="9" fontId="6" fillId="0" borderId="33" xfId="2" applyFont="1" applyBorder="1" applyAlignment="1">
      <alignment horizontal="center"/>
    </xf>
    <xf numFmtId="171" fontId="19" fillId="5" borderId="60" xfId="109" applyNumberFormat="1" applyFont="1" applyFill="1" applyBorder="1" applyAlignment="1"/>
    <xf numFmtId="171" fontId="19" fillId="5" borderId="36" xfId="109" applyNumberFormat="1" applyFont="1" applyFill="1" applyBorder="1" applyAlignment="1"/>
    <xf numFmtId="166" fontId="6" fillId="0" borderId="8" xfId="109" applyNumberFormat="1" applyFont="1" applyBorder="1" applyAlignment="1"/>
    <xf numFmtId="2" fontId="6" fillId="0" borderId="0" xfId="0" applyNumberFormat="1" applyFont="1" applyBorder="1" applyAlignment="1">
      <alignment horizontal="center"/>
    </xf>
    <xf numFmtId="10" fontId="26" fillId="0" borderId="31" xfId="2" applyNumberFormat="1" applyFont="1" applyBorder="1" applyAlignment="1">
      <alignment horizontal="right"/>
    </xf>
    <xf numFmtId="10" fontId="12" fillId="0" borderId="0" xfId="0" applyNumberFormat="1" applyFont="1" applyBorder="1" applyAlignment="1">
      <alignment horizontal="left"/>
    </xf>
    <xf numFmtId="168" fontId="30" fillId="0" borderId="0" xfId="1" applyNumberFormat="1" applyFont="1" applyFill="1" applyBorder="1"/>
    <xf numFmtId="2" fontId="19" fillId="5" borderId="33" xfId="109" applyNumberFormat="1" applyFont="1" applyFill="1" applyBorder="1" applyAlignment="1">
      <alignment horizontal="right"/>
    </xf>
    <xf numFmtId="171" fontId="19" fillId="5" borderId="33" xfId="109" applyNumberFormat="1" applyFont="1" applyFill="1" applyBorder="1" applyAlignment="1"/>
    <xf numFmtId="166" fontId="6" fillId="0" borderId="53" xfId="109" applyNumberFormat="1" applyFont="1" applyBorder="1" applyAlignment="1"/>
    <xf numFmtId="166" fontId="6" fillId="0" borderId="11" xfId="109" applyNumberFormat="1" applyFont="1" applyBorder="1" applyAlignment="1"/>
    <xf numFmtId="166" fontId="6" fillId="0" borderId="9" xfId="109" applyNumberFormat="1" applyFont="1" applyBorder="1" applyAlignment="1"/>
    <xf numFmtId="166" fontId="6" fillId="0" borderId="4" xfId="109" applyNumberFormat="1" applyFont="1" applyBorder="1" applyAlignment="1"/>
    <xf numFmtId="166" fontId="6" fillId="0" borderId="6" xfId="109" applyNumberFormat="1" applyFont="1" applyBorder="1" applyAlignment="1"/>
    <xf numFmtId="166" fontId="6" fillId="0" borderId="7" xfId="109" applyNumberFormat="1" applyFont="1" applyBorder="1" applyAlignment="1"/>
    <xf numFmtId="0" fontId="20" fillId="0" borderId="47" xfId="0" applyFont="1" applyFill="1" applyBorder="1" applyAlignment="1">
      <alignment horizontal="left" indent="2"/>
    </xf>
    <xf numFmtId="0" fontId="7" fillId="12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5" fillId="12" borderId="22" xfId="0" applyFont="1" applyFill="1" applyBorder="1"/>
    <xf numFmtId="0" fontId="12" fillId="12" borderId="39" xfId="0" applyFont="1" applyFill="1" applyBorder="1"/>
    <xf numFmtId="0" fontId="16" fillId="7" borderId="22" xfId="0" applyFont="1" applyFill="1" applyBorder="1" applyAlignment="1">
      <alignment horizontal="center"/>
    </xf>
    <xf numFmtId="168" fontId="13" fillId="12" borderId="0" xfId="1" applyNumberFormat="1" applyFont="1" applyFill="1" applyBorder="1"/>
    <xf numFmtId="168" fontId="13" fillId="12" borderId="0" xfId="0" applyNumberFormat="1" applyFont="1" applyFill="1" applyBorder="1"/>
    <xf numFmtId="0" fontId="12" fillId="12" borderId="0" xfId="0" applyFont="1" applyFill="1" applyBorder="1"/>
    <xf numFmtId="0" fontId="10" fillId="12" borderId="22" xfId="0" applyFont="1" applyFill="1" applyBorder="1"/>
    <xf numFmtId="0" fontId="10" fillId="12" borderId="39" xfId="0" applyFont="1" applyFill="1" applyBorder="1"/>
    <xf numFmtId="0" fontId="20" fillId="12" borderId="22" xfId="0" applyFont="1" applyFill="1" applyBorder="1"/>
    <xf numFmtId="0" fontId="20" fillId="12" borderId="39" xfId="0" applyFont="1" applyFill="1" applyBorder="1"/>
    <xf numFmtId="164" fontId="12" fillId="0" borderId="0" xfId="0" applyNumberFormat="1" applyFont="1"/>
    <xf numFmtId="10" fontId="12" fillId="0" borderId="0" xfId="0" applyNumberFormat="1" applyFont="1"/>
    <xf numFmtId="0" fontId="17" fillId="0" borderId="0" xfId="0" applyFont="1" applyBorder="1" applyAlignment="1">
      <alignment horizontal="right"/>
    </xf>
    <xf numFmtId="169" fontId="6" fillId="0" borderId="3" xfId="2" applyNumberFormat="1" applyFont="1" applyBorder="1" applyAlignment="1">
      <alignment horizontal="center"/>
    </xf>
    <xf numFmtId="10" fontId="6" fillId="0" borderId="1" xfId="2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right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31" fillId="0" borderId="47" xfId="0" applyFont="1" applyBorder="1"/>
    <xf numFmtId="0" fontId="12" fillId="0" borderId="47" xfId="0" applyFont="1" applyBorder="1" applyAlignment="1">
      <alignment horizontal="left"/>
    </xf>
    <xf numFmtId="49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49" fontId="6" fillId="0" borderId="1" xfId="0" applyNumberFormat="1" applyFont="1" applyBorder="1"/>
    <xf numFmtId="179" fontId="6" fillId="0" borderId="0" xfId="0" applyNumberFormat="1" applyFont="1"/>
    <xf numFmtId="167" fontId="6" fillId="0" borderId="31" xfId="0" applyNumberFormat="1" applyFont="1" applyBorder="1" applyAlignment="1">
      <alignment vertical="center"/>
    </xf>
    <xf numFmtId="167" fontId="6" fillId="0" borderId="20" xfId="0" applyNumberFormat="1" applyFont="1" applyBorder="1" applyAlignment="1">
      <alignment vertical="center"/>
    </xf>
    <xf numFmtId="167" fontId="19" fillId="13" borderId="61" xfId="109" applyNumberFormat="1" applyFont="1" applyFill="1" applyBorder="1" applyAlignment="1">
      <alignment horizontal="center"/>
    </xf>
    <xf numFmtId="0" fontId="5" fillId="14" borderId="62" xfId="0" applyFont="1" applyFill="1" applyBorder="1" applyAlignment="1"/>
    <xf numFmtId="0" fontId="5" fillId="12" borderId="62" xfId="0" applyFont="1" applyFill="1" applyBorder="1" applyAlignment="1"/>
    <xf numFmtId="2" fontId="34" fillId="5" borderId="5" xfId="0" applyNumberFormat="1" applyFont="1" applyFill="1" applyBorder="1" applyAlignment="1">
      <alignment horizontal="right"/>
    </xf>
    <xf numFmtId="167" fontId="35" fillId="5" borderId="2" xfId="0" applyNumberFormat="1" applyFont="1" applyFill="1" applyBorder="1" applyAlignment="1">
      <alignment horizontal="right"/>
    </xf>
    <xf numFmtId="0" fontId="36" fillId="0" borderId="0" xfId="0" applyFont="1" applyBorder="1"/>
    <xf numFmtId="49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5" fillId="14" borderId="62" xfId="0" applyFont="1" applyFill="1" applyBorder="1" applyAlignment="1">
      <alignment horizontal="center"/>
    </xf>
    <xf numFmtId="0" fontId="37" fillId="5" borderId="23" xfId="0" applyFont="1" applyFill="1" applyBorder="1" applyAlignment="1">
      <alignment horizontal="right"/>
    </xf>
    <xf numFmtId="0" fontId="5" fillId="16" borderId="22" xfId="0" applyFont="1" applyFill="1" applyBorder="1"/>
    <xf numFmtId="0" fontId="12" fillId="16" borderId="39" xfId="0" applyFont="1" applyFill="1" applyBorder="1"/>
    <xf numFmtId="0" fontId="10" fillId="16" borderId="22" xfId="0" applyFont="1" applyFill="1" applyBorder="1"/>
    <xf numFmtId="0" fontId="10" fillId="16" borderId="39" xfId="0" applyFont="1" applyFill="1" applyBorder="1"/>
    <xf numFmtId="0" fontId="20" fillId="16" borderId="22" xfId="0" applyFont="1" applyFill="1" applyBorder="1"/>
    <xf numFmtId="0" fontId="20" fillId="16" borderId="39" xfId="0" applyFont="1" applyFill="1" applyBorder="1"/>
    <xf numFmtId="168" fontId="13" fillId="16" borderId="0" xfId="1" applyNumberFormat="1" applyFont="1" applyFill="1" applyBorder="1"/>
    <xf numFmtId="168" fontId="13" fillId="16" borderId="0" xfId="0" applyNumberFormat="1" applyFont="1" applyFill="1" applyBorder="1"/>
    <xf numFmtId="0" fontId="12" fillId="16" borderId="0" xfId="0" applyFont="1" applyFill="1" applyBorder="1"/>
    <xf numFmtId="167" fontId="6" fillId="16" borderId="1" xfId="0" applyNumberFormat="1" applyFont="1" applyFill="1" applyBorder="1"/>
    <xf numFmtId="167" fontId="28" fillId="16" borderId="22" xfId="2" applyNumberFormat="1" applyFont="1" applyFill="1" applyBorder="1" applyAlignment="1">
      <alignment horizontal="center"/>
    </xf>
    <xf numFmtId="0" fontId="7" fillId="16" borderId="8" xfId="0" applyFont="1" applyFill="1" applyBorder="1" applyAlignment="1">
      <alignment horizontal="center" vertical="center" wrapText="1"/>
    </xf>
    <xf numFmtId="0" fontId="16" fillId="15" borderId="22" xfId="0" applyFont="1" applyFill="1" applyBorder="1" applyAlignment="1">
      <alignment horizontal="center"/>
    </xf>
    <xf numFmtId="0" fontId="5" fillId="16" borderId="62" xfId="0" applyFont="1" applyFill="1" applyBorder="1" applyAlignment="1">
      <alignment horizontal="center"/>
    </xf>
    <xf numFmtId="0" fontId="17" fillId="0" borderId="0" xfId="0" applyFont="1" applyBorder="1" applyAlignment="1">
      <alignment horizontal="right"/>
    </xf>
    <xf numFmtId="180" fontId="12" fillId="0" borderId="0" xfId="0" applyNumberFormat="1" applyFont="1" applyBorder="1" applyAlignment="1">
      <alignment horizontal="left"/>
    </xf>
    <xf numFmtId="181" fontId="12" fillId="0" borderId="38" xfId="0" applyNumberFormat="1" applyFont="1" applyBorder="1" applyAlignment="1">
      <alignment horizontal="left"/>
    </xf>
    <xf numFmtId="182" fontId="12" fillId="0" borderId="34" xfId="0" applyNumberFormat="1" applyFont="1" applyBorder="1" applyAlignment="1">
      <alignment horizontal="left"/>
    </xf>
    <xf numFmtId="0" fontId="13" fillId="0" borderId="47" xfId="0" applyFont="1" applyBorder="1" applyAlignment="1">
      <alignment wrapText="1"/>
    </xf>
    <xf numFmtId="183" fontId="14" fillId="2" borderId="0" xfId="0" applyNumberFormat="1" applyFont="1" applyFill="1" applyBorder="1" applyAlignment="1">
      <alignment horizontal="center"/>
    </xf>
    <xf numFmtId="183" fontId="14" fillId="2" borderId="34" xfId="0" applyNumberFormat="1" applyFont="1" applyFill="1" applyBorder="1" applyAlignment="1">
      <alignment horizontal="center"/>
    </xf>
    <xf numFmtId="183" fontId="14" fillId="2" borderId="0" xfId="0" applyNumberFormat="1" applyFont="1" applyFill="1" applyAlignment="1">
      <alignment horizontal="center"/>
    </xf>
    <xf numFmtId="0" fontId="12" fillId="6" borderId="0" xfId="0" applyFont="1" applyFill="1" applyBorder="1" applyAlignment="1">
      <alignment horizontal="center"/>
    </xf>
    <xf numFmtId="0" fontId="13" fillId="16" borderId="0" xfId="0" applyFont="1" applyFill="1" applyBorder="1"/>
    <xf numFmtId="0" fontId="13" fillId="12" borderId="0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7" fillId="6" borderId="23" xfId="0" applyFont="1" applyFill="1" applyBorder="1" applyAlignment="1">
      <alignment horizontal="center" vertical="center" wrapText="1"/>
    </xf>
    <xf numFmtId="0" fontId="7" fillId="6" borderId="40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6" fillId="0" borderId="4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6" borderId="49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2" fontId="6" fillId="0" borderId="37" xfId="0" applyNumberFormat="1" applyFont="1" applyBorder="1" applyAlignment="1">
      <alignment horizontal="center"/>
    </xf>
    <xf numFmtId="2" fontId="6" fillId="0" borderId="41" xfId="0" applyNumberFormat="1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2" fontId="6" fillId="0" borderId="42" xfId="0" applyNumberFormat="1" applyFont="1" applyBorder="1" applyAlignment="1">
      <alignment horizontal="center"/>
    </xf>
    <xf numFmtId="166" fontId="6" fillId="0" borderId="2" xfId="109" applyNumberFormat="1" applyFont="1" applyBorder="1" applyAlignment="1">
      <alignment horizontal="center" vertical="center"/>
    </xf>
    <xf numFmtId="166" fontId="6" fillId="0" borderId="3" xfId="109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166" fontId="6" fillId="0" borderId="53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/>
    </xf>
    <xf numFmtId="0" fontId="18" fillId="6" borderId="5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/>
    </xf>
    <xf numFmtId="49" fontId="5" fillId="0" borderId="26" xfId="0" applyNumberFormat="1" applyFont="1" applyBorder="1" applyAlignment="1">
      <alignment horizontal="center"/>
    </xf>
    <xf numFmtId="49" fontId="5" fillId="0" borderId="27" xfId="0" applyNumberFormat="1" applyFont="1" applyBorder="1" applyAlignment="1">
      <alignment horizontal="center"/>
    </xf>
    <xf numFmtId="49" fontId="5" fillId="0" borderId="29" xfId="0" applyNumberFormat="1" applyFont="1" applyBorder="1" applyAlignment="1">
      <alignment horizontal="center"/>
    </xf>
    <xf numFmtId="49" fontId="5" fillId="0" borderId="28" xfId="0" applyNumberFormat="1" applyFont="1" applyBorder="1" applyAlignment="1">
      <alignment horizontal="center"/>
    </xf>
    <xf numFmtId="49" fontId="5" fillId="0" borderId="30" xfId="0" applyNumberFormat="1" applyFont="1" applyBorder="1" applyAlignment="1">
      <alignment horizontal="center"/>
    </xf>
    <xf numFmtId="2" fontId="19" fillId="5" borderId="37" xfId="0" applyNumberFormat="1" applyFont="1" applyFill="1" applyBorder="1" applyAlignment="1">
      <alignment horizontal="center"/>
    </xf>
    <xf numFmtId="2" fontId="19" fillId="5" borderId="59" xfId="0" applyNumberFormat="1" applyFont="1" applyFill="1" applyBorder="1" applyAlignment="1">
      <alignment horizontal="center"/>
    </xf>
    <xf numFmtId="49" fontId="6" fillId="0" borderId="37" xfId="0" applyNumberFormat="1" applyFont="1" applyBorder="1" applyAlignment="1">
      <alignment horizontal="center"/>
    </xf>
    <xf numFmtId="49" fontId="6" fillId="0" borderId="59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8" fillId="0" borderId="45" xfId="0" applyNumberFormat="1" applyFont="1" applyBorder="1" applyAlignment="1">
      <alignment horizontal="right"/>
    </xf>
    <xf numFmtId="49" fontId="8" fillId="0" borderId="55" xfId="0" applyNumberFormat="1" applyFont="1" applyBorder="1" applyAlignment="1">
      <alignment horizontal="right"/>
    </xf>
    <xf numFmtId="49" fontId="8" fillId="0" borderId="43" xfId="0" applyNumberFormat="1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9" fontId="8" fillId="0" borderId="44" xfId="0" applyNumberFormat="1" applyFont="1" applyBorder="1" applyAlignment="1">
      <alignment horizontal="right"/>
    </xf>
    <xf numFmtId="49" fontId="8" fillId="0" borderId="39" xfId="0" applyNumberFormat="1" applyFont="1" applyBorder="1" applyAlignment="1">
      <alignment horizontal="right"/>
    </xf>
    <xf numFmtId="49" fontId="8" fillId="0" borderId="17" xfId="0" applyNumberFormat="1" applyFont="1" applyBorder="1" applyAlignment="1">
      <alignment horizontal="right"/>
    </xf>
    <xf numFmtId="166" fontId="6" fillId="0" borderId="2" xfId="109" applyNumberFormat="1" applyFont="1" applyBorder="1" applyAlignment="1">
      <alignment horizontal="center"/>
    </xf>
    <xf numFmtId="166" fontId="6" fillId="0" borderId="3" xfId="109" applyNumberFormat="1" applyFont="1" applyBorder="1" applyAlignment="1">
      <alignment horizontal="center"/>
    </xf>
    <xf numFmtId="166" fontId="6" fillId="0" borderId="1" xfId="109" applyNumberFormat="1" applyFont="1" applyBorder="1" applyAlignment="1">
      <alignment horizontal="center"/>
    </xf>
    <xf numFmtId="0" fontId="5" fillId="6" borderId="39" xfId="0" applyFont="1" applyFill="1" applyBorder="1" applyAlignment="1">
      <alignment horizontal="right"/>
    </xf>
    <xf numFmtId="0" fontId="5" fillId="6" borderId="17" xfId="0" applyFont="1" applyFill="1" applyBorder="1" applyAlignment="1">
      <alignment horizontal="right"/>
    </xf>
    <xf numFmtId="0" fontId="17" fillId="0" borderId="0" xfId="0" applyFont="1" applyBorder="1" applyAlignment="1">
      <alignment horizontal="right"/>
    </xf>
    <xf numFmtId="172" fontId="8" fillId="6" borderId="18" xfId="2" applyNumberFormat="1" applyFont="1" applyFill="1" applyBorder="1" applyAlignment="1">
      <alignment horizontal="center" vertical="center"/>
    </xf>
    <xf numFmtId="172" fontId="8" fillId="6" borderId="16" xfId="2" applyNumberFormat="1" applyFont="1" applyFill="1" applyBorder="1" applyAlignment="1">
      <alignment horizontal="center" vertical="center"/>
    </xf>
    <xf numFmtId="172" fontId="32" fillId="9" borderId="40" xfId="2" applyNumberFormat="1" applyFont="1" applyFill="1" applyBorder="1" applyAlignment="1">
      <alignment horizontal="center"/>
    </xf>
    <xf numFmtId="172" fontId="32" fillId="9" borderId="18" xfId="2" applyNumberFormat="1" applyFont="1" applyFill="1" applyBorder="1" applyAlignment="1">
      <alignment horizontal="center"/>
    </xf>
    <xf numFmtId="172" fontId="32" fillId="9" borderId="23" xfId="2" applyNumberFormat="1" applyFont="1" applyFill="1" applyBorder="1" applyAlignment="1">
      <alignment horizontal="center"/>
    </xf>
    <xf numFmtId="0" fontId="32" fillId="9" borderId="40" xfId="0" applyFont="1" applyFill="1" applyBorder="1" applyAlignment="1">
      <alignment horizontal="center" vertical="center" wrapText="1"/>
    </xf>
    <xf numFmtId="0" fontId="32" fillId="9" borderId="0" xfId="0" applyFont="1" applyFill="1" applyBorder="1" applyAlignment="1">
      <alignment horizontal="center" vertical="center" wrapText="1"/>
    </xf>
    <xf numFmtId="0" fontId="32" fillId="9" borderId="38" xfId="0" applyFont="1" applyFill="1" applyBorder="1" applyAlignment="1">
      <alignment horizontal="center" vertical="center" wrapText="1"/>
    </xf>
    <xf numFmtId="0" fontId="32" fillId="9" borderId="18" xfId="0" applyFont="1" applyFill="1" applyBorder="1" applyAlignment="1">
      <alignment horizontal="center" vertical="center" wrapText="1"/>
    </xf>
    <xf numFmtId="0" fontId="32" fillId="9" borderId="34" xfId="0" applyFont="1" applyFill="1" applyBorder="1" applyAlignment="1">
      <alignment horizontal="center" vertical="center" wrapText="1"/>
    </xf>
    <xf numFmtId="0" fontId="32" fillId="9" borderId="16" xfId="0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center" vertical="center"/>
    </xf>
    <xf numFmtId="0" fontId="11" fillId="6" borderId="39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/>
    </xf>
    <xf numFmtId="172" fontId="8" fillId="6" borderId="40" xfId="2" applyNumberFormat="1" applyFont="1" applyFill="1" applyBorder="1" applyAlignment="1">
      <alignment horizontal="center" vertical="center"/>
    </xf>
    <xf numFmtId="172" fontId="8" fillId="6" borderId="38" xfId="2" applyNumberFormat="1" applyFont="1" applyFill="1" applyBorder="1" applyAlignment="1">
      <alignment horizontal="center" vertical="center"/>
    </xf>
    <xf numFmtId="0" fontId="13" fillId="6" borderId="39" xfId="0" applyFont="1" applyFill="1" applyBorder="1" applyAlignment="1">
      <alignment horizontal="center"/>
    </xf>
    <xf numFmtId="0" fontId="13" fillId="6" borderId="17" xfId="0" applyFont="1" applyFill="1" applyBorder="1" applyAlignment="1">
      <alignment horizontal="center"/>
    </xf>
    <xf numFmtId="0" fontId="32" fillId="9" borderId="23" xfId="0" applyFont="1" applyFill="1" applyBorder="1" applyAlignment="1">
      <alignment horizontal="center" vertical="center" wrapText="1"/>
    </xf>
    <xf numFmtId="0" fontId="32" fillId="9" borderId="47" xfId="0" applyFont="1" applyFill="1" applyBorder="1" applyAlignment="1">
      <alignment horizontal="center" vertical="center" wrapText="1"/>
    </xf>
    <xf numFmtId="0" fontId="32" fillId="9" borderId="24" xfId="0" applyFont="1" applyFill="1" applyBorder="1" applyAlignment="1">
      <alignment horizontal="center" vertical="center" wrapText="1"/>
    </xf>
    <xf numFmtId="167" fontId="8" fillId="9" borderId="40" xfId="0" applyNumberFormat="1" applyFont="1" applyFill="1" applyBorder="1" applyAlignment="1">
      <alignment horizontal="center" vertical="center"/>
    </xf>
    <xf numFmtId="0" fontId="8" fillId="9" borderId="40" xfId="0" applyFont="1" applyFill="1" applyBorder="1" applyAlignment="1">
      <alignment horizontal="center" vertical="center"/>
    </xf>
    <xf numFmtId="0" fontId="8" fillId="9" borderId="38" xfId="0" applyFont="1" applyFill="1" applyBorder="1" applyAlignment="1">
      <alignment horizontal="center" vertical="center"/>
    </xf>
    <xf numFmtId="167" fontId="8" fillId="6" borderId="23" xfId="1" applyNumberFormat="1" applyFont="1" applyFill="1" applyBorder="1" applyAlignment="1">
      <alignment horizontal="center" vertical="center"/>
    </xf>
    <xf numFmtId="167" fontId="8" fillId="6" borderId="40" xfId="1" applyNumberFormat="1" applyFont="1" applyFill="1" applyBorder="1" applyAlignment="1">
      <alignment horizontal="center" vertical="center"/>
    </xf>
    <xf numFmtId="167" fontId="8" fillId="6" borderId="24" xfId="1" applyNumberFormat="1" applyFont="1" applyFill="1" applyBorder="1" applyAlignment="1">
      <alignment horizontal="center" vertical="center"/>
    </xf>
    <xf numFmtId="167" fontId="8" fillId="6" borderId="38" xfId="1" applyNumberFormat="1" applyFont="1" applyFill="1" applyBorder="1" applyAlignment="1">
      <alignment horizontal="center" vertical="center"/>
    </xf>
    <xf numFmtId="172" fontId="8" fillId="6" borderId="23" xfId="2" applyNumberFormat="1" applyFont="1" applyFill="1" applyBorder="1" applyAlignment="1">
      <alignment horizontal="center" vertical="center" wrapText="1"/>
    </xf>
    <xf numFmtId="172" fontId="8" fillId="6" borderId="24" xfId="2" applyNumberFormat="1" applyFont="1" applyFill="1" applyBorder="1" applyAlignment="1">
      <alignment horizontal="center" vertical="center" wrapText="1"/>
    </xf>
    <xf numFmtId="0" fontId="33" fillId="11" borderId="2" xfId="0" applyFont="1" applyFill="1" applyBorder="1" applyAlignment="1">
      <alignment horizontal="center" vertical="center" wrapText="1"/>
    </xf>
    <xf numFmtId="0" fontId="33" fillId="11" borderId="31" xfId="0" applyFont="1" applyFill="1" applyBorder="1" applyAlignment="1">
      <alignment horizontal="center" vertical="center" wrapText="1"/>
    </xf>
    <xf numFmtId="0" fontId="33" fillId="11" borderId="3" xfId="0" applyFont="1" applyFill="1" applyBorder="1" applyAlignment="1">
      <alignment horizontal="center" vertical="center" wrapText="1"/>
    </xf>
    <xf numFmtId="0" fontId="33" fillId="11" borderId="2" xfId="0" applyFont="1" applyFill="1" applyBorder="1" applyAlignment="1">
      <alignment horizontal="right" vertical="center"/>
    </xf>
    <xf numFmtId="0" fontId="33" fillId="11" borderId="3" xfId="0" applyFont="1" applyFill="1" applyBorder="1" applyAlignment="1">
      <alignment horizontal="right" vertical="center"/>
    </xf>
    <xf numFmtId="0" fontId="13" fillId="9" borderId="40" xfId="0" applyFont="1" applyFill="1" applyBorder="1" applyAlignment="1">
      <alignment horizontal="left" vertical="center"/>
    </xf>
    <xf numFmtId="0" fontId="13" fillId="9" borderId="38" xfId="0" applyFont="1" applyFill="1" applyBorder="1" applyAlignment="1">
      <alignment horizontal="left" vertical="center"/>
    </xf>
    <xf numFmtId="0" fontId="13" fillId="3" borderId="39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center"/>
    </xf>
    <xf numFmtId="0" fontId="5" fillId="0" borderId="23" xfId="0" applyFont="1" applyBorder="1" applyAlignment="1">
      <alignment horizontal="left"/>
    </xf>
    <xf numFmtId="0" fontId="5" fillId="0" borderId="40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38" xfId="0" applyFont="1" applyBorder="1" applyAlignment="1">
      <alignment horizontal="left"/>
    </xf>
    <xf numFmtId="0" fontId="13" fillId="9" borderId="23" xfId="0" applyFont="1" applyFill="1" applyBorder="1" applyAlignment="1">
      <alignment horizontal="left" vertical="top" wrapText="1"/>
    </xf>
    <xf numFmtId="0" fontId="13" fillId="9" borderId="40" xfId="0" applyFont="1" applyFill="1" applyBorder="1" applyAlignment="1">
      <alignment horizontal="left" vertical="top" wrapText="1"/>
    </xf>
    <xf numFmtId="0" fontId="13" fillId="9" borderId="24" xfId="0" applyFont="1" applyFill="1" applyBorder="1" applyAlignment="1">
      <alignment horizontal="left" vertical="top" wrapText="1"/>
    </xf>
    <xf numFmtId="0" fontId="13" fillId="9" borderId="38" xfId="0" applyFont="1" applyFill="1" applyBorder="1" applyAlignment="1">
      <alignment horizontal="left" vertical="top" wrapText="1"/>
    </xf>
    <xf numFmtId="168" fontId="13" fillId="9" borderId="40" xfId="1" applyNumberFormat="1" applyFont="1" applyFill="1" applyBorder="1" applyAlignment="1">
      <alignment horizontal="center" vertical="center"/>
    </xf>
    <xf numFmtId="168" fontId="13" fillId="9" borderId="38" xfId="1" applyNumberFormat="1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39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8" fillId="9" borderId="16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/>
    </xf>
    <xf numFmtId="0" fontId="5" fillId="12" borderId="5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8" fillId="12" borderId="10" xfId="0" applyFont="1" applyFill="1" applyBorder="1" applyAlignment="1">
      <alignment horizontal="center" vertical="center"/>
    </xf>
    <xf numFmtId="0" fontId="8" fillId="12" borderId="19" xfId="0" applyFont="1" applyFill="1" applyBorder="1" applyAlignment="1">
      <alignment horizontal="center" vertical="center"/>
    </xf>
    <xf numFmtId="0" fontId="8" fillId="12" borderId="14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/>
    </xf>
    <xf numFmtId="0" fontId="5" fillId="12" borderId="11" xfId="0" applyFont="1" applyFill="1" applyBorder="1" applyAlignment="1">
      <alignment horizontal="center"/>
    </xf>
    <xf numFmtId="0" fontId="7" fillId="12" borderId="2" xfId="0" applyFont="1" applyFill="1" applyBorder="1" applyAlignment="1">
      <alignment horizontal="center" vertical="center" wrapText="1"/>
    </xf>
    <xf numFmtId="0" fontId="7" fillId="12" borderId="31" xfId="0" applyFont="1" applyFill="1" applyBorder="1" applyAlignment="1">
      <alignment horizontal="center" vertical="center" wrapText="1"/>
    </xf>
    <xf numFmtId="0" fontId="7" fillId="12" borderId="20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7" fillId="12" borderId="23" xfId="0" applyFont="1" applyFill="1" applyBorder="1" applyAlignment="1">
      <alignment horizontal="center" vertical="center" wrapText="1"/>
    </xf>
    <xf numFmtId="0" fontId="7" fillId="12" borderId="47" xfId="0" applyFont="1" applyFill="1" applyBorder="1" applyAlignment="1">
      <alignment horizontal="center" vertical="center" wrapText="1"/>
    </xf>
    <xf numFmtId="0" fontId="7" fillId="12" borderId="48" xfId="0" applyFont="1" applyFill="1" applyBorder="1" applyAlignment="1">
      <alignment horizontal="center" vertical="center" wrapText="1"/>
    </xf>
    <xf numFmtId="0" fontId="7" fillId="12" borderId="40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7" fillId="12" borderId="0" xfId="0" applyFont="1" applyFill="1" applyBorder="1" applyAlignment="1">
      <alignment horizontal="center" vertical="center" wrapText="1"/>
    </xf>
    <xf numFmtId="0" fontId="7" fillId="12" borderId="34" xfId="0" applyFont="1" applyFill="1" applyBorder="1" applyAlignment="1">
      <alignment horizontal="center" vertical="center" wrapText="1"/>
    </xf>
    <xf numFmtId="0" fontId="7" fillId="12" borderId="49" xfId="0" applyFont="1" applyFill="1" applyBorder="1" applyAlignment="1">
      <alignment horizontal="center" vertical="center" wrapText="1"/>
    </xf>
    <xf numFmtId="0" fontId="7" fillId="12" borderId="29" xfId="0" applyFont="1" applyFill="1" applyBorder="1" applyAlignment="1">
      <alignment horizontal="center" vertical="center" wrapText="1"/>
    </xf>
    <xf numFmtId="0" fontId="7" fillId="12" borderId="30" xfId="0" applyFont="1" applyFill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66" fontId="6" fillId="0" borderId="31" xfId="109" applyNumberFormat="1" applyFont="1" applyBorder="1" applyAlignment="1">
      <alignment horizontal="center" vertical="center"/>
    </xf>
    <xf numFmtId="1" fontId="6" fillId="0" borderId="31" xfId="0" applyNumberFormat="1" applyFont="1" applyBorder="1" applyAlignment="1">
      <alignment horizontal="center" vertical="center" wrapText="1"/>
    </xf>
    <xf numFmtId="166" fontId="6" fillId="0" borderId="31" xfId="109" applyNumberFormat="1" applyFont="1" applyBorder="1" applyAlignment="1">
      <alignment horizontal="center"/>
    </xf>
    <xf numFmtId="171" fontId="6" fillId="0" borderId="2" xfId="109" applyNumberFormat="1" applyFont="1" applyBorder="1" applyAlignment="1">
      <alignment horizontal="center"/>
    </xf>
    <xf numFmtId="171" fontId="6" fillId="0" borderId="3" xfId="109" applyNumberFormat="1" applyFont="1" applyBorder="1" applyAlignment="1">
      <alignment horizontal="center"/>
    </xf>
    <xf numFmtId="0" fontId="8" fillId="12" borderId="11" xfId="0" applyFont="1" applyFill="1" applyBorder="1" applyAlignment="1">
      <alignment horizontal="center" wrapText="1"/>
    </xf>
    <xf numFmtId="0" fontId="8" fillId="12" borderId="9" xfId="0" applyFont="1" applyFill="1" applyBorder="1" applyAlignment="1">
      <alignment horizontal="center" wrapText="1"/>
    </xf>
    <xf numFmtId="2" fontId="6" fillId="0" borderId="23" xfId="0" applyNumberFormat="1" applyFont="1" applyBorder="1" applyAlignment="1">
      <alignment horizontal="center" vertical="center"/>
    </xf>
    <xf numFmtId="2" fontId="6" fillId="0" borderId="47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0" fontId="8" fillId="12" borderId="13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0" fontId="8" fillId="12" borderId="8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/>
    </xf>
    <xf numFmtId="0" fontId="18" fillId="12" borderId="5" xfId="0" applyFont="1" applyFill="1" applyBorder="1" applyAlignment="1">
      <alignment horizontal="center"/>
    </xf>
    <xf numFmtId="0" fontId="6" fillId="12" borderId="13" xfId="0" applyFont="1" applyFill="1" applyBorder="1" applyAlignment="1">
      <alignment horizontal="center"/>
    </xf>
    <xf numFmtId="0" fontId="6" fillId="12" borderId="7" xfId="0" applyFont="1" applyFill="1" applyBorder="1" applyAlignment="1">
      <alignment horizontal="center"/>
    </xf>
    <xf numFmtId="0" fontId="8" fillId="12" borderId="2" xfId="0" applyFont="1" applyFill="1" applyBorder="1" applyAlignment="1">
      <alignment horizontal="center" vertical="center" wrapText="1"/>
    </xf>
    <xf numFmtId="0" fontId="8" fillId="12" borderId="31" xfId="0" applyFont="1" applyFill="1" applyBorder="1" applyAlignment="1">
      <alignment horizontal="center" vertical="center" wrapText="1"/>
    </xf>
    <xf numFmtId="0" fontId="8" fillId="12" borderId="20" xfId="0" applyFont="1" applyFill="1" applyBorder="1" applyAlignment="1">
      <alignment horizontal="center" vertical="center" wrapText="1"/>
    </xf>
    <xf numFmtId="172" fontId="8" fillId="12" borderId="40" xfId="2" applyNumberFormat="1" applyFont="1" applyFill="1" applyBorder="1" applyAlignment="1">
      <alignment horizontal="center" vertical="center"/>
    </xf>
    <xf numFmtId="172" fontId="8" fillId="12" borderId="38" xfId="2" applyNumberFormat="1" applyFont="1" applyFill="1" applyBorder="1" applyAlignment="1">
      <alignment horizontal="center" vertical="center"/>
    </xf>
    <xf numFmtId="172" fontId="8" fillId="12" borderId="18" xfId="2" applyNumberFormat="1" applyFont="1" applyFill="1" applyBorder="1" applyAlignment="1">
      <alignment horizontal="center" vertical="center"/>
    </xf>
    <xf numFmtId="172" fontId="8" fillId="12" borderId="16" xfId="2" applyNumberFormat="1" applyFont="1" applyFill="1" applyBorder="1" applyAlignment="1">
      <alignment horizontal="center" vertical="center"/>
    </xf>
    <xf numFmtId="0" fontId="11" fillId="12" borderId="22" xfId="0" applyFont="1" applyFill="1" applyBorder="1" applyAlignment="1">
      <alignment horizontal="center" vertical="center"/>
    </xf>
    <xf numFmtId="0" fontId="11" fillId="12" borderId="39" xfId="0" applyFont="1" applyFill="1" applyBorder="1" applyAlignment="1">
      <alignment horizontal="center" vertical="center"/>
    </xf>
    <xf numFmtId="0" fontId="11" fillId="12" borderId="17" xfId="0" applyFont="1" applyFill="1" applyBorder="1" applyAlignment="1">
      <alignment horizontal="center" vertical="center"/>
    </xf>
    <xf numFmtId="167" fontId="8" fillId="12" borderId="23" xfId="1" applyNumberFormat="1" applyFont="1" applyFill="1" applyBorder="1" applyAlignment="1">
      <alignment horizontal="center" vertical="center"/>
    </xf>
    <xf numFmtId="167" fontId="8" fillId="12" borderId="40" xfId="1" applyNumberFormat="1" applyFont="1" applyFill="1" applyBorder="1" applyAlignment="1">
      <alignment horizontal="center" vertical="center"/>
    </xf>
    <xf numFmtId="167" fontId="8" fillId="12" borderId="24" xfId="1" applyNumberFormat="1" applyFont="1" applyFill="1" applyBorder="1" applyAlignment="1">
      <alignment horizontal="center" vertical="center"/>
    </xf>
    <xf numFmtId="167" fontId="8" fillId="12" borderId="38" xfId="1" applyNumberFormat="1" applyFont="1" applyFill="1" applyBorder="1" applyAlignment="1">
      <alignment horizontal="center" vertical="center"/>
    </xf>
    <xf numFmtId="167" fontId="8" fillId="9" borderId="23" xfId="1" applyNumberFormat="1" applyFont="1" applyFill="1" applyBorder="1" applyAlignment="1">
      <alignment horizontal="center" vertical="center"/>
    </xf>
    <xf numFmtId="167" fontId="8" fillId="9" borderId="40" xfId="1" applyNumberFormat="1" applyFont="1" applyFill="1" applyBorder="1" applyAlignment="1">
      <alignment horizontal="center" vertical="center"/>
    </xf>
    <xf numFmtId="167" fontId="8" fillId="9" borderId="24" xfId="1" applyNumberFormat="1" applyFont="1" applyFill="1" applyBorder="1" applyAlignment="1">
      <alignment horizontal="center" vertical="center"/>
    </xf>
    <xf numFmtId="167" fontId="8" fillId="9" borderId="38" xfId="1" applyNumberFormat="1" applyFont="1" applyFill="1" applyBorder="1" applyAlignment="1">
      <alignment horizontal="center" vertical="center"/>
    </xf>
    <xf numFmtId="167" fontId="8" fillId="7" borderId="40" xfId="0" applyNumberFormat="1" applyFont="1" applyFill="1" applyBorder="1" applyAlignment="1">
      <alignment horizontal="center" vertical="center"/>
    </xf>
    <xf numFmtId="167" fontId="8" fillId="7" borderId="18" xfId="0" applyNumberFormat="1" applyFont="1" applyFill="1" applyBorder="1" applyAlignment="1">
      <alignment horizontal="center" vertical="center"/>
    </xf>
    <xf numFmtId="167" fontId="8" fillId="7" borderId="38" xfId="0" applyNumberFormat="1" applyFont="1" applyFill="1" applyBorder="1" applyAlignment="1">
      <alignment horizontal="center" vertical="center"/>
    </xf>
    <xf numFmtId="167" fontId="8" fillId="7" borderId="16" xfId="0" applyNumberFormat="1" applyFont="1" applyFill="1" applyBorder="1" applyAlignment="1">
      <alignment horizontal="center" vertical="center"/>
    </xf>
    <xf numFmtId="172" fontId="8" fillId="12" borderId="23" xfId="2" applyNumberFormat="1" applyFont="1" applyFill="1" applyBorder="1" applyAlignment="1">
      <alignment horizontal="center" vertical="center"/>
    </xf>
    <xf numFmtId="172" fontId="8" fillId="12" borderId="24" xfId="2" applyNumberFormat="1" applyFont="1" applyFill="1" applyBorder="1" applyAlignment="1">
      <alignment horizontal="center" vertical="center"/>
    </xf>
    <xf numFmtId="0" fontId="13" fillId="12" borderId="39" xfId="0" applyFont="1" applyFill="1" applyBorder="1" applyAlignment="1">
      <alignment horizontal="center"/>
    </xf>
    <xf numFmtId="0" fontId="13" fillId="12" borderId="17" xfId="0" applyFont="1" applyFill="1" applyBorder="1" applyAlignment="1">
      <alignment horizontal="center"/>
    </xf>
    <xf numFmtId="0" fontId="5" fillId="12" borderId="39" xfId="0" applyFont="1" applyFill="1" applyBorder="1" applyAlignment="1">
      <alignment horizontal="right"/>
    </xf>
    <xf numFmtId="0" fontId="5" fillId="12" borderId="17" xfId="0" applyFont="1" applyFill="1" applyBorder="1" applyAlignment="1">
      <alignment horizontal="right"/>
    </xf>
    <xf numFmtId="0" fontId="32" fillId="9" borderId="23" xfId="0" applyFont="1" applyFill="1" applyBorder="1" applyAlignment="1">
      <alignment horizontal="center"/>
    </xf>
    <xf numFmtId="0" fontId="32" fillId="9" borderId="40" xfId="0" applyFont="1" applyFill="1" applyBorder="1" applyAlignment="1">
      <alignment horizontal="center"/>
    </xf>
    <xf numFmtId="0" fontId="32" fillId="9" borderId="18" xfId="0" applyFont="1" applyFill="1" applyBorder="1" applyAlignment="1">
      <alignment horizontal="center"/>
    </xf>
    <xf numFmtId="0" fontId="18" fillId="3" borderId="56" xfId="0" applyFont="1" applyFill="1" applyBorder="1" applyAlignment="1">
      <alignment horizontal="center"/>
    </xf>
    <xf numFmtId="0" fontId="18" fillId="3" borderId="57" xfId="0" applyFont="1" applyFill="1" applyBorder="1" applyAlignment="1">
      <alignment horizontal="center"/>
    </xf>
    <xf numFmtId="0" fontId="18" fillId="3" borderId="58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167" fontId="6" fillId="0" borderId="33" xfId="0" applyNumberFormat="1" applyFont="1" applyBorder="1" applyAlignment="1">
      <alignment horizontal="center" vertical="center"/>
    </xf>
    <xf numFmtId="167" fontId="6" fillId="0" borderId="31" xfId="0" applyNumberFormat="1" applyFont="1" applyBorder="1" applyAlignment="1">
      <alignment horizontal="center" vertical="center"/>
    </xf>
    <xf numFmtId="0" fontId="5" fillId="3" borderId="22" xfId="0" applyFont="1" applyFill="1" applyBorder="1" applyAlignment="1">
      <alignment horizontal="center"/>
    </xf>
    <xf numFmtId="0" fontId="5" fillId="3" borderId="52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179" fontId="29" fillId="0" borderId="33" xfId="2" applyNumberFormat="1" applyFont="1" applyFill="1" applyBorder="1" applyAlignment="1">
      <alignment horizontal="center" vertical="center"/>
    </xf>
    <xf numFmtId="179" fontId="29" fillId="0" borderId="20" xfId="2" applyNumberFormat="1" applyFont="1" applyFill="1" applyBorder="1" applyAlignment="1">
      <alignment horizontal="center" vertical="center"/>
    </xf>
    <xf numFmtId="167" fontId="6" fillId="0" borderId="20" xfId="0" applyNumberFormat="1" applyFont="1" applyBorder="1" applyAlignment="1">
      <alignment horizontal="center" vertical="center"/>
    </xf>
    <xf numFmtId="178" fontId="8" fillId="0" borderId="53" xfId="2" applyNumberFormat="1" applyFont="1" applyBorder="1" applyAlignment="1">
      <alignment horizontal="center" vertical="center"/>
    </xf>
    <xf numFmtId="178" fontId="8" fillId="0" borderId="32" xfId="2" applyNumberFormat="1" applyFont="1" applyBorder="1" applyAlignment="1">
      <alignment horizontal="center" vertical="center"/>
    </xf>
    <xf numFmtId="178" fontId="8" fillId="0" borderId="21" xfId="2" applyNumberFormat="1" applyFont="1" applyBorder="1" applyAlignment="1">
      <alignment horizontal="center" vertical="center"/>
    </xf>
    <xf numFmtId="179" fontId="29" fillId="0" borderId="65" xfId="2" applyNumberFormat="1" applyFont="1" applyFill="1" applyBorder="1" applyAlignment="1">
      <alignment horizontal="center" vertical="center"/>
    </xf>
    <xf numFmtId="179" fontId="29" fillId="0" borderId="66" xfId="2" applyNumberFormat="1" applyFont="1" applyFill="1" applyBorder="1" applyAlignment="1">
      <alignment horizontal="center" vertical="center"/>
    </xf>
    <xf numFmtId="0" fontId="8" fillId="14" borderId="63" xfId="0" applyFont="1" applyFill="1" applyBorder="1" applyAlignment="1">
      <alignment horizontal="center" vertical="center" wrapText="1"/>
    </xf>
    <xf numFmtId="0" fontId="8" fillId="14" borderId="64" xfId="0" applyFont="1" applyFill="1" applyBorder="1" applyAlignment="1">
      <alignment horizontal="center" vertical="center" wrapText="1"/>
    </xf>
    <xf numFmtId="0" fontId="8" fillId="12" borderId="63" xfId="0" applyFont="1" applyFill="1" applyBorder="1" applyAlignment="1">
      <alignment horizontal="center" vertical="center" wrapText="1"/>
    </xf>
    <xf numFmtId="0" fontId="8" fillId="12" borderId="64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7" borderId="22" xfId="0" applyFont="1" applyFill="1" applyBorder="1" applyAlignment="1">
      <alignment horizontal="center" vertical="center" wrapText="1"/>
    </xf>
    <xf numFmtId="178" fontId="11" fillId="0" borderId="2" xfId="2" applyNumberFormat="1" applyFont="1" applyBorder="1" applyAlignment="1">
      <alignment horizontal="center" vertical="center"/>
    </xf>
    <xf numFmtId="178" fontId="11" fillId="0" borderId="31" xfId="2" applyNumberFormat="1" applyFont="1" applyBorder="1" applyAlignment="1">
      <alignment horizontal="center" vertical="center"/>
    </xf>
    <xf numFmtId="178" fontId="11" fillId="0" borderId="3" xfId="2" applyNumberFormat="1" applyFont="1" applyBorder="1" applyAlignment="1">
      <alignment horizontal="center" vertical="center"/>
    </xf>
    <xf numFmtId="0" fontId="5" fillId="16" borderId="4" xfId="0" applyFont="1" applyFill="1" applyBorder="1" applyAlignment="1">
      <alignment horizontal="center"/>
    </xf>
    <xf numFmtId="0" fontId="5" fillId="16" borderId="5" xfId="0" applyFont="1" applyFill="1" applyBorder="1" applyAlignment="1">
      <alignment horizontal="center"/>
    </xf>
    <xf numFmtId="0" fontId="5" fillId="16" borderId="6" xfId="0" applyFont="1" applyFill="1" applyBorder="1" applyAlignment="1">
      <alignment horizontal="center"/>
    </xf>
    <xf numFmtId="0" fontId="8" fillId="16" borderId="10" xfId="0" applyFont="1" applyFill="1" applyBorder="1" applyAlignment="1">
      <alignment horizontal="center" vertical="center"/>
    </xf>
    <xf numFmtId="0" fontId="8" fillId="16" borderId="19" xfId="0" applyFont="1" applyFill="1" applyBorder="1" applyAlignment="1">
      <alignment horizontal="center" vertical="center"/>
    </xf>
    <xf numFmtId="0" fontId="8" fillId="16" borderId="14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/>
    </xf>
    <xf numFmtId="0" fontId="5" fillId="16" borderId="11" xfId="0" applyFont="1" applyFill="1" applyBorder="1" applyAlignment="1">
      <alignment horizontal="center"/>
    </xf>
    <xf numFmtId="0" fontId="7" fillId="16" borderId="2" xfId="0" applyFont="1" applyFill="1" applyBorder="1" applyAlignment="1">
      <alignment horizontal="center" vertical="center" wrapText="1"/>
    </xf>
    <xf numFmtId="0" fontId="7" fillId="16" borderId="31" xfId="0" applyFont="1" applyFill="1" applyBorder="1" applyAlignment="1">
      <alignment horizontal="center" vertical="center" wrapText="1"/>
    </xf>
    <xf numFmtId="0" fontId="7" fillId="16" borderId="20" xfId="0" applyFont="1" applyFill="1" applyBorder="1" applyAlignment="1">
      <alignment horizontal="center" vertical="center" wrapText="1"/>
    </xf>
    <xf numFmtId="0" fontId="8" fillId="16" borderId="1" xfId="0" applyFont="1" applyFill="1" applyBorder="1" applyAlignment="1">
      <alignment horizontal="center" vertical="center" wrapText="1"/>
    </xf>
    <xf numFmtId="0" fontId="7" fillId="16" borderId="23" xfId="0" applyFont="1" applyFill="1" applyBorder="1" applyAlignment="1">
      <alignment horizontal="center" vertical="center" wrapText="1"/>
    </xf>
    <xf numFmtId="0" fontId="7" fillId="16" borderId="47" xfId="0" applyFont="1" applyFill="1" applyBorder="1" applyAlignment="1">
      <alignment horizontal="center" vertical="center" wrapText="1"/>
    </xf>
    <xf numFmtId="0" fontId="7" fillId="16" borderId="48" xfId="0" applyFont="1" applyFill="1" applyBorder="1" applyAlignment="1">
      <alignment horizontal="center" vertical="center" wrapText="1"/>
    </xf>
    <xf numFmtId="0" fontId="7" fillId="16" borderId="40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0" xfId="0" applyFont="1" applyFill="1" applyBorder="1" applyAlignment="1">
      <alignment horizontal="center" vertical="center" wrapText="1"/>
    </xf>
    <xf numFmtId="0" fontId="7" fillId="16" borderId="34" xfId="0" applyFont="1" applyFill="1" applyBorder="1" applyAlignment="1">
      <alignment horizontal="center" vertical="center" wrapText="1"/>
    </xf>
    <xf numFmtId="0" fontId="7" fillId="16" borderId="49" xfId="0" applyFont="1" applyFill="1" applyBorder="1" applyAlignment="1">
      <alignment horizontal="center" vertical="center" wrapText="1"/>
    </xf>
    <xf numFmtId="0" fontId="7" fillId="16" borderId="29" xfId="0" applyFont="1" applyFill="1" applyBorder="1" applyAlignment="1">
      <alignment horizontal="center" vertical="center" wrapText="1"/>
    </xf>
    <xf numFmtId="0" fontId="7" fillId="16" borderId="30" xfId="0" applyFont="1" applyFill="1" applyBorder="1" applyAlignment="1">
      <alignment horizontal="center" vertical="center" wrapText="1"/>
    </xf>
    <xf numFmtId="0" fontId="8" fillId="16" borderId="11" xfId="0" applyFont="1" applyFill="1" applyBorder="1" applyAlignment="1">
      <alignment horizontal="center" wrapText="1"/>
    </xf>
    <xf numFmtId="0" fontId="8" fillId="16" borderId="9" xfId="0" applyFont="1" applyFill="1" applyBorder="1" applyAlignment="1">
      <alignment horizontal="center" wrapText="1"/>
    </xf>
    <xf numFmtId="0" fontId="8" fillId="16" borderId="13" xfId="0" applyFont="1" applyFill="1" applyBorder="1" applyAlignment="1">
      <alignment horizontal="center" vertical="center" wrapText="1"/>
    </xf>
    <xf numFmtId="0" fontId="8" fillId="16" borderId="7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18" fillId="16" borderId="4" xfId="0" applyFont="1" applyFill="1" applyBorder="1" applyAlignment="1">
      <alignment horizontal="center"/>
    </xf>
    <xf numFmtId="0" fontId="18" fillId="16" borderId="5" xfId="0" applyFont="1" applyFill="1" applyBorder="1" applyAlignment="1">
      <alignment horizontal="center"/>
    </xf>
    <xf numFmtId="0" fontId="6" fillId="16" borderId="13" xfId="0" applyFont="1" applyFill="1" applyBorder="1" applyAlignment="1">
      <alignment horizontal="center"/>
    </xf>
    <xf numFmtId="0" fontId="6" fillId="16" borderId="7" xfId="0" applyFont="1" applyFill="1" applyBorder="1" applyAlignment="1">
      <alignment horizontal="center"/>
    </xf>
    <xf numFmtId="0" fontId="8" fillId="16" borderId="2" xfId="0" applyFont="1" applyFill="1" applyBorder="1" applyAlignment="1">
      <alignment horizontal="center" vertical="center" wrapText="1"/>
    </xf>
    <xf numFmtId="0" fontId="8" fillId="16" borderId="31" xfId="0" applyFont="1" applyFill="1" applyBorder="1" applyAlignment="1">
      <alignment horizontal="center" vertical="center" wrapText="1"/>
    </xf>
    <xf numFmtId="0" fontId="8" fillId="16" borderId="20" xfId="0" applyFont="1" applyFill="1" applyBorder="1" applyAlignment="1">
      <alignment horizontal="center" vertical="center" wrapText="1"/>
    </xf>
    <xf numFmtId="167" fontId="8" fillId="16" borderId="40" xfId="0" applyNumberFormat="1" applyFont="1" applyFill="1" applyBorder="1" applyAlignment="1">
      <alignment horizontal="center" vertical="center"/>
    </xf>
    <xf numFmtId="167" fontId="8" fillId="16" borderId="18" xfId="0" applyNumberFormat="1" applyFont="1" applyFill="1" applyBorder="1" applyAlignment="1">
      <alignment horizontal="center" vertical="center"/>
    </xf>
    <xf numFmtId="167" fontId="8" fillId="16" borderId="38" xfId="0" applyNumberFormat="1" applyFont="1" applyFill="1" applyBorder="1" applyAlignment="1">
      <alignment horizontal="center" vertical="center"/>
    </xf>
    <xf numFmtId="167" fontId="8" fillId="16" borderId="16" xfId="0" applyNumberFormat="1" applyFont="1" applyFill="1" applyBorder="1" applyAlignment="1">
      <alignment horizontal="center" vertical="center"/>
    </xf>
    <xf numFmtId="0" fontId="13" fillId="16" borderId="39" xfId="0" applyFont="1" applyFill="1" applyBorder="1" applyAlignment="1">
      <alignment horizontal="center"/>
    </xf>
    <xf numFmtId="0" fontId="13" fillId="16" borderId="17" xfId="0" applyFont="1" applyFill="1" applyBorder="1" applyAlignment="1">
      <alignment horizontal="center"/>
    </xf>
    <xf numFmtId="172" fontId="8" fillId="16" borderId="18" xfId="2" applyNumberFormat="1" applyFont="1" applyFill="1" applyBorder="1" applyAlignment="1">
      <alignment horizontal="center" vertical="center"/>
    </xf>
    <xf numFmtId="172" fontId="8" fillId="16" borderId="16" xfId="2" applyNumberFormat="1" applyFont="1" applyFill="1" applyBorder="1" applyAlignment="1">
      <alignment horizontal="center" vertical="center"/>
    </xf>
    <xf numFmtId="0" fontId="11" fillId="16" borderId="22" xfId="0" applyFont="1" applyFill="1" applyBorder="1" applyAlignment="1">
      <alignment horizontal="center" vertical="center"/>
    </xf>
    <xf numFmtId="0" fontId="11" fillId="16" borderId="39" xfId="0" applyFont="1" applyFill="1" applyBorder="1" applyAlignment="1">
      <alignment horizontal="center" vertical="center"/>
    </xf>
    <xf numFmtId="0" fontId="11" fillId="16" borderId="17" xfId="0" applyFont="1" applyFill="1" applyBorder="1" applyAlignment="1">
      <alignment horizontal="center" vertical="center"/>
    </xf>
    <xf numFmtId="167" fontId="8" fillId="16" borderId="23" xfId="1" applyNumberFormat="1" applyFont="1" applyFill="1" applyBorder="1" applyAlignment="1">
      <alignment horizontal="center" vertical="center"/>
    </xf>
    <xf numFmtId="167" fontId="8" fillId="16" borderId="40" xfId="1" applyNumberFormat="1" applyFont="1" applyFill="1" applyBorder="1" applyAlignment="1">
      <alignment horizontal="center" vertical="center"/>
    </xf>
    <xf numFmtId="167" fontId="8" fillId="16" borderId="24" xfId="1" applyNumberFormat="1" applyFont="1" applyFill="1" applyBorder="1" applyAlignment="1">
      <alignment horizontal="center" vertical="center"/>
    </xf>
    <xf numFmtId="167" fontId="8" fillId="16" borderId="38" xfId="1" applyNumberFormat="1" applyFont="1" applyFill="1" applyBorder="1" applyAlignment="1">
      <alignment horizontal="center" vertical="center"/>
    </xf>
    <xf numFmtId="172" fontId="8" fillId="16" borderId="23" xfId="2" applyNumberFormat="1" applyFont="1" applyFill="1" applyBorder="1" applyAlignment="1">
      <alignment horizontal="center" vertical="center"/>
    </xf>
    <xf numFmtId="172" fontId="8" fillId="16" borderId="24" xfId="2" applyNumberFormat="1" applyFont="1" applyFill="1" applyBorder="1" applyAlignment="1">
      <alignment horizontal="center" vertical="center"/>
    </xf>
    <xf numFmtId="172" fontId="8" fillId="16" borderId="40" xfId="2" applyNumberFormat="1" applyFont="1" applyFill="1" applyBorder="1" applyAlignment="1">
      <alignment horizontal="center" vertical="center"/>
    </xf>
    <xf numFmtId="172" fontId="8" fillId="16" borderId="38" xfId="2" applyNumberFormat="1" applyFont="1" applyFill="1" applyBorder="1" applyAlignment="1">
      <alignment horizontal="center" vertical="center"/>
    </xf>
    <xf numFmtId="0" fontId="5" fillId="16" borderId="39" xfId="0" applyFont="1" applyFill="1" applyBorder="1" applyAlignment="1">
      <alignment horizontal="right"/>
    </xf>
    <xf numFmtId="0" fontId="5" fillId="16" borderId="17" xfId="0" applyFont="1" applyFill="1" applyBorder="1" applyAlignment="1">
      <alignment horizontal="right"/>
    </xf>
    <xf numFmtId="178" fontId="11" fillId="0" borderId="1" xfId="2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 wrapText="1"/>
    </xf>
    <xf numFmtId="0" fontId="8" fillId="16" borderId="63" xfId="0" applyFont="1" applyFill="1" applyBorder="1" applyAlignment="1">
      <alignment horizontal="center" vertical="center" wrapText="1"/>
    </xf>
    <xf numFmtId="0" fontId="8" fillId="16" borderId="64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</cellXfs>
  <cellStyles count="1074"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0" builtinId="8" hidden="1"/>
    <cellStyle name="Hipervínculo" xfId="122" builtinId="8" hidden="1"/>
    <cellStyle name="Hipervínculo" xfId="124" builtinId="8" hidden="1"/>
    <cellStyle name="Hipervínculo" xfId="126" builtinId="8" hidden="1"/>
    <cellStyle name="Hipervínculo" xfId="128" builtinId="8" hidden="1"/>
    <cellStyle name="Hipervínculo" xfId="130" builtinId="8" hidden="1"/>
    <cellStyle name="Hipervínculo" xfId="132" builtinId="8" hidden="1"/>
    <cellStyle name="Hipervínculo" xfId="134" builtinId="8" hidden="1"/>
    <cellStyle name="Hipervínculo" xfId="136" builtinId="8" hidden="1"/>
    <cellStyle name="Hipervínculo" xfId="138" builtinId="8" hidden="1"/>
    <cellStyle name="Hipervínculo" xfId="140" builtinId="8" hidden="1"/>
    <cellStyle name="Hipervínculo" xfId="142" builtinId="8" hidden="1"/>
    <cellStyle name="Hipervínculo" xfId="144" builtinId="8" hidden="1"/>
    <cellStyle name="Hipervínculo" xfId="146" builtinId="8" hidden="1"/>
    <cellStyle name="Hipervínculo" xfId="148" builtinId="8" hidden="1"/>
    <cellStyle name="Hipervínculo" xfId="150" builtinId="8" hidden="1"/>
    <cellStyle name="Hipervínculo" xfId="152" builtinId="8" hidden="1"/>
    <cellStyle name="Hipervínculo" xfId="154" builtinId="8" hidden="1"/>
    <cellStyle name="Hipervínculo" xfId="156" builtinId="8" hidden="1"/>
    <cellStyle name="Hipervínculo" xfId="158" builtinId="8" hidden="1"/>
    <cellStyle name="Hipervínculo" xfId="160" builtinId="8" hidden="1"/>
    <cellStyle name="Hipervínculo" xfId="162" builtinId="8" hidden="1"/>
    <cellStyle name="Hipervínculo" xfId="164" builtinId="8" hidden="1"/>
    <cellStyle name="Hipervínculo" xfId="166" builtinId="8" hidden="1"/>
    <cellStyle name="Hipervínculo" xfId="168" builtinId="8" hidden="1"/>
    <cellStyle name="Hipervínculo" xfId="170" builtinId="8" hidden="1"/>
    <cellStyle name="Hipervínculo" xfId="172" builtinId="8" hidden="1"/>
    <cellStyle name="Hipervínculo" xfId="174" builtinId="8" hidden="1"/>
    <cellStyle name="Hipervínculo" xfId="176" builtinId="8" hidden="1"/>
    <cellStyle name="Hipervínculo" xfId="178" builtinId="8" hidden="1"/>
    <cellStyle name="Hipervínculo" xfId="180" builtinId="8" hidden="1"/>
    <cellStyle name="Hipervínculo" xfId="182" builtinId="8" hidden="1"/>
    <cellStyle name="Hipervínculo" xfId="184" builtinId="8" hidden="1"/>
    <cellStyle name="Hipervínculo" xfId="186" builtinId="8" hidden="1"/>
    <cellStyle name="Hipervínculo" xfId="188" builtinId="8" hidden="1"/>
    <cellStyle name="Hipervínculo" xfId="190" builtinId="8" hidden="1"/>
    <cellStyle name="Hipervínculo" xfId="192" builtinId="8" hidden="1"/>
    <cellStyle name="Hipervínculo" xfId="194" builtinId="8" hidden="1"/>
    <cellStyle name="Hipervínculo" xfId="196" builtinId="8" hidden="1"/>
    <cellStyle name="Hipervínculo" xfId="198" builtinId="8" hidden="1"/>
    <cellStyle name="Hipervínculo" xfId="200" builtinId="8" hidden="1"/>
    <cellStyle name="Hipervínculo" xfId="202" builtinId="8" hidden="1"/>
    <cellStyle name="Hipervínculo" xfId="204" builtinId="8" hidden="1"/>
    <cellStyle name="Hipervínculo" xfId="206" builtinId="8" hidden="1"/>
    <cellStyle name="Hipervínculo" xfId="208" builtinId="8" hidden="1"/>
    <cellStyle name="Hipervínculo" xfId="210" builtinId="8" hidden="1"/>
    <cellStyle name="Hipervínculo" xfId="212" builtinId="8" hidden="1"/>
    <cellStyle name="Hipervínculo" xfId="214" builtinId="8" hidden="1"/>
    <cellStyle name="Hipervínculo" xfId="216" builtinId="8" hidden="1"/>
    <cellStyle name="Hipervínculo" xfId="218" builtinId="8" hidden="1"/>
    <cellStyle name="Hipervínculo" xfId="220" builtinId="8" hidden="1"/>
    <cellStyle name="Hipervínculo" xfId="222" builtinId="8" hidden="1"/>
    <cellStyle name="Hipervínculo" xfId="224" builtinId="8" hidden="1"/>
    <cellStyle name="Hipervínculo" xfId="226" builtinId="8" hidden="1"/>
    <cellStyle name="Hipervínculo" xfId="228" builtinId="8" hidden="1"/>
    <cellStyle name="Hipervínculo" xfId="230" builtinId="8" hidden="1"/>
    <cellStyle name="Hipervínculo" xfId="232" builtinId="8" hidden="1"/>
    <cellStyle name="Hipervínculo" xfId="234" builtinId="8" hidden="1"/>
    <cellStyle name="Hipervínculo" xfId="236" builtinId="8" hidden="1"/>
    <cellStyle name="Hipervínculo" xfId="238" builtinId="8" hidden="1"/>
    <cellStyle name="Hipervínculo" xfId="240" builtinId="8" hidden="1"/>
    <cellStyle name="Hipervínculo" xfId="242" builtinId="8" hidden="1"/>
    <cellStyle name="Hipervínculo" xfId="244" builtinId="8" hidden="1"/>
    <cellStyle name="Hipervínculo" xfId="246" builtinId="8" hidden="1"/>
    <cellStyle name="Hipervínculo" xfId="248" builtinId="8" hidden="1"/>
    <cellStyle name="Hipervínculo" xfId="250" builtinId="8" hidden="1"/>
    <cellStyle name="Hipervínculo" xfId="252" builtinId="8" hidden="1"/>
    <cellStyle name="Hipervínculo" xfId="254" builtinId="8" hidden="1"/>
    <cellStyle name="Hipervínculo" xfId="256" builtinId="8" hidden="1"/>
    <cellStyle name="Hipervínculo" xfId="258" builtinId="8" hidden="1"/>
    <cellStyle name="Hipervínculo" xfId="260" builtinId="8" hidden="1"/>
    <cellStyle name="Hipervínculo" xfId="262" builtinId="8" hidden="1"/>
    <cellStyle name="Hipervínculo" xfId="264" builtinId="8" hidden="1"/>
    <cellStyle name="Hipervínculo" xfId="266" builtinId="8" hidden="1"/>
    <cellStyle name="Hipervínculo" xfId="268" builtinId="8" hidden="1"/>
    <cellStyle name="Hipervínculo" xfId="270" builtinId="8" hidden="1"/>
    <cellStyle name="Hipervínculo" xfId="272" builtinId="8" hidden="1"/>
    <cellStyle name="Hipervínculo" xfId="274" builtinId="8" hidden="1"/>
    <cellStyle name="Hipervínculo" xfId="276" builtinId="8" hidden="1"/>
    <cellStyle name="Hipervínculo" xfId="278" builtinId="8" hidden="1"/>
    <cellStyle name="Hipervínculo" xfId="280" builtinId="8" hidden="1"/>
    <cellStyle name="Hipervínculo" xfId="282" builtinId="8" hidden="1"/>
    <cellStyle name="Hipervínculo" xfId="284" builtinId="8" hidden="1"/>
    <cellStyle name="Hipervínculo" xfId="286" builtinId="8" hidden="1"/>
    <cellStyle name="Hipervínculo" xfId="288" builtinId="8" hidden="1"/>
    <cellStyle name="Hipervínculo" xfId="290" builtinId="8" hidden="1"/>
    <cellStyle name="Hipervínculo" xfId="292" builtinId="8" hidden="1"/>
    <cellStyle name="Hipervínculo" xfId="294" builtinId="8" hidden="1"/>
    <cellStyle name="Hipervínculo" xfId="296" builtinId="8" hidden="1"/>
    <cellStyle name="Hipervínculo" xfId="298" builtinId="8" hidden="1"/>
    <cellStyle name="Hipervínculo" xfId="300" builtinId="8" hidden="1"/>
    <cellStyle name="Hipervínculo" xfId="302" builtinId="8" hidden="1"/>
    <cellStyle name="Hipervínculo" xfId="304" builtinId="8" hidden="1"/>
    <cellStyle name="Hipervínculo" xfId="306" builtinId="8" hidden="1"/>
    <cellStyle name="Hipervínculo" xfId="308" builtinId="8" hidden="1"/>
    <cellStyle name="Hipervínculo" xfId="310" builtinId="8" hidden="1"/>
    <cellStyle name="Hipervínculo" xfId="312" builtinId="8" hidden="1"/>
    <cellStyle name="Hipervínculo" xfId="314" builtinId="8" hidden="1"/>
    <cellStyle name="Hipervínculo" xfId="316" builtinId="8" hidden="1"/>
    <cellStyle name="Hipervínculo" xfId="318" builtinId="8" hidden="1"/>
    <cellStyle name="Hipervínculo" xfId="320" builtinId="8" hidden="1"/>
    <cellStyle name="Hipervínculo" xfId="322" builtinId="8" hidden="1"/>
    <cellStyle name="Hipervínculo" xfId="324" builtinId="8" hidden="1"/>
    <cellStyle name="Hipervínculo" xfId="326" builtinId="8" hidden="1"/>
    <cellStyle name="Hipervínculo" xfId="328" builtinId="8" hidden="1"/>
    <cellStyle name="Hipervínculo" xfId="330" builtinId="8" hidden="1"/>
    <cellStyle name="Hipervínculo" xfId="332" builtinId="8" hidden="1"/>
    <cellStyle name="Hipervínculo" xfId="334" builtinId="8" hidden="1"/>
    <cellStyle name="Hipervínculo" xfId="336" builtinId="8" hidden="1"/>
    <cellStyle name="Hipervínculo" xfId="338" builtinId="8" hidden="1"/>
    <cellStyle name="Hipervínculo" xfId="340" builtinId="8" hidden="1"/>
    <cellStyle name="Hipervínculo" xfId="342" builtinId="8" hidden="1"/>
    <cellStyle name="Hipervínculo" xfId="344" builtinId="8" hidden="1"/>
    <cellStyle name="Hipervínculo" xfId="346" builtinId="8" hidden="1"/>
    <cellStyle name="Hipervínculo" xfId="348" builtinId="8" hidden="1"/>
    <cellStyle name="Hipervínculo" xfId="350" builtinId="8" hidden="1"/>
    <cellStyle name="Hipervínculo" xfId="352" builtinId="8" hidden="1"/>
    <cellStyle name="Hipervínculo" xfId="354" builtinId="8" hidden="1"/>
    <cellStyle name="Hipervínculo" xfId="356" builtinId="8" hidden="1"/>
    <cellStyle name="Hipervínculo" xfId="358" builtinId="8" hidden="1"/>
    <cellStyle name="Hipervínculo" xfId="360" builtinId="8" hidden="1"/>
    <cellStyle name="Hipervínculo" xfId="362" builtinId="8" hidden="1"/>
    <cellStyle name="Hipervínculo" xfId="364" builtinId="8" hidden="1"/>
    <cellStyle name="Hipervínculo" xfId="366" builtinId="8" hidden="1"/>
    <cellStyle name="Hipervínculo" xfId="368" builtinId="8" hidden="1"/>
    <cellStyle name="Hipervínculo" xfId="370" builtinId="8" hidden="1"/>
    <cellStyle name="Hipervínculo" xfId="372" builtinId="8" hidden="1"/>
    <cellStyle name="Hipervínculo" xfId="374" builtinId="8" hidden="1"/>
    <cellStyle name="Hipervínculo" xfId="376" builtinId="8" hidden="1"/>
    <cellStyle name="Hipervínculo" xfId="378" builtinId="8" hidden="1"/>
    <cellStyle name="Hipervínculo" xfId="380" builtinId="8" hidden="1"/>
    <cellStyle name="Hipervínculo" xfId="382" builtinId="8" hidden="1"/>
    <cellStyle name="Hipervínculo" xfId="384" builtinId="8" hidden="1"/>
    <cellStyle name="Hipervínculo" xfId="386" builtinId="8" hidden="1"/>
    <cellStyle name="Hipervínculo" xfId="388" builtinId="8" hidden="1"/>
    <cellStyle name="Hipervínculo" xfId="390" builtinId="8" hidden="1"/>
    <cellStyle name="Hipervínculo" xfId="392" builtinId="8" hidden="1"/>
    <cellStyle name="Hipervínculo" xfId="394" builtinId="8" hidden="1"/>
    <cellStyle name="Hipervínculo" xfId="396" builtinId="8" hidden="1"/>
    <cellStyle name="Hipervínculo" xfId="398" builtinId="8" hidden="1"/>
    <cellStyle name="Hipervínculo" xfId="400" builtinId="8" hidden="1"/>
    <cellStyle name="Hipervínculo" xfId="402" builtinId="8" hidden="1"/>
    <cellStyle name="Hipervínculo" xfId="404" builtinId="8" hidden="1"/>
    <cellStyle name="Hipervínculo" xfId="406" builtinId="8" hidden="1"/>
    <cellStyle name="Hipervínculo" xfId="408" builtinId="8" hidden="1"/>
    <cellStyle name="Hipervínculo" xfId="410" builtinId="8" hidden="1"/>
    <cellStyle name="Hipervínculo" xfId="412" builtinId="8" hidden="1"/>
    <cellStyle name="Hipervínculo" xfId="414" builtinId="8" hidden="1"/>
    <cellStyle name="Hipervínculo" xfId="416" builtinId="8" hidden="1"/>
    <cellStyle name="Hipervínculo" xfId="418" builtinId="8" hidden="1"/>
    <cellStyle name="Hipervínculo" xfId="420" builtinId="8" hidden="1"/>
    <cellStyle name="Hipervínculo" xfId="422" builtinId="8" hidden="1"/>
    <cellStyle name="Hipervínculo" xfId="424" builtinId="8" hidden="1"/>
    <cellStyle name="Hipervínculo" xfId="426" builtinId="8" hidden="1"/>
    <cellStyle name="Hipervínculo" xfId="428" builtinId="8" hidden="1"/>
    <cellStyle name="Hipervínculo" xfId="430" builtinId="8" hidden="1"/>
    <cellStyle name="Hipervínculo" xfId="432" builtinId="8" hidden="1"/>
    <cellStyle name="Hipervínculo" xfId="434" builtinId="8" hidden="1"/>
    <cellStyle name="Hipervínculo" xfId="436" builtinId="8" hidden="1"/>
    <cellStyle name="Hipervínculo" xfId="438" builtinId="8" hidden="1"/>
    <cellStyle name="Hipervínculo" xfId="440" builtinId="8" hidden="1"/>
    <cellStyle name="Hipervínculo" xfId="442" builtinId="8" hidden="1"/>
    <cellStyle name="Hipervínculo" xfId="444" builtinId="8" hidden="1"/>
    <cellStyle name="Hipervínculo" xfId="446" builtinId="8" hidden="1"/>
    <cellStyle name="Hipervínculo" xfId="448" builtinId="8" hidden="1"/>
    <cellStyle name="Hipervínculo" xfId="450" builtinId="8" hidden="1"/>
    <cellStyle name="Hipervínculo" xfId="452" builtinId="8" hidden="1"/>
    <cellStyle name="Hipervínculo" xfId="454" builtinId="8" hidden="1"/>
    <cellStyle name="Hipervínculo" xfId="456" builtinId="8" hidden="1"/>
    <cellStyle name="Hipervínculo" xfId="458" builtinId="8" hidden="1"/>
    <cellStyle name="Hipervínculo" xfId="460" builtinId="8" hidden="1"/>
    <cellStyle name="Hipervínculo" xfId="462" builtinId="8" hidden="1"/>
    <cellStyle name="Hipervínculo" xfId="464" builtinId="8" hidden="1"/>
    <cellStyle name="Hipervínculo" xfId="466" builtinId="8" hidden="1"/>
    <cellStyle name="Hipervínculo" xfId="468" builtinId="8" hidden="1"/>
    <cellStyle name="Hipervínculo" xfId="470" builtinId="8" hidden="1"/>
    <cellStyle name="Hipervínculo" xfId="472" builtinId="8" hidden="1"/>
    <cellStyle name="Hipervínculo" xfId="474" builtinId="8" hidden="1"/>
    <cellStyle name="Hipervínculo" xfId="476" builtinId="8" hidden="1"/>
    <cellStyle name="Hipervínculo" xfId="478" builtinId="8" hidden="1"/>
    <cellStyle name="Hipervínculo" xfId="480" builtinId="8" hidden="1"/>
    <cellStyle name="Hipervínculo" xfId="482" builtinId="8" hidden="1"/>
    <cellStyle name="Hipervínculo" xfId="484" builtinId="8" hidden="1"/>
    <cellStyle name="Hipervínculo" xfId="486" builtinId="8" hidden="1"/>
    <cellStyle name="Hipervínculo" xfId="488" builtinId="8" hidden="1"/>
    <cellStyle name="Hipervínculo" xfId="490" builtinId="8" hidden="1"/>
    <cellStyle name="Hipervínculo" xfId="492" builtinId="8" hidden="1"/>
    <cellStyle name="Hipervínculo" xfId="494" builtinId="8" hidden="1"/>
    <cellStyle name="Hipervínculo" xfId="496" builtinId="8" hidden="1"/>
    <cellStyle name="Hipervínculo" xfId="498" builtinId="8" hidden="1"/>
    <cellStyle name="Hipervínculo" xfId="500" builtinId="8" hidden="1"/>
    <cellStyle name="Hipervínculo" xfId="502" builtinId="8" hidden="1"/>
    <cellStyle name="Hipervínculo" xfId="504" builtinId="8" hidden="1"/>
    <cellStyle name="Hipervínculo" xfId="506" builtinId="8" hidden="1"/>
    <cellStyle name="Hipervínculo" xfId="508" builtinId="8" hidden="1"/>
    <cellStyle name="Hipervínculo" xfId="510" builtinId="8" hidden="1"/>
    <cellStyle name="Hipervínculo" xfId="512" builtinId="8" hidden="1"/>
    <cellStyle name="Hipervínculo" xfId="514" builtinId="8" hidden="1"/>
    <cellStyle name="Hipervínculo" xfId="516" builtinId="8" hidden="1"/>
    <cellStyle name="Hipervínculo" xfId="518" builtinId="8" hidden="1"/>
    <cellStyle name="Hipervínculo" xfId="520" builtinId="8" hidden="1"/>
    <cellStyle name="Hipervínculo" xfId="522" builtinId="8" hidden="1"/>
    <cellStyle name="Hipervínculo" xfId="524" builtinId="8" hidden="1"/>
    <cellStyle name="Hipervínculo" xfId="526" builtinId="8" hidden="1"/>
    <cellStyle name="Hipervínculo" xfId="528" builtinId="8" hidden="1"/>
    <cellStyle name="Hipervínculo" xfId="530" builtinId="8" hidden="1"/>
    <cellStyle name="Hipervínculo" xfId="532" builtinId="8" hidden="1"/>
    <cellStyle name="Hipervínculo" xfId="534" builtinId="8" hidden="1"/>
    <cellStyle name="Hipervínculo" xfId="536" builtinId="8" hidden="1"/>
    <cellStyle name="Hipervínculo" xfId="538" builtinId="8" hidden="1"/>
    <cellStyle name="Hipervínculo" xfId="540" builtinId="8" hidden="1"/>
    <cellStyle name="Hipervínculo" xfId="542" builtinId="8" hidden="1"/>
    <cellStyle name="Hipervínculo" xfId="544" builtinId="8" hidden="1"/>
    <cellStyle name="Hipervínculo" xfId="546" builtinId="8" hidden="1"/>
    <cellStyle name="Hipervínculo" xfId="548" builtinId="8" hidden="1"/>
    <cellStyle name="Hipervínculo" xfId="550" builtinId="8" hidden="1"/>
    <cellStyle name="Hipervínculo" xfId="552" builtinId="8" hidden="1"/>
    <cellStyle name="Hipervínculo" xfId="554" builtinId="8" hidden="1"/>
    <cellStyle name="Hipervínculo" xfId="556" builtinId="8" hidden="1"/>
    <cellStyle name="Hipervínculo" xfId="558" builtinId="8" hidden="1"/>
    <cellStyle name="Hipervínculo" xfId="560" builtinId="8" hidden="1"/>
    <cellStyle name="Hipervínculo" xfId="562" builtinId="8" hidden="1"/>
    <cellStyle name="Hipervínculo" xfId="564" builtinId="8" hidden="1"/>
    <cellStyle name="Hipervínculo" xfId="566" builtinId="8" hidden="1"/>
    <cellStyle name="Hipervínculo" xfId="568" builtinId="8" hidden="1"/>
    <cellStyle name="Hipervínculo" xfId="570" builtinId="8" hidden="1"/>
    <cellStyle name="Hipervínculo" xfId="572" builtinId="8" hidden="1"/>
    <cellStyle name="Hipervínculo" xfId="574" builtinId="8" hidden="1"/>
    <cellStyle name="Hipervínculo" xfId="576" builtinId="8" hidden="1"/>
    <cellStyle name="Hipervínculo" xfId="578" builtinId="8" hidden="1"/>
    <cellStyle name="Hipervínculo" xfId="580" builtinId="8" hidden="1"/>
    <cellStyle name="Hipervínculo" xfId="582" builtinId="8" hidden="1"/>
    <cellStyle name="Hipervínculo" xfId="584" builtinId="8" hidden="1"/>
    <cellStyle name="Hipervínculo" xfId="586" builtinId="8" hidden="1"/>
    <cellStyle name="Hipervínculo" xfId="588" builtinId="8" hidden="1"/>
    <cellStyle name="Hipervínculo" xfId="590" builtinId="8" hidden="1"/>
    <cellStyle name="Hipervínculo" xfId="592" builtinId="8" hidden="1"/>
    <cellStyle name="Hipervínculo" xfId="594" builtinId="8" hidden="1"/>
    <cellStyle name="Hipervínculo" xfId="596" builtinId="8" hidden="1"/>
    <cellStyle name="Hipervínculo" xfId="598" builtinId="8" hidden="1"/>
    <cellStyle name="Hipervínculo" xfId="600" builtinId="8" hidden="1"/>
    <cellStyle name="Hipervínculo" xfId="602" builtinId="8" hidden="1"/>
    <cellStyle name="Hipervínculo" xfId="604" builtinId="8" hidden="1"/>
    <cellStyle name="Hipervínculo" xfId="606" builtinId="8" hidden="1"/>
    <cellStyle name="Hipervínculo" xfId="608" builtinId="8" hidden="1"/>
    <cellStyle name="Hipervínculo" xfId="610" builtinId="8" hidden="1"/>
    <cellStyle name="Hipervínculo" xfId="612" builtinId="8" hidden="1"/>
    <cellStyle name="Hipervínculo" xfId="614" builtinId="8" hidden="1"/>
    <cellStyle name="Hipervínculo" xfId="616" builtinId="8" hidden="1"/>
    <cellStyle name="Hipervínculo" xfId="618" builtinId="8" hidden="1"/>
    <cellStyle name="Hipervínculo" xfId="620" builtinId="8" hidden="1"/>
    <cellStyle name="Hipervínculo" xfId="622" builtinId="8" hidden="1"/>
    <cellStyle name="Hipervínculo" xfId="624" builtinId="8" hidden="1"/>
    <cellStyle name="Hipervínculo" xfId="626" builtinId="8" hidden="1"/>
    <cellStyle name="Hipervínculo" xfId="628" builtinId="8" hidden="1"/>
    <cellStyle name="Hipervínculo" xfId="630" builtinId="8" hidden="1"/>
    <cellStyle name="Hipervínculo" xfId="632" builtinId="8" hidden="1"/>
    <cellStyle name="Hipervínculo" xfId="634" builtinId="8" hidden="1"/>
    <cellStyle name="Hipervínculo" xfId="636" builtinId="8" hidden="1"/>
    <cellStyle name="Hipervínculo" xfId="638" builtinId="8" hidden="1"/>
    <cellStyle name="Hipervínculo" xfId="640" builtinId="8" hidden="1"/>
    <cellStyle name="Hipervínculo" xfId="642" builtinId="8" hidden="1"/>
    <cellStyle name="Hipervínculo" xfId="644" builtinId="8" hidden="1"/>
    <cellStyle name="Hipervínculo" xfId="646" builtinId="8" hidden="1"/>
    <cellStyle name="Hipervínculo" xfId="648" builtinId="8" hidden="1"/>
    <cellStyle name="Hipervínculo" xfId="650" builtinId="8" hidden="1"/>
    <cellStyle name="Hipervínculo" xfId="652" builtinId="8" hidden="1"/>
    <cellStyle name="Hipervínculo" xfId="654" builtinId="8" hidden="1"/>
    <cellStyle name="Hipervínculo" xfId="656" builtinId="8" hidden="1"/>
    <cellStyle name="Hipervínculo" xfId="658" builtinId="8" hidden="1"/>
    <cellStyle name="Hipervínculo" xfId="660" builtinId="8" hidden="1"/>
    <cellStyle name="Hipervínculo" xfId="662" builtinId="8" hidden="1"/>
    <cellStyle name="Hipervínculo" xfId="664" builtinId="8" hidden="1"/>
    <cellStyle name="Hipervínculo" xfId="666" builtinId="8" hidden="1"/>
    <cellStyle name="Hipervínculo" xfId="668" builtinId="8" hidden="1"/>
    <cellStyle name="Hipervínculo" xfId="670" builtinId="8" hidden="1"/>
    <cellStyle name="Hipervínculo" xfId="672" builtinId="8" hidden="1"/>
    <cellStyle name="Hipervínculo" xfId="674" builtinId="8" hidden="1"/>
    <cellStyle name="Hipervínculo" xfId="676" builtinId="8" hidden="1"/>
    <cellStyle name="Hipervínculo" xfId="678" builtinId="8" hidden="1"/>
    <cellStyle name="Hipervínculo" xfId="680" builtinId="8" hidden="1"/>
    <cellStyle name="Hipervínculo" xfId="682" builtinId="8" hidden="1"/>
    <cellStyle name="Hipervínculo" xfId="684" builtinId="8" hidden="1"/>
    <cellStyle name="Hipervínculo" xfId="686" builtinId="8" hidden="1"/>
    <cellStyle name="Hipervínculo" xfId="688" builtinId="8" hidden="1"/>
    <cellStyle name="Hipervínculo" xfId="690" builtinId="8" hidden="1"/>
    <cellStyle name="Hipervínculo" xfId="692" builtinId="8" hidden="1"/>
    <cellStyle name="Hipervínculo" xfId="694" builtinId="8" hidden="1"/>
    <cellStyle name="Hipervínculo" xfId="696" builtinId="8" hidden="1"/>
    <cellStyle name="Hipervínculo" xfId="698" builtinId="8" hidden="1"/>
    <cellStyle name="Hipervínculo" xfId="700" builtinId="8" hidden="1"/>
    <cellStyle name="Hipervínculo" xfId="702" builtinId="8" hidden="1"/>
    <cellStyle name="Hipervínculo" xfId="704" builtinId="8" hidden="1"/>
    <cellStyle name="Hipervínculo" xfId="706" builtinId="8" hidden="1"/>
    <cellStyle name="Hipervínculo" xfId="708" builtinId="8" hidden="1"/>
    <cellStyle name="Hipervínculo" xfId="710" builtinId="8" hidden="1"/>
    <cellStyle name="Hipervínculo" xfId="712" builtinId="8" hidden="1"/>
    <cellStyle name="Hipervínculo" xfId="714" builtinId="8" hidden="1"/>
    <cellStyle name="Hipervínculo" xfId="716" builtinId="8" hidden="1"/>
    <cellStyle name="Hipervínculo" xfId="718" builtinId="8" hidden="1"/>
    <cellStyle name="Hipervínculo" xfId="720" builtinId="8" hidden="1"/>
    <cellStyle name="Hipervínculo" xfId="722" builtinId="8" hidden="1"/>
    <cellStyle name="Hipervínculo" xfId="724" builtinId="8" hidden="1"/>
    <cellStyle name="Hipervínculo" xfId="726" builtinId="8" hidden="1"/>
    <cellStyle name="Hipervínculo" xfId="728" builtinId="8" hidden="1"/>
    <cellStyle name="Hipervínculo" xfId="730" builtinId="8" hidden="1"/>
    <cellStyle name="Hipervínculo" xfId="732" builtinId="8" hidden="1"/>
    <cellStyle name="Hipervínculo" xfId="734" builtinId="8" hidden="1"/>
    <cellStyle name="Hipervínculo" xfId="736" builtinId="8" hidden="1"/>
    <cellStyle name="Hipervínculo" xfId="738" builtinId="8" hidden="1"/>
    <cellStyle name="Hipervínculo" xfId="740" builtinId="8" hidden="1"/>
    <cellStyle name="Hipervínculo" xfId="742" builtinId="8" hidden="1"/>
    <cellStyle name="Hipervínculo" xfId="744" builtinId="8" hidden="1"/>
    <cellStyle name="Hipervínculo" xfId="746" builtinId="8" hidden="1"/>
    <cellStyle name="Hipervínculo" xfId="748" builtinId="8" hidden="1"/>
    <cellStyle name="Hipervínculo" xfId="750" builtinId="8" hidden="1"/>
    <cellStyle name="Hipervínculo" xfId="752" builtinId="8" hidden="1"/>
    <cellStyle name="Hipervínculo" xfId="754" builtinId="8" hidden="1"/>
    <cellStyle name="Hipervínculo" xfId="756" builtinId="8" hidden="1"/>
    <cellStyle name="Hipervínculo" xfId="758" builtinId="8" hidden="1"/>
    <cellStyle name="Hipervínculo" xfId="760" builtinId="8" hidden="1"/>
    <cellStyle name="Hipervínculo" xfId="762" builtinId="8" hidden="1"/>
    <cellStyle name="Hipervínculo" xfId="764" builtinId="8" hidden="1"/>
    <cellStyle name="Hipervínculo" xfId="766" builtinId="8" hidden="1"/>
    <cellStyle name="Hipervínculo" xfId="768" builtinId="8" hidden="1"/>
    <cellStyle name="Hipervínculo" xfId="770" builtinId="8" hidden="1"/>
    <cellStyle name="Hipervínculo" xfId="772" builtinId="8" hidden="1"/>
    <cellStyle name="Hipervínculo" xfId="774" builtinId="8" hidden="1"/>
    <cellStyle name="Hipervínculo" xfId="776" builtinId="8" hidden="1"/>
    <cellStyle name="Hipervínculo" xfId="778" builtinId="8" hidden="1"/>
    <cellStyle name="Hipervínculo" xfId="780" builtinId="8" hidden="1"/>
    <cellStyle name="Hipervínculo" xfId="782" builtinId="8" hidden="1"/>
    <cellStyle name="Hipervínculo" xfId="784" builtinId="8" hidden="1"/>
    <cellStyle name="Hipervínculo" xfId="786" builtinId="8" hidden="1"/>
    <cellStyle name="Hipervínculo" xfId="788" builtinId="8" hidden="1"/>
    <cellStyle name="Hipervínculo" xfId="790" builtinId="8" hidden="1"/>
    <cellStyle name="Hipervínculo" xfId="792" builtinId="8" hidden="1"/>
    <cellStyle name="Hipervínculo" xfId="794" builtinId="8" hidden="1"/>
    <cellStyle name="Hipervínculo" xfId="796" builtinId="8" hidden="1"/>
    <cellStyle name="Hipervínculo" xfId="798" builtinId="8" hidden="1"/>
    <cellStyle name="Hipervínculo" xfId="800" builtinId="8" hidden="1"/>
    <cellStyle name="Hipervínculo" xfId="802" builtinId="8" hidden="1"/>
    <cellStyle name="Hipervínculo" xfId="804" builtinId="8" hidden="1"/>
    <cellStyle name="Hipervínculo" xfId="806" builtinId="8" hidden="1"/>
    <cellStyle name="Hipervínculo" xfId="808" builtinId="8" hidden="1"/>
    <cellStyle name="Hipervínculo" xfId="810" builtinId="8" hidden="1"/>
    <cellStyle name="Hipervínculo" xfId="812" builtinId="8" hidden="1"/>
    <cellStyle name="Hipervínculo" xfId="814" builtinId="8" hidden="1"/>
    <cellStyle name="Hipervínculo" xfId="816" builtinId="8" hidden="1"/>
    <cellStyle name="Hipervínculo" xfId="818" builtinId="8" hidden="1"/>
    <cellStyle name="Hipervínculo" xfId="820" builtinId="8" hidden="1"/>
    <cellStyle name="Hipervínculo" xfId="822" builtinId="8" hidden="1"/>
    <cellStyle name="Hipervínculo" xfId="824" builtinId="8" hidden="1"/>
    <cellStyle name="Hipervínculo" xfId="826" builtinId="8" hidden="1"/>
    <cellStyle name="Hipervínculo" xfId="828" builtinId="8" hidden="1"/>
    <cellStyle name="Hipervínculo" xfId="830" builtinId="8" hidden="1"/>
    <cellStyle name="Hipervínculo" xfId="832" builtinId="8" hidden="1"/>
    <cellStyle name="Hipervínculo" xfId="834" builtinId="8" hidden="1"/>
    <cellStyle name="Hipervínculo" xfId="836" builtinId="8" hidden="1"/>
    <cellStyle name="Hipervínculo" xfId="838" builtinId="8" hidden="1"/>
    <cellStyle name="Hipervínculo" xfId="840" builtinId="8" hidden="1"/>
    <cellStyle name="Hipervínculo" xfId="842" builtinId="8" hidden="1"/>
    <cellStyle name="Hipervínculo" xfId="844" builtinId="8" hidden="1"/>
    <cellStyle name="Hipervínculo" xfId="846" builtinId="8" hidden="1"/>
    <cellStyle name="Hipervínculo" xfId="848" builtinId="8" hidden="1"/>
    <cellStyle name="Hipervínculo" xfId="850" builtinId="8" hidden="1"/>
    <cellStyle name="Hipervínculo" xfId="852" builtinId="8" hidden="1"/>
    <cellStyle name="Hipervínculo" xfId="854" builtinId="8" hidden="1"/>
    <cellStyle name="Hipervínculo" xfId="856" builtinId="8" hidden="1"/>
    <cellStyle name="Hipervínculo" xfId="858" builtinId="8" hidden="1"/>
    <cellStyle name="Hipervínculo" xfId="860" builtinId="8" hidden="1"/>
    <cellStyle name="Hipervínculo" xfId="862" builtinId="8" hidden="1"/>
    <cellStyle name="Hipervínculo" xfId="864" builtinId="8" hidden="1"/>
    <cellStyle name="Hipervínculo" xfId="866" builtinId="8" hidden="1"/>
    <cellStyle name="Hipervínculo" xfId="868" builtinId="8" hidden="1"/>
    <cellStyle name="Hipervínculo" xfId="870" builtinId="8" hidden="1"/>
    <cellStyle name="Hipervínculo" xfId="872" builtinId="8" hidden="1"/>
    <cellStyle name="Hipervínculo" xfId="874" builtinId="8" hidden="1"/>
    <cellStyle name="Hipervínculo" xfId="876" builtinId="8" hidden="1"/>
    <cellStyle name="Hipervínculo" xfId="878" builtinId="8" hidden="1"/>
    <cellStyle name="Hipervínculo" xfId="880" builtinId="8" hidden="1"/>
    <cellStyle name="Hipervínculo" xfId="882" builtinId="8" hidden="1"/>
    <cellStyle name="Hipervínculo" xfId="884" builtinId="8" hidden="1"/>
    <cellStyle name="Hipervínculo" xfId="886" builtinId="8" hidden="1"/>
    <cellStyle name="Hipervínculo" xfId="888" builtinId="8" hidden="1"/>
    <cellStyle name="Hipervínculo" xfId="890" builtinId="8" hidden="1"/>
    <cellStyle name="Hipervínculo" xfId="892" builtinId="8" hidden="1"/>
    <cellStyle name="Hipervínculo" xfId="894" builtinId="8" hidden="1"/>
    <cellStyle name="Hipervínculo" xfId="896" builtinId="8" hidden="1"/>
    <cellStyle name="Hipervínculo" xfId="898" builtinId="8" hidden="1"/>
    <cellStyle name="Hipervínculo" xfId="900" builtinId="8" hidden="1"/>
    <cellStyle name="Hipervínculo" xfId="902" builtinId="8" hidden="1"/>
    <cellStyle name="Hipervínculo" xfId="904" builtinId="8" hidden="1"/>
    <cellStyle name="Hipervínculo" xfId="906" builtinId="8" hidden="1"/>
    <cellStyle name="Hipervínculo" xfId="908" builtinId="8" hidden="1"/>
    <cellStyle name="Hipervínculo" xfId="910" builtinId="8" hidden="1"/>
    <cellStyle name="Hipervínculo" xfId="912" builtinId="8" hidden="1"/>
    <cellStyle name="Hipervínculo" xfId="914" builtinId="8" hidden="1"/>
    <cellStyle name="Hipervínculo" xfId="916" builtinId="8" hidden="1"/>
    <cellStyle name="Hipervínculo" xfId="918" builtinId="8" hidden="1"/>
    <cellStyle name="Hipervínculo" xfId="920" builtinId="8" hidden="1"/>
    <cellStyle name="Hipervínculo" xfId="922" builtinId="8" hidden="1"/>
    <cellStyle name="Hipervínculo" xfId="924" builtinId="8" hidden="1"/>
    <cellStyle name="Hipervínculo" xfId="926" builtinId="8" hidden="1"/>
    <cellStyle name="Hipervínculo" xfId="928" builtinId="8" hidden="1"/>
    <cellStyle name="Hipervínculo" xfId="930" builtinId="8" hidden="1"/>
    <cellStyle name="Hipervínculo" xfId="932" builtinId="8" hidden="1"/>
    <cellStyle name="Hipervínculo" xfId="934" builtinId="8" hidden="1"/>
    <cellStyle name="Hipervínculo" xfId="936" builtinId="8" hidden="1"/>
    <cellStyle name="Hipervínculo" xfId="938" builtinId="8" hidden="1"/>
    <cellStyle name="Hipervínculo" xfId="940" builtinId="8" hidden="1"/>
    <cellStyle name="Hipervínculo" xfId="942" builtinId="8" hidden="1"/>
    <cellStyle name="Hipervínculo" xfId="944" builtinId="8" hidden="1"/>
    <cellStyle name="Hipervínculo" xfId="946" builtinId="8" hidden="1"/>
    <cellStyle name="Hipervínculo" xfId="948" builtinId="8" hidden="1"/>
    <cellStyle name="Hipervínculo" xfId="950" builtinId="8" hidden="1"/>
    <cellStyle name="Hipervínculo" xfId="952" builtinId="8" hidden="1"/>
    <cellStyle name="Hipervínculo" xfId="954" builtinId="8" hidden="1"/>
    <cellStyle name="Hipervínculo" xfId="956" builtinId="8" hidden="1"/>
    <cellStyle name="Hipervínculo" xfId="958" builtinId="8" hidden="1"/>
    <cellStyle name="Hipervínculo" xfId="960" builtinId="8" hidden="1"/>
    <cellStyle name="Hipervínculo" xfId="962" builtinId="8" hidden="1"/>
    <cellStyle name="Hipervínculo" xfId="964" builtinId="8" hidden="1"/>
    <cellStyle name="Hipervínculo" xfId="966" builtinId="8" hidden="1"/>
    <cellStyle name="Hipervínculo" xfId="968" builtinId="8" hidden="1"/>
    <cellStyle name="Hipervínculo" xfId="970" builtinId="8" hidden="1"/>
    <cellStyle name="Hipervínculo" xfId="972" builtinId="8" hidden="1"/>
    <cellStyle name="Hipervínculo" xfId="974" builtinId="8" hidden="1"/>
    <cellStyle name="Hipervínculo" xfId="976" builtinId="8" hidden="1"/>
    <cellStyle name="Hipervínculo" xfId="978" builtinId="8" hidden="1"/>
    <cellStyle name="Hipervínculo" xfId="980" builtinId="8" hidden="1"/>
    <cellStyle name="Hipervínculo" xfId="982" builtinId="8" hidden="1"/>
    <cellStyle name="Hipervínculo" xfId="984" builtinId="8" hidden="1"/>
    <cellStyle name="Hipervínculo" xfId="986" builtinId="8" hidden="1"/>
    <cellStyle name="Hipervínculo" xfId="988" builtinId="8" hidden="1"/>
    <cellStyle name="Hipervínculo" xfId="990" builtinId="8" hidden="1"/>
    <cellStyle name="Hipervínculo" xfId="992" builtinId="8" hidden="1"/>
    <cellStyle name="Hipervínculo" xfId="994" builtinId="8" hidden="1"/>
    <cellStyle name="Hipervínculo" xfId="996" builtinId="8" hidden="1"/>
    <cellStyle name="Hipervínculo" xfId="998" builtinId="8" hidden="1"/>
    <cellStyle name="Hipervínculo" xfId="1000" builtinId="8" hidden="1"/>
    <cellStyle name="Hipervínculo" xfId="1002" builtinId="8" hidden="1"/>
    <cellStyle name="Hipervínculo" xfId="1004" builtinId="8" hidden="1"/>
    <cellStyle name="Hipervínculo" xfId="1006" builtinId="8" hidden="1"/>
    <cellStyle name="Hipervínculo" xfId="1008" builtinId="8" hidden="1"/>
    <cellStyle name="Hipervínculo" xfId="1010" builtinId="8" hidden="1"/>
    <cellStyle name="Hipervínculo" xfId="1012" builtinId="8" hidden="1"/>
    <cellStyle name="Hipervínculo" xfId="1014" builtinId="8" hidden="1"/>
    <cellStyle name="Hipervínculo" xfId="1016" builtinId="8" hidden="1"/>
    <cellStyle name="Hipervínculo" xfId="1018" builtinId="8" hidden="1"/>
    <cellStyle name="Hipervínculo" xfId="1020" builtinId="8" hidden="1"/>
    <cellStyle name="Hipervínculo" xfId="1022" builtinId="8" hidden="1"/>
    <cellStyle name="Hipervínculo" xfId="1024" builtinId="8" hidden="1"/>
    <cellStyle name="Hipervínculo" xfId="1026" builtinId="8" hidden="1"/>
    <cellStyle name="Hipervínculo" xfId="1028" builtinId="8" hidden="1"/>
    <cellStyle name="Hipervínculo" xfId="1030" builtinId="8" hidden="1"/>
    <cellStyle name="Hipervínculo" xfId="1032" builtinId="8" hidden="1"/>
    <cellStyle name="Hipervínculo" xfId="1034" builtinId="8" hidden="1"/>
    <cellStyle name="Hipervínculo" xfId="1036" builtinId="8" hidden="1"/>
    <cellStyle name="Hipervínculo" xfId="1038" builtinId="8" hidden="1"/>
    <cellStyle name="Hipervínculo" xfId="1040" builtinId="8" hidden="1"/>
    <cellStyle name="Hipervínculo" xfId="1042" builtinId="8" hidden="1"/>
    <cellStyle name="Hipervínculo" xfId="1044" builtinId="8" hidden="1"/>
    <cellStyle name="Hipervínculo" xfId="1046" builtinId="8" hidden="1"/>
    <cellStyle name="Hipervínculo" xfId="1048" builtinId="8" hidden="1"/>
    <cellStyle name="Hipervínculo" xfId="1050" builtinId="8" hidden="1"/>
    <cellStyle name="Hipervínculo" xfId="1052" builtinId="8" hidden="1"/>
    <cellStyle name="Hipervínculo" xfId="1054" builtinId="8" hidden="1"/>
    <cellStyle name="Hipervínculo" xfId="1056" builtinId="8" hidden="1"/>
    <cellStyle name="Hipervínculo" xfId="1058" builtinId="8" hidden="1"/>
    <cellStyle name="Hipervínculo" xfId="1060" builtinId="8" hidden="1"/>
    <cellStyle name="Hipervínculo" xfId="1062" builtinId="8" hidden="1"/>
    <cellStyle name="Hipervínculo" xfId="1064" builtinId="8" hidden="1"/>
    <cellStyle name="Hipervínculo" xfId="1066" builtinId="8" hidden="1"/>
    <cellStyle name="Hipervínculo" xfId="1068" builtinId="8" hidden="1"/>
    <cellStyle name="Hipervínculo" xfId="1070" builtinId="8" hidden="1"/>
    <cellStyle name="Hipervínculo" xfId="1072" builtinId="8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1" builtinId="9" hidden="1"/>
    <cellStyle name="Hipervínculo visitado" xfId="123" builtinId="9" hidden="1"/>
    <cellStyle name="Hipervínculo visitado" xfId="125" builtinId="9" hidden="1"/>
    <cellStyle name="Hipervínculo visitado" xfId="127" builtinId="9" hidden="1"/>
    <cellStyle name="Hipervínculo visitado" xfId="129" builtinId="9" hidden="1"/>
    <cellStyle name="Hipervínculo visitado" xfId="131" builtinId="9" hidden="1"/>
    <cellStyle name="Hipervínculo visitado" xfId="133" builtinId="9" hidden="1"/>
    <cellStyle name="Hipervínculo visitado" xfId="135" builtinId="9" hidden="1"/>
    <cellStyle name="Hipervínculo visitado" xfId="137" builtinId="9" hidden="1"/>
    <cellStyle name="Hipervínculo visitado" xfId="139" builtinId="9" hidden="1"/>
    <cellStyle name="Hipervínculo visitado" xfId="141" builtinId="9" hidden="1"/>
    <cellStyle name="Hipervínculo visitado" xfId="143" builtinId="9" hidden="1"/>
    <cellStyle name="Hipervínculo visitado" xfId="145" builtinId="9" hidden="1"/>
    <cellStyle name="Hipervínculo visitado" xfId="147" builtinId="9" hidden="1"/>
    <cellStyle name="Hipervínculo visitado" xfId="149" builtinId="9" hidden="1"/>
    <cellStyle name="Hipervínculo visitado" xfId="151" builtinId="9" hidden="1"/>
    <cellStyle name="Hipervínculo visitado" xfId="153" builtinId="9" hidden="1"/>
    <cellStyle name="Hipervínculo visitado" xfId="155" builtinId="9" hidden="1"/>
    <cellStyle name="Hipervínculo visitado" xfId="157" builtinId="9" hidden="1"/>
    <cellStyle name="Hipervínculo visitado" xfId="159" builtinId="9" hidden="1"/>
    <cellStyle name="Hipervínculo visitado" xfId="161" builtinId="9" hidden="1"/>
    <cellStyle name="Hipervínculo visitado" xfId="163" builtinId="9" hidden="1"/>
    <cellStyle name="Hipervínculo visitado" xfId="165" builtinId="9" hidden="1"/>
    <cellStyle name="Hipervínculo visitado" xfId="167" builtinId="9" hidden="1"/>
    <cellStyle name="Hipervínculo visitado" xfId="169" builtinId="9" hidden="1"/>
    <cellStyle name="Hipervínculo visitado" xfId="171" builtinId="9" hidden="1"/>
    <cellStyle name="Hipervínculo visitado" xfId="173" builtinId="9" hidden="1"/>
    <cellStyle name="Hipervínculo visitado" xfId="175" builtinId="9" hidden="1"/>
    <cellStyle name="Hipervínculo visitado" xfId="177" builtinId="9" hidden="1"/>
    <cellStyle name="Hipervínculo visitado" xfId="179" builtinId="9" hidden="1"/>
    <cellStyle name="Hipervínculo visitado" xfId="181" builtinId="9" hidden="1"/>
    <cellStyle name="Hipervínculo visitado" xfId="183" builtinId="9" hidden="1"/>
    <cellStyle name="Hipervínculo visitado" xfId="185" builtinId="9" hidden="1"/>
    <cellStyle name="Hipervínculo visitado" xfId="187" builtinId="9" hidden="1"/>
    <cellStyle name="Hipervínculo visitado" xfId="189" builtinId="9" hidden="1"/>
    <cellStyle name="Hipervínculo visitado" xfId="191" builtinId="9" hidden="1"/>
    <cellStyle name="Hipervínculo visitado" xfId="193" builtinId="9" hidden="1"/>
    <cellStyle name="Hipervínculo visitado" xfId="195" builtinId="9" hidden="1"/>
    <cellStyle name="Hipervínculo visitado" xfId="197" builtinId="9" hidden="1"/>
    <cellStyle name="Hipervínculo visitado" xfId="199" builtinId="9" hidden="1"/>
    <cellStyle name="Hipervínculo visitado" xfId="201" builtinId="9" hidden="1"/>
    <cellStyle name="Hipervínculo visitado" xfId="203" builtinId="9" hidden="1"/>
    <cellStyle name="Hipervínculo visitado" xfId="205" builtinId="9" hidden="1"/>
    <cellStyle name="Hipervínculo visitado" xfId="207" builtinId="9" hidden="1"/>
    <cellStyle name="Hipervínculo visitado" xfId="209" builtinId="9" hidden="1"/>
    <cellStyle name="Hipervínculo visitado" xfId="211" builtinId="9" hidden="1"/>
    <cellStyle name="Hipervínculo visitado" xfId="213" builtinId="9" hidden="1"/>
    <cellStyle name="Hipervínculo visitado" xfId="215" builtinId="9" hidden="1"/>
    <cellStyle name="Hipervínculo visitado" xfId="217" builtinId="9" hidden="1"/>
    <cellStyle name="Hipervínculo visitado" xfId="219" builtinId="9" hidden="1"/>
    <cellStyle name="Hipervínculo visitado" xfId="221" builtinId="9" hidden="1"/>
    <cellStyle name="Hipervínculo visitado" xfId="223" builtinId="9" hidden="1"/>
    <cellStyle name="Hipervínculo visitado" xfId="225" builtinId="9" hidden="1"/>
    <cellStyle name="Hipervínculo visitado" xfId="227" builtinId="9" hidden="1"/>
    <cellStyle name="Hipervínculo visitado" xfId="229" builtinId="9" hidden="1"/>
    <cellStyle name="Hipervínculo visitado" xfId="231" builtinId="9" hidden="1"/>
    <cellStyle name="Hipervínculo visitado" xfId="233" builtinId="9" hidden="1"/>
    <cellStyle name="Hipervínculo visitado" xfId="235" builtinId="9" hidden="1"/>
    <cellStyle name="Hipervínculo visitado" xfId="237" builtinId="9" hidden="1"/>
    <cellStyle name="Hipervínculo visitado" xfId="239" builtinId="9" hidden="1"/>
    <cellStyle name="Hipervínculo visitado" xfId="241" builtinId="9" hidden="1"/>
    <cellStyle name="Hipervínculo visitado" xfId="243" builtinId="9" hidden="1"/>
    <cellStyle name="Hipervínculo visitado" xfId="245" builtinId="9" hidden="1"/>
    <cellStyle name="Hipervínculo visitado" xfId="247" builtinId="9" hidden="1"/>
    <cellStyle name="Hipervínculo visitado" xfId="249" builtinId="9" hidden="1"/>
    <cellStyle name="Hipervínculo visitado" xfId="251" builtinId="9" hidden="1"/>
    <cellStyle name="Hipervínculo visitado" xfId="253" builtinId="9" hidden="1"/>
    <cellStyle name="Hipervínculo visitado" xfId="255" builtinId="9" hidden="1"/>
    <cellStyle name="Hipervínculo visitado" xfId="257" builtinId="9" hidden="1"/>
    <cellStyle name="Hipervínculo visitado" xfId="259" builtinId="9" hidden="1"/>
    <cellStyle name="Hipervínculo visitado" xfId="261" builtinId="9" hidden="1"/>
    <cellStyle name="Hipervínculo visitado" xfId="263" builtinId="9" hidden="1"/>
    <cellStyle name="Hipervínculo visitado" xfId="265" builtinId="9" hidden="1"/>
    <cellStyle name="Hipervínculo visitado" xfId="267" builtinId="9" hidden="1"/>
    <cellStyle name="Hipervínculo visitado" xfId="269" builtinId="9" hidden="1"/>
    <cellStyle name="Hipervínculo visitado" xfId="271" builtinId="9" hidden="1"/>
    <cellStyle name="Hipervínculo visitado" xfId="273" builtinId="9" hidden="1"/>
    <cellStyle name="Hipervínculo visitado" xfId="275" builtinId="9" hidden="1"/>
    <cellStyle name="Hipervínculo visitado" xfId="277" builtinId="9" hidden="1"/>
    <cellStyle name="Hipervínculo visitado" xfId="279" builtinId="9" hidden="1"/>
    <cellStyle name="Hipervínculo visitado" xfId="281" builtinId="9" hidden="1"/>
    <cellStyle name="Hipervínculo visitado" xfId="283" builtinId="9" hidden="1"/>
    <cellStyle name="Hipervínculo visitado" xfId="285" builtinId="9" hidden="1"/>
    <cellStyle name="Hipervínculo visitado" xfId="287" builtinId="9" hidden="1"/>
    <cellStyle name="Hipervínculo visitado" xfId="289" builtinId="9" hidden="1"/>
    <cellStyle name="Hipervínculo visitado" xfId="291" builtinId="9" hidden="1"/>
    <cellStyle name="Hipervínculo visitado" xfId="293" builtinId="9" hidden="1"/>
    <cellStyle name="Hipervínculo visitado" xfId="295" builtinId="9" hidden="1"/>
    <cellStyle name="Hipervínculo visitado" xfId="297" builtinId="9" hidden="1"/>
    <cellStyle name="Hipervínculo visitado" xfId="299" builtinId="9" hidden="1"/>
    <cellStyle name="Hipervínculo visitado" xfId="301" builtinId="9" hidden="1"/>
    <cellStyle name="Hipervínculo visitado" xfId="303" builtinId="9" hidden="1"/>
    <cellStyle name="Hipervínculo visitado" xfId="305" builtinId="9" hidden="1"/>
    <cellStyle name="Hipervínculo visitado" xfId="307" builtinId="9" hidden="1"/>
    <cellStyle name="Hipervínculo visitado" xfId="309" builtinId="9" hidden="1"/>
    <cellStyle name="Hipervínculo visitado" xfId="311" builtinId="9" hidden="1"/>
    <cellStyle name="Hipervínculo visitado" xfId="313" builtinId="9" hidden="1"/>
    <cellStyle name="Hipervínculo visitado" xfId="315" builtinId="9" hidden="1"/>
    <cellStyle name="Hipervínculo visitado" xfId="317" builtinId="9" hidden="1"/>
    <cellStyle name="Hipervínculo visitado" xfId="319" builtinId="9" hidden="1"/>
    <cellStyle name="Hipervínculo visitado" xfId="321" builtinId="9" hidden="1"/>
    <cellStyle name="Hipervínculo visitado" xfId="323" builtinId="9" hidden="1"/>
    <cellStyle name="Hipervínculo visitado" xfId="325" builtinId="9" hidden="1"/>
    <cellStyle name="Hipervínculo visitado" xfId="327" builtinId="9" hidden="1"/>
    <cellStyle name="Hipervínculo visitado" xfId="329" builtinId="9" hidden="1"/>
    <cellStyle name="Hipervínculo visitado" xfId="331" builtinId="9" hidden="1"/>
    <cellStyle name="Hipervínculo visitado" xfId="333" builtinId="9" hidden="1"/>
    <cellStyle name="Hipervínculo visitado" xfId="335" builtinId="9" hidden="1"/>
    <cellStyle name="Hipervínculo visitado" xfId="337" builtinId="9" hidden="1"/>
    <cellStyle name="Hipervínculo visitado" xfId="339" builtinId="9" hidden="1"/>
    <cellStyle name="Hipervínculo visitado" xfId="341" builtinId="9" hidden="1"/>
    <cellStyle name="Hipervínculo visitado" xfId="343" builtinId="9" hidden="1"/>
    <cellStyle name="Hipervínculo visitado" xfId="345" builtinId="9" hidden="1"/>
    <cellStyle name="Hipervínculo visitado" xfId="347" builtinId="9" hidden="1"/>
    <cellStyle name="Hipervínculo visitado" xfId="349" builtinId="9" hidden="1"/>
    <cellStyle name="Hipervínculo visitado" xfId="351" builtinId="9" hidden="1"/>
    <cellStyle name="Hipervínculo visitado" xfId="353" builtinId="9" hidden="1"/>
    <cellStyle name="Hipervínculo visitado" xfId="355" builtinId="9" hidden="1"/>
    <cellStyle name="Hipervínculo visitado" xfId="357" builtinId="9" hidden="1"/>
    <cellStyle name="Hipervínculo visitado" xfId="359" builtinId="9" hidden="1"/>
    <cellStyle name="Hipervínculo visitado" xfId="361" builtinId="9" hidden="1"/>
    <cellStyle name="Hipervínculo visitado" xfId="363" builtinId="9" hidden="1"/>
    <cellStyle name="Hipervínculo visitado" xfId="365" builtinId="9" hidden="1"/>
    <cellStyle name="Hipervínculo visitado" xfId="367" builtinId="9" hidden="1"/>
    <cellStyle name="Hipervínculo visitado" xfId="369" builtinId="9" hidden="1"/>
    <cellStyle name="Hipervínculo visitado" xfId="371" builtinId="9" hidden="1"/>
    <cellStyle name="Hipervínculo visitado" xfId="373" builtinId="9" hidden="1"/>
    <cellStyle name="Hipervínculo visitado" xfId="375" builtinId="9" hidden="1"/>
    <cellStyle name="Hipervínculo visitado" xfId="377" builtinId="9" hidden="1"/>
    <cellStyle name="Hipervínculo visitado" xfId="379" builtinId="9" hidden="1"/>
    <cellStyle name="Hipervínculo visitado" xfId="381" builtinId="9" hidden="1"/>
    <cellStyle name="Hipervínculo visitado" xfId="383" builtinId="9" hidden="1"/>
    <cellStyle name="Hipervínculo visitado" xfId="385" builtinId="9" hidden="1"/>
    <cellStyle name="Hipervínculo visitado" xfId="387" builtinId="9" hidden="1"/>
    <cellStyle name="Hipervínculo visitado" xfId="389" builtinId="9" hidden="1"/>
    <cellStyle name="Hipervínculo visitado" xfId="391" builtinId="9" hidden="1"/>
    <cellStyle name="Hipervínculo visitado" xfId="393" builtinId="9" hidden="1"/>
    <cellStyle name="Hipervínculo visitado" xfId="395" builtinId="9" hidden="1"/>
    <cellStyle name="Hipervínculo visitado" xfId="397" builtinId="9" hidden="1"/>
    <cellStyle name="Hipervínculo visitado" xfId="399" builtinId="9" hidden="1"/>
    <cellStyle name="Hipervínculo visitado" xfId="401" builtinId="9" hidden="1"/>
    <cellStyle name="Hipervínculo visitado" xfId="403" builtinId="9" hidden="1"/>
    <cellStyle name="Hipervínculo visitado" xfId="405" builtinId="9" hidden="1"/>
    <cellStyle name="Hipervínculo visitado" xfId="407" builtinId="9" hidden="1"/>
    <cellStyle name="Hipervínculo visitado" xfId="409" builtinId="9" hidden="1"/>
    <cellStyle name="Hipervínculo visitado" xfId="411" builtinId="9" hidden="1"/>
    <cellStyle name="Hipervínculo visitado" xfId="413" builtinId="9" hidden="1"/>
    <cellStyle name="Hipervínculo visitado" xfId="415" builtinId="9" hidden="1"/>
    <cellStyle name="Hipervínculo visitado" xfId="417" builtinId="9" hidden="1"/>
    <cellStyle name="Hipervínculo visitado" xfId="419" builtinId="9" hidden="1"/>
    <cellStyle name="Hipervínculo visitado" xfId="421" builtinId="9" hidden="1"/>
    <cellStyle name="Hipervínculo visitado" xfId="423" builtinId="9" hidden="1"/>
    <cellStyle name="Hipervínculo visitado" xfId="425" builtinId="9" hidden="1"/>
    <cellStyle name="Hipervínculo visitado" xfId="427" builtinId="9" hidden="1"/>
    <cellStyle name="Hipervínculo visitado" xfId="429" builtinId="9" hidden="1"/>
    <cellStyle name="Hipervínculo visitado" xfId="431" builtinId="9" hidden="1"/>
    <cellStyle name="Hipervínculo visitado" xfId="433" builtinId="9" hidden="1"/>
    <cellStyle name="Hipervínculo visitado" xfId="435" builtinId="9" hidden="1"/>
    <cellStyle name="Hipervínculo visitado" xfId="437" builtinId="9" hidden="1"/>
    <cellStyle name="Hipervínculo visitado" xfId="439" builtinId="9" hidden="1"/>
    <cellStyle name="Hipervínculo visitado" xfId="441" builtinId="9" hidden="1"/>
    <cellStyle name="Hipervínculo visitado" xfId="443" builtinId="9" hidden="1"/>
    <cellStyle name="Hipervínculo visitado" xfId="445" builtinId="9" hidden="1"/>
    <cellStyle name="Hipervínculo visitado" xfId="447" builtinId="9" hidden="1"/>
    <cellStyle name="Hipervínculo visitado" xfId="449" builtinId="9" hidden="1"/>
    <cellStyle name="Hipervínculo visitado" xfId="451" builtinId="9" hidden="1"/>
    <cellStyle name="Hipervínculo visitado" xfId="453" builtinId="9" hidden="1"/>
    <cellStyle name="Hipervínculo visitado" xfId="455" builtinId="9" hidden="1"/>
    <cellStyle name="Hipervínculo visitado" xfId="457" builtinId="9" hidden="1"/>
    <cellStyle name="Hipervínculo visitado" xfId="459" builtinId="9" hidden="1"/>
    <cellStyle name="Hipervínculo visitado" xfId="461" builtinId="9" hidden="1"/>
    <cellStyle name="Hipervínculo visitado" xfId="463" builtinId="9" hidden="1"/>
    <cellStyle name="Hipervínculo visitado" xfId="465" builtinId="9" hidden="1"/>
    <cellStyle name="Hipervínculo visitado" xfId="467" builtinId="9" hidden="1"/>
    <cellStyle name="Hipervínculo visitado" xfId="469" builtinId="9" hidden="1"/>
    <cellStyle name="Hipervínculo visitado" xfId="471" builtinId="9" hidden="1"/>
    <cellStyle name="Hipervínculo visitado" xfId="473" builtinId="9" hidden="1"/>
    <cellStyle name="Hipervínculo visitado" xfId="475" builtinId="9" hidden="1"/>
    <cellStyle name="Hipervínculo visitado" xfId="477" builtinId="9" hidden="1"/>
    <cellStyle name="Hipervínculo visitado" xfId="479" builtinId="9" hidden="1"/>
    <cellStyle name="Hipervínculo visitado" xfId="481" builtinId="9" hidden="1"/>
    <cellStyle name="Hipervínculo visitado" xfId="483" builtinId="9" hidden="1"/>
    <cellStyle name="Hipervínculo visitado" xfId="485" builtinId="9" hidden="1"/>
    <cellStyle name="Hipervínculo visitado" xfId="487" builtinId="9" hidden="1"/>
    <cellStyle name="Hipervínculo visitado" xfId="489" builtinId="9" hidden="1"/>
    <cellStyle name="Hipervínculo visitado" xfId="491" builtinId="9" hidden="1"/>
    <cellStyle name="Hipervínculo visitado" xfId="493" builtinId="9" hidden="1"/>
    <cellStyle name="Hipervínculo visitado" xfId="495" builtinId="9" hidden="1"/>
    <cellStyle name="Hipervínculo visitado" xfId="497" builtinId="9" hidden="1"/>
    <cellStyle name="Hipervínculo visitado" xfId="499" builtinId="9" hidden="1"/>
    <cellStyle name="Hipervínculo visitado" xfId="501" builtinId="9" hidden="1"/>
    <cellStyle name="Hipervínculo visitado" xfId="503" builtinId="9" hidden="1"/>
    <cellStyle name="Hipervínculo visitado" xfId="505" builtinId="9" hidden="1"/>
    <cellStyle name="Hipervínculo visitado" xfId="507" builtinId="9" hidden="1"/>
    <cellStyle name="Hipervínculo visitado" xfId="509" builtinId="9" hidden="1"/>
    <cellStyle name="Hipervínculo visitado" xfId="511" builtinId="9" hidden="1"/>
    <cellStyle name="Hipervínculo visitado" xfId="513" builtinId="9" hidden="1"/>
    <cellStyle name="Hipervínculo visitado" xfId="515" builtinId="9" hidden="1"/>
    <cellStyle name="Hipervínculo visitado" xfId="517" builtinId="9" hidden="1"/>
    <cellStyle name="Hipervínculo visitado" xfId="519" builtinId="9" hidden="1"/>
    <cellStyle name="Hipervínculo visitado" xfId="521" builtinId="9" hidden="1"/>
    <cellStyle name="Hipervínculo visitado" xfId="523" builtinId="9" hidden="1"/>
    <cellStyle name="Hipervínculo visitado" xfId="525" builtinId="9" hidden="1"/>
    <cellStyle name="Hipervínculo visitado" xfId="527" builtinId="9" hidden="1"/>
    <cellStyle name="Hipervínculo visitado" xfId="529" builtinId="9" hidden="1"/>
    <cellStyle name="Hipervínculo visitado" xfId="531" builtinId="9" hidden="1"/>
    <cellStyle name="Hipervínculo visitado" xfId="533" builtinId="9" hidden="1"/>
    <cellStyle name="Hipervínculo visitado" xfId="535" builtinId="9" hidden="1"/>
    <cellStyle name="Hipervínculo visitado" xfId="537" builtinId="9" hidden="1"/>
    <cellStyle name="Hipervínculo visitado" xfId="539" builtinId="9" hidden="1"/>
    <cellStyle name="Hipervínculo visitado" xfId="541" builtinId="9" hidden="1"/>
    <cellStyle name="Hipervínculo visitado" xfId="543" builtinId="9" hidden="1"/>
    <cellStyle name="Hipervínculo visitado" xfId="545" builtinId="9" hidden="1"/>
    <cellStyle name="Hipervínculo visitado" xfId="547" builtinId="9" hidden="1"/>
    <cellStyle name="Hipervínculo visitado" xfId="549" builtinId="9" hidden="1"/>
    <cellStyle name="Hipervínculo visitado" xfId="551" builtinId="9" hidden="1"/>
    <cellStyle name="Hipervínculo visitado" xfId="553" builtinId="9" hidden="1"/>
    <cellStyle name="Hipervínculo visitado" xfId="555" builtinId="9" hidden="1"/>
    <cellStyle name="Hipervínculo visitado" xfId="557" builtinId="9" hidden="1"/>
    <cellStyle name="Hipervínculo visitado" xfId="559" builtinId="9" hidden="1"/>
    <cellStyle name="Hipervínculo visitado" xfId="561" builtinId="9" hidden="1"/>
    <cellStyle name="Hipervínculo visitado" xfId="563" builtinId="9" hidden="1"/>
    <cellStyle name="Hipervínculo visitado" xfId="565" builtinId="9" hidden="1"/>
    <cellStyle name="Hipervínculo visitado" xfId="567" builtinId="9" hidden="1"/>
    <cellStyle name="Hipervínculo visitado" xfId="569" builtinId="9" hidden="1"/>
    <cellStyle name="Hipervínculo visitado" xfId="571" builtinId="9" hidden="1"/>
    <cellStyle name="Hipervínculo visitado" xfId="573" builtinId="9" hidden="1"/>
    <cellStyle name="Hipervínculo visitado" xfId="575" builtinId="9" hidden="1"/>
    <cellStyle name="Hipervínculo visitado" xfId="577" builtinId="9" hidden="1"/>
    <cellStyle name="Hipervínculo visitado" xfId="579" builtinId="9" hidden="1"/>
    <cellStyle name="Hipervínculo visitado" xfId="581" builtinId="9" hidden="1"/>
    <cellStyle name="Hipervínculo visitado" xfId="583" builtinId="9" hidden="1"/>
    <cellStyle name="Hipervínculo visitado" xfId="585" builtinId="9" hidden="1"/>
    <cellStyle name="Hipervínculo visitado" xfId="587" builtinId="9" hidden="1"/>
    <cellStyle name="Hipervínculo visitado" xfId="589" builtinId="9" hidden="1"/>
    <cellStyle name="Hipervínculo visitado" xfId="591" builtinId="9" hidden="1"/>
    <cellStyle name="Hipervínculo visitado" xfId="593" builtinId="9" hidden="1"/>
    <cellStyle name="Hipervínculo visitado" xfId="595" builtinId="9" hidden="1"/>
    <cellStyle name="Hipervínculo visitado" xfId="597" builtinId="9" hidden="1"/>
    <cellStyle name="Hipervínculo visitado" xfId="599" builtinId="9" hidden="1"/>
    <cellStyle name="Hipervínculo visitado" xfId="601" builtinId="9" hidden="1"/>
    <cellStyle name="Hipervínculo visitado" xfId="603" builtinId="9" hidden="1"/>
    <cellStyle name="Hipervínculo visitado" xfId="605" builtinId="9" hidden="1"/>
    <cellStyle name="Hipervínculo visitado" xfId="607" builtinId="9" hidden="1"/>
    <cellStyle name="Hipervínculo visitado" xfId="609" builtinId="9" hidden="1"/>
    <cellStyle name="Hipervínculo visitado" xfId="611" builtinId="9" hidden="1"/>
    <cellStyle name="Hipervínculo visitado" xfId="613" builtinId="9" hidden="1"/>
    <cellStyle name="Hipervínculo visitado" xfId="615" builtinId="9" hidden="1"/>
    <cellStyle name="Hipervínculo visitado" xfId="617" builtinId="9" hidden="1"/>
    <cellStyle name="Hipervínculo visitado" xfId="619" builtinId="9" hidden="1"/>
    <cellStyle name="Hipervínculo visitado" xfId="621" builtinId="9" hidden="1"/>
    <cellStyle name="Hipervínculo visitado" xfId="623" builtinId="9" hidden="1"/>
    <cellStyle name="Hipervínculo visitado" xfId="625" builtinId="9" hidden="1"/>
    <cellStyle name="Hipervínculo visitado" xfId="627" builtinId="9" hidden="1"/>
    <cellStyle name="Hipervínculo visitado" xfId="629" builtinId="9" hidden="1"/>
    <cellStyle name="Hipervínculo visitado" xfId="631" builtinId="9" hidden="1"/>
    <cellStyle name="Hipervínculo visitado" xfId="633" builtinId="9" hidden="1"/>
    <cellStyle name="Hipervínculo visitado" xfId="635" builtinId="9" hidden="1"/>
    <cellStyle name="Hipervínculo visitado" xfId="637" builtinId="9" hidden="1"/>
    <cellStyle name="Hipervínculo visitado" xfId="639" builtinId="9" hidden="1"/>
    <cellStyle name="Hipervínculo visitado" xfId="641" builtinId="9" hidden="1"/>
    <cellStyle name="Hipervínculo visitado" xfId="643" builtinId="9" hidden="1"/>
    <cellStyle name="Hipervínculo visitado" xfId="645" builtinId="9" hidden="1"/>
    <cellStyle name="Hipervínculo visitado" xfId="647" builtinId="9" hidden="1"/>
    <cellStyle name="Hipervínculo visitado" xfId="649" builtinId="9" hidden="1"/>
    <cellStyle name="Hipervínculo visitado" xfId="651" builtinId="9" hidden="1"/>
    <cellStyle name="Hipervínculo visitado" xfId="653" builtinId="9" hidden="1"/>
    <cellStyle name="Hipervínculo visitado" xfId="655" builtinId="9" hidden="1"/>
    <cellStyle name="Hipervínculo visitado" xfId="657" builtinId="9" hidden="1"/>
    <cellStyle name="Hipervínculo visitado" xfId="659" builtinId="9" hidden="1"/>
    <cellStyle name="Hipervínculo visitado" xfId="661" builtinId="9" hidden="1"/>
    <cellStyle name="Hipervínculo visitado" xfId="663" builtinId="9" hidden="1"/>
    <cellStyle name="Hipervínculo visitado" xfId="665" builtinId="9" hidden="1"/>
    <cellStyle name="Hipervínculo visitado" xfId="667" builtinId="9" hidden="1"/>
    <cellStyle name="Hipervínculo visitado" xfId="669" builtinId="9" hidden="1"/>
    <cellStyle name="Hipervínculo visitado" xfId="671" builtinId="9" hidden="1"/>
    <cellStyle name="Hipervínculo visitado" xfId="673" builtinId="9" hidden="1"/>
    <cellStyle name="Hipervínculo visitado" xfId="675" builtinId="9" hidden="1"/>
    <cellStyle name="Hipervínculo visitado" xfId="677" builtinId="9" hidden="1"/>
    <cellStyle name="Hipervínculo visitado" xfId="679" builtinId="9" hidden="1"/>
    <cellStyle name="Hipervínculo visitado" xfId="681" builtinId="9" hidden="1"/>
    <cellStyle name="Hipervínculo visitado" xfId="683" builtinId="9" hidden="1"/>
    <cellStyle name="Hipervínculo visitado" xfId="685" builtinId="9" hidden="1"/>
    <cellStyle name="Hipervínculo visitado" xfId="687" builtinId="9" hidden="1"/>
    <cellStyle name="Hipervínculo visitado" xfId="689" builtinId="9" hidden="1"/>
    <cellStyle name="Hipervínculo visitado" xfId="691" builtinId="9" hidden="1"/>
    <cellStyle name="Hipervínculo visitado" xfId="693" builtinId="9" hidden="1"/>
    <cellStyle name="Hipervínculo visitado" xfId="695" builtinId="9" hidden="1"/>
    <cellStyle name="Hipervínculo visitado" xfId="697" builtinId="9" hidden="1"/>
    <cellStyle name="Hipervínculo visitado" xfId="699" builtinId="9" hidden="1"/>
    <cellStyle name="Hipervínculo visitado" xfId="701" builtinId="9" hidden="1"/>
    <cellStyle name="Hipervínculo visitado" xfId="703" builtinId="9" hidden="1"/>
    <cellStyle name="Hipervínculo visitado" xfId="705" builtinId="9" hidden="1"/>
    <cellStyle name="Hipervínculo visitado" xfId="707" builtinId="9" hidden="1"/>
    <cellStyle name="Hipervínculo visitado" xfId="709" builtinId="9" hidden="1"/>
    <cellStyle name="Hipervínculo visitado" xfId="711" builtinId="9" hidden="1"/>
    <cellStyle name="Hipervínculo visitado" xfId="713" builtinId="9" hidden="1"/>
    <cellStyle name="Hipervínculo visitado" xfId="715" builtinId="9" hidden="1"/>
    <cellStyle name="Hipervínculo visitado" xfId="717" builtinId="9" hidden="1"/>
    <cellStyle name="Hipervínculo visitado" xfId="719" builtinId="9" hidden="1"/>
    <cellStyle name="Hipervínculo visitado" xfId="721" builtinId="9" hidden="1"/>
    <cellStyle name="Hipervínculo visitado" xfId="723" builtinId="9" hidden="1"/>
    <cellStyle name="Hipervínculo visitado" xfId="725" builtinId="9" hidden="1"/>
    <cellStyle name="Hipervínculo visitado" xfId="727" builtinId="9" hidden="1"/>
    <cellStyle name="Hipervínculo visitado" xfId="729" builtinId="9" hidden="1"/>
    <cellStyle name="Hipervínculo visitado" xfId="731" builtinId="9" hidden="1"/>
    <cellStyle name="Hipervínculo visitado" xfId="733" builtinId="9" hidden="1"/>
    <cellStyle name="Hipervínculo visitado" xfId="735" builtinId="9" hidden="1"/>
    <cellStyle name="Hipervínculo visitado" xfId="737" builtinId="9" hidden="1"/>
    <cellStyle name="Hipervínculo visitado" xfId="739" builtinId="9" hidden="1"/>
    <cellStyle name="Hipervínculo visitado" xfId="741" builtinId="9" hidden="1"/>
    <cellStyle name="Hipervínculo visitado" xfId="743" builtinId="9" hidden="1"/>
    <cellStyle name="Hipervínculo visitado" xfId="745" builtinId="9" hidden="1"/>
    <cellStyle name="Hipervínculo visitado" xfId="747" builtinId="9" hidden="1"/>
    <cellStyle name="Hipervínculo visitado" xfId="749" builtinId="9" hidden="1"/>
    <cellStyle name="Hipervínculo visitado" xfId="751" builtinId="9" hidden="1"/>
    <cellStyle name="Hipervínculo visitado" xfId="753" builtinId="9" hidden="1"/>
    <cellStyle name="Hipervínculo visitado" xfId="755" builtinId="9" hidden="1"/>
    <cellStyle name="Hipervínculo visitado" xfId="757" builtinId="9" hidden="1"/>
    <cellStyle name="Hipervínculo visitado" xfId="759" builtinId="9" hidden="1"/>
    <cellStyle name="Hipervínculo visitado" xfId="761" builtinId="9" hidden="1"/>
    <cellStyle name="Hipervínculo visitado" xfId="763" builtinId="9" hidden="1"/>
    <cellStyle name="Hipervínculo visitado" xfId="765" builtinId="9" hidden="1"/>
    <cellStyle name="Hipervínculo visitado" xfId="767" builtinId="9" hidden="1"/>
    <cellStyle name="Hipervínculo visitado" xfId="769" builtinId="9" hidden="1"/>
    <cellStyle name="Hipervínculo visitado" xfId="771" builtinId="9" hidden="1"/>
    <cellStyle name="Hipervínculo visitado" xfId="773" builtinId="9" hidden="1"/>
    <cellStyle name="Hipervínculo visitado" xfId="775" builtinId="9" hidden="1"/>
    <cellStyle name="Hipervínculo visitado" xfId="777" builtinId="9" hidden="1"/>
    <cellStyle name="Hipervínculo visitado" xfId="779" builtinId="9" hidden="1"/>
    <cellStyle name="Hipervínculo visitado" xfId="781" builtinId="9" hidden="1"/>
    <cellStyle name="Hipervínculo visitado" xfId="783" builtinId="9" hidden="1"/>
    <cellStyle name="Hipervínculo visitado" xfId="785" builtinId="9" hidden="1"/>
    <cellStyle name="Hipervínculo visitado" xfId="787" builtinId="9" hidden="1"/>
    <cellStyle name="Hipervínculo visitado" xfId="789" builtinId="9" hidden="1"/>
    <cellStyle name="Hipervínculo visitado" xfId="791" builtinId="9" hidden="1"/>
    <cellStyle name="Hipervínculo visitado" xfId="793" builtinId="9" hidden="1"/>
    <cellStyle name="Hipervínculo visitado" xfId="795" builtinId="9" hidden="1"/>
    <cellStyle name="Hipervínculo visitado" xfId="797" builtinId="9" hidden="1"/>
    <cellStyle name="Hipervínculo visitado" xfId="799" builtinId="9" hidden="1"/>
    <cellStyle name="Hipervínculo visitado" xfId="801" builtinId="9" hidden="1"/>
    <cellStyle name="Hipervínculo visitado" xfId="803" builtinId="9" hidden="1"/>
    <cellStyle name="Hipervínculo visitado" xfId="805" builtinId="9" hidden="1"/>
    <cellStyle name="Hipervínculo visitado" xfId="807" builtinId="9" hidden="1"/>
    <cellStyle name="Hipervínculo visitado" xfId="809" builtinId="9" hidden="1"/>
    <cellStyle name="Hipervínculo visitado" xfId="811" builtinId="9" hidden="1"/>
    <cellStyle name="Hipervínculo visitado" xfId="813" builtinId="9" hidden="1"/>
    <cellStyle name="Hipervínculo visitado" xfId="815" builtinId="9" hidden="1"/>
    <cellStyle name="Hipervínculo visitado" xfId="817" builtinId="9" hidden="1"/>
    <cellStyle name="Hipervínculo visitado" xfId="819" builtinId="9" hidden="1"/>
    <cellStyle name="Hipervínculo visitado" xfId="821" builtinId="9" hidden="1"/>
    <cellStyle name="Hipervínculo visitado" xfId="823" builtinId="9" hidden="1"/>
    <cellStyle name="Hipervínculo visitado" xfId="825" builtinId="9" hidden="1"/>
    <cellStyle name="Hipervínculo visitado" xfId="827" builtinId="9" hidden="1"/>
    <cellStyle name="Hipervínculo visitado" xfId="829" builtinId="9" hidden="1"/>
    <cellStyle name="Hipervínculo visitado" xfId="831" builtinId="9" hidden="1"/>
    <cellStyle name="Hipervínculo visitado" xfId="833" builtinId="9" hidden="1"/>
    <cellStyle name="Hipervínculo visitado" xfId="835" builtinId="9" hidden="1"/>
    <cellStyle name="Hipervínculo visitado" xfId="837" builtinId="9" hidden="1"/>
    <cellStyle name="Hipervínculo visitado" xfId="839" builtinId="9" hidden="1"/>
    <cellStyle name="Hipervínculo visitado" xfId="841" builtinId="9" hidden="1"/>
    <cellStyle name="Hipervínculo visitado" xfId="843" builtinId="9" hidden="1"/>
    <cellStyle name="Hipervínculo visitado" xfId="845" builtinId="9" hidden="1"/>
    <cellStyle name="Hipervínculo visitado" xfId="847" builtinId="9" hidden="1"/>
    <cellStyle name="Hipervínculo visitado" xfId="849" builtinId="9" hidden="1"/>
    <cellStyle name="Hipervínculo visitado" xfId="851" builtinId="9" hidden="1"/>
    <cellStyle name="Hipervínculo visitado" xfId="853" builtinId="9" hidden="1"/>
    <cellStyle name="Hipervínculo visitado" xfId="855" builtinId="9" hidden="1"/>
    <cellStyle name="Hipervínculo visitado" xfId="857" builtinId="9" hidden="1"/>
    <cellStyle name="Hipervínculo visitado" xfId="859" builtinId="9" hidden="1"/>
    <cellStyle name="Hipervínculo visitado" xfId="861" builtinId="9" hidden="1"/>
    <cellStyle name="Hipervínculo visitado" xfId="863" builtinId="9" hidden="1"/>
    <cellStyle name="Hipervínculo visitado" xfId="865" builtinId="9" hidden="1"/>
    <cellStyle name="Hipervínculo visitado" xfId="867" builtinId="9" hidden="1"/>
    <cellStyle name="Hipervínculo visitado" xfId="869" builtinId="9" hidden="1"/>
    <cellStyle name="Hipervínculo visitado" xfId="871" builtinId="9" hidden="1"/>
    <cellStyle name="Hipervínculo visitado" xfId="873" builtinId="9" hidden="1"/>
    <cellStyle name="Hipervínculo visitado" xfId="875" builtinId="9" hidden="1"/>
    <cellStyle name="Hipervínculo visitado" xfId="877" builtinId="9" hidden="1"/>
    <cellStyle name="Hipervínculo visitado" xfId="879" builtinId="9" hidden="1"/>
    <cellStyle name="Hipervínculo visitado" xfId="881" builtinId="9" hidden="1"/>
    <cellStyle name="Hipervínculo visitado" xfId="883" builtinId="9" hidden="1"/>
    <cellStyle name="Hipervínculo visitado" xfId="885" builtinId="9" hidden="1"/>
    <cellStyle name="Hipervínculo visitado" xfId="887" builtinId="9" hidden="1"/>
    <cellStyle name="Hipervínculo visitado" xfId="889" builtinId="9" hidden="1"/>
    <cellStyle name="Hipervínculo visitado" xfId="891" builtinId="9" hidden="1"/>
    <cellStyle name="Hipervínculo visitado" xfId="893" builtinId="9" hidden="1"/>
    <cellStyle name="Hipervínculo visitado" xfId="895" builtinId="9" hidden="1"/>
    <cellStyle name="Hipervínculo visitado" xfId="897" builtinId="9" hidden="1"/>
    <cellStyle name="Hipervínculo visitado" xfId="899" builtinId="9" hidden="1"/>
    <cellStyle name="Hipervínculo visitado" xfId="901" builtinId="9" hidden="1"/>
    <cellStyle name="Hipervínculo visitado" xfId="903" builtinId="9" hidden="1"/>
    <cellStyle name="Hipervínculo visitado" xfId="905" builtinId="9" hidden="1"/>
    <cellStyle name="Hipervínculo visitado" xfId="907" builtinId="9" hidden="1"/>
    <cellStyle name="Hipervínculo visitado" xfId="909" builtinId="9" hidden="1"/>
    <cellStyle name="Hipervínculo visitado" xfId="911" builtinId="9" hidden="1"/>
    <cellStyle name="Hipervínculo visitado" xfId="913" builtinId="9" hidden="1"/>
    <cellStyle name="Hipervínculo visitado" xfId="915" builtinId="9" hidden="1"/>
    <cellStyle name="Hipervínculo visitado" xfId="917" builtinId="9" hidden="1"/>
    <cellStyle name="Hipervínculo visitado" xfId="919" builtinId="9" hidden="1"/>
    <cellStyle name="Hipervínculo visitado" xfId="921" builtinId="9" hidden="1"/>
    <cellStyle name="Hipervínculo visitado" xfId="923" builtinId="9" hidden="1"/>
    <cellStyle name="Hipervínculo visitado" xfId="925" builtinId="9" hidden="1"/>
    <cellStyle name="Hipervínculo visitado" xfId="927" builtinId="9" hidden="1"/>
    <cellStyle name="Hipervínculo visitado" xfId="929" builtinId="9" hidden="1"/>
    <cellStyle name="Hipervínculo visitado" xfId="931" builtinId="9" hidden="1"/>
    <cellStyle name="Hipervínculo visitado" xfId="933" builtinId="9" hidden="1"/>
    <cellStyle name="Hipervínculo visitado" xfId="935" builtinId="9" hidden="1"/>
    <cellStyle name="Hipervínculo visitado" xfId="937" builtinId="9" hidden="1"/>
    <cellStyle name="Hipervínculo visitado" xfId="939" builtinId="9" hidden="1"/>
    <cellStyle name="Hipervínculo visitado" xfId="941" builtinId="9" hidden="1"/>
    <cellStyle name="Hipervínculo visitado" xfId="943" builtinId="9" hidden="1"/>
    <cellStyle name="Hipervínculo visitado" xfId="945" builtinId="9" hidden="1"/>
    <cellStyle name="Hipervínculo visitado" xfId="947" builtinId="9" hidden="1"/>
    <cellStyle name="Hipervínculo visitado" xfId="949" builtinId="9" hidden="1"/>
    <cellStyle name="Hipervínculo visitado" xfId="951" builtinId="9" hidden="1"/>
    <cellStyle name="Hipervínculo visitado" xfId="953" builtinId="9" hidden="1"/>
    <cellStyle name="Hipervínculo visitado" xfId="955" builtinId="9" hidden="1"/>
    <cellStyle name="Hipervínculo visitado" xfId="957" builtinId="9" hidden="1"/>
    <cellStyle name="Hipervínculo visitado" xfId="959" builtinId="9" hidden="1"/>
    <cellStyle name="Hipervínculo visitado" xfId="961" builtinId="9" hidden="1"/>
    <cellStyle name="Hipervínculo visitado" xfId="963" builtinId="9" hidden="1"/>
    <cellStyle name="Hipervínculo visitado" xfId="965" builtinId="9" hidden="1"/>
    <cellStyle name="Hipervínculo visitado" xfId="967" builtinId="9" hidden="1"/>
    <cellStyle name="Hipervínculo visitado" xfId="969" builtinId="9" hidden="1"/>
    <cellStyle name="Hipervínculo visitado" xfId="971" builtinId="9" hidden="1"/>
    <cellStyle name="Hipervínculo visitado" xfId="973" builtinId="9" hidden="1"/>
    <cellStyle name="Hipervínculo visitado" xfId="975" builtinId="9" hidden="1"/>
    <cellStyle name="Hipervínculo visitado" xfId="977" builtinId="9" hidden="1"/>
    <cellStyle name="Hipervínculo visitado" xfId="979" builtinId="9" hidden="1"/>
    <cellStyle name="Hipervínculo visitado" xfId="981" builtinId="9" hidden="1"/>
    <cellStyle name="Hipervínculo visitado" xfId="983" builtinId="9" hidden="1"/>
    <cellStyle name="Hipervínculo visitado" xfId="985" builtinId="9" hidden="1"/>
    <cellStyle name="Hipervínculo visitado" xfId="987" builtinId="9" hidden="1"/>
    <cellStyle name="Hipervínculo visitado" xfId="989" builtinId="9" hidden="1"/>
    <cellStyle name="Hipervínculo visitado" xfId="991" builtinId="9" hidden="1"/>
    <cellStyle name="Hipervínculo visitado" xfId="993" builtinId="9" hidden="1"/>
    <cellStyle name="Hipervínculo visitado" xfId="995" builtinId="9" hidden="1"/>
    <cellStyle name="Hipervínculo visitado" xfId="997" builtinId="9" hidden="1"/>
    <cellStyle name="Hipervínculo visitado" xfId="999" builtinId="9" hidden="1"/>
    <cellStyle name="Hipervínculo visitado" xfId="1001" builtinId="9" hidden="1"/>
    <cellStyle name="Hipervínculo visitado" xfId="1003" builtinId="9" hidden="1"/>
    <cellStyle name="Hipervínculo visitado" xfId="1005" builtinId="9" hidden="1"/>
    <cellStyle name="Hipervínculo visitado" xfId="1007" builtinId="9" hidden="1"/>
    <cellStyle name="Hipervínculo visitado" xfId="1009" builtinId="9" hidden="1"/>
    <cellStyle name="Hipervínculo visitado" xfId="1011" builtinId="9" hidden="1"/>
    <cellStyle name="Hipervínculo visitado" xfId="1013" builtinId="9" hidden="1"/>
    <cellStyle name="Hipervínculo visitado" xfId="1015" builtinId="9" hidden="1"/>
    <cellStyle name="Hipervínculo visitado" xfId="1017" builtinId="9" hidden="1"/>
    <cellStyle name="Hipervínculo visitado" xfId="1019" builtinId="9" hidden="1"/>
    <cellStyle name="Hipervínculo visitado" xfId="1021" builtinId="9" hidden="1"/>
    <cellStyle name="Hipervínculo visitado" xfId="1023" builtinId="9" hidden="1"/>
    <cellStyle name="Hipervínculo visitado" xfId="1025" builtinId="9" hidden="1"/>
    <cellStyle name="Hipervínculo visitado" xfId="1027" builtinId="9" hidden="1"/>
    <cellStyle name="Hipervínculo visitado" xfId="1029" builtinId="9" hidden="1"/>
    <cellStyle name="Hipervínculo visitado" xfId="1031" builtinId="9" hidden="1"/>
    <cellStyle name="Hipervínculo visitado" xfId="1033" builtinId="9" hidden="1"/>
    <cellStyle name="Hipervínculo visitado" xfId="1035" builtinId="9" hidden="1"/>
    <cellStyle name="Hipervínculo visitado" xfId="1037" builtinId="9" hidden="1"/>
    <cellStyle name="Hipervínculo visitado" xfId="1039" builtinId="9" hidden="1"/>
    <cellStyle name="Hipervínculo visitado" xfId="1041" builtinId="9" hidden="1"/>
    <cellStyle name="Hipervínculo visitado" xfId="1043" builtinId="9" hidden="1"/>
    <cellStyle name="Hipervínculo visitado" xfId="1045" builtinId="9" hidden="1"/>
    <cellStyle name="Hipervínculo visitado" xfId="1047" builtinId="9" hidden="1"/>
    <cellStyle name="Hipervínculo visitado" xfId="1049" builtinId="9" hidden="1"/>
    <cellStyle name="Hipervínculo visitado" xfId="1051" builtinId="9" hidden="1"/>
    <cellStyle name="Hipervínculo visitado" xfId="1053" builtinId="9" hidden="1"/>
    <cellStyle name="Hipervínculo visitado" xfId="1055" builtinId="9" hidden="1"/>
    <cellStyle name="Hipervínculo visitado" xfId="1057" builtinId="9" hidden="1"/>
    <cellStyle name="Hipervínculo visitado" xfId="1059" builtinId="9" hidden="1"/>
    <cellStyle name="Hipervínculo visitado" xfId="1061" builtinId="9" hidden="1"/>
    <cellStyle name="Hipervínculo visitado" xfId="1063" builtinId="9" hidden="1"/>
    <cellStyle name="Hipervínculo visitado" xfId="1065" builtinId="9" hidden="1"/>
    <cellStyle name="Hipervínculo visitado" xfId="1067" builtinId="9" hidden="1"/>
    <cellStyle name="Hipervínculo visitado" xfId="1069" builtinId="9" hidden="1"/>
    <cellStyle name="Hipervínculo visitado" xfId="1071" builtinId="9" hidden="1"/>
    <cellStyle name="Hipervínculo visitado" xfId="1073" builtinId="9" hidden="1"/>
    <cellStyle name="Millares" xfId="109" builtinId="3"/>
    <cellStyle name="Moneda" xfId="1" builtinId="4"/>
    <cellStyle name="Normal" xfId="0" builtinId="0"/>
    <cellStyle name="Porcentaje" xfId="2" builtinId="5"/>
  </cellStyles>
  <dxfs count="3">
    <dxf>
      <font>
        <color theme="0"/>
      </font>
      <fill>
        <patternFill patternType="solid">
          <fgColor indexed="64"/>
          <bgColor theme="1" tint="0.499984740745262"/>
        </patternFill>
      </fill>
    </dxf>
    <dxf>
      <font>
        <color theme="0"/>
      </font>
      <fill>
        <patternFill patternType="solid">
          <fgColor indexed="64"/>
          <bgColor theme="1" tint="0.499984740745262"/>
        </patternFill>
      </fill>
    </dxf>
    <dxf>
      <font>
        <color theme="0"/>
      </font>
      <fill>
        <patternFill patternType="solid">
          <fgColor indexed="64"/>
          <bgColor theme="1" tint="0.499984740745262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</sheetPr>
  <dimension ref="A1:O26"/>
  <sheetViews>
    <sheetView workbookViewId="0">
      <selection activeCell="D28" sqref="D28"/>
    </sheetView>
  </sheetViews>
  <sheetFormatPr baseColWidth="10" defaultColWidth="10.875" defaultRowHeight="14.25"/>
  <cols>
    <col min="1" max="1" width="10.875" style="1"/>
    <col min="2" max="4" width="10.875" style="1" customWidth="1"/>
    <col min="5" max="5" width="12.25" style="1" customWidth="1"/>
    <col min="6" max="8" width="10.875" style="1" customWidth="1"/>
    <col min="9" max="9" width="23.625" style="1" customWidth="1"/>
    <col min="10" max="11" width="11.625" style="1" bestFit="1" customWidth="1"/>
    <col min="12" max="12" width="11.875" style="1" bestFit="1" customWidth="1"/>
    <col min="13" max="13" width="14.75" style="1" bestFit="1" customWidth="1"/>
    <col min="14" max="16384" width="10.875" style="1"/>
  </cols>
  <sheetData>
    <row r="1" spans="1:15" ht="15" thickBot="1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5" ht="18">
      <c r="A2" s="82"/>
      <c r="B2" s="366" t="s">
        <v>17</v>
      </c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8"/>
      <c r="N2" s="82"/>
      <c r="O2" s="82"/>
    </row>
    <row r="3" spans="1:15" ht="18.75" thickBot="1">
      <c r="A3" s="82"/>
      <c r="B3" s="371" t="s">
        <v>18</v>
      </c>
      <c r="C3" s="372"/>
      <c r="D3" s="372"/>
      <c r="E3" s="372"/>
      <c r="F3" s="372"/>
      <c r="G3" s="372"/>
      <c r="H3" s="369" t="s">
        <v>164</v>
      </c>
      <c r="I3" s="369"/>
      <c r="J3" s="369"/>
      <c r="K3" s="369"/>
      <c r="L3" s="369"/>
      <c r="M3" s="370"/>
      <c r="N3" s="82"/>
      <c r="O3" s="82"/>
    </row>
    <row r="4" spans="1:15" ht="14.1" customHeight="1">
      <c r="A4" s="82"/>
      <c r="B4" s="91" t="s">
        <v>19</v>
      </c>
      <c r="C4" s="92"/>
      <c r="D4" s="92"/>
      <c r="E4" s="92"/>
      <c r="F4" s="92"/>
      <c r="G4" s="93"/>
      <c r="H4" s="92"/>
      <c r="I4" s="14"/>
      <c r="J4" s="233" t="s">
        <v>28</v>
      </c>
      <c r="K4" s="234" t="s">
        <v>29</v>
      </c>
      <c r="L4" s="233" t="s">
        <v>106</v>
      </c>
      <c r="M4" s="85"/>
      <c r="N4" s="82"/>
      <c r="O4" s="82"/>
    </row>
    <row r="5" spans="1:15" ht="12" customHeight="1">
      <c r="A5" s="82"/>
      <c r="B5" s="86" t="s">
        <v>22</v>
      </c>
      <c r="C5" s="82"/>
      <c r="D5" s="82"/>
      <c r="E5" s="82"/>
      <c r="F5" s="82"/>
      <c r="G5" s="87"/>
      <c r="H5" s="82" t="s">
        <v>145</v>
      </c>
      <c r="I5" s="82"/>
      <c r="J5" s="159">
        <v>1</v>
      </c>
      <c r="K5" s="160">
        <v>0.9</v>
      </c>
      <c r="L5" s="159">
        <v>0.85</v>
      </c>
      <c r="M5" s="87"/>
      <c r="N5" s="82"/>
      <c r="O5" s="82"/>
    </row>
    <row r="6" spans="1:15" ht="12" customHeight="1">
      <c r="A6" s="82"/>
      <c r="B6" s="94" t="s">
        <v>28</v>
      </c>
      <c r="C6" s="82"/>
      <c r="D6" s="155">
        <v>290</v>
      </c>
      <c r="E6" s="82" t="s">
        <v>21</v>
      </c>
      <c r="F6" s="82"/>
      <c r="G6" s="87"/>
      <c r="H6" s="81" t="s">
        <v>90</v>
      </c>
      <c r="I6" s="82"/>
      <c r="J6" s="161"/>
      <c r="K6" s="162"/>
      <c r="L6" s="161"/>
      <c r="M6" s="87"/>
      <c r="N6" s="82"/>
      <c r="O6" s="82"/>
    </row>
    <row r="7" spans="1:15" ht="12" customHeight="1">
      <c r="A7" s="82"/>
      <c r="B7" s="94" t="s">
        <v>29</v>
      </c>
      <c r="C7" s="82"/>
      <c r="D7" s="155">
        <v>290</v>
      </c>
      <c r="E7" s="82" t="s">
        <v>21</v>
      </c>
      <c r="F7" s="82"/>
      <c r="G7" s="87"/>
      <c r="H7" s="82" t="s">
        <v>146</v>
      </c>
      <c r="I7" s="82"/>
      <c r="J7" s="163">
        <f>15*12</f>
        <v>180</v>
      </c>
      <c r="K7" s="164">
        <f>12*12</f>
        <v>144</v>
      </c>
      <c r="L7" s="163">
        <f>10*12</f>
        <v>120</v>
      </c>
      <c r="M7" s="87" t="s">
        <v>165</v>
      </c>
      <c r="N7" s="82"/>
      <c r="O7" s="82"/>
    </row>
    <row r="8" spans="1:15" ht="12" customHeight="1">
      <c r="A8" s="82"/>
      <c r="B8" s="94" t="s">
        <v>30</v>
      </c>
      <c r="C8" s="82"/>
      <c r="D8" s="155">
        <v>290</v>
      </c>
      <c r="E8" s="82" t="s">
        <v>21</v>
      </c>
      <c r="F8" s="82"/>
      <c r="G8" s="87"/>
      <c r="H8" s="82" t="s">
        <v>148</v>
      </c>
      <c r="I8" s="82"/>
      <c r="J8" s="290">
        <v>1.8E-3</v>
      </c>
      <c r="K8" s="290">
        <v>1.8E-3</v>
      </c>
      <c r="L8" s="290">
        <v>1.8E-3</v>
      </c>
      <c r="M8" s="87"/>
      <c r="N8" s="82"/>
      <c r="O8" s="82"/>
    </row>
    <row r="9" spans="1:15" ht="12" customHeight="1">
      <c r="A9" s="82"/>
      <c r="B9" s="86" t="s">
        <v>23</v>
      </c>
      <c r="C9" s="82"/>
      <c r="D9" s="156"/>
      <c r="E9" s="82"/>
      <c r="F9" s="82"/>
      <c r="G9" s="87"/>
      <c r="H9" s="82" t="s">
        <v>147</v>
      </c>
      <c r="I9" s="82"/>
      <c r="J9" s="159">
        <v>0.08</v>
      </c>
      <c r="K9" s="160">
        <v>0.05</v>
      </c>
      <c r="L9" s="159">
        <v>0.04</v>
      </c>
      <c r="M9" s="87"/>
      <c r="N9" s="82"/>
      <c r="O9" s="82"/>
    </row>
    <row r="10" spans="1:15" ht="12" customHeight="1">
      <c r="A10" s="82"/>
      <c r="B10" s="94" t="s">
        <v>28</v>
      </c>
      <c r="C10" s="82"/>
      <c r="D10" s="155">
        <v>110</v>
      </c>
      <c r="E10" s="82" t="s">
        <v>165</v>
      </c>
      <c r="F10" s="82"/>
      <c r="G10" s="87"/>
      <c r="H10" s="82" t="s">
        <v>149</v>
      </c>
      <c r="I10" s="82"/>
      <c r="J10" s="165">
        <f>50*12</f>
        <v>600</v>
      </c>
      <c r="K10" s="166">
        <f>50*12</f>
        <v>600</v>
      </c>
      <c r="L10" s="165">
        <f>50*12</f>
        <v>600</v>
      </c>
      <c r="M10" s="87" t="s">
        <v>31</v>
      </c>
      <c r="N10" s="82"/>
      <c r="O10" s="82"/>
    </row>
    <row r="11" spans="1:15" ht="12" customHeight="1">
      <c r="A11" s="82"/>
      <c r="B11" s="94" t="s">
        <v>29</v>
      </c>
      <c r="C11" s="82"/>
      <c r="D11" s="155">
        <v>110</v>
      </c>
      <c r="E11" s="82" t="s">
        <v>165</v>
      </c>
      <c r="F11" s="82"/>
      <c r="G11" s="87"/>
      <c r="H11" s="81" t="s">
        <v>150</v>
      </c>
      <c r="I11" s="82"/>
      <c r="J11" s="161"/>
      <c r="K11" s="162"/>
      <c r="L11" s="161"/>
      <c r="M11" s="87"/>
      <c r="N11" s="82"/>
      <c r="O11" s="82"/>
    </row>
    <row r="12" spans="1:15" ht="12" customHeight="1">
      <c r="A12" s="82"/>
      <c r="B12" s="94" t="s">
        <v>30</v>
      </c>
      <c r="C12" s="82"/>
      <c r="D12" s="155">
        <v>150</v>
      </c>
      <c r="E12" s="82" t="s">
        <v>165</v>
      </c>
      <c r="F12" s="82"/>
      <c r="G12" s="87"/>
      <c r="H12" s="82" t="s">
        <v>151</v>
      </c>
      <c r="I12" s="82"/>
      <c r="J12" s="163">
        <f>0.32*J7</f>
        <v>57.6</v>
      </c>
      <c r="K12" s="164">
        <f>0.3*K7</f>
        <v>43.199999999999996</v>
      </c>
      <c r="L12" s="163">
        <f>0.3*L7</f>
        <v>36</v>
      </c>
      <c r="M12" s="87" t="s">
        <v>165</v>
      </c>
      <c r="N12" s="82"/>
      <c r="O12" s="82"/>
    </row>
    <row r="13" spans="1:15" ht="12" customHeight="1">
      <c r="A13" s="82"/>
      <c r="B13" s="86" t="s">
        <v>24</v>
      </c>
      <c r="C13" s="82"/>
      <c r="D13" s="155">
        <v>4250</v>
      </c>
      <c r="E13" s="82" t="s">
        <v>31</v>
      </c>
      <c r="F13" s="82"/>
      <c r="G13" s="87"/>
      <c r="H13" s="82" t="s">
        <v>194</v>
      </c>
      <c r="I13" s="82"/>
      <c r="J13" s="290">
        <v>1.8E-3</v>
      </c>
      <c r="K13" s="290">
        <v>1.8E-3</v>
      </c>
      <c r="L13" s="290">
        <v>1.8E-3</v>
      </c>
      <c r="M13" s="87"/>
      <c r="N13" s="82"/>
      <c r="O13" s="82"/>
    </row>
    <row r="14" spans="1:15" ht="12" customHeight="1">
      <c r="A14" s="82"/>
      <c r="B14" s="86" t="s">
        <v>36</v>
      </c>
      <c r="C14" s="82"/>
      <c r="D14" s="198">
        <v>50</v>
      </c>
      <c r="E14" s="82" t="s">
        <v>21</v>
      </c>
      <c r="F14" s="82"/>
      <c r="G14" s="87"/>
      <c r="H14" s="83" t="s">
        <v>190</v>
      </c>
      <c r="I14" s="82"/>
      <c r="J14" s="161"/>
      <c r="K14" s="162"/>
      <c r="L14" s="161"/>
      <c r="M14" s="87"/>
      <c r="N14" s="82"/>
      <c r="O14" s="82"/>
    </row>
    <row r="15" spans="1:15" ht="12" customHeight="1">
      <c r="A15" s="82"/>
      <c r="B15" s="86" t="s">
        <v>20</v>
      </c>
      <c r="C15" s="82"/>
      <c r="D15" s="198">
        <v>60</v>
      </c>
      <c r="E15" s="82" t="s">
        <v>21</v>
      </c>
      <c r="F15" s="82"/>
      <c r="G15" s="87"/>
      <c r="H15" s="82" t="s">
        <v>191</v>
      </c>
      <c r="I15" s="82"/>
      <c r="J15" s="167">
        <v>45</v>
      </c>
      <c r="K15" s="168">
        <v>45</v>
      </c>
      <c r="L15" s="167">
        <v>45</v>
      </c>
      <c r="M15" s="87" t="s">
        <v>165</v>
      </c>
      <c r="N15" s="82"/>
      <c r="O15" s="82"/>
    </row>
    <row r="16" spans="1:15" ht="12" customHeight="1">
      <c r="A16" s="82"/>
      <c r="B16" s="88" t="s">
        <v>25</v>
      </c>
      <c r="C16" s="82"/>
      <c r="D16" s="156"/>
      <c r="E16" s="82"/>
      <c r="F16" s="82"/>
      <c r="G16" s="87"/>
      <c r="H16" s="82" t="s">
        <v>192</v>
      </c>
      <c r="I16" s="82"/>
      <c r="J16" s="159">
        <v>0.1</v>
      </c>
      <c r="K16" s="160">
        <v>0.06</v>
      </c>
      <c r="L16" s="159">
        <v>0.05</v>
      </c>
      <c r="M16" s="87"/>
      <c r="N16" s="82"/>
      <c r="O16" s="82"/>
    </row>
    <row r="17" spans="1:15" ht="12" customHeight="1">
      <c r="A17" s="82"/>
      <c r="B17" s="86" t="s">
        <v>32</v>
      </c>
      <c r="C17" s="82"/>
      <c r="D17" s="157">
        <v>0.05</v>
      </c>
      <c r="E17" s="82" t="s">
        <v>26</v>
      </c>
      <c r="F17" s="82"/>
      <c r="G17" s="87"/>
      <c r="H17" s="82" t="s">
        <v>193</v>
      </c>
      <c r="I17" s="82"/>
      <c r="J17" s="167">
        <v>2</v>
      </c>
      <c r="K17" s="168">
        <v>1</v>
      </c>
      <c r="L17" s="167">
        <v>1.5</v>
      </c>
      <c r="M17" s="87" t="s">
        <v>165</v>
      </c>
      <c r="N17" s="82"/>
      <c r="O17" s="82"/>
    </row>
    <row r="18" spans="1:15" ht="12" customHeight="1">
      <c r="A18" s="82"/>
      <c r="B18" s="86" t="s">
        <v>33</v>
      </c>
      <c r="C18" s="82"/>
      <c r="D18" s="157">
        <v>3.5000000000000003E-2</v>
      </c>
      <c r="E18" s="82" t="s">
        <v>26</v>
      </c>
      <c r="F18" s="82"/>
      <c r="G18" s="87"/>
      <c r="H18" s="83" t="s">
        <v>189</v>
      </c>
      <c r="I18" s="82"/>
      <c r="J18" s="161"/>
      <c r="K18" s="162"/>
      <c r="L18" s="161"/>
      <c r="M18" s="87"/>
      <c r="N18" s="82"/>
      <c r="O18" s="82"/>
    </row>
    <row r="19" spans="1:15" ht="12" customHeight="1">
      <c r="A19" s="82"/>
      <c r="B19" s="86" t="s">
        <v>34</v>
      </c>
      <c r="C19" s="82"/>
      <c r="D19" s="157">
        <v>0.1</v>
      </c>
      <c r="E19" s="82" t="s">
        <v>27</v>
      </c>
      <c r="F19" s="82"/>
      <c r="G19" s="87"/>
      <c r="H19" s="82" t="s">
        <v>207</v>
      </c>
      <c r="I19" s="82"/>
      <c r="J19" s="169">
        <f>J20+0.015</f>
        <v>0.125</v>
      </c>
      <c r="K19" s="170">
        <f>K20+0.015</f>
        <v>0.105</v>
      </c>
      <c r="L19" s="169">
        <f>L20+0.015</f>
        <v>8.5000000000000006E-2</v>
      </c>
      <c r="M19" s="87"/>
      <c r="N19" s="82"/>
      <c r="O19" s="82"/>
    </row>
    <row r="20" spans="1:15" ht="12" customHeight="1">
      <c r="A20" s="82"/>
      <c r="B20" s="86" t="s">
        <v>35</v>
      </c>
      <c r="C20" s="82"/>
      <c r="D20" s="157">
        <v>0.2</v>
      </c>
      <c r="E20" s="82" t="s">
        <v>127</v>
      </c>
      <c r="F20" s="82"/>
      <c r="G20" s="87"/>
      <c r="H20" s="82" t="s">
        <v>208</v>
      </c>
      <c r="I20" s="82"/>
      <c r="J20" s="169">
        <v>0.11</v>
      </c>
      <c r="K20" s="170">
        <v>0.09</v>
      </c>
      <c r="L20" s="169">
        <v>7.0000000000000007E-2</v>
      </c>
      <c r="M20" s="87"/>
      <c r="N20" s="82"/>
      <c r="O20" s="82"/>
    </row>
    <row r="21" spans="1:15" ht="12" customHeight="1" thickBot="1">
      <c r="A21" s="82"/>
      <c r="B21" s="95" t="s">
        <v>152</v>
      </c>
      <c r="C21" s="89"/>
      <c r="D21" s="158">
        <v>4.2799999999999998E-2</v>
      </c>
      <c r="E21" s="89"/>
      <c r="F21" s="89"/>
      <c r="G21" s="90"/>
      <c r="H21" s="89" t="s">
        <v>209</v>
      </c>
      <c r="I21" s="89"/>
      <c r="J21" s="171">
        <f>J20+0.005</f>
        <v>0.115</v>
      </c>
      <c r="K21" s="172">
        <f>K20+0.005</f>
        <v>9.5000000000000001E-2</v>
      </c>
      <c r="L21" s="171">
        <f>L20+0.005</f>
        <v>7.5000000000000011E-2</v>
      </c>
      <c r="M21" s="90"/>
      <c r="N21" s="82"/>
      <c r="O21" s="82"/>
    </row>
    <row r="22" spans="1:15" ht="12" customHeight="1">
      <c r="A22" s="82"/>
      <c r="D22" s="84"/>
      <c r="H22" s="82"/>
      <c r="I22" s="82"/>
      <c r="J22" s="82"/>
      <c r="K22" s="82"/>
      <c r="L22" s="82"/>
      <c r="M22" s="82"/>
      <c r="N22" s="82"/>
      <c r="O22" s="82"/>
    </row>
    <row r="23" spans="1:15" ht="12" customHeight="1">
      <c r="A23" s="82"/>
      <c r="H23" s="15"/>
      <c r="I23" s="15"/>
      <c r="J23" s="15"/>
      <c r="K23" s="15"/>
      <c r="L23" s="15"/>
      <c r="M23" s="15"/>
      <c r="N23" s="82"/>
      <c r="O23" s="82"/>
    </row>
    <row r="24" spans="1:15">
      <c r="A24" s="82"/>
      <c r="N24" s="82"/>
      <c r="O24" s="82"/>
    </row>
    <row r="25" spans="1:15">
      <c r="N25" s="15"/>
    </row>
    <row r="26" spans="1:15">
      <c r="D26" s="199"/>
      <c r="E26" s="252"/>
    </row>
  </sheetData>
  <mergeCells count="3">
    <mergeCell ref="B2:M2"/>
    <mergeCell ref="H3:M3"/>
    <mergeCell ref="B3:G3"/>
  </mergeCells>
  <phoneticPr fontId="23" type="noConversion"/>
  <pageMargins left="1" right="1" top="1" bottom="1" header="0.5" footer="0.5"/>
  <pageSetup paperSize="3" orientation="landscape" horizontalDpi="4294967292" verticalDpi="4294967292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O46"/>
  <sheetViews>
    <sheetView topLeftCell="A16" zoomScale="85" zoomScaleNormal="85" workbookViewId="0">
      <selection activeCell="A2" sqref="A2:L32"/>
    </sheetView>
  </sheetViews>
  <sheetFormatPr baseColWidth="10" defaultColWidth="10.875" defaultRowHeight="14.25"/>
  <cols>
    <col min="1" max="1" width="10.875" style="1" customWidth="1"/>
    <col min="2" max="2" width="12.625" style="1" bestFit="1" customWidth="1"/>
    <col min="3" max="4" width="11.875" style="1" customWidth="1"/>
    <col min="5" max="6" width="12.875" style="1" bestFit="1" customWidth="1"/>
    <col min="7" max="7" width="12.375" style="1" bestFit="1" customWidth="1"/>
    <col min="8" max="8" width="12.25" style="1" customWidth="1"/>
    <col min="9" max="9" width="13.75" style="1" customWidth="1"/>
    <col min="10" max="10" width="12.75" style="1" customWidth="1"/>
    <col min="11" max="11" width="13" style="1" customWidth="1"/>
    <col min="12" max="12" width="13.375" style="1" customWidth="1"/>
    <col min="13" max="16" width="12" style="1" customWidth="1"/>
    <col min="17" max="16384" width="10.875" style="1"/>
  </cols>
  <sheetData>
    <row r="1" spans="1:12" ht="15" thickBot="1"/>
    <row r="2" spans="1:12" ht="15.95" customHeight="1">
      <c r="A2" s="645" t="s">
        <v>182</v>
      </c>
      <c r="B2" s="646"/>
      <c r="C2" s="646"/>
      <c r="D2" s="646"/>
      <c r="E2" s="646"/>
      <c r="F2" s="646"/>
      <c r="G2" s="646"/>
      <c r="H2" s="646"/>
      <c r="I2" s="646"/>
      <c r="J2" s="646"/>
      <c r="K2" s="646"/>
      <c r="L2" s="646"/>
    </row>
    <row r="3" spans="1:12" ht="15.95" customHeight="1">
      <c r="A3" s="647"/>
      <c r="B3" s="624" t="s">
        <v>81</v>
      </c>
      <c r="C3" s="624"/>
      <c r="D3" s="624"/>
      <c r="E3" s="624"/>
      <c r="F3" s="624"/>
      <c r="G3" s="624"/>
      <c r="H3" s="624"/>
      <c r="I3" s="624"/>
      <c r="J3" s="624"/>
      <c r="K3" s="624"/>
      <c r="L3" s="624"/>
    </row>
    <row r="4" spans="1:12" ht="14.25" customHeight="1">
      <c r="A4" s="647"/>
      <c r="B4" s="629" t="s">
        <v>124</v>
      </c>
      <c r="C4" s="629" t="s">
        <v>44</v>
      </c>
      <c r="D4" s="629" t="s">
        <v>42</v>
      </c>
      <c r="E4" s="649" t="s">
        <v>82</v>
      </c>
      <c r="F4" s="649" t="s">
        <v>110</v>
      </c>
      <c r="G4" s="649" t="s">
        <v>111</v>
      </c>
      <c r="H4" s="649" t="s">
        <v>112</v>
      </c>
      <c r="I4" s="649" t="s">
        <v>113</v>
      </c>
      <c r="J4" s="629" t="s">
        <v>83</v>
      </c>
      <c r="K4" s="629" t="s">
        <v>84</v>
      </c>
      <c r="L4" s="629" t="s">
        <v>85</v>
      </c>
    </row>
    <row r="5" spans="1:12" ht="12" customHeight="1">
      <c r="A5" s="647"/>
      <c r="B5" s="629"/>
      <c r="C5" s="629"/>
      <c r="D5" s="629"/>
      <c r="E5" s="650"/>
      <c r="F5" s="650"/>
      <c r="G5" s="650"/>
      <c r="H5" s="650"/>
      <c r="I5" s="650"/>
      <c r="J5" s="629"/>
      <c r="K5" s="629"/>
      <c r="L5" s="629"/>
    </row>
    <row r="6" spans="1:12" ht="17.25" customHeight="1" thickBot="1">
      <c r="A6" s="648"/>
      <c r="B6" s="644"/>
      <c r="C6" s="644"/>
      <c r="D6" s="644"/>
      <c r="E6" s="651"/>
      <c r="F6" s="651"/>
      <c r="G6" s="651"/>
      <c r="H6" s="651"/>
      <c r="I6" s="651"/>
      <c r="J6" s="644"/>
      <c r="K6" s="644"/>
      <c r="L6" s="644"/>
    </row>
    <row r="7" spans="1:12" ht="15" customHeight="1">
      <c r="A7" s="205" t="s">
        <v>55</v>
      </c>
      <c r="B7" s="529" t="s">
        <v>10</v>
      </c>
      <c r="C7" s="434" t="str">
        <f>'Caso Base | Edificabilidad'!B$7</f>
        <v>Categoría B</v>
      </c>
      <c r="D7" s="435">
        <f>+'Caso Opt. RT | Edificabilidad'!C7</f>
        <v>4.2</v>
      </c>
      <c r="E7" s="532">
        <f>83.06+81.3+54.33+234.54</f>
        <v>453.23</v>
      </c>
      <c r="F7" s="532">
        <f>E7*$D$7</f>
        <v>1903.5660000000003</v>
      </c>
      <c r="G7" s="532">
        <f>+E7*'Caso RT | Edificabilidad'!$F$7*1</f>
        <v>317.26099999999997</v>
      </c>
      <c r="H7" s="532">
        <f>+E7*'Caso RT | Edificabilidad'!$F$7*1</f>
        <v>317.26099999999997</v>
      </c>
      <c r="I7" s="532">
        <f>+E7*'Caso RT | Edificabilidad'!$F$7*4</f>
        <v>1269.0439999999999</v>
      </c>
      <c r="J7" s="533">
        <f>+G7/30</f>
        <v>10.575366666666666</v>
      </c>
      <c r="K7" s="533">
        <f>+H7/70</f>
        <v>4.5322999999999993</v>
      </c>
      <c r="L7" s="533">
        <f>+I7/90</f>
        <v>14.100488888888888</v>
      </c>
    </row>
    <row r="8" spans="1:12">
      <c r="A8" s="38" t="s">
        <v>71</v>
      </c>
      <c r="B8" s="529"/>
      <c r="C8" s="434"/>
      <c r="D8" s="436"/>
      <c r="E8" s="532"/>
      <c r="F8" s="532"/>
      <c r="G8" s="532"/>
      <c r="H8" s="532"/>
      <c r="I8" s="532"/>
      <c r="J8" s="533"/>
      <c r="K8" s="533"/>
      <c r="L8" s="533"/>
    </row>
    <row r="9" spans="1:12">
      <c r="A9" s="38" t="s">
        <v>70</v>
      </c>
      <c r="B9" s="529"/>
      <c r="C9" s="434"/>
      <c r="D9" s="436"/>
      <c r="E9" s="532"/>
      <c r="F9" s="532"/>
      <c r="G9" s="532"/>
      <c r="H9" s="532"/>
      <c r="I9" s="532"/>
      <c r="J9" s="533"/>
      <c r="K9" s="533"/>
      <c r="L9" s="533"/>
    </row>
    <row r="10" spans="1:12" ht="12" customHeight="1">
      <c r="A10" s="38" t="s">
        <v>69</v>
      </c>
      <c r="B10" s="530"/>
      <c r="C10" s="434"/>
      <c r="D10" s="436"/>
      <c r="E10" s="402"/>
      <c r="F10" s="402"/>
      <c r="G10" s="402"/>
      <c r="H10" s="402"/>
      <c r="I10" s="402"/>
      <c r="J10" s="404"/>
      <c r="K10" s="404"/>
      <c r="L10" s="404"/>
    </row>
    <row r="11" spans="1:12">
      <c r="A11" s="38" t="s">
        <v>56</v>
      </c>
      <c r="B11" s="4" t="s">
        <v>79</v>
      </c>
      <c r="C11" s="434"/>
      <c r="D11" s="436"/>
      <c r="E11" s="268">
        <v>36.47</v>
      </c>
      <c r="F11" s="268"/>
      <c r="G11" s="268"/>
      <c r="H11" s="12"/>
      <c r="I11" s="268"/>
      <c r="J11" s="268"/>
      <c r="K11" s="268"/>
      <c r="L11" s="274"/>
    </row>
    <row r="12" spans="1:12">
      <c r="A12" s="38" t="s">
        <v>57</v>
      </c>
      <c r="B12" s="4" t="s">
        <v>79</v>
      </c>
      <c r="C12" s="434"/>
      <c r="D12" s="436"/>
      <c r="E12" s="268">
        <v>390.91</v>
      </c>
      <c r="F12" s="268"/>
      <c r="G12" s="276"/>
      <c r="H12" s="253"/>
      <c r="I12" s="276"/>
      <c r="J12" s="276"/>
      <c r="K12" s="276"/>
      <c r="L12" s="321"/>
    </row>
    <row r="13" spans="1:12">
      <c r="A13" s="38" t="s">
        <v>68</v>
      </c>
      <c r="B13" s="531" t="s">
        <v>108</v>
      </c>
      <c r="C13" s="434"/>
      <c r="D13" s="436"/>
      <c r="E13" s="401">
        <f>575.34+285.79</f>
        <v>861.13000000000011</v>
      </c>
      <c r="F13" s="401">
        <f>E13*($D$7/6)</f>
        <v>602.79100000000017</v>
      </c>
      <c r="G13" s="401">
        <f>+E13*'Caso RT | Edificabilidad'!$F$7*1</f>
        <v>602.79100000000005</v>
      </c>
      <c r="H13" s="535"/>
      <c r="I13" s="445"/>
      <c r="J13" s="403">
        <f>+G13/30</f>
        <v>20.093033333333334</v>
      </c>
      <c r="K13" s="445"/>
      <c r="L13" s="403"/>
    </row>
    <row r="14" spans="1:12">
      <c r="A14" s="38" t="s">
        <v>67</v>
      </c>
      <c r="B14" s="530"/>
      <c r="C14" s="434"/>
      <c r="D14" s="436"/>
      <c r="E14" s="402"/>
      <c r="F14" s="402"/>
      <c r="G14" s="402"/>
      <c r="H14" s="536"/>
      <c r="I14" s="446"/>
      <c r="J14" s="404"/>
      <c r="K14" s="446"/>
      <c r="L14" s="404"/>
    </row>
    <row r="15" spans="1:12">
      <c r="A15" s="38" t="s">
        <v>66</v>
      </c>
      <c r="B15" s="531" t="s">
        <v>11</v>
      </c>
      <c r="C15" s="434"/>
      <c r="D15" s="436"/>
      <c r="E15" s="401">
        <f>122.88+145.1</f>
        <v>267.98</v>
      </c>
      <c r="F15" s="401">
        <f>E15*$D$7</f>
        <v>1125.5160000000001</v>
      </c>
      <c r="G15" s="401">
        <f>+E15*'Caso RT | Edificabilidad'!$F$7*1</f>
        <v>187.58600000000001</v>
      </c>
      <c r="H15" s="401">
        <f>+E15*'Caso RT | Edificabilidad'!$F$7*1</f>
        <v>187.58600000000001</v>
      </c>
      <c r="I15" s="401">
        <f>+E15*'Caso RT | Edificabilidad'!$F$7*4</f>
        <v>750.34400000000005</v>
      </c>
      <c r="J15" s="403">
        <f>+G15/30</f>
        <v>6.2528666666666668</v>
      </c>
      <c r="K15" s="403">
        <f>+H15/70</f>
        <v>2.6798000000000002</v>
      </c>
      <c r="L15" s="403">
        <f>+I15/90</f>
        <v>8.3371555555555563</v>
      </c>
    </row>
    <row r="16" spans="1:12">
      <c r="A16" s="38" t="s">
        <v>65</v>
      </c>
      <c r="B16" s="530"/>
      <c r="C16" s="434"/>
      <c r="D16" s="436"/>
      <c r="E16" s="402"/>
      <c r="F16" s="402"/>
      <c r="G16" s="402"/>
      <c r="H16" s="402"/>
      <c r="I16" s="402"/>
      <c r="J16" s="404"/>
      <c r="K16" s="404"/>
      <c r="L16" s="404"/>
    </row>
    <row r="17" spans="1:15" ht="14.1" customHeight="1">
      <c r="A17" s="442" t="s">
        <v>72</v>
      </c>
      <c r="B17" s="443"/>
      <c r="C17" s="443"/>
      <c r="D17" s="444"/>
      <c r="E17" s="269">
        <f t="shared" ref="E17:L17" si="0">SUBTOTAL(9,E7:E16)</f>
        <v>2009.7200000000003</v>
      </c>
      <c r="F17" s="39">
        <f t="shared" si="0"/>
        <v>3631.8730000000005</v>
      </c>
      <c r="G17" s="207">
        <f t="shared" si="0"/>
        <v>1107.6379999999999</v>
      </c>
      <c r="H17" s="39">
        <f t="shared" si="0"/>
        <v>504.84699999999998</v>
      </c>
      <c r="I17" s="39">
        <f t="shared" si="0"/>
        <v>2019.3879999999999</v>
      </c>
      <c r="J17" s="278">
        <f t="shared" si="0"/>
        <v>36.921266666666668</v>
      </c>
      <c r="K17" s="278">
        <f t="shared" si="0"/>
        <v>7.2120999999999995</v>
      </c>
      <c r="L17" s="278">
        <f t="shared" si="0"/>
        <v>22.437644444444445</v>
      </c>
    </row>
    <row r="18" spans="1:15" ht="15.75" customHeight="1">
      <c r="A18" s="38" t="s">
        <v>58</v>
      </c>
      <c r="B18" s="531" t="s">
        <v>125</v>
      </c>
      <c r="C18" s="539" t="str">
        <f>'Caso Base | Edificabilidad'!B$8</f>
        <v>Categoría G</v>
      </c>
      <c r="D18" s="436">
        <f>'Caso Base | Edificabilidad'!C$8</f>
        <v>4.2</v>
      </c>
      <c r="E18" s="401">
        <f>137.41+232.03+123.15+108.6+254.94</f>
        <v>856.13000000000011</v>
      </c>
      <c r="F18" s="401">
        <f>E18*$D$18</f>
        <v>3595.7460000000005</v>
      </c>
      <c r="G18" s="401">
        <f>+E18*'Caso RT | Edificabilidad'!$F$8*2</f>
        <v>1198.5820000000001</v>
      </c>
      <c r="H18" s="401">
        <f>+E18*'Caso RT | Edificabilidad'!$F$8*2</f>
        <v>1198.5820000000001</v>
      </c>
      <c r="I18" s="401">
        <f>+E18*'Caso RT | Edificabilidad'!$F$7*2</f>
        <v>1198.5820000000001</v>
      </c>
      <c r="J18" s="403">
        <f>+G18/30</f>
        <v>39.952733333333335</v>
      </c>
      <c r="K18" s="403">
        <f>+H18/70</f>
        <v>17.122600000000002</v>
      </c>
      <c r="L18" s="403">
        <f>+I18/90</f>
        <v>13.317577777777778</v>
      </c>
    </row>
    <row r="19" spans="1:15">
      <c r="A19" s="38" t="s">
        <v>59</v>
      </c>
      <c r="B19" s="529"/>
      <c r="C19" s="540"/>
      <c r="D19" s="436"/>
      <c r="E19" s="532"/>
      <c r="F19" s="532"/>
      <c r="G19" s="532"/>
      <c r="H19" s="532"/>
      <c r="I19" s="532"/>
      <c r="J19" s="533"/>
      <c r="K19" s="533"/>
      <c r="L19" s="533"/>
      <c r="O19" s="1">
        <f>IF(G19&lt;'Caso Base | Edificabilidad'!F8,1,IF(AND(G19&gt;='Caso Base | Edificabilidad'!F8,G19&lt;'Caso Base | Edificabilidad'!G8),2,3))</f>
        <v>1</v>
      </c>
    </row>
    <row r="20" spans="1:15">
      <c r="A20" s="38" t="s">
        <v>60</v>
      </c>
      <c r="B20" s="529"/>
      <c r="C20" s="540"/>
      <c r="D20" s="436"/>
      <c r="E20" s="532"/>
      <c r="F20" s="532"/>
      <c r="G20" s="532"/>
      <c r="H20" s="532"/>
      <c r="I20" s="532"/>
      <c r="J20" s="533"/>
      <c r="K20" s="533"/>
      <c r="L20" s="533"/>
    </row>
    <row r="21" spans="1:15">
      <c r="A21" s="38" t="s">
        <v>61</v>
      </c>
      <c r="B21" s="529"/>
      <c r="C21" s="540"/>
      <c r="D21" s="436"/>
      <c r="E21" s="532"/>
      <c r="F21" s="532"/>
      <c r="G21" s="532"/>
      <c r="H21" s="532"/>
      <c r="I21" s="532"/>
      <c r="J21" s="533"/>
      <c r="K21" s="533"/>
      <c r="L21" s="533"/>
    </row>
    <row r="22" spans="1:15">
      <c r="A22" s="38" t="s">
        <v>62</v>
      </c>
      <c r="B22" s="530"/>
      <c r="C22" s="540"/>
      <c r="D22" s="436"/>
      <c r="E22" s="402"/>
      <c r="F22" s="402"/>
      <c r="G22" s="402"/>
      <c r="H22" s="402"/>
      <c r="I22" s="402"/>
      <c r="J22" s="404"/>
      <c r="K22" s="404"/>
      <c r="L22" s="404"/>
    </row>
    <row r="23" spans="1:15">
      <c r="A23" s="38" t="s">
        <v>63</v>
      </c>
      <c r="B23" s="531" t="s">
        <v>108</v>
      </c>
      <c r="C23" s="540"/>
      <c r="D23" s="436"/>
      <c r="E23" s="401">
        <f>216.19+264.28</f>
        <v>480.46999999999997</v>
      </c>
      <c r="F23" s="401">
        <f>E23*($D$18/3)</f>
        <v>672.65800000000002</v>
      </c>
      <c r="G23" s="401">
        <f>+E23*'Caso RT | Edificabilidad'!$F$8*1</f>
        <v>336.32899999999995</v>
      </c>
      <c r="H23" s="401">
        <f>+E23*'Caso RT | Edificabilidad'!$F$8*1</f>
        <v>336.32899999999995</v>
      </c>
      <c r="I23" s="445"/>
      <c r="J23" s="403">
        <f>+G23/90</f>
        <v>3.7369888888888885</v>
      </c>
      <c r="K23" s="403">
        <f>+H23/70</f>
        <v>4.8046999999999995</v>
      </c>
      <c r="L23" s="403"/>
    </row>
    <row r="24" spans="1:15">
      <c r="A24" s="38" t="s">
        <v>64</v>
      </c>
      <c r="B24" s="530"/>
      <c r="C24" s="540"/>
      <c r="D24" s="436"/>
      <c r="E24" s="402"/>
      <c r="F24" s="402"/>
      <c r="G24" s="402"/>
      <c r="H24" s="402"/>
      <c r="I24" s="446"/>
      <c r="J24" s="404"/>
      <c r="K24" s="404"/>
      <c r="L24" s="404"/>
    </row>
    <row r="25" spans="1:15" ht="14.25" customHeight="1">
      <c r="A25" s="38" t="s">
        <v>73</v>
      </c>
      <c r="B25" s="4" t="s">
        <v>79</v>
      </c>
      <c r="C25" s="540"/>
      <c r="D25" s="436"/>
      <c r="E25" s="268">
        <v>175.36</v>
      </c>
      <c r="F25" s="268"/>
      <c r="G25" s="268"/>
      <c r="H25" s="268"/>
      <c r="I25" s="268"/>
      <c r="J25" s="280"/>
      <c r="K25" s="280"/>
      <c r="L25" s="322"/>
    </row>
    <row r="26" spans="1:15">
      <c r="A26" s="38" t="s">
        <v>74</v>
      </c>
      <c r="B26" s="4" t="s">
        <v>79</v>
      </c>
      <c r="C26" s="540"/>
      <c r="D26" s="436"/>
      <c r="E26" s="268">
        <v>229.58</v>
      </c>
      <c r="F26" s="268"/>
      <c r="G26" s="268"/>
      <c r="H26" s="268"/>
      <c r="I26" s="268"/>
      <c r="J26" s="280"/>
      <c r="K26" s="280"/>
      <c r="L26" s="322"/>
    </row>
    <row r="27" spans="1:15">
      <c r="A27" s="38" t="s">
        <v>75</v>
      </c>
      <c r="B27" s="531" t="s">
        <v>13</v>
      </c>
      <c r="C27" s="540"/>
      <c r="D27" s="436"/>
      <c r="E27" s="401">
        <f>170.97+509.1</f>
        <v>680.07</v>
      </c>
      <c r="F27" s="401">
        <f>E27*$D$18</f>
        <v>2856.2940000000003</v>
      </c>
      <c r="G27" s="401">
        <f>+E27*'Caso RT | Edificabilidad'!$F$8*2</f>
        <v>952.09799999999996</v>
      </c>
      <c r="H27" s="401">
        <f>+E27*'Caso RT | Edificabilidad'!$F$8*2</f>
        <v>952.09799999999996</v>
      </c>
      <c r="I27" s="401">
        <f>+E27*'Caso RT | Edificabilidad'!$F$8*2</f>
        <v>952.09799999999996</v>
      </c>
      <c r="J27" s="403">
        <f>+G27/90</f>
        <v>10.578866666666666</v>
      </c>
      <c r="K27" s="403">
        <f>+H27/70</f>
        <v>13.6014</v>
      </c>
      <c r="L27" s="403">
        <f>+I27/120</f>
        <v>7.9341499999999998</v>
      </c>
    </row>
    <row r="28" spans="1:15" ht="14.25" customHeight="1">
      <c r="A28" s="38" t="s">
        <v>76</v>
      </c>
      <c r="B28" s="530"/>
      <c r="C28" s="541"/>
      <c r="D28" s="436"/>
      <c r="E28" s="402"/>
      <c r="F28" s="402"/>
      <c r="G28" s="402"/>
      <c r="H28" s="402"/>
      <c r="I28" s="402"/>
      <c r="J28" s="404"/>
      <c r="K28" s="404"/>
      <c r="L28" s="404"/>
    </row>
    <row r="29" spans="1:15" ht="14.1" customHeight="1" thickBot="1">
      <c r="A29" s="437" t="s">
        <v>72</v>
      </c>
      <c r="B29" s="438"/>
      <c r="C29" s="438"/>
      <c r="D29" s="439"/>
      <c r="E29" s="270">
        <f>SUBTOTAL(9,E19:E28)</f>
        <v>1565.48</v>
      </c>
      <c r="F29" s="13">
        <f t="shared" ref="F29:L29" si="1">SUBTOTAL(9,F18:F28)</f>
        <v>7124.6980000000003</v>
      </c>
      <c r="G29" s="270">
        <f t="shared" si="1"/>
        <v>2487.009</v>
      </c>
      <c r="H29" s="270">
        <f t="shared" si="1"/>
        <v>2487.009</v>
      </c>
      <c r="I29" s="270">
        <f t="shared" si="1"/>
        <v>2150.6800000000003</v>
      </c>
      <c r="J29" s="76">
        <f t="shared" si="1"/>
        <v>54.268588888888885</v>
      </c>
      <c r="K29" s="76">
        <f t="shared" si="1"/>
        <v>35.528700000000001</v>
      </c>
      <c r="L29" s="76">
        <f t="shared" si="1"/>
        <v>21.251727777777777</v>
      </c>
    </row>
    <row r="30" spans="1:15" ht="18.75" thickBot="1">
      <c r="A30" s="527"/>
      <c r="B30" s="423"/>
      <c r="C30" s="428" t="s">
        <v>89</v>
      </c>
      <c r="D30" s="429"/>
      <c r="E30" s="293">
        <f t="shared" ref="E30:L30" si="2">SUBTOTAL(9,E7:E29)</f>
        <v>4431.33</v>
      </c>
      <c r="F30" s="294">
        <f t="shared" si="2"/>
        <v>10756.571000000002</v>
      </c>
      <c r="G30" s="287">
        <f t="shared" si="2"/>
        <v>3594.6469999999999</v>
      </c>
      <c r="H30" s="286">
        <f t="shared" si="2"/>
        <v>2991.8559999999998</v>
      </c>
      <c r="I30" s="40">
        <f t="shared" si="2"/>
        <v>4170.0680000000002</v>
      </c>
      <c r="J30" s="275">
        <f t="shared" si="2"/>
        <v>91.189855555555553</v>
      </c>
      <c r="K30" s="275">
        <f t="shared" si="2"/>
        <v>42.7408</v>
      </c>
      <c r="L30" s="275">
        <f t="shared" si="2"/>
        <v>43.689372222222225</v>
      </c>
    </row>
    <row r="31" spans="1:15" ht="14.1" customHeight="1" thickBot="1">
      <c r="A31" s="528"/>
      <c r="B31" s="425"/>
      <c r="C31" s="440" t="s">
        <v>103</v>
      </c>
      <c r="D31" s="441"/>
      <c r="E31" s="288">
        <f>SUMIF($B$7:$B$28,"Existente",$E$7:$E$28)</f>
        <v>832.32</v>
      </c>
      <c r="F31" s="297"/>
      <c r="G31" s="399"/>
      <c r="H31" s="400"/>
      <c r="I31" s="400"/>
      <c r="J31" s="400"/>
      <c r="K31" s="400"/>
      <c r="L31" s="400"/>
    </row>
    <row r="32" spans="1:15" ht="14.1" customHeight="1" thickBot="1">
      <c r="A32" s="528"/>
      <c r="B32" s="425"/>
      <c r="C32" s="440" t="s">
        <v>126</v>
      </c>
      <c r="D32" s="441"/>
      <c r="E32" s="288">
        <f>SUMIF($B$7:$B$28,"Parque",$E$7:$E$28)</f>
        <v>1341.6000000000001</v>
      </c>
      <c r="F32" s="297"/>
      <c r="G32" s="289"/>
      <c r="H32" s="289"/>
      <c r="I32" s="289"/>
      <c r="J32" s="289"/>
      <c r="K32" s="289"/>
      <c r="L32" s="289"/>
    </row>
    <row r="33" spans="1:11">
      <c r="E33" s="9"/>
    </row>
    <row r="34" spans="1:11">
      <c r="A34" s="2"/>
      <c r="B34" s="3"/>
      <c r="E34" s="8"/>
      <c r="F34" s="8"/>
    </row>
    <row r="35" spans="1:11" ht="15" thickBot="1"/>
    <row r="36" spans="1:11" ht="15.95" customHeight="1">
      <c r="A36" s="618" t="s">
        <v>182</v>
      </c>
      <c r="B36" s="619"/>
      <c r="C36" s="619"/>
      <c r="D36" s="619"/>
      <c r="E36" s="619"/>
      <c r="F36" s="619"/>
      <c r="G36" s="619"/>
      <c r="H36" s="619"/>
      <c r="I36" s="620"/>
      <c r="J36" s="303"/>
      <c r="K36" s="303"/>
    </row>
    <row r="37" spans="1:11" ht="15.95" customHeight="1">
      <c r="A37" s="642" t="s">
        <v>122</v>
      </c>
      <c r="B37" s="624" t="s">
        <v>120</v>
      </c>
      <c r="C37" s="624"/>
      <c r="D37" s="624"/>
      <c r="E37" s="624"/>
      <c r="F37" s="624"/>
      <c r="G37" s="624"/>
      <c r="H37" s="624"/>
      <c r="I37" s="625"/>
      <c r="J37" s="303"/>
      <c r="K37" s="303"/>
    </row>
    <row r="38" spans="1:11" ht="12" customHeight="1">
      <c r="A38" s="642"/>
      <c r="B38" s="629" t="s">
        <v>121</v>
      </c>
      <c r="C38" s="629" t="s">
        <v>114</v>
      </c>
      <c r="D38" s="629" t="s">
        <v>115</v>
      </c>
      <c r="E38" s="629" t="s">
        <v>116</v>
      </c>
      <c r="F38" s="629" t="s">
        <v>117</v>
      </c>
      <c r="G38" s="629" t="s">
        <v>118</v>
      </c>
      <c r="H38" s="629" t="s">
        <v>119</v>
      </c>
      <c r="I38" s="640" t="s">
        <v>183</v>
      </c>
      <c r="J38" s="304"/>
      <c r="K38" s="304"/>
    </row>
    <row r="39" spans="1:11" ht="12" customHeight="1">
      <c r="A39" s="642"/>
      <c r="B39" s="629"/>
      <c r="C39" s="629"/>
      <c r="D39" s="629"/>
      <c r="E39" s="629"/>
      <c r="F39" s="629"/>
      <c r="G39" s="629"/>
      <c r="H39" s="629"/>
      <c r="I39" s="640"/>
      <c r="J39" s="304"/>
      <c r="K39" s="304"/>
    </row>
    <row r="40" spans="1:11" ht="12" customHeight="1" thickBot="1">
      <c r="A40" s="643"/>
      <c r="B40" s="644"/>
      <c r="C40" s="644"/>
      <c r="D40" s="644"/>
      <c r="E40" s="644"/>
      <c r="F40" s="644"/>
      <c r="G40" s="644"/>
      <c r="H40" s="644"/>
      <c r="I40" s="641"/>
      <c r="J40" s="304"/>
      <c r="K40" s="304"/>
    </row>
    <row r="41" spans="1:11" ht="12" customHeight="1">
      <c r="A41" s="405" t="s">
        <v>86</v>
      </c>
      <c r="B41" s="37" t="s">
        <v>28</v>
      </c>
      <c r="C41" s="285">
        <f>+G30/F30</f>
        <v>0.33418149705886752</v>
      </c>
      <c r="D41" s="19">
        <f>+G30</f>
        <v>3594.6469999999999</v>
      </c>
      <c r="E41" s="20">
        <f>Supuestos!J5</f>
        <v>1</v>
      </c>
      <c r="F41" s="19">
        <f>D41*E41</f>
        <v>3594.6469999999999</v>
      </c>
      <c r="G41" s="254">
        <f>+F41/J30</f>
        <v>39.419373768061675</v>
      </c>
      <c r="H41" s="201">
        <f>+J29</f>
        <v>54.268588888888885</v>
      </c>
      <c r="I41" s="409">
        <f>+'Caso RT | m2 del Proyecto'!I41:I43</f>
        <v>2789.598</v>
      </c>
      <c r="J41" s="283"/>
      <c r="K41" s="283"/>
    </row>
    <row r="42" spans="1:11" ht="12" customHeight="1">
      <c r="A42" s="406"/>
      <c r="B42" s="10" t="s">
        <v>29</v>
      </c>
      <c r="C42" s="16">
        <f>+H30/F30</f>
        <v>0.27814217002797631</v>
      </c>
      <c r="D42" s="17">
        <f>+H30</f>
        <v>2991.8559999999998</v>
      </c>
      <c r="E42" s="18">
        <f>Supuestos!K5</f>
        <v>0.9</v>
      </c>
      <c r="F42" s="17">
        <f>D42*E42</f>
        <v>2692.6704</v>
      </c>
      <c r="G42" s="255">
        <f>+F42/K30</f>
        <v>63</v>
      </c>
      <c r="H42" s="202">
        <f>+K29</f>
        <v>35.528700000000001</v>
      </c>
      <c r="I42" s="410"/>
      <c r="J42" s="283"/>
      <c r="K42" s="283"/>
    </row>
    <row r="43" spans="1:11" ht="12" customHeight="1" thickBot="1">
      <c r="A43" s="24" t="s">
        <v>87</v>
      </c>
      <c r="B43" s="7" t="s">
        <v>30</v>
      </c>
      <c r="C43" s="23">
        <f>+I30/F30</f>
        <v>0.38767633291315601</v>
      </c>
      <c r="D43" s="21">
        <f>+I30</f>
        <v>4170.0680000000002</v>
      </c>
      <c r="E43" s="22">
        <f>Supuestos!L5</f>
        <v>0.85</v>
      </c>
      <c r="F43" s="21">
        <f>D43*E43</f>
        <v>3544.5578</v>
      </c>
      <c r="G43" s="77">
        <f>F43/L30</f>
        <v>81.130893389149932</v>
      </c>
      <c r="H43" s="203">
        <f>+L29</f>
        <v>21.251727777777777</v>
      </c>
      <c r="I43" s="411"/>
      <c r="J43" s="283"/>
      <c r="K43" s="283"/>
    </row>
    <row r="45" spans="1:11">
      <c r="F45" s="17">
        <v>1270.5020999999999</v>
      </c>
      <c r="G45" s="8">
        <f>+F42-F45</f>
        <v>1422.1683</v>
      </c>
    </row>
    <row r="46" spans="1:11">
      <c r="F46" s="1">
        <v>4029.4768499999996</v>
      </c>
      <c r="G46" s="8">
        <f>+F43-F46</f>
        <v>-484.91904999999952</v>
      </c>
    </row>
  </sheetData>
  <mergeCells count="92">
    <mergeCell ref="A2:L2"/>
    <mergeCell ref="A3:A6"/>
    <mergeCell ref="B3:L3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B7:B10"/>
    <mergeCell ref="C7:C16"/>
    <mergeCell ref="D7:D16"/>
    <mergeCell ref="E7:E10"/>
    <mergeCell ref="F7:F10"/>
    <mergeCell ref="B13:B14"/>
    <mergeCell ref="E13:E14"/>
    <mergeCell ref="F13:F14"/>
    <mergeCell ref="G13:G14"/>
    <mergeCell ref="H13:H14"/>
    <mergeCell ref="I13:I14"/>
    <mergeCell ref="J13:J14"/>
    <mergeCell ref="K13:K14"/>
    <mergeCell ref="L13:L14"/>
    <mergeCell ref="G7:G10"/>
    <mergeCell ref="H7:H10"/>
    <mergeCell ref="I7:I10"/>
    <mergeCell ref="J7:J10"/>
    <mergeCell ref="K7:K10"/>
    <mergeCell ref="L7:L10"/>
    <mergeCell ref="J15:J16"/>
    <mergeCell ref="K15:K16"/>
    <mergeCell ref="L15:L16"/>
    <mergeCell ref="A17:D17"/>
    <mergeCell ref="B18:B22"/>
    <mergeCell ref="C18:C28"/>
    <mergeCell ref="D18:D28"/>
    <mergeCell ref="E18:E22"/>
    <mergeCell ref="F18:F22"/>
    <mergeCell ref="G18:G22"/>
    <mergeCell ref="B15:B16"/>
    <mergeCell ref="E15:E16"/>
    <mergeCell ref="F15:F16"/>
    <mergeCell ref="G15:G16"/>
    <mergeCell ref="H15:H16"/>
    <mergeCell ref="I15:I16"/>
    <mergeCell ref="L18:L22"/>
    <mergeCell ref="J23:J24"/>
    <mergeCell ref="K23:K24"/>
    <mergeCell ref="L23:L24"/>
    <mergeCell ref="I23:I24"/>
    <mergeCell ref="H18:H22"/>
    <mergeCell ref="I18:I22"/>
    <mergeCell ref="J18:J22"/>
    <mergeCell ref="K18:K22"/>
    <mergeCell ref="B23:B24"/>
    <mergeCell ref="E23:E24"/>
    <mergeCell ref="F23:F24"/>
    <mergeCell ref="G23:G24"/>
    <mergeCell ref="H23:H24"/>
    <mergeCell ref="B27:B28"/>
    <mergeCell ref="E27:E28"/>
    <mergeCell ref="F27:F28"/>
    <mergeCell ref="G27:G28"/>
    <mergeCell ref="H27:H28"/>
    <mergeCell ref="I27:I28"/>
    <mergeCell ref="J27:J28"/>
    <mergeCell ref="K27:K28"/>
    <mergeCell ref="L27:L28"/>
    <mergeCell ref="A29:D29"/>
    <mergeCell ref="A30:B32"/>
    <mergeCell ref="C30:D30"/>
    <mergeCell ref="C31:D31"/>
    <mergeCell ref="G31:L31"/>
    <mergeCell ref="C32:D32"/>
    <mergeCell ref="I38:I40"/>
    <mergeCell ref="A41:A42"/>
    <mergeCell ref="I41:I43"/>
    <mergeCell ref="A36:I36"/>
    <mergeCell ref="A37:A40"/>
    <mergeCell ref="B37:I37"/>
    <mergeCell ref="B38:B40"/>
    <mergeCell ref="C38:C40"/>
    <mergeCell ref="D38:D40"/>
    <mergeCell ref="E38:E40"/>
    <mergeCell ref="F38:F40"/>
    <mergeCell ref="G38:G40"/>
    <mergeCell ref="H38:H40"/>
  </mergeCells>
  <pageMargins left="1" right="1" top="1" bottom="1" header="0.5" footer="0.5"/>
  <pageSetup scale="69" orientation="landscape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</sheetPr>
  <dimension ref="A1:S107"/>
  <sheetViews>
    <sheetView topLeftCell="A39" zoomScale="70" zoomScaleNormal="70" workbookViewId="0">
      <selection activeCell="A61" sqref="A61:XFD71"/>
    </sheetView>
  </sheetViews>
  <sheetFormatPr baseColWidth="10" defaultColWidth="10.875" defaultRowHeight="11.1" customHeight="1"/>
  <cols>
    <col min="1" max="1" width="9.875" style="25" customWidth="1"/>
    <col min="2" max="2" width="11.375" style="25" customWidth="1"/>
    <col min="3" max="5" width="9.875" style="25" customWidth="1"/>
    <col min="6" max="6" width="10.25" style="25" bestFit="1" customWidth="1"/>
    <col min="7" max="7" width="11.125" style="25" bestFit="1" customWidth="1"/>
    <col min="8" max="11" width="9.875" style="25" customWidth="1"/>
    <col min="12" max="12" width="11.375" style="25" customWidth="1"/>
    <col min="13" max="18" width="9.875" style="25" customWidth="1"/>
    <col min="19" max="21" width="9.625" style="25" customWidth="1"/>
    <col min="22" max="16384" width="10.875" style="25"/>
  </cols>
  <sheetData>
    <row r="1" spans="1:15" ht="15.95" customHeight="1">
      <c r="A1" s="341" t="s">
        <v>242</v>
      </c>
      <c r="B1" s="342"/>
      <c r="C1" s="342"/>
      <c r="D1" s="342"/>
      <c r="E1" s="342"/>
      <c r="F1" s="342"/>
      <c r="G1" s="342"/>
      <c r="H1" s="342"/>
      <c r="I1" s="671" t="s">
        <v>246</v>
      </c>
      <c r="J1" s="671"/>
      <c r="K1" s="671"/>
      <c r="L1" s="671"/>
      <c r="M1" s="671"/>
      <c r="N1" s="671"/>
      <c r="O1" s="672"/>
    </row>
    <row r="2" spans="1:15" s="41" customFormat="1" ht="11.1" customHeight="1">
      <c r="A2" s="182"/>
      <c r="O2" s="183"/>
    </row>
    <row r="3" spans="1:15" ht="11.1" customHeight="1">
      <c r="A3" s="137" t="s">
        <v>28</v>
      </c>
      <c r="B3" s="186"/>
      <c r="C3" s="186"/>
      <c r="D3" s="186"/>
      <c r="E3" s="186"/>
      <c r="F3" s="137" t="s">
        <v>29</v>
      </c>
      <c r="G3" s="186"/>
      <c r="H3" s="186"/>
      <c r="I3" s="186"/>
      <c r="J3" s="187"/>
      <c r="K3" s="138" t="s">
        <v>30</v>
      </c>
      <c r="L3" s="186"/>
      <c r="M3" s="186"/>
      <c r="N3" s="186"/>
      <c r="O3" s="187"/>
    </row>
    <row r="4" spans="1:15" ht="11.1" customHeight="1">
      <c r="A4" s="46" t="s">
        <v>195</v>
      </c>
      <c r="B4" s="104">
        <f>+'Caso Opt. RT | m2 del Proyecto'!D41</f>
        <v>3594.6469999999999</v>
      </c>
      <c r="C4" s="36"/>
      <c r="D4" s="36"/>
      <c r="E4" s="36"/>
      <c r="F4" s="46" t="s">
        <v>195</v>
      </c>
      <c r="G4" s="104">
        <f>+'Caso Opt. RT | m2 del Proyecto'!D42</f>
        <v>2991.8559999999998</v>
      </c>
      <c r="H4" s="36" t="s">
        <v>36</v>
      </c>
      <c r="I4" s="36"/>
      <c r="J4" s="200">
        <f>'Caso Base | m2 del Proyecto'!I43</f>
        <v>2789.598</v>
      </c>
      <c r="K4" s="46" t="s">
        <v>195</v>
      </c>
      <c r="L4" s="104">
        <f>+'Caso Opt. RT | m2 del Proyecto'!D43</f>
        <v>4170.0680000000002</v>
      </c>
      <c r="M4" s="36" t="s">
        <v>214</v>
      </c>
      <c r="N4" s="36"/>
      <c r="O4" s="358">
        <f>'Caso Base | m2 del Proyecto'!G45</f>
        <v>90.523003335146129</v>
      </c>
    </row>
    <row r="5" spans="1:15" ht="11.1" customHeight="1">
      <c r="A5" s="46" t="s">
        <v>196</v>
      </c>
      <c r="B5" s="105">
        <f>+'Caso Opt. RT | m2 del Proyecto'!F41</f>
        <v>3594.6469999999999</v>
      </c>
      <c r="C5" s="36" t="s">
        <v>202</v>
      </c>
      <c r="D5" s="36"/>
      <c r="E5" s="106">
        <f>Supuestos!J15</f>
        <v>45</v>
      </c>
      <c r="F5" s="46" t="s">
        <v>196</v>
      </c>
      <c r="G5" s="105">
        <f>+'Caso Opt. RT | m2 del Proyecto'!F42</f>
        <v>2692.6704</v>
      </c>
      <c r="H5" s="36" t="s">
        <v>202</v>
      </c>
      <c r="I5" s="36"/>
      <c r="J5" s="107">
        <f>Supuestos!K15</f>
        <v>45</v>
      </c>
      <c r="K5" s="46" t="s">
        <v>196</v>
      </c>
      <c r="L5" s="105">
        <f>+'Caso Opt. RT | m2 del Proyecto'!F43</f>
        <v>3544.5578</v>
      </c>
      <c r="M5" s="36" t="s">
        <v>202</v>
      </c>
      <c r="N5" s="36"/>
      <c r="O5" s="107">
        <f>Supuestos!L15</f>
        <v>45</v>
      </c>
    </row>
    <row r="6" spans="1:15" ht="11.1" customHeight="1">
      <c r="A6" s="46" t="s">
        <v>146</v>
      </c>
      <c r="B6" s="106">
        <f>Supuestos!J7</f>
        <v>180</v>
      </c>
      <c r="C6" s="36" t="s">
        <v>203</v>
      </c>
      <c r="D6" s="36"/>
      <c r="E6" s="108">
        <f>Supuestos!J16</f>
        <v>0.1</v>
      </c>
      <c r="F6" s="46" t="s">
        <v>146</v>
      </c>
      <c r="G6" s="106">
        <f>Supuestos!K7</f>
        <v>144</v>
      </c>
      <c r="H6" s="36" t="s">
        <v>203</v>
      </c>
      <c r="I6" s="36"/>
      <c r="J6" s="109">
        <f>Supuestos!K16</f>
        <v>0.06</v>
      </c>
      <c r="K6" s="46" t="s">
        <v>146</v>
      </c>
      <c r="L6" s="106">
        <f>Supuestos!L7</f>
        <v>120</v>
      </c>
      <c r="M6" s="36" t="s">
        <v>203</v>
      </c>
      <c r="N6" s="36"/>
      <c r="O6" s="109">
        <f>Supuestos!L16</f>
        <v>0.05</v>
      </c>
    </row>
    <row r="7" spans="1:15" ht="11.1" customHeight="1">
      <c r="A7" s="48" t="s">
        <v>197</v>
      </c>
      <c r="B7" s="291">
        <f>Supuestos!J8</f>
        <v>1.8E-3</v>
      </c>
      <c r="C7" s="36" t="s">
        <v>204</v>
      </c>
      <c r="D7" s="36"/>
      <c r="E7" s="106">
        <f>Supuestos!J17</f>
        <v>2</v>
      </c>
      <c r="F7" s="48" t="s">
        <v>197</v>
      </c>
      <c r="G7" s="108">
        <f>Supuestos!K8</f>
        <v>1.8E-3</v>
      </c>
      <c r="H7" s="36" t="s">
        <v>204</v>
      </c>
      <c r="I7" s="36"/>
      <c r="J7" s="107">
        <f>Supuestos!K17</f>
        <v>1</v>
      </c>
      <c r="K7" s="48" t="s">
        <v>197</v>
      </c>
      <c r="L7" s="108">
        <f>Supuestos!L8</f>
        <v>1.8E-3</v>
      </c>
      <c r="M7" s="36" t="s">
        <v>204</v>
      </c>
      <c r="N7" s="36"/>
      <c r="O7" s="107">
        <f>Supuestos!L17</f>
        <v>1.5</v>
      </c>
    </row>
    <row r="8" spans="1:15" ht="11.1" customHeight="1">
      <c r="A8" s="46" t="s">
        <v>198</v>
      </c>
      <c r="B8" s="108">
        <f>Supuestos!J9</f>
        <v>0.08</v>
      </c>
      <c r="C8" s="36" t="s">
        <v>205</v>
      </c>
      <c r="D8" s="36"/>
      <c r="E8" s="104">
        <f>+'Caso RT | m2 del Proyecto'!H41</f>
        <v>54.268588888888885</v>
      </c>
      <c r="F8" s="46" t="s">
        <v>198</v>
      </c>
      <c r="G8" s="108">
        <f>Supuestos!K9</f>
        <v>0.05</v>
      </c>
      <c r="H8" s="36" t="s">
        <v>205</v>
      </c>
      <c r="I8" s="36"/>
      <c r="J8" s="110">
        <f>+'Caso RT | m2 del Proyecto'!H42</f>
        <v>20.166699999999999</v>
      </c>
      <c r="K8" s="46" t="s">
        <v>198</v>
      </c>
      <c r="L8" s="108">
        <f>Supuestos!L9</f>
        <v>0.04</v>
      </c>
      <c r="M8" s="36" t="s">
        <v>205</v>
      </c>
      <c r="N8" s="36"/>
      <c r="O8" s="110">
        <f>+'Caso RT | m2 del Proyecto'!H43</f>
        <v>31.877591666666667</v>
      </c>
    </row>
    <row r="9" spans="1:15" ht="11.1" customHeight="1">
      <c r="A9" s="46" t="s">
        <v>199</v>
      </c>
      <c r="B9" s="111">
        <f>Supuestos!J12</f>
        <v>57.6</v>
      </c>
      <c r="C9" s="36" t="s">
        <v>206</v>
      </c>
      <c r="D9" s="36"/>
      <c r="E9" s="112">
        <f>Supuestos!J10</f>
        <v>600</v>
      </c>
      <c r="F9" s="46" t="s">
        <v>199</v>
      </c>
      <c r="G9" s="106">
        <f>Supuestos!K12</f>
        <v>43.199999999999996</v>
      </c>
      <c r="H9" s="36" t="s">
        <v>206</v>
      </c>
      <c r="I9" s="36"/>
      <c r="J9" s="113">
        <f>Supuestos!K10</f>
        <v>600</v>
      </c>
      <c r="K9" s="46" t="s">
        <v>199</v>
      </c>
      <c r="L9" s="106">
        <f>Supuestos!L12</f>
        <v>36</v>
      </c>
      <c r="M9" s="36" t="s">
        <v>206</v>
      </c>
      <c r="N9" s="36"/>
      <c r="O9" s="113">
        <f>Supuestos!L10</f>
        <v>600</v>
      </c>
    </row>
    <row r="10" spans="1:15" ht="11.1" customHeight="1">
      <c r="A10" s="48" t="s">
        <v>197</v>
      </c>
      <c r="B10" s="291">
        <f>Supuestos!J13</f>
        <v>1.8E-3</v>
      </c>
      <c r="C10" s="36" t="s">
        <v>210</v>
      </c>
      <c r="D10" s="36"/>
      <c r="E10" s="114">
        <f>Supuestos!J19</f>
        <v>0.125</v>
      </c>
      <c r="F10" s="48" t="s">
        <v>197</v>
      </c>
      <c r="G10" s="108">
        <f>Supuestos!K13</f>
        <v>1.8E-3</v>
      </c>
      <c r="H10" s="36" t="s">
        <v>210</v>
      </c>
      <c r="I10" s="57"/>
      <c r="J10" s="115">
        <f>Supuestos!K19</f>
        <v>0.105</v>
      </c>
      <c r="K10" s="48" t="s">
        <v>197</v>
      </c>
      <c r="L10" s="108">
        <f>Supuestos!L13</f>
        <v>1.8E-3</v>
      </c>
      <c r="M10" s="36" t="s">
        <v>210</v>
      </c>
      <c r="N10" s="57"/>
      <c r="O10" s="115">
        <f>Supuestos!L19</f>
        <v>8.5000000000000006E-2</v>
      </c>
    </row>
    <row r="11" spans="1:15" ht="11.1" customHeight="1">
      <c r="A11" s="46" t="s">
        <v>200</v>
      </c>
      <c r="B11" s="356">
        <f>Supuestos!D6</f>
        <v>290</v>
      </c>
      <c r="C11" s="36" t="s">
        <v>211</v>
      </c>
      <c r="D11" s="36"/>
      <c r="E11" s="114">
        <f>Supuestos!J20</f>
        <v>0.11</v>
      </c>
      <c r="F11" s="46" t="s">
        <v>200</v>
      </c>
      <c r="G11" s="356">
        <f>Supuestos!D7</f>
        <v>290</v>
      </c>
      <c r="H11" s="36" t="s">
        <v>211</v>
      </c>
      <c r="I11" s="57"/>
      <c r="J11" s="115">
        <f>Supuestos!K20</f>
        <v>0.09</v>
      </c>
      <c r="K11" s="46" t="s">
        <v>200</v>
      </c>
      <c r="L11" s="356">
        <f>Supuestos!D8</f>
        <v>290</v>
      </c>
      <c r="M11" s="36" t="s">
        <v>211</v>
      </c>
      <c r="N11" s="57"/>
      <c r="O11" s="115">
        <f>Supuestos!L20</f>
        <v>7.0000000000000007E-2</v>
      </c>
    </row>
    <row r="12" spans="1:15" ht="11.1" customHeight="1">
      <c r="A12" s="53" t="s">
        <v>201</v>
      </c>
      <c r="B12" s="357">
        <f>Supuestos!D10</f>
        <v>110</v>
      </c>
      <c r="C12" s="27" t="s">
        <v>212</v>
      </c>
      <c r="D12" s="27"/>
      <c r="E12" s="116">
        <f>Supuestos!J21</f>
        <v>0.115</v>
      </c>
      <c r="F12" s="53" t="s">
        <v>201</v>
      </c>
      <c r="G12" s="357">
        <f>Supuestos!D11</f>
        <v>110</v>
      </c>
      <c r="H12" s="27" t="s">
        <v>212</v>
      </c>
      <c r="I12" s="117"/>
      <c r="J12" s="118">
        <f>Supuestos!K21</f>
        <v>9.5000000000000001E-2</v>
      </c>
      <c r="K12" s="53" t="s">
        <v>201</v>
      </c>
      <c r="L12" s="357">
        <f>Supuestos!D12</f>
        <v>150</v>
      </c>
      <c r="M12" s="27" t="s">
        <v>212</v>
      </c>
      <c r="N12" s="117"/>
      <c r="O12" s="118">
        <f>Supuestos!L21</f>
        <v>7.5000000000000011E-2</v>
      </c>
    </row>
    <row r="13" spans="1:15" ht="11.1" customHeight="1">
      <c r="A13" s="36"/>
      <c r="B13" s="211"/>
      <c r="C13" s="36"/>
      <c r="D13" s="36"/>
      <c r="E13" s="114"/>
      <c r="F13" s="36"/>
      <c r="G13" s="211"/>
      <c r="H13" s="36"/>
      <c r="I13" s="57"/>
      <c r="J13" s="114"/>
      <c r="K13" s="36"/>
      <c r="L13" s="356"/>
      <c r="M13" s="36"/>
      <c r="N13" s="57"/>
      <c r="O13" s="114"/>
    </row>
    <row r="14" spans="1:15" ht="11.1" customHeight="1">
      <c r="A14" s="36"/>
      <c r="B14" s="211"/>
      <c r="C14" s="36"/>
      <c r="D14" s="36"/>
      <c r="E14" s="114"/>
      <c r="F14" s="36"/>
      <c r="G14" s="211"/>
      <c r="H14" s="36"/>
      <c r="I14" s="57"/>
      <c r="J14" s="114"/>
      <c r="K14" s="36"/>
      <c r="L14" s="211"/>
      <c r="M14" s="36"/>
      <c r="N14" s="57"/>
      <c r="O14" s="114"/>
    </row>
    <row r="16" spans="1:15" ht="11.1" customHeight="1">
      <c r="A16" s="137" t="s">
        <v>239</v>
      </c>
      <c r="B16" s="186"/>
      <c r="C16" s="187"/>
    </row>
    <row r="17" spans="1:14" ht="11.1" customHeight="1">
      <c r="A17" s="46" t="s">
        <v>215</v>
      </c>
      <c r="B17" s="36"/>
      <c r="C17" s="130">
        <f>Supuestos!D21</f>
        <v>4.2799999999999998E-2</v>
      </c>
    </row>
    <row r="18" spans="1:14" ht="11.1" customHeight="1">
      <c r="A18" s="46" t="s">
        <v>218</v>
      </c>
      <c r="B18" s="128"/>
      <c r="C18" s="151">
        <v>10</v>
      </c>
    </row>
    <row r="19" spans="1:14" ht="11.1" customHeight="1">
      <c r="A19" s="44"/>
      <c r="B19" s="128"/>
      <c r="C19" s="151"/>
    </row>
    <row r="20" spans="1:14" ht="11.1" customHeight="1">
      <c r="A20" s="137" t="s">
        <v>216</v>
      </c>
      <c r="B20" s="186"/>
      <c r="C20" s="187"/>
    </row>
    <row r="21" spans="1:14" ht="11.1" customHeight="1">
      <c r="A21" s="68" t="s">
        <v>217</v>
      </c>
      <c r="B21" s="36"/>
      <c r="C21" s="144">
        <v>2</v>
      </c>
    </row>
    <row r="22" spans="1:14" ht="11.1" customHeight="1">
      <c r="A22" s="68" t="s">
        <v>219</v>
      </c>
      <c r="B22" s="36"/>
      <c r="C22" s="131">
        <f>Supuestos!D13</f>
        <v>4250</v>
      </c>
    </row>
    <row r="23" spans="1:14" ht="11.1" customHeight="1">
      <c r="A23" s="68" t="s">
        <v>213</v>
      </c>
      <c r="B23" s="36"/>
      <c r="C23" s="131">
        <f>Supuestos!D14</f>
        <v>50</v>
      </c>
    </row>
    <row r="24" spans="1:14" ht="11.1" customHeight="1">
      <c r="A24" s="68" t="s">
        <v>220</v>
      </c>
      <c r="B24" s="36"/>
      <c r="C24" s="132">
        <f>Supuestos!D17</f>
        <v>0.05</v>
      </c>
    </row>
    <row r="25" spans="1:14" ht="11.1" customHeight="1">
      <c r="A25" s="68" t="s">
        <v>33</v>
      </c>
      <c r="B25" s="36"/>
      <c r="C25" s="132">
        <f>Supuestos!D18</f>
        <v>3.5000000000000003E-2</v>
      </c>
    </row>
    <row r="26" spans="1:14" ht="11.1" customHeight="1">
      <c r="A26" s="68" t="s">
        <v>34</v>
      </c>
      <c r="B26" s="36"/>
      <c r="C26" s="132">
        <f>Supuestos!D19</f>
        <v>0.1</v>
      </c>
    </row>
    <row r="27" spans="1:14" ht="11.1" customHeight="1">
      <c r="A27" s="133" t="s">
        <v>35</v>
      </c>
      <c r="B27" s="27"/>
      <c r="C27" s="134">
        <f>Supuestos!D20</f>
        <v>0.2</v>
      </c>
      <c r="G27" s="56"/>
    </row>
    <row r="28" spans="1:14" ht="11.1" customHeight="1">
      <c r="A28" s="56"/>
      <c r="B28" s="36"/>
      <c r="C28" s="150"/>
      <c r="G28" s="56"/>
    </row>
    <row r="29" spans="1:14" ht="11.1" customHeight="1">
      <c r="A29" s="56"/>
      <c r="B29" s="36"/>
      <c r="C29" s="150"/>
      <c r="G29" s="56"/>
    </row>
    <row r="30" spans="1:14" ht="11.1" customHeight="1">
      <c r="A30" s="56"/>
      <c r="B30" s="36"/>
      <c r="C30" s="150"/>
      <c r="G30" s="56"/>
    </row>
    <row r="31" spans="1:14" ht="11.1" customHeight="1">
      <c r="A31" s="481" t="s">
        <v>172</v>
      </c>
      <c r="B31" s="455" t="s">
        <v>10</v>
      </c>
      <c r="C31" s="453"/>
      <c r="D31" s="453" t="s">
        <v>11</v>
      </c>
      <c r="E31" s="453"/>
      <c r="F31" s="453" t="s">
        <v>12</v>
      </c>
      <c r="G31" s="454"/>
      <c r="H31" s="577" t="s">
        <v>13</v>
      </c>
      <c r="I31" s="578"/>
      <c r="J31" s="578" t="s">
        <v>14</v>
      </c>
      <c r="K31" s="579"/>
      <c r="L31" s="469" t="s">
        <v>176</v>
      </c>
      <c r="M31" s="456" t="s">
        <v>177</v>
      </c>
      <c r="N31" s="459" t="s">
        <v>8</v>
      </c>
    </row>
    <row r="32" spans="1:14" ht="11.1" customHeight="1">
      <c r="A32" s="482"/>
      <c r="B32" s="470" t="s">
        <v>128</v>
      </c>
      <c r="C32" s="457"/>
      <c r="D32" s="457" t="s">
        <v>178</v>
      </c>
      <c r="E32" s="457"/>
      <c r="F32" s="457" t="s">
        <v>174</v>
      </c>
      <c r="G32" s="460"/>
      <c r="H32" s="470" t="s">
        <v>179</v>
      </c>
      <c r="I32" s="457"/>
      <c r="J32" s="457" t="s">
        <v>180</v>
      </c>
      <c r="K32" s="460"/>
      <c r="L32" s="470"/>
      <c r="M32" s="457"/>
      <c r="N32" s="460"/>
    </row>
    <row r="33" spans="1:18" ht="11.1" customHeight="1">
      <c r="A33" s="483"/>
      <c r="B33" s="471"/>
      <c r="C33" s="458"/>
      <c r="D33" s="458"/>
      <c r="E33" s="458"/>
      <c r="F33" s="458"/>
      <c r="G33" s="461"/>
      <c r="H33" s="471"/>
      <c r="I33" s="458"/>
      <c r="J33" s="458"/>
      <c r="K33" s="461"/>
      <c r="L33" s="471"/>
      <c r="M33" s="458"/>
      <c r="N33" s="461"/>
    </row>
    <row r="34" spans="1:18" ht="11.1" customHeight="1">
      <c r="A34" s="484" t="s">
        <v>15</v>
      </c>
      <c r="B34" s="663">
        <f>'Caso Base | Flujo de Caja'!B34</f>
        <v>1062178.1975384748</v>
      </c>
      <c r="C34" s="664"/>
      <c r="D34" s="472">
        <f>-D98*E42</f>
        <v>6027239.4520216128</v>
      </c>
      <c r="E34" s="473"/>
      <c r="F34" s="472">
        <f>SUM(B34:E34)</f>
        <v>7089417.6495600874</v>
      </c>
      <c r="G34" s="503"/>
      <c r="H34" s="563">
        <f>D100*E42</f>
        <v>851880.3177595</v>
      </c>
      <c r="I34" s="564"/>
      <c r="J34" s="652">
        <f>H34+B34</f>
        <v>1914058.5152979749</v>
      </c>
      <c r="K34" s="653"/>
      <c r="L34" s="667">
        <f>C91</f>
        <v>0.26132016649568035</v>
      </c>
      <c r="M34" s="669">
        <f>C92</f>
        <v>0.14940103748141453</v>
      </c>
      <c r="N34" s="658">
        <f>C94</f>
        <v>0.52858077913808743</v>
      </c>
    </row>
    <row r="35" spans="1:18" ht="11.1" customHeight="1">
      <c r="A35" s="485"/>
      <c r="B35" s="665"/>
      <c r="C35" s="666"/>
      <c r="D35" s="474"/>
      <c r="E35" s="474"/>
      <c r="F35" s="474"/>
      <c r="G35" s="504"/>
      <c r="H35" s="565"/>
      <c r="I35" s="566"/>
      <c r="J35" s="654"/>
      <c r="K35" s="655"/>
      <c r="L35" s="668"/>
      <c r="M35" s="670"/>
      <c r="N35" s="659"/>
    </row>
    <row r="41" spans="1:18" ht="11.1" customHeight="1">
      <c r="E41" s="80"/>
      <c r="H41" s="79"/>
      <c r="J41" s="80"/>
      <c r="L41" s="59"/>
      <c r="M41" s="79"/>
      <c r="O41" s="80"/>
      <c r="Q41" s="59"/>
      <c r="R41" s="79"/>
    </row>
    <row r="42" spans="1:18" ht="11.1" customHeight="1">
      <c r="A42" s="26" t="s">
        <v>231</v>
      </c>
      <c r="E42" s="146">
        <v>1000</v>
      </c>
      <c r="H42" s="79"/>
      <c r="J42" s="80"/>
      <c r="L42" s="59"/>
      <c r="M42" s="79"/>
      <c r="O42" s="80"/>
      <c r="Q42" s="59"/>
      <c r="R42" s="79"/>
    </row>
    <row r="43" spans="1:18" ht="11.1" customHeight="1">
      <c r="G43" s="35"/>
    </row>
    <row r="44" spans="1:18" s="11" customFormat="1" ht="14.1" customHeight="1">
      <c r="A44" s="490" t="s">
        <v>244</v>
      </c>
      <c r="B44" s="491"/>
      <c r="C44" s="191" t="s">
        <v>98</v>
      </c>
      <c r="D44" s="500" t="s">
        <v>92</v>
      </c>
      <c r="E44" s="501"/>
      <c r="F44" s="501"/>
      <c r="G44" s="502"/>
      <c r="H44" s="660" t="s">
        <v>93</v>
      </c>
      <c r="I44" s="661"/>
      <c r="J44" s="661"/>
      <c r="K44" s="661"/>
      <c r="L44" s="661"/>
      <c r="M44" s="661"/>
      <c r="N44" s="661"/>
      <c r="O44" s="662"/>
      <c r="P44" s="343"/>
      <c r="Q44" s="344"/>
      <c r="R44" s="344"/>
    </row>
    <row r="45" spans="1:18" ht="11.1" customHeight="1">
      <c r="A45" s="492"/>
      <c r="B45" s="493"/>
      <c r="C45" s="190">
        <f>E42</f>
        <v>1000</v>
      </c>
      <c r="D45" s="66" t="s">
        <v>100</v>
      </c>
      <c r="E45" s="488" t="s">
        <v>101</v>
      </c>
      <c r="F45" s="489"/>
      <c r="G45" s="353" t="s">
        <v>5</v>
      </c>
      <c r="H45" s="656" t="s">
        <v>232</v>
      </c>
      <c r="I45" s="656"/>
      <c r="J45" s="656"/>
      <c r="K45" s="656"/>
      <c r="L45" s="656"/>
      <c r="M45" s="656"/>
      <c r="N45" s="656"/>
      <c r="O45" s="657"/>
      <c r="P45" s="345"/>
      <c r="Q45" s="346"/>
      <c r="R45" s="346"/>
    </row>
    <row r="46" spans="1:18" ht="11.1" customHeight="1">
      <c r="A46" s="139" t="s">
        <v>4</v>
      </c>
      <c r="B46" s="135"/>
      <c r="C46" s="135"/>
      <c r="D46" s="136"/>
      <c r="E46" s="360">
        <v>1</v>
      </c>
      <c r="F46" s="360">
        <v>2</v>
      </c>
      <c r="G46" s="360">
        <v>3</v>
      </c>
      <c r="H46" s="360">
        <v>4</v>
      </c>
      <c r="I46" s="360">
        <v>5</v>
      </c>
      <c r="J46" s="360">
        <v>6</v>
      </c>
      <c r="K46" s="360">
        <v>7</v>
      </c>
      <c r="L46" s="360">
        <v>8</v>
      </c>
      <c r="M46" s="360">
        <v>9</v>
      </c>
      <c r="N46" s="360">
        <v>10</v>
      </c>
      <c r="O46" s="361">
        <v>11</v>
      </c>
      <c r="P46" s="362">
        <v>12</v>
      </c>
      <c r="Q46" s="362">
        <v>13</v>
      </c>
      <c r="R46" s="362">
        <v>14</v>
      </c>
    </row>
    <row r="47" spans="1:18" ht="11.1" customHeight="1">
      <c r="A47" s="53"/>
      <c r="B47" s="27"/>
      <c r="C47" s="36"/>
      <c r="D47" s="147" t="s">
        <v>234</v>
      </c>
      <c r="E47" s="148"/>
      <c r="F47" s="148"/>
      <c r="G47" s="147" t="s">
        <v>235</v>
      </c>
      <c r="H47" s="148" t="str">
        <f t="shared" ref="H47:O47" si="0">IF(H46=$C$18,"Reversion","")</f>
        <v/>
      </c>
      <c r="I47" s="148" t="str">
        <f t="shared" si="0"/>
        <v/>
      </c>
      <c r="J47" s="148" t="str">
        <f t="shared" si="0"/>
        <v/>
      </c>
      <c r="K47" s="148" t="str">
        <f t="shared" si="0"/>
        <v/>
      </c>
      <c r="L47" s="148" t="str">
        <f t="shared" si="0"/>
        <v/>
      </c>
      <c r="M47" s="148" t="str">
        <f t="shared" si="0"/>
        <v/>
      </c>
      <c r="N47" s="148" t="str">
        <f t="shared" si="0"/>
        <v>Reversion</v>
      </c>
      <c r="O47" s="149" t="str">
        <f t="shared" si="0"/>
        <v/>
      </c>
      <c r="P47" s="59"/>
      <c r="Q47" s="59"/>
      <c r="R47" s="59"/>
    </row>
    <row r="48" spans="1:18" ht="11.1" customHeight="1">
      <c r="A48" s="145" t="s">
        <v>94</v>
      </c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31"/>
      <c r="P48" s="59"/>
      <c r="Q48" s="59"/>
      <c r="R48" s="59"/>
    </row>
    <row r="49" spans="1:19" s="59" customFormat="1" ht="11.1" customHeight="1">
      <c r="A49" s="96" t="s">
        <v>99</v>
      </c>
      <c r="B49" s="60"/>
      <c r="C49" s="57"/>
      <c r="D49" s="292">
        <f>-B34/C45</f>
        <v>-1062.1781975384747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58"/>
    </row>
    <row r="50" spans="1:19" s="59" customFormat="1" ht="11.1" customHeight="1">
      <c r="A50" s="96" t="s">
        <v>107</v>
      </c>
      <c r="B50" s="60"/>
      <c r="C50" s="57"/>
      <c r="D50" s="292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58"/>
    </row>
    <row r="51" spans="1:19" s="59" customFormat="1" ht="11.1" customHeight="1">
      <c r="A51" s="96" t="s">
        <v>105</v>
      </c>
      <c r="B51" s="60"/>
      <c r="C51" s="57"/>
      <c r="D51" s="292"/>
      <c r="E51" s="292">
        <f>-'Caso Base | m2 del Proyecto'!$F$32*50/$C$45</f>
        <v>-139.47989999999999</v>
      </c>
      <c r="F51" s="65"/>
      <c r="G51" s="65"/>
      <c r="H51" s="65"/>
      <c r="I51" s="65"/>
      <c r="J51" s="65"/>
      <c r="K51" s="65"/>
      <c r="L51" s="65"/>
      <c r="M51" s="65"/>
      <c r="N51" s="65"/>
      <c r="O51" s="58"/>
    </row>
    <row r="52" spans="1:19" s="59" customFormat="1" ht="11.1" customHeight="1">
      <c r="A52" s="97" t="s">
        <v>95</v>
      </c>
      <c r="B52" s="60"/>
      <c r="C52" s="57"/>
      <c r="D52" s="64"/>
      <c r="E52" s="292">
        <f>SUM(E53:E56)</f>
        <v>-2397.2619581805557</v>
      </c>
      <c r="F52" s="292">
        <f>SUM(F53:F55)</f>
        <v>-2397.2619581805557</v>
      </c>
      <c r="G52" s="65"/>
      <c r="H52" s="65"/>
      <c r="I52" s="65"/>
      <c r="J52" s="65"/>
      <c r="K52" s="65"/>
      <c r="L52" s="65"/>
      <c r="M52" s="65"/>
      <c r="N52" s="65"/>
      <c r="O52" s="58"/>
    </row>
    <row r="53" spans="1:19" s="59" customFormat="1" ht="11.1" customHeight="1">
      <c r="A53" s="301" t="s">
        <v>28</v>
      </c>
      <c r="B53" s="60"/>
      <c r="C53" s="60"/>
      <c r="D53" s="60"/>
      <c r="E53" s="61">
        <f>-(($B$4*$B$11+$B$5*$B$12+$C$22*$E$8)/$C$21)/$C$45</f>
        <v>-834.25015138888898</v>
      </c>
      <c r="F53" s="61">
        <f>-(($B$4*$B$11+$B$5*$B$12+$C$22*$E$8)/$C$21)/$C$45</f>
        <v>-834.25015138888898</v>
      </c>
      <c r="G53" s="61"/>
      <c r="H53" s="60"/>
      <c r="I53" s="60"/>
      <c r="J53" s="60"/>
      <c r="K53" s="60"/>
      <c r="L53" s="60"/>
      <c r="M53" s="60"/>
      <c r="N53" s="60"/>
      <c r="O53" s="58"/>
    </row>
    <row r="54" spans="1:19" s="59" customFormat="1" ht="11.1" customHeight="1">
      <c r="A54" s="301" t="s">
        <v>29</v>
      </c>
      <c r="B54" s="60"/>
      <c r="C54" s="60"/>
      <c r="D54" s="60"/>
      <c r="E54" s="61">
        <f>-(($G$4*$G$11+$G$5*$G$12+$C$22*$J$8)/$C$21)/C45</f>
        <v>-624.77022950000003</v>
      </c>
      <c r="F54" s="61">
        <f>-(($G$4*$G$11+$G$5*$G$12+$C$22*$J$8)/$C$21)/C45</f>
        <v>-624.77022950000003</v>
      </c>
      <c r="G54" s="61"/>
      <c r="H54" s="60"/>
      <c r="I54" s="60"/>
      <c r="J54" s="60"/>
      <c r="K54" s="60"/>
      <c r="L54" s="60"/>
      <c r="M54" s="60"/>
      <c r="N54" s="60"/>
      <c r="O54" s="58"/>
    </row>
    <row r="55" spans="1:19" s="59" customFormat="1" ht="11.1" customHeight="1">
      <c r="A55" s="301" t="s">
        <v>106</v>
      </c>
      <c r="B55" s="60"/>
      <c r="C55" s="60"/>
      <c r="D55" s="60"/>
      <c r="E55" s="61">
        <f>-(($L$4*$L$11+$L$5*$L$12+$C$22*$O$8)/$C$21)/C45</f>
        <v>-938.24157729166677</v>
      </c>
      <c r="F55" s="61">
        <f>-(($L$4*$L$11+$L$5*$L$12+$C$22*$O$8)/$C$21)/C45</f>
        <v>-938.24157729166677</v>
      </c>
      <c r="G55" s="61"/>
      <c r="H55" s="60"/>
      <c r="I55" s="60"/>
      <c r="J55" s="60"/>
      <c r="K55" s="60"/>
      <c r="L55" s="60"/>
      <c r="M55" s="60"/>
      <c r="N55" s="60"/>
      <c r="O55" s="58"/>
    </row>
    <row r="56" spans="1:19" s="59" customFormat="1" ht="11.1" customHeight="1">
      <c r="A56" s="301" t="s">
        <v>108</v>
      </c>
      <c r="B56" s="60"/>
      <c r="C56" s="60"/>
      <c r="D56" s="60"/>
      <c r="F56" s="61">
        <f>-'Caso RT | m2 del Proyecto'!$E$32*Supuestos!$D$15/$C$45</f>
        <v>-80.496000000000009</v>
      </c>
      <c r="G56" s="61"/>
      <c r="H56" s="60"/>
      <c r="I56" s="60"/>
      <c r="J56" s="60"/>
      <c r="K56" s="60"/>
      <c r="L56" s="60"/>
      <c r="M56" s="60"/>
      <c r="N56" s="60"/>
      <c r="O56" s="58"/>
    </row>
    <row r="57" spans="1:19" s="59" customFormat="1" ht="11.1" customHeight="1">
      <c r="A57" s="97" t="s">
        <v>96</v>
      </c>
      <c r="B57" s="60"/>
      <c r="C57" s="60"/>
      <c r="E57" s="61">
        <f>SUM($C$24:$C$25)*SUM(E52:F52)</f>
        <v>-407.53453289069449</v>
      </c>
      <c r="F57" s="61"/>
      <c r="G57" s="61"/>
      <c r="H57" s="60"/>
      <c r="I57" s="60"/>
      <c r="J57" s="60"/>
      <c r="K57" s="60"/>
      <c r="L57" s="60"/>
      <c r="M57" s="60"/>
      <c r="N57" s="60"/>
      <c r="O57" s="58"/>
      <c r="P57" s="25"/>
      <c r="Q57" s="25"/>
      <c r="R57" s="25"/>
    </row>
    <row r="58" spans="1:19" s="59" customFormat="1" ht="11.1" customHeight="1">
      <c r="A58" s="97" t="s">
        <v>34</v>
      </c>
      <c r="B58" s="60"/>
      <c r="C58" s="60"/>
      <c r="D58" s="60"/>
      <c r="E58" s="61">
        <f>$C$26*(E52+E57)</f>
        <v>-280.47964910712506</v>
      </c>
      <c r="F58" s="61">
        <f>$C$26*(F52+F57)</f>
        <v>-239.72619581805557</v>
      </c>
      <c r="G58" s="61"/>
      <c r="H58" s="60"/>
      <c r="I58" s="60"/>
      <c r="J58" s="60"/>
      <c r="K58" s="60"/>
      <c r="L58" s="60"/>
      <c r="M58" s="60"/>
      <c r="N58" s="60"/>
      <c r="O58" s="58"/>
      <c r="P58" s="25"/>
      <c r="Q58" s="25"/>
      <c r="R58" s="25"/>
    </row>
    <row r="59" spans="1:19" s="59" customFormat="1" ht="11.1" customHeight="1">
      <c r="A59" s="97" t="s">
        <v>97</v>
      </c>
      <c r="B59" s="60"/>
      <c r="C59" s="60"/>
      <c r="D59" s="60"/>
      <c r="E59" s="61">
        <f>(SUM($E$52:$F$52)*$C$27/$C$21)</f>
        <v>-479.45239163611114</v>
      </c>
      <c r="F59" s="61">
        <f>(SUM($E$52:$F$52)*$C$27/$C$21)</f>
        <v>-479.45239163611114</v>
      </c>
      <c r="G59" s="61"/>
      <c r="H59" s="60"/>
      <c r="I59" s="60"/>
      <c r="J59" s="60"/>
      <c r="K59" s="60"/>
      <c r="L59" s="60"/>
      <c r="M59" s="60"/>
      <c r="N59" s="60"/>
      <c r="O59" s="58"/>
      <c r="P59" s="25"/>
      <c r="Q59" s="36"/>
      <c r="R59" s="36"/>
      <c r="S59" s="57"/>
    </row>
    <row r="60" spans="1:19" s="59" customFormat="1" ht="11.1" customHeight="1" thickBot="1">
      <c r="A60" s="98" t="s">
        <v>153</v>
      </c>
      <c r="B60" s="99"/>
      <c r="C60" s="99"/>
      <c r="D60" s="100">
        <f>SUM(D49:D59)</f>
        <v>-1062.1781975384747</v>
      </c>
      <c r="E60" s="100">
        <f>+E51+E52+E58+E59</f>
        <v>-3296.673898923792</v>
      </c>
      <c r="F60" s="100">
        <f>+F51+F52+F57+F58+F59</f>
        <v>-3116.4405456347226</v>
      </c>
      <c r="G60" s="61"/>
      <c r="H60" s="60"/>
      <c r="I60" s="60"/>
      <c r="J60" s="60"/>
      <c r="K60" s="60"/>
      <c r="L60" s="60"/>
      <c r="M60" s="60"/>
      <c r="N60" s="60"/>
      <c r="O60" s="58"/>
      <c r="P60" s="25"/>
      <c r="Q60" s="36"/>
      <c r="R60" s="36"/>
      <c r="S60" s="57"/>
    </row>
    <row r="61" spans="1:19" ht="11.1" customHeight="1" thickTop="1">
      <c r="A61" s="46"/>
      <c r="B61" s="36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32"/>
      <c r="Q61" s="36"/>
      <c r="R61" s="36"/>
      <c r="S61" s="36"/>
    </row>
    <row r="62" spans="1:19" ht="11.1" customHeight="1">
      <c r="A62" s="359" t="s">
        <v>233</v>
      </c>
      <c r="B62" s="450" t="s">
        <v>166</v>
      </c>
      <c r="C62" s="450"/>
      <c r="D62" s="450"/>
      <c r="E62" s="188">
        <v>1</v>
      </c>
      <c r="F62" s="119">
        <f t="shared" ref="F62:R62" si="1">(1+$B$7)*E62</f>
        <v>1.0018</v>
      </c>
      <c r="G62" s="119">
        <f t="shared" si="1"/>
        <v>1.0036032400000001</v>
      </c>
      <c r="H62" s="119">
        <f t="shared" si="1"/>
        <v>1.0054097258320001</v>
      </c>
      <c r="I62" s="119">
        <f t="shared" si="1"/>
        <v>1.0072194633384977</v>
      </c>
      <c r="J62" s="119">
        <f t="shared" si="1"/>
        <v>1.009032458372507</v>
      </c>
      <c r="K62" s="119">
        <f t="shared" si="1"/>
        <v>1.0108487167975775</v>
      </c>
      <c r="L62" s="119">
        <f t="shared" si="1"/>
        <v>1.0126682444878132</v>
      </c>
      <c r="M62" s="119">
        <f t="shared" si="1"/>
        <v>1.0144910473278914</v>
      </c>
      <c r="N62" s="119">
        <f t="shared" si="1"/>
        <v>1.0163171312130816</v>
      </c>
      <c r="O62" s="120">
        <f t="shared" si="1"/>
        <v>1.0181465020492653</v>
      </c>
      <c r="P62" s="125">
        <f t="shared" si="1"/>
        <v>1.019979165752954</v>
      </c>
      <c r="Q62" s="119">
        <f t="shared" si="1"/>
        <v>1.0218151282513093</v>
      </c>
      <c r="R62" s="119">
        <f t="shared" si="1"/>
        <v>1.0236543954821617</v>
      </c>
      <c r="S62" s="36"/>
    </row>
    <row r="63" spans="1:19" ht="11.1" customHeight="1">
      <c r="A63" s="46"/>
      <c r="B63" s="450" t="s">
        <v>167</v>
      </c>
      <c r="C63" s="450"/>
      <c r="D63" s="450"/>
      <c r="E63" s="188">
        <v>1</v>
      </c>
      <c r="F63" s="119">
        <f t="shared" ref="F63:R63" si="2">(1+$B$10)*E63</f>
        <v>1.0018</v>
      </c>
      <c r="G63" s="119">
        <f t="shared" si="2"/>
        <v>1.0036032400000001</v>
      </c>
      <c r="H63" s="119">
        <f t="shared" si="2"/>
        <v>1.0054097258320001</v>
      </c>
      <c r="I63" s="119">
        <f t="shared" si="2"/>
        <v>1.0072194633384977</v>
      </c>
      <c r="J63" s="119">
        <f t="shared" si="2"/>
        <v>1.009032458372507</v>
      </c>
      <c r="K63" s="119">
        <f t="shared" si="2"/>
        <v>1.0108487167975775</v>
      </c>
      <c r="L63" s="119">
        <f t="shared" si="2"/>
        <v>1.0126682444878132</v>
      </c>
      <c r="M63" s="119">
        <f t="shared" si="2"/>
        <v>1.0144910473278914</v>
      </c>
      <c r="N63" s="119">
        <f t="shared" si="2"/>
        <v>1.0163171312130816</v>
      </c>
      <c r="O63" s="120">
        <f t="shared" si="2"/>
        <v>1.0181465020492653</v>
      </c>
      <c r="P63" s="125">
        <f t="shared" si="2"/>
        <v>1.019979165752954</v>
      </c>
      <c r="Q63" s="119">
        <f t="shared" si="2"/>
        <v>1.0218151282513093</v>
      </c>
      <c r="R63" s="119">
        <f t="shared" si="2"/>
        <v>1.0236543954821617</v>
      </c>
      <c r="S63" s="36"/>
    </row>
    <row r="64" spans="1:19" ht="11.1" customHeight="1">
      <c r="A64" s="46"/>
      <c r="B64" s="450" t="s">
        <v>168</v>
      </c>
      <c r="C64" s="450"/>
      <c r="D64" s="450"/>
      <c r="E64" s="121">
        <f t="shared" ref="E64:R64" si="3">$B$6*E62</f>
        <v>180</v>
      </c>
      <c r="F64" s="121">
        <f t="shared" si="3"/>
        <v>180.32400000000001</v>
      </c>
      <c r="G64" s="121">
        <f t="shared" si="3"/>
        <v>180.64858320000002</v>
      </c>
      <c r="H64" s="121">
        <f t="shared" si="3"/>
        <v>180.97375064976001</v>
      </c>
      <c r="I64" s="121">
        <f t="shared" si="3"/>
        <v>181.29950340092958</v>
      </c>
      <c r="J64" s="121">
        <f t="shared" si="3"/>
        <v>181.62584250705126</v>
      </c>
      <c r="K64" s="121">
        <f t="shared" si="3"/>
        <v>181.95276902356395</v>
      </c>
      <c r="L64" s="121">
        <f t="shared" si="3"/>
        <v>182.28028400780639</v>
      </c>
      <c r="M64" s="121">
        <f t="shared" si="3"/>
        <v>182.60838851902045</v>
      </c>
      <c r="N64" s="121">
        <f t="shared" si="3"/>
        <v>182.93708361835471</v>
      </c>
      <c r="O64" s="122">
        <f t="shared" si="3"/>
        <v>183.26637036886774</v>
      </c>
      <c r="P64" s="126">
        <f t="shared" si="3"/>
        <v>183.59624983553172</v>
      </c>
      <c r="Q64" s="121">
        <f t="shared" si="3"/>
        <v>183.92672308523566</v>
      </c>
      <c r="R64" s="121">
        <f t="shared" si="3"/>
        <v>184.25779118678912</v>
      </c>
      <c r="S64" s="36"/>
    </row>
    <row r="65" spans="1:19" ht="11.1" customHeight="1">
      <c r="A65" s="46"/>
      <c r="B65" s="450" t="s">
        <v>169</v>
      </c>
      <c r="C65" s="450"/>
      <c r="D65" s="450"/>
      <c r="E65" s="121">
        <f>$G$6*E62</f>
        <v>144</v>
      </c>
      <c r="F65" s="121">
        <f>$G$6*F62</f>
        <v>144.25919999999999</v>
      </c>
      <c r="G65" s="121">
        <f t="shared" ref="G65:R65" si="4">$G$6*G62</f>
        <v>144.51886656000002</v>
      </c>
      <c r="H65" s="121">
        <f t="shared" si="4"/>
        <v>144.77900051980799</v>
      </c>
      <c r="I65" s="121">
        <f t="shared" si="4"/>
        <v>145.03960272074366</v>
      </c>
      <c r="J65" s="121">
        <f t="shared" si="4"/>
        <v>145.30067400564101</v>
      </c>
      <c r="K65" s="121">
        <f t="shared" si="4"/>
        <v>145.56221521885115</v>
      </c>
      <c r="L65" s="121">
        <f t="shared" si="4"/>
        <v>145.8242272062451</v>
      </c>
      <c r="M65" s="121">
        <f t="shared" si="4"/>
        <v>146.08671081521635</v>
      </c>
      <c r="N65" s="121">
        <f t="shared" si="4"/>
        <v>146.34966689468376</v>
      </c>
      <c r="O65" s="121">
        <f t="shared" si="4"/>
        <v>146.61309629509421</v>
      </c>
      <c r="P65" s="121">
        <f t="shared" si="4"/>
        <v>146.87699986842537</v>
      </c>
      <c r="Q65" s="121">
        <f t="shared" si="4"/>
        <v>147.14137846818852</v>
      </c>
      <c r="R65" s="121">
        <f t="shared" si="4"/>
        <v>147.40623294943128</v>
      </c>
    </row>
    <row r="66" spans="1:19" ht="11.1" customHeight="1">
      <c r="A66" s="46"/>
      <c r="B66" s="450" t="s">
        <v>170</v>
      </c>
      <c r="C66" s="450"/>
      <c r="D66" s="450"/>
      <c r="E66" s="121">
        <f>$L$6*E62</f>
        <v>120</v>
      </c>
      <c r="F66" s="121">
        <f t="shared" ref="F66:R66" si="5">$L$6*F62</f>
        <v>120.21600000000001</v>
      </c>
      <c r="G66" s="121">
        <f t="shared" si="5"/>
        <v>120.43238880000001</v>
      </c>
      <c r="H66" s="121">
        <f t="shared" si="5"/>
        <v>120.64916709984001</v>
      </c>
      <c r="I66" s="121">
        <f t="shared" si="5"/>
        <v>120.86633560061972</v>
      </c>
      <c r="J66" s="121">
        <f t="shared" si="5"/>
        <v>121.08389500470084</v>
      </c>
      <c r="K66" s="121">
        <f t="shared" si="5"/>
        <v>121.3018460157093</v>
      </c>
      <c r="L66" s="121">
        <f t="shared" si="5"/>
        <v>121.52018933853759</v>
      </c>
      <c r="M66" s="121">
        <f t="shared" si="5"/>
        <v>121.73892567934698</v>
      </c>
      <c r="N66" s="121">
        <f t="shared" si="5"/>
        <v>121.95805574556979</v>
      </c>
      <c r="O66" s="121">
        <f t="shared" si="5"/>
        <v>122.17758024591183</v>
      </c>
      <c r="P66" s="121">
        <f t="shared" si="5"/>
        <v>122.39749989035448</v>
      </c>
      <c r="Q66" s="121">
        <f t="shared" si="5"/>
        <v>122.61781539015712</v>
      </c>
      <c r="R66" s="121">
        <f t="shared" si="5"/>
        <v>122.83852745785941</v>
      </c>
    </row>
    <row r="67" spans="1:19" ht="11.1" customHeight="1">
      <c r="A67" s="46"/>
      <c r="B67" s="450" t="s">
        <v>151</v>
      </c>
      <c r="C67" s="450"/>
      <c r="D67" s="450"/>
      <c r="E67" s="121">
        <f t="shared" ref="E67:R67" si="6">$B$9*E63</f>
        <v>57.6</v>
      </c>
      <c r="F67" s="121">
        <f t="shared" si="6"/>
        <v>57.703680000000006</v>
      </c>
      <c r="G67" s="121">
        <f t="shared" si="6"/>
        <v>57.807546624000011</v>
      </c>
      <c r="H67" s="121">
        <f t="shared" si="6"/>
        <v>57.911600207923208</v>
      </c>
      <c r="I67" s="121">
        <f t="shared" si="6"/>
        <v>58.015841088297464</v>
      </c>
      <c r="J67" s="121">
        <f t="shared" si="6"/>
        <v>58.120269602256407</v>
      </c>
      <c r="K67" s="121">
        <f t="shared" si="6"/>
        <v>58.224886087540462</v>
      </c>
      <c r="L67" s="121">
        <f t="shared" si="6"/>
        <v>58.329690882498042</v>
      </c>
      <c r="M67" s="121">
        <f t="shared" si="6"/>
        <v>58.434684326086547</v>
      </c>
      <c r="N67" s="121">
        <f t="shared" si="6"/>
        <v>58.539866757873504</v>
      </c>
      <c r="O67" s="122">
        <f t="shared" si="6"/>
        <v>58.645238518037679</v>
      </c>
      <c r="P67" s="126">
        <f t="shared" si="6"/>
        <v>58.750799947370155</v>
      </c>
      <c r="Q67" s="121">
        <f t="shared" si="6"/>
        <v>58.856551387275417</v>
      </c>
      <c r="R67" s="121">
        <f t="shared" si="6"/>
        <v>58.962493179772515</v>
      </c>
      <c r="S67" s="36"/>
    </row>
    <row r="68" spans="1:19" ht="11.1" customHeight="1">
      <c r="A68" s="46"/>
      <c r="B68" s="450" t="s">
        <v>171</v>
      </c>
      <c r="C68" s="450"/>
      <c r="D68" s="450"/>
      <c r="E68" s="123">
        <f t="shared" ref="E68:R68" si="7">$E$9*E62</f>
        <v>600</v>
      </c>
      <c r="F68" s="123">
        <f t="shared" si="7"/>
        <v>601.08000000000004</v>
      </c>
      <c r="G68" s="123">
        <f t="shared" si="7"/>
        <v>602.16194400000006</v>
      </c>
      <c r="H68" s="123">
        <f t="shared" si="7"/>
        <v>603.24583549919998</v>
      </c>
      <c r="I68" s="123">
        <f t="shared" si="7"/>
        <v>604.33167800309855</v>
      </c>
      <c r="J68" s="123">
        <f t="shared" si="7"/>
        <v>605.41947502350422</v>
      </c>
      <c r="K68" s="123">
        <f t="shared" si="7"/>
        <v>606.50923007854647</v>
      </c>
      <c r="L68" s="123">
        <f t="shared" si="7"/>
        <v>607.6009466926879</v>
      </c>
      <c r="M68" s="123">
        <f t="shared" si="7"/>
        <v>608.69462839673486</v>
      </c>
      <c r="N68" s="123">
        <f t="shared" si="7"/>
        <v>609.790278727849</v>
      </c>
      <c r="O68" s="124">
        <f t="shared" si="7"/>
        <v>610.88790122955913</v>
      </c>
      <c r="P68" s="127">
        <f t="shared" si="7"/>
        <v>611.98749945177235</v>
      </c>
      <c r="Q68" s="123">
        <f t="shared" si="7"/>
        <v>613.08907695078551</v>
      </c>
      <c r="R68" s="123">
        <f t="shared" si="7"/>
        <v>614.19263728929707</v>
      </c>
      <c r="S68" s="36"/>
    </row>
    <row r="69" spans="1:19" ht="11.1" customHeight="1">
      <c r="A69" s="46"/>
      <c r="B69" s="450" t="s">
        <v>7</v>
      </c>
      <c r="C69" s="450"/>
      <c r="D69" s="450"/>
      <c r="E69" s="121"/>
      <c r="F69" s="121"/>
      <c r="G69" s="152">
        <v>1</v>
      </c>
      <c r="H69" s="152">
        <v>0</v>
      </c>
      <c r="I69" s="152">
        <v>0</v>
      </c>
      <c r="J69" s="152">
        <v>0</v>
      </c>
      <c r="K69" s="152">
        <v>0</v>
      </c>
      <c r="L69" s="152">
        <v>0.25</v>
      </c>
      <c r="M69" s="152">
        <v>0</v>
      </c>
      <c r="N69" s="152">
        <v>0</v>
      </c>
      <c r="O69" s="153">
        <v>0</v>
      </c>
      <c r="P69" s="154">
        <v>0</v>
      </c>
      <c r="Q69" s="152">
        <v>0.25</v>
      </c>
      <c r="R69" s="152">
        <v>0</v>
      </c>
      <c r="S69" s="36"/>
    </row>
    <row r="70" spans="1:19" ht="11.1" customHeight="1">
      <c r="A70" s="46"/>
      <c r="B70" s="355"/>
      <c r="C70" s="355"/>
      <c r="D70" s="355"/>
      <c r="E70" s="121"/>
      <c r="F70" s="121"/>
      <c r="G70" s="152"/>
      <c r="H70" s="152"/>
      <c r="I70" s="152"/>
      <c r="J70" s="152"/>
      <c r="K70" s="152"/>
      <c r="L70" s="152"/>
      <c r="M70" s="152"/>
      <c r="N70" s="152"/>
      <c r="O70" s="153"/>
      <c r="P70" s="152"/>
      <c r="Q70" s="152"/>
      <c r="R70" s="152"/>
      <c r="S70" s="36"/>
    </row>
    <row r="71" spans="1:19" ht="11.1" customHeight="1">
      <c r="A71" s="323" t="s">
        <v>245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2"/>
      <c r="Q71" s="36"/>
      <c r="R71" s="36"/>
      <c r="S71" s="36"/>
    </row>
    <row r="72" spans="1:19" ht="11.1" customHeight="1">
      <c r="A72" s="46" t="s">
        <v>154</v>
      </c>
      <c r="B72" s="36"/>
      <c r="C72" s="36"/>
      <c r="D72" s="36"/>
      <c r="E72" s="36"/>
      <c r="F72" s="146"/>
      <c r="G72" s="47">
        <f t="shared" ref="G72:R72" si="8">$B$5*G64/$C$45</f>
        <v>649.36788765413041</v>
      </c>
      <c r="H72" s="47">
        <f t="shared" si="8"/>
        <v>650.53674985190787</v>
      </c>
      <c r="I72" s="47">
        <f t="shared" si="8"/>
        <v>651.7077160016413</v>
      </c>
      <c r="J72" s="47">
        <f t="shared" si="8"/>
        <v>652.88078989044425</v>
      </c>
      <c r="K72" s="47">
        <f t="shared" si="8"/>
        <v>654.05597531224703</v>
      </c>
      <c r="L72" s="47">
        <f t="shared" si="8"/>
        <v>655.23327606780924</v>
      </c>
      <c r="M72" s="47">
        <f t="shared" si="8"/>
        <v>656.41269596473126</v>
      </c>
      <c r="N72" s="47">
        <f t="shared" si="8"/>
        <v>657.59423881746784</v>
      </c>
      <c r="O72" s="47">
        <f t="shared" si="8"/>
        <v>658.77790844733931</v>
      </c>
      <c r="P72" s="47">
        <f t="shared" si="8"/>
        <v>659.96370868254451</v>
      </c>
      <c r="Q72" s="47">
        <f t="shared" si="8"/>
        <v>661.15164335817303</v>
      </c>
      <c r="R72" s="47">
        <f t="shared" si="8"/>
        <v>662.34171631621791</v>
      </c>
      <c r="S72" s="36"/>
    </row>
    <row r="73" spans="1:19" ht="11.1" customHeight="1">
      <c r="A73" s="48" t="s">
        <v>221</v>
      </c>
      <c r="B73" s="36"/>
      <c r="C73" s="36"/>
      <c r="D73" s="36"/>
      <c r="E73" s="47"/>
      <c r="F73" s="47"/>
      <c r="G73" s="67">
        <f t="shared" ref="G73:R73" si="9">-(($B$5*G69)*G64/2)/$C$45</f>
        <v>-324.68394382706521</v>
      </c>
      <c r="H73" s="67">
        <f t="shared" si="9"/>
        <v>0</v>
      </c>
      <c r="I73" s="67">
        <f t="shared" si="9"/>
        <v>0</v>
      </c>
      <c r="J73" s="67">
        <f t="shared" si="9"/>
        <v>0</v>
      </c>
      <c r="K73" s="67">
        <f t="shared" si="9"/>
        <v>0</v>
      </c>
      <c r="L73" s="67">
        <f t="shared" si="9"/>
        <v>-81.904159508476155</v>
      </c>
      <c r="M73" s="67">
        <f t="shared" si="9"/>
        <v>0</v>
      </c>
      <c r="N73" s="67">
        <f t="shared" si="9"/>
        <v>0</v>
      </c>
      <c r="O73" s="67">
        <f t="shared" si="9"/>
        <v>0</v>
      </c>
      <c r="P73" s="67">
        <f t="shared" si="9"/>
        <v>0</v>
      </c>
      <c r="Q73" s="67">
        <f t="shared" si="9"/>
        <v>-82.643955419771629</v>
      </c>
      <c r="R73" s="67">
        <f t="shared" si="9"/>
        <v>0</v>
      </c>
      <c r="S73" s="36"/>
    </row>
    <row r="74" spans="1:19" ht="11.1" customHeight="1">
      <c r="A74" s="48" t="s">
        <v>198</v>
      </c>
      <c r="B74" s="36"/>
      <c r="C74" s="36"/>
      <c r="D74" s="36"/>
      <c r="E74" s="47"/>
      <c r="F74" s="47"/>
      <c r="G74" s="47">
        <f>IF(G69&gt;$B$8,0,-$B$8*G72)</f>
        <v>0</v>
      </c>
      <c r="H74" s="47">
        <f t="shared" ref="H74:R74" si="10">IF(H69&gt;$B$8,0,-$B$8*H72)</f>
        <v>-52.042939988152632</v>
      </c>
      <c r="I74" s="47">
        <f t="shared" si="10"/>
        <v>-52.136617280131304</v>
      </c>
      <c r="J74" s="47">
        <f t="shared" si="10"/>
        <v>-52.230463191235543</v>
      </c>
      <c r="K74" s="47">
        <f t="shared" si="10"/>
        <v>-52.324478024979761</v>
      </c>
      <c r="L74" s="47">
        <f t="shared" si="10"/>
        <v>0</v>
      </c>
      <c r="M74" s="47">
        <f t="shared" si="10"/>
        <v>-52.513015677178501</v>
      </c>
      <c r="N74" s="47">
        <f t="shared" si="10"/>
        <v>-52.607539105397429</v>
      </c>
      <c r="O74" s="47">
        <f t="shared" si="10"/>
        <v>-52.702232675787144</v>
      </c>
      <c r="P74" s="47">
        <f t="shared" si="10"/>
        <v>-52.79709669460356</v>
      </c>
      <c r="Q74" s="47">
        <f t="shared" si="10"/>
        <v>0</v>
      </c>
      <c r="R74" s="47">
        <f t="shared" si="10"/>
        <v>-52.987337305297437</v>
      </c>
      <c r="S74" s="36"/>
    </row>
    <row r="75" spans="1:19" ht="11.1" customHeight="1">
      <c r="A75" s="46" t="s">
        <v>155</v>
      </c>
      <c r="B75" s="36"/>
      <c r="C75" s="36"/>
      <c r="D75" s="36"/>
      <c r="E75" s="36"/>
      <c r="F75" s="146"/>
      <c r="G75" s="47">
        <f t="shared" ref="G75:R75" si="11">$G$5*G65/$C$45</f>
        <v>389.14167422766184</v>
      </c>
      <c r="H75" s="47">
        <f t="shared" si="11"/>
        <v>389.84212924127161</v>
      </c>
      <c r="I75" s="47">
        <f t="shared" si="11"/>
        <v>390.54384507390591</v>
      </c>
      <c r="J75" s="47">
        <f t="shared" si="11"/>
        <v>391.24682399503899</v>
      </c>
      <c r="K75" s="47">
        <f t="shared" si="11"/>
        <v>391.95106827823003</v>
      </c>
      <c r="L75" s="47">
        <f t="shared" si="11"/>
        <v>392.65658020113091</v>
      </c>
      <c r="M75" s="47">
        <f t="shared" si="11"/>
        <v>393.36336204549292</v>
      </c>
      <c r="N75" s="47">
        <f t="shared" si="11"/>
        <v>394.07141609717485</v>
      </c>
      <c r="O75" s="47">
        <f t="shared" si="11"/>
        <v>394.78074464614986</v>
      </c>
      <c r="P75" s="47">
        <f t="shared" si="11"/>
        <v>395.49134998651289</v>
      </c>
      <c r="Q75" s="47">
        <f t="shared" si="11"/>
        <v>396.20323441648856</v>
      </c>
      <c r="R75" s="47">
        <f t="shared" si="11"/>
        <v>396.91640023843831</v>
      </c>
    </row>
    <row r="76" spans="1:19" ht="11.1" customHeight="1">
      <c r="A76" s="48" t="s">
        <v>221</v>
      </c>
      <c r="B76" s="36"/>
      <c r="C76" s="36"/>
      <c r="D76" s="36"/>
      <c r="E76" s="47"/>
      <c r="F76" s="47"/>
      <c r="G76" s="67">
        <f t="shared" ref="G76:R76" si="12">-(($G$5*G69)*G65/2)/$C$45</f>
        <v>-194.57083711383092</v>
      </c>
      <c r="H76" s="67">
        <f t="shared" si="12"/>
        <v>0</v>
      </c>
      <c r="I76" s="67">
        <f t="shared" si="12"/>
        <v>0</v>
      </c>
      <c r="J76" s="67">
        <f t="shared" si="12"/>
        <v>0</v>
      </c>
      <c r="K76" s="67">
        <f t="shared" si="12"/>
        <v>0</v>
      </c>
      <c r="L76" s="67">
        <f t="shared" si="12"/>
        <v>-49.082072525141363</v>
      </c>
      <c r="M76" s="67">
        <f t="shared" si="12"/>
        <v>0</v>
      </c>
      <c r="N76" s="67">
        <f t="shared" si="12"/>
        <v>0</v>
      </c>
      <c r="O76" s="67">
        <f t="shared" si="12"/>
        <v>0</v>
      </c>
      <c r="P76" s="67">
        <f t="shared" si="12"/>
        <v>0</v>
      </c>
      <c r="Q76" s="67">
        <f t="shared" si="12"/>
        <v>-49.525404302061069</v>
      </c>
      <c r="R76" s="67">
        <f t="shared" si="12"/>
        <v>0</v>
      </c>
    </row>
    <row r="77" spans="1:19" ht="11.1" customHeight="1">
      <c r="A77" s="48" t="s">
        <v>198</v>
      </c>
      <c r="B77" s="36"/>
      <c r="C77" s="36"/>
      <c r="D77" s="36"/>
      <c r="E77" s="47"/>
      <c r="F77" s="47"/>
      <c r="G77" s="47">
        <f>IF(G69&gt;$G$8,0,-$G$8*G75)</f>
        <v>0</v>
      </c>
      <c r="H77" s="47">
        <f t="shared" ref="H77:R77" si="13">IF(H69&gt;$G$8,0,-$G$8*H75)</f>
        <v>-19.492106462063582</v>
      </c>
      <c r="I77" s="47">
        <f t="shared" si="13"/>
        <v>-19.527192253695297</v>
      </c>
      <c r="J77" s="47">
        <f t="shared" si="13"/>
        <v>-19.562341199751952</v>
      </c>
      <c r="K77" s="47">
        <f t="shared" si="13"/>
        <v>-19.597553413911502</v>
      </c>
      <c r="L77" s="47">
        <f t="shared" si="13"/>
        <v>0</v>
      </c>
      <c r="M77" s="47">
        <f t="shared" si="13"/>
        <v>-19.668168102274649</v>
      </c>
      <c r="N77" s="47">
        <f t="shared" si="13"/>
        <v>-19.703570804858742</v>
      </c>
      <c r="O77" s="47">
        <f t="shared" si="13"/>
        <v>-19.739037232307496</v>
      </c>
      <c r="P77" s="47">
        <f t="shared" si="13"/>
        <v>-19.774567499325645</v>
      </c>
      <c r="Q77" s="47">
        <f t="shared" si="13"/>
        <v>0</v>
      </c>
      <c r="R77" s="47">
        <f t="shared" si="13"/>
        <v>-19.845820011921916</v>
      </c>
    </row>
    <row r="78" spans="1:19" ht="11.1" customHeight="1">
      <c r="A78" s="46" t="s">
        <v>156</v>
      </c>
      <c r="B78" s="36"/>
      <c r="C78" s="36"/>
      <c r="D78" s="189"/>
      <c r="E78" s="47"/>
      <c r="F78" s="146"/>
      <c r="G78" s="47">
        <f t="shared" ref="G78:R78" si="14">$L$5*G66/$C$45</f>
        <v>426.87956309367269</v>
      </c>
      <c r="H78" s="47">
        <f t="shared" si="14"/>
        <v>427.64794630724128</v>
      </c>
      <c r="I78" s="47">
        <f t="shared" si="14"/>
        <v>428.41771261059432</v>
      </c>
      <c r="J78" s="47">
        <f t="shared" si="14"/>
        <v>429.18886449329341</v>
      </c>
      <c r="K78" s="47">
        <f t="shared" si="14"/>
        <v>429.96140444938135</v>
      </c>
      <c r="L78" s="47">
        <f t="shared" si="14"/>
        <v>430.73533497739027</v>
      </c>
      <c r="M78" s="47">
        <f t="shared" si="14"/>
        <v>431.51065858034963</v>
      </c>
      <c r="N78" s="47">
        <f t="shared" si="14"/>
        <v>432.28737776579425</v>
      </c>
      <c r="O78" s="47">
        <f t="shared" si="14"/>
        <v>433.06549504577271</v>
      </c>
      <c r="P78" s="47">
        <f t="shared" si="14"/>
        <v>433.84501293685514</v>
      </c>
      <c r="Q78" s="47">
        <f t="shared" si="14"/>
        <v>434.62593396014142</v>
      </c>
      <c r="R78" s="47">
        <f t="shared" si="14"/>
        <v>435.40826064126975</v>
      </c>
    </row>
    <row r="79" spans="1:19" ht="11.1" customHeight="1">
      <c r="A79" s="48" t="s">
        <v>221</v>
      </c>
      <c r="B79" s="36"/>
      <c r="C79" s="36"/>
      <c r="D79" s="36"/>
      <c r="E79" s="47"/>
      <c r="F79" s="47"/>
      <c r="G79" s="67">
        <f t="shared" ref="G79:R79" si="15">-(($L$5*G69)*G66/2)/$C$45</f>
        <v>-213.43978154683634</v>
      </c>
      <c r="H79" s="67">
        <f t="shared" si="15"/>
        <v>0</v>
      </c>
      <c r="I79" s="67">
        <f t="shared" si="15"/>
        <v>0</v>
      </c>
      <c r="J79" s="67">
        <f t="shared" si="15"/>
        <v>0</v>
      </c>
      <c r="K79" s="67">
        <f t="shared" si="15"/>
        <v>0</v>
      </c>
      <c r="L79" s="67">
        <f t="shared" si="15"/>
        <v>-53.841916872173783</v>
      </c>
      <c r="M79" s="67">
        <f t="shared" si="15"/>
        <v>0</v>
      </c>
      <c r="N79" s="67">
        <f t="shared" si="15"/>
        <v>0</v>
      </c>
      <c r="O79" s="67">
        <f t="shared" si="15"/>
        <v>0</v>
      </c>
      <c r="P79" s="67">
        <f t="shared" si="15"/>
        <v>0</v>
      </c>
      <c r="Q79" s="67">
        <f t="shared" si="15"/>
        <v>-54.328241745017678</v>
      </c>
      <c r="R79" s="67">
        <f t="shared" si="15"/>
        <v>0</v>
      </c>
    </row>
    <row r="80" spans="1:19" ht="11.1" customHeight="1">
      <c r="A80" s="48" t="s">
        <v>198</v>
      </c>
      <c r="B80" s="36"/>
      <c r="C80" s="36"/>
      <c r="D80" s="36"/>
      <c r="E80" s="47"/>
      <c r="F80" s="47"/>
      <c r="G80" s="47">
        <f>IF(G69&gt;$L$8,0,-$L$8*G78)</f>
        <v>0</v>
      </c>
      <c r="H80" s="47">
        <f t="shared" ref="H80:R80" si="16">IF(H69&gt;$L$8,0,-$L$8*H78)</f>
        <v>-17.10591785228965</v>
      </c>
      <c r="I80" s="47">
        <f t="shared" si="16"/>
        <v>-17.136708504423773</v>
      </c>
      <c r="J80" s="47">
        <f t="shared" si="16"/>
        <v>-17.167554579731735</v>
      </c>
      <c r="K80" s="47">
        <f t="shared" si="16"/>
        <v>-17.198456177975256</v>
      </c>
      <c r="L80" s="47">
        <f t="shared" si="16"/>
        <v>0</v>
      </c>
      <c r="M80" s="47">
        <f t="shared" si="16"/>
        <v>-17.260426343213986</v>
      </c>
      <c r="N80" s="47">
        <f t="shared" si="16"/>
        <v>-17.291495110631772</v>
      </c>
      <c r="O80" s="47">
        <f t="shared" si="16"/>
        <v>-17.322619801830907</v>
      </c>
      <c r="P80" s="47">
        <f t="shared" si="16"/>
        <v>-17.353800517474205</v>
      </c>
      <c r="Q80" s="47">
        <f t="shared" si="16"/>
        <v>0</v>
      </c>
      <c r="R80" s="47">
        <f t="shared" si="16"/>
        <v>-17.416330425650791</v>
      </c>
    </row>
    <row r="81" spans="1:19" ht="11.1" customHeight="1">
      <c r="A81" s="78" t="s">
        <v>157</v>
      </c>
      <c r="B81" s="27"/>
      <c r="C81" s="27"/>
      <c r="D81" s="27"/>
      <c r="E81" s="28"/>
      <c r="F81" s="28"/>
      <c r="G81" s="28">
        <f t="shared" ref="G81:R81" si="17">($E$8*G68)/$C$45</f>
        <v>32.678478983470136</v>
      </c>
      <c r="H81" s="28">
        <f t="shared" si="17"/>
        <v>32.737300245640377</v>
      </c>
      <c r="I81" s="28">
        <f t="shared" si="17"/>
        <v>32.796227386082528</v>
      </c>
      <c r="J81" s="28">
        <f t="shared" si="17"/>
        <v>32.855260595377487</v>
      </c>
      <c r="K81" s="28">
        <f t="shared" si="17"/>
        <v>32.914400064449161</v>
      </c>
      <c r="L81" s="28">
        <f t="shared" si="17"/>
        <v>32.973645984565167</v>
      </c>
      <c r="M81" s="28">
        <f t="shared" si="17"/>
        <v>33.032998547337399</v>
      </c>
      <c r="N81" s="28">
        <f t="shared" si="17"/>
        <v>33.092457944722604</v>
      </c>
      <c r="O81" s="28">
        <f t="shared" si="17"/>
        <v>33.15202436902311</v>
      </c>
      <c r="P81" s="28">
        <f t="shared" si="17"/>
        <v>33.211698012887346</v>
      </c>
      <c r="Q81" s="28">
        <f t="shared" si="17"/>
        <v>33.271479069310537</v>
      </c>
      <c r="R81" s="28">
        <f t="shared" si="17"/>
        <v>33.331367731635304</v>
      </c>
      <c r="S81" s="36"/>
    </row>
    <row r="82" spans="1:19" ht="11.1" customHeight="1">
      <c r="A82" s="324"/>
      <c r="B82" s="36"/>
      <c r="C82" s="36"/>
      <c r="D82" s="36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36"/>
    </row>
    <row r="83" spans="1:19" ht="11.1" customHeight="1">
      <c r="A83" s="46" t="s">
        <v>222</v>
      </c>
      <c r="B83" s="36"/>
      <c r="C83" s="49"/>
      <c r="D83" s="36"/>
      <c r="E83" s="47"/>
      <c r="F83" s="47"/>
      <c r="G83" s="47">
        <f t="shared" ref="G83:R83" si="18">SUM(G72:G81)</f>
        <v>765.37304147120255</v>
      </c>
      <c r="H83" s="47">
        <f t="shared" si="18"/>
        <v>1412.1231613435555</v>
      </c>
      <c r="I83" s="47">
        <f t="shared" si="18"/>
        <v>1414.6649830339738</v>
      </c>
      <c r="J83" s="47">
        <f t="shared" si="18"/>
        <v>1417.2113800034349</v>
      </c>
      <c r="K83" s="47">
        <f t="shared" si="18"/>
        <v>1419.7623604874409</v>
      </c>
      <c r="L83" s="47">
        <f t="shared" si="18"/>
        <v>1326.7706883251042</v>
      </c>
      <c r="M83" s="47">
        <f t="shared" si="18"/>
        <v>1424.878105015244</v>
      </c>
      <c r="N83" s="47">
        <f t="shared" si="18"/>
        <v>1427.4428856042716</v>
      </c>
      <c r="O83" s="33">
        <f t="shared" si="18"/>
        <v>1430.0122827983596</v>
      </c>
      <c r="P83" s="101">
        <f t="shared" si="18"/>
        <v>1432.5863049073967</v>
      </c>
      <c r="Q83" s="129">
        <f t="shared" si="18"/>
        <v>1338.7546893372632</v>
      </c>
      <c r="R83" s="129">
        <f t="shared" si="18"/>
        <v>1437.7482571846911</v>
      </c>
      <c r="S83" s="36"/>
    </row>
    <row r="84" spans="1:19" ht="11.1" customHeight="1">
      <c r="A84" s="48" t="s">
        <v>223</v>
      </c>
      <c r="B84" s="36"/>
      <c r="C84" s="50"/>
      <c r="D84" s="36"/>
      <c r="E84" s="36"/>
      <c r="F84" s="36"/>
      <c r="G84" s="47">
        <f t="shared" ref="G84:R84" si="19">-($B$5*G67)/$C$45</f>
        <v>-207.79772404932174</v>
      </c>
      <c r="H84" s="47">
        <f t="shared" si="19"/>
        <v>-208.17175995261053</v>
      </c>
      <c r="I84" s="47">
        <f t="shared" si="19"/>
        <v>-208.54646912052519</v>
      </c>
      <c r="J84" s="47">
        <f t="shared" si="19"/>
        <v>-208.9218527649422</v>
      </c>
      <c r="K84" s="47">
        <f t="shared" si="19"/>
        <v>-209.29791209991905</v>
      </c>
      <c r="L84" s="47">
        <f t="shared" si="19"/>
        <v>-209.67464834169891</v>
      </c>
      <c r="M84" s="47">
        <f t="shared" si="19"/>
        <v>-210.052062708714</v>
      </c>
      <c r="N84" s="47">
        <f t="shared" si="19"/>
        <v>-210.43015642158971</v>
      </c>
      <c r="O84" s="33">
        <f t="shared" si="19"/>
        <v>-210.8089307031486</v>
      </c>
      <c r="P84" s="101">
        <f t="shared" si="19"/>
        <v>-211.18838677841427</v>
      </c>
      <c r="Q84" s="47">
        <f t="shared" si="19"/>
        <v>-211.5685258746154</v>
      </c>
      <c r="R84" s="47">
        <f t="shared" si="19"/>
        <v>-211.94934922118975</v>
      </c>
      <c r="S84" s="36"/>
    </row>
    <row r="85" spans="1:19" s="26" customFormat="1" ht="11.1" customHeight="1" thickBot="1">
      <c r="A85" s="51" t="s">
        <v>158</v>
      </c>
      <c r="B85" s="29"/>
      <c r="C85" s="29"/>
      <c r="D85" s="29"/>
      <c r="E85" s="29"/>
      <c r="F85" s="29"/>
      <c r="G85" s="30">
        <f>SUM(G83:G84)</f>
        <v>557.57531742188075</v>
      </c>
      <c r="H85" s="30">
        <f t="shared" ref="H85:R85" si="20">SUM(H83:H84)</f>
        <v>1203.951401390945</v>
      </c>
      <c r="I85" s="30">
        <f t="shared" si="20"/>
        <v>1206.1185139134486</v>
      </c>
      <c r="J85" s="30">
        <f t="shared" si="20"/>
        <v>1208.2895272384926</v>
      </c>
      <c r="K85" s="30">
        <f t="shared" si="20"/>
        <v>1210.4644483875218</v>
      </c>
      <c r="L85" s="30">
        <f t="shared" si="20"/>
        <v>1117.0960399834053</v>
      </c>
      <c r="M85" s="30">
        <f t="shared" si="20"/>
        <v>1214.8260423065301</v>
      </c>
      <c r="N85" s="30">
        <f t="shared" si="20"/>
        <v>1217.0127291826818</v>
      </c>
      <c r="O85" s="34">
        <f t="shared" si="20"/>
        <v>1219.2033520952109</v>
      </c>
      <c r="P85" s="102">
        <f t="shared" si="20"/>
        <v>1221.3979181289824</v>
      </c>
      <c r="Q85" s="30">
        <f t="shared" si="20"/>
        <v>1127.1861634626478</v>
      </c>
      <c r="R85" s="30">
        <f t="shared" si="20"/>
        <v>1225.7989079635013</v>
      </c>
      <c r="S85" s="128"/>
    </row>
    <row r="86" spans="1:19" ht="11.1" customHeight="1" thickTop="1">
      <c r="A86" s="46" t="s">
        <v>224</v>
      </c>
      <c r="B86" s="36"/>
      <c r="C86" s="36"/>
      <c r="D86" s="36"/>
      <c r="E86" s="36"/>
      <c r="F86" s="36"/>
      <c r="G86" s="62">
        <f t="shared" ref="G86:N86" si="21">IF(G46&lt;=$C$18,SUM(G85:G85),0)</f>
        <v>557.57531742188075</v>
      </c>
      <c r="H86" s="62">
        <f t="shared" si="21"/>
        <v>1203.951401390945</v>
      </c>
      <c r="I86" s="62">
        <f t="shared" si="21"/>
        <v>1206.1185139134486</v>
      </c>
      <c r="J86" s="62">
        <f t="shared" si="21"/>
        <v>1208.2895272384926</v>
      </c>
      <c r="K86" s="62">
        <f t="shared" si="21"/>
        <v>1210.4644483875218</v>
      </c>
      <c r="L86" s="62">
        <f t="shared" si="21"/>
        <v>1117.0960399834053</v>
      </c>
      <c r="M86" s="62">
        <f t="shared" si="21"/>
        <v>1214.8260423065301</v>
      </c>
      <c r="N86" s="62">
        <f t="shared" si="21"/>
        <v>1217.0127291826818</v>
      </c>
      <c r="O86" s="52"/>
      <c r="Q86" s="36"/>
      <c r="R86" s="36"/>
      <c r="S86" s="36"/>
    </row>
    <row r="87" spans="1:19" ht="11.1" customHeight="1">
      <c r="A87" s="53" t="s">
        <v>225</v>
      </c>
      <c r="B87" s="27"/>
      <c r="C87" s="27"/>
      <c r="D87" s="27"/>
      <c r="E87" s="27"/>
      <c r="F87" s="27"/>
      <c r="G87" s="63">
        <f t="shared" ref="G87:N87" si="22">IF($C$18=G46,H85/$E$12,0)</f>
        <v>0</v>
      </c>
      <c r="H87" s="63">
        <f t="shared" si="22"/>
        <v>0</v>
      </c>
      <c r="I87" s="63">
        <f t="shared" si="22"/>
        <v>0</v>
      </c>
      <c r="J87" s="63">
        <f t="shared" si="22"/>
        <v>0</v>
      </c>
      <c r="K87" s="63">
        <f t="shared" si="22"/>
        <v>0</v>
      </c>
      <c r="L87" s="63">
        <f t="shared" si="22"/>
        <v>0</v>
      </c>
      <c r="M87" s="63">
        <f t="shared" si="22"/>
        <v>0</v>
      </c>
      <c r="N87" s="63">
        <f t="shared" si="22"/>
        <v>10601.76827908879</v>
      </c>
      <c r="O87" s="52"/>
      <c r="Q87" s="36"/>
      <c r="R87" s="36"/>
      <c r="S87" s="36"/>
    </row>
    <row r="88" spans="1:19" ht="11.1" customHeight="1">
      <c r="A88" s="46" t="s">
        <v>226</v>
      </c>
      <c r="B88" s="36"/>
      <c r="C88" s="36"/>
      <c r="D88" s="36"/>
      <c r="E88" s="36"/>
      <c r="F88" s="36"/>
      <c r="G88" s="62"/>
      <c r="H88" s="62">
        <f t="shared" ref="H88:N88" si="23">SUM(H86:H87)</f>
        <v>1203.951401390945</v>
      </c>
      <c r="I88" s="62">
        <f t="shared" si="23"/>
        <v>1206.1185139134486</v>
      </c>
      <c r="J88" s="62">
        <f t="shared" si="23"/>
        <v>1208.2895272384926</v>
      </c>
      <c r="K88" s="62">
        <f t="shared" si="23"/>
        <v>1210.4644483875218</v>
      </c>
      <c r="L88" s="62">
        <f t="shared" si="23"/>
        <v>1117.0960399834053</v>
      </c>
      <c r="M88" s="62">
        <f t="shared" si="23"/>
        <v>1214.8260423065301</v>
      </c>
      <c r="N88" s="62">
        <f t="shared" si="23"/>
        <v>11818.781008271471</v>
      </c>
      <c r="O88" s="52"/>
      <c r="Q88" s="36"/>
      <c r="R88" s="36"/>
      <c r="S88" s="36"/>
    </row>
    <row r="89" spans="1:19" ht="11.1" customHeight="1">
      <c r="A89" s="364" t="s">
        <v>238</v>
      </c>
      <c r="B89" s="349"/>
      <c r="C89" s="349"/>
      <c r="D89" s="349"/>
      <c r="E89" s="349"/>
      <c r="F89" s="349"/>
      <c r="G89" s="347">
        <f>-NPV($E$11,H88:N88)</f>
        <v>-10749.468077453079</v>
      </c>
      <c r="H89" s="348">
        <f>H88</f>
        <v>1203.951401390945</v>
      </c>
      <c r="I89" s="348">
        <f t="shared" ref="I89:N89" si="24">I88</f>
        <v>1206.1185139134486</v>
      </c>
      <c r="J89" s="348">
        <f t="shared" si="24"/>
        <v>1208.2895272384926</v>
      </c>
      <c r="K89" s="348">
        <f t="shared" si="24"/>
        <v>1210.4644483875218</v>
      </c>
      <c r="L89" s="348">
        <f t="shared" si="24"/>
        <v>1117.0960399834053</v>
      </c>
      <c r="M89" s="348">
        <f t="shared" si="24"/>
        <v>1214.8260423065301</v>
      </c>
      <c r="N89" s="348">
        <f t="shared" si="24"/>
        <v>11818.781008271471</v>
      </c>
      <c r="O89" s="52"/>
    </row>
    <row r="90" spans="1:19" ht="11.1" customHeight="1">
      <c r="A90" s="54" t="s">
        <v>159</v>
      </c>
      <c r="B90" s="55"/>
      <c r="C90" s="55"/>
      <c r="D90" s="225">
        <f>D60+D86</f>
        <v>-1062.1781975384747</v>
      </c>
      <c r="E90" s="225">
        <f>E60+E86</f>
        <v>-3296.673898923792</v>
      </c>
      <c r="F90" s="225">
        <f>F60+F86</f>
        <v>-3116.4405456347226</v>
      </c>
      <c r="G90" s="225">
        <f>G86-G89</f>
        <v>11307.04339487496</v>
      </c>
      <c r="H90" s="36"/>
      <c r="I90" s="36"/>
      <c r="J90" s="36"/>
      <c r="K90" s="36"/>
      <c r="L90" s="36"/>
      <c r="M90" s="36"/>
      <c r="N90" s="36"/>
      <c r="O90" s="52"/>
    </row>
    <row r="91" spans="1:19" ht="11.1" customHeight="1">
      <c r="A91" s="54" t="s">
        <v>162</v>
      </c>
      <c r="B91" s="55"/>
      <c r="C91" s="222">
        <f>IRR(D90:G90)</f>
        <v>0.26132016649568035</v>
      </c>
      <c r="D91" s="36"/>
      <c r="E91" s="56"/>
      <c r="F91" s="56"/>
      <c r="G91" s="56"/>
      <c r="H91" s="36"/>
      <c r="I91" s="36"/>
      <c r="J91" s="36"/>
      <c r="K91" s="36"/>
      <c r="L91" s="36"/>
      <c r="M91" s="36"/>
      <c r="N91" s="36"/>
      <c r="O91" s="52"/>
    </row>
    <row r="92" spans="1:19" ht="11.1" customHeight="1">
      <c r="A92" s="226" t="s">
        <v>160</v>
      </c>
      <c r="B92" s="227"/>
      <c r="C92" s="228">
        <f>IRR(D92:N92)</f>
        <v>0.14940103748141453</v>
      </c>
      <c r="D92" s="229">
        <f>D90</f>
        <v>-1062.1781975384747</v>
      </c>
      <c r="E92" s="229">
        <f>E90</f>
        <v>-3296.673898923792</v>
      </c>
      <c r="F92" s="229">
        <f>F90</f>
        <v>-3116.4405456347226</v>
      </c>
      <c r="G92" s="229">
        <f>G86</f>
        <v>557.57531742188075</v>
      </c>
      <c r="H92" s="67">
        <f t="shared" ref="H92:N92" si="25">H89</f>
        <v>1203.951401390945</v>
      </c>
      <c r="I92" s="67">
        <f t="shared" si="25"/>
        <v>1206.1185139134486</v>
      </c>
      <c r="J92" s="67">
        <f t="shared" si="25"/>
        <v>1208.2895272384926</v>
      </c>
      <c r="K92" s="67">
        <f t="shared" si="25"/>
        <v>1210.4644483875218</v>
      </c>
      <c r="L92" s="67">
        <f t="shared" si="25"/>
        <v>1117.0960399834053</v>
      </c>
      <c r="M92" s="67">
        <f t="shared" si="25"/>
        <v>1214.8260423065301</v>
      </c>
      <c r="N92" s="67">
        <f t="shared" si="25"/>
        <v>11818.781008271471</v>
      </c>
      <c r="O92" s="52"/>
    </row>
    <row r="93" spans="1:19" ht="11.1" customHeight="1">
      <c r="A93" s="140" t="s">
        <v>161</v>
      </c>
      <c r="B93" s="103"/>
      <c r="C93" s="230" t="s">
        <v>16</v>
      </c>
      <c r="D93" s="70"/>
      <c r="E93" s="70"/>
      <c r="F93" s="70"/>
      <c r="G93" s="70"/>
      <c r="H93" s="36"/>
      <c r="I93" s="36"/>
      <c r="J93" s="36"/>
      <c r="K93" s="36"/>
      <c r="L93" s="36"/>
      <c r="M93" s="36"/>
      <c r="N93" s="36"/>
      <c r="O93" s="52"/>
    </row>
    <row r="94" spans="1:19" ht="11.1" customHeight="1">
      <c r="A94" s="223" t="s">
        <v>240</v>
      </c>
      <c r="B94" s="69"/>
      <c r="C94" s="224">
        <f>((G95+G96)/(D97+D98))^(1/$C$21)-1</f>
        <v>0.52858077913808743</v>
      </c>
      <c r="D94" s="70"/>
      <c r="E94" s="70"/>
      <c r="F94" s="70"/>
      <c r="G94" s="70"/>
      <c r="H94" s="36"/>
      <c r="I94" s="36"/>
      <c r="J94" s="36"/>
      <c r="K94" s="36"/>
      <c r="L94" s="36"/>
      <c r="M94" s="36"/>
      <c r="N94" s="36"/>
      <c r="O94" s="52"/>
    </row>
    <row r="95" spans="1:19" ht="11.1" customHeight="1">
      <c r="A95" s="71" t="s">
        <v>227</v>
      </c>
      <c r="B95" s="70"/>
      <c r="C95" s="72">
        <f>$E$11</f>
        <v>0.11</v>
      </c>
      <c r="D95" s="70"/>
      <c r="E95" s="70"/>
      <c r="F95" s="70"/>
      <c r="G95" s="73">
        <f>G90</f>
        <v>11307.04339487496</v>
      </c>
      <c r="H95" s="36"/>
      <c r="I95" s="36"/>
      <c r="J95" s="36"/>
      <c r="K95" s="36"/>
      <c r="L95" s="36"/>
      <c r="M95" s="36"/>
      <c r="N95" s="36"/>
      <c r="O95" s="52"/>
    </row>
    <row r="96" spans="1:19" ht="11.1" customHeight="1">
      <c r="A96" s="71" t="s">
        <v>228</v>
      </c>
      <c r="B96" s="70"/>
      <c r="C96" s="72">
        <f>$C$17</f>
        <v>4.2799999999999998E-2</v>
      </c>
      <c r="D96" s="70"/>
      <c r="E96" s="70"/>
      <c r="F96" s="70"/>
      <c r="G96" s="73">
        <f>D98*(1+C96)^($G$46)</f>
        <v>-6834.7323647745625</v>
      </c>
      <c r="H96" s="36"/>
      <c r="I96" s="36"/>
      <c r="J96" s="36"/>
      <c r="K96" s="36"/>
      <c r="L96" s="36"/>
      <c r="M96" s="36"/>
      <c r="N96" s="36"/>
      <c r="O96" s="52"/>
    </row>
    <row r="97" spans="1:15" ht="11.1" customHeight="1">
      <c r="A97" s="71" t="s">
        <v>229</v>
      </c>
      <c r="B97" s="70"/>
      <c r="C97" s="72">
        <f>$E$10</f>
        <v>0.125</v>
      </c>
      <c r="D97" s="74">
        <f>(G95)/(1+C97)^($G$46)</f>
        <v>7941.2979673195878</v>
      </c>
      <c r="E97" s="70"/>
      <c r="F97" s="70"/>
      <c r="G97" s="73"/>
      <c r="H97" s="36"/>
      <c r="I97" s="36"/>
      <c r="J97" s="36"/>
      <c r="K97" s="36"/>
      <c r="L97" s="36"/>
      <c r="M97" s="36"/>
      <c r="N97" s="36"/>
      <c r="O97" s="52"/>
    </row>
    <row r="98" spans="1:15" ht="11.1" customHeight="1">
      <c r="A98" s="141" t="s">
        <v>230</v>
      </c>
      <c r="B98" s="75"/>
      <c r="C98" s="142">
        <f>$C$17</f>
        <v>4.2799999999999998E-2</v>
      </c>
      <c r="D98" s="143">
        <f>NPV(C98,E90:F90)</f>
        <v>-6027.239452021613</v>
      </c>
      <c r="E98" s="75"/>
      <c r="F98" s="75"/>
      <c r="G98" s="75"/>
      <c r="H98" s="36"/>
      <c r="I98" s="36"/>
      <c r="J98" s="36"/>
      <c r="K98" s="36"/>
      <c r="L98" s="36"/>
      <c r="M98" s="36"/>
      <c r="N98" s="36"/>
      <c r="O98" s="52"/>
    </row>
    <row r="99" spans="1:15" ht="11.1" customHeight="1">
      <c r="A99" s="71" t="s">
        <v>241</v>
      </c>
      <c r="B99" s="70"/>
      <c r="C99" s="72"/>
      <c r="D99" s="74">
        <f>D90</f>
        <v>-1062.1781975384747</v>
      </c>
      <c r="E99" s="70"/>
      <c r="F99" s="70"/>
      <c r="G99" s="70"/>
      <c r="H99" s="36"/>
      <c r="I99" s="36"/>
      <c r="J99" s="36"/>
      <c r="K99" s="36"/>
      <c r="L99" s="36"/>
      <c r="M99" s="36"/>
      <c r="N99" s="36"/>
      <c r="O99" s="52"/>
    </row>
    <row r="100" spans="1:15" ht="11.1" customHeight="1">
      <c r="A100" s="494" t="s">
        <v>236</v>
      </c>
      <c r="B100" s="495"/>
      <c r="C100" s="495"/>
      <c r="D100" s="498">
        <f>SUM(D97:D99)</f>
        <v>851.88031775950003</v>
      </c>
      <c r="E100" s="486" t="s">
        <v>129</v>
      </c>
      <c r="F100" s="486"/>
      <c r="G100" s="486"/>
      <c r="H100" s="36"/>
      <c r="I100" s="36"/>
      <c r="J100" s="36"/>
      <c r="K100" s="36"/>
      <c r="L100" s="36"/>
      <c r="M100" s="36"/>
      <c r="N100" s="36"/>
      <c r="O100" s="52"/>
    </row>
    <row r="101" spans="1:15" s="41" customFormat="1" ht="15" customHeight="1">
      <c r="A101" s="496"/>
      <c r="B101" s="497"/>
      <c r="C101" s="497"/>
      <c r="D101" s="499"/>
      <c r="E101" s="487"/>
      <c r="F101" s="487"/>
      <c r="G101" s="487"/>
      <c r="H101" s="192"/>
      <c r="I101" s="192"/>
      <c r="J101" s="192"/>
      <c r="K101" s="192"/>
      <c r="L101" s="192"/>
      <c r="M101" s="192"/>
      <c r="N101" s="192"/>
      <c r="O101" s="193"/>
    </row>
    <row r="102" spans="1:15" s="41" customFormat="1" ht="11.1" customHeight="1">
      <c r="A102" s="194"/>
      <c r="B102" s="194"/>
      <c r="O102" s="56"/>
    </row>
    <row r="103" spans="1:15" s="41" customFormat="1" ht="11.1" customHeight="1">
      <c r="A103" s="197"/>
      <c r="B103" s="194"/>
      <c r="C103" s="194"/>
      <c r="D103" s="195"/>
      <c r="E103" s="196"/>
      <c r="F103" s="196"/>
      <c r="G103" s="192"/>
      <c r="H103" s="192"/>
      <c r="I103" s="192"/>
      <c r="J103" s="192"/>
      <c r="K103" s="192"/>
      <c r="L103" s="192"/>
      <c r="M103" s="192"/>
      <c r="N103" s="192"/>
      <c r="O103" s="192"/>
    </row>
    <row r="106" spans="1:15" ht="11.1" customHeight="1">
      <c r="C106" s="315"/>
    </row>
    <row r="107" spans="1:15" ht="11.1" customHeight="1">
      <c r="C107" s="315"/>
      <c r="D107" s="316"/>
    </row>
  </sheetData>
  <mergeCells count="40">
    <mergeCell ref="A31:A33"/>
    <mergeCell ref="B31:C31"/>
    <mergeCell ref="D31:E31"/>
    <mergeCell ref="F31:G31"/>
    <mergeCell ref="H31:I31"/>
    <mergeCell ref="B32:C33"/>
    <mergeCell ref="D32:E33"/>
    <mergeCell ref="F32:G33"/>
    <mergeCell ref="H32:I33"/>
    <mergeCell ref="F34:G35"/>
    <mergeCell ref="H34:I35"/>
    <mergeCell ref="L34:L35"/>
    <mergeCell ref="M34:M35"/>
    <mergeCell ref="I1:O1"/>
    <mergeCell ref="J31:K31"/>
    <mergeCell ref="L31:L33"/>
    <mergeCell ref="M31:M33"/>
    <mergeCell ref="N31:N33"/>
    <mergeCell ref="J32:K33"/>
    <mergeCell ref="B67:D67"/>
    <mergeCell ref="J34:K35"/>
    <mergeCell ref="B62:D62"/>
    <mergeCell ref="B63:D63"/>
    <mergeCell ref="B64:D64"/>
    <mergeCell ref="B65:D65"/>
    <mergeCell ref="B66:D66"/>
    <mergeCell ref="H45:O45"/>
    <mergeCell ref="N34:N35"/>
    <mergeCell ref="A44:B45"/>
    <mergeCell ref="D44:G44"/>
    <mergeCell ref="H44:O44"/>
    <mergeCell ref="E45:F45"/>
    <mergeCell ref="A34:A35"/>
    <mergeCell ref="B34:C35"/>
    <mergeCell ref="D34:E35"/>
    <mergeCell ref="B68:D68"/>
    <mergeCell ref="B69:D69"/>
    <mergeCell ref="A100:C101"/>
    <mergeCell ref="D100:D101"/>
    <mergeCell ref="E100:G101"/>
  </mergeCells>
  <conditionalFormatting sqref="H47:O47">
    <cfRule type="containsText" dxfId="0" priority="1" operator="containsText" text="Reversion">
      <formula>NOT(ISERROR(SEARCH("Reversion",H47)))</formula>
    </cfRule>
  </conditionalFormatting>
  <pageMargins left="1" right="1" top="1" bottom="1" header="0.5" footer="0.5"/>
  <pageSetup paperSize="3" orientation="landscape" horizontalDpi="4294967292" verticalDpi="4294967292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T42"/>
  <sheetViews>
    <sheetView topLeftCell="N28" zoomScale="115" zoomScaleNormal="115" workbookViewId="0">
      <selection activeCell="S36" sqref="S36:T42"/>
    </sheetView>
  </sheetViews>
  <sheetFormatPr baseColWidth="10" defaultColWidth="10.875" defaultRowHeight="14.25"/>
  <cols>
    <col min="1" max="4" width="10.875" style="1" customWidth="1"/>
    <col min="5" max="10" width="18" style="1" customWidth="1"/>
    <col min="11" max="11" width="12" style="1" customWidth="1"/>
    <col min="12" max="12" width="10.875" style="1"/>
    <col min="13" max="13" width="14.5" style="1" customWidth="1"/>
    <col min="14" max="17" width="13.125" style="1" customWidth="1"/>
    <col min="18" max="18" width="9.625" style="1" customWidth="1"/>
    <col min="19" max="19" width="33.125" style="1" bestFit="1" customWidth="1"/>
    <col min="20" max="20" width="36.75" style="1" bestFit="1" customWidth="1"/>
    <col min="21" max="21" width="13.125" style="1" customWidth="1"/>
    <col min="22" max="22" width="9.625" style="1" customWidth="1"/>
    <col min="23" max="24" width="13.125" style="1" customWidth="1"/>
    <col min="25" max="25" width="9.625" style="1" customWidth="1"/>
    <col min="26" max="16384" width="10.875" style="1"/>
  </cols>
  <sheetData>
    <row r="1" spans="1:20" ht="15" thickBot="1"/>
    <row r="2" spans="1:20" ht="15.95" customHeight="1">
      <c r="A2" s="580" t="s">
        <v>130</v>
      </c>
      <c r="B2" s="581"/>
      <c r="C2" s="581"/>
      <c r="D2" s="581"/>
      <c r="E2" s="581"/>
      <c r="F2" s="581"/>
      <c r="G2" s="581"/>
      <c r="H2" s="581"/>
      <c r="I2" s="581"/>
      <c r="J2" s="582"/>
      <c r="K2" s="251"/>
      <c r="R2" s="15"/>
      <c r="S2" s="15"/>
      <c r="T2" s="15"/>
    </row>
    <row r="3" spans="1:20" ht="15.95" customHeight="1">
      <c r="A3" s="588"/>
      <c r="B3" s="583" t="s">
        <v>131</v>
      </c>
      <c r="C3" s="583"/>
      <c r="D3" s="583"/>
      <c r="E3" s="583" t="s">
        <v>54</v>
      </c>
      <c r="F3" s="583"/>
      <c r="G3" s="583" t="s">
        <v>123</v>
      </c>
      <c r="H3" s="583"/>
      <c r="I3" s="595" t="s">
        <v>138</v>
      </c>
      <c r="J3" s="596"/>
      <c r="L3" s="249"/>
      <c r="M3" s="249"/>
      <c r="N3" s="249"/>
      <c r="O3" s="249"/>
      <c r="P3" s="249"/>
      <c r="Q3" s="249"/>
      <c r="R3" s="15"/>
    </row>
    <row r="4" spans="1:20" ht="18.75" customHeight="1">
      <c r="A4" s="588"/>
      <c r="B4" s="584" t="s">
        <v>0</v>
      </c>
      <c r="C4" s="584" t="s">
        <v>132</v>
      </c>
      <c r="D4" s="584" t="s">
        <v>133</v>
      </c>
      <c r="E4" s="584" t="s">
        <v>140</v>
      </c>
      <c r="F4" s="584" t="s">
        <v>135</v>
      </c>
      <c r="G4" s="584" t="s">
        <v>134</v>
      </c>
      <c r="H4" s="584" t="s">
        <v>136</v>
      </c>
      <c r="I4" s="590" t="s">
        <v>137</v>
      </c>
      <c r="J4" s="586" t="s">
        <v>139</v>
      </c>
      <c r="M4" s="674" t="s">
        <v>188</v>
      </c>
      <c r="N4" s="674"/>
      <c r="O4" s="674"/>
      <c r="P4" s="674"/>
      <c r="Q4" s="674"/>
      <c r="R4" s="15"/>
    </row>
    <row r="5" spans="1:20" ht="12" customHeight="1">
      <c r="A5" s="588"/>
      <c r="B5" s="584"/>
      <c r="C5" s="584"/>
      <c r="D5" s="584"/>
      <c r="E5" s="584"/>
      <c r="F5" s="584"/>
      <c r="G5" s="584"/>
      <c r="H5" s="584"/>
      <c r="I5" s="591"/>
      <c r="J5" s="586"/>
      <c r="M5" s="597" t="s">
        <v>141</v>
      </c>
      <c r="N5" s="613" t="s">
        <v>142</v>
      </c>
      <c r="O5" s="675" t="s">
        <v>143</v>
      </c>
      <c r="P5" s="597" t="s">
        <v>137</v>
      </c>
      <c r="Q5" s="597" t="s">
        <v>144</v>
      </c>
      <c r="R5" s="15"/>
    </row>
    <row r="6" spans="1:20" ht="21.75" customHeight="1" thickBot="1">
      <c r="A6" s="589"/>
      <c r="B6" s="585"/>
      <c r="C6" s="585"/>
      <c r="D6" s="585"/>
      <c r="E6" s="585"/>
      <c r="F6" s="585"/>
      <c r="G6" s="585"/>
      <c r="H6" s="585"/>
      <c r="I6" s="592"/>
      <c r="J6" s="587"/>
      <c r="M6" s="597"/>
      <c r="N6" s="613"/>
      <c r="O6" s="675"/>
      <c r="P6" s="597"/>
      <c r="Q6" s="597"/>
      <c r="R6" s="15"/>
    </row>
    <row r="7" spans="1:20" ht="12" customHeight="1">
      <c r="A7" s="205" t="s">
        <v>55</v>
      </c>
      <c r="B7" s="206" t="s">
        <v>1</v>
      </c>
      <c r="C7" s="280">
        <v>83.06</v>
      </c>
      <c r="D7" s="319">
        <f t="shared" ref="D7:D26" si="0">C7/$C$28</f>
        <v>2.3078504704058325E-2</v>
      </c>
      <c r="E7" s="593">
        <f>+'Caso Base | Flujo de Caja'!B34</f>
        <v>1062178.1975384748</v>
      </c>
      <c r="F7" s="213">
        <f t="shared" ref="F7:F27" si="1">D7*$E$7</f>
        <v>24513.484528439883</v>
      </c>
      <c r="G7" s="593">
        <f>+G28</f>
        <v>1914058.5152979749</v>
      </c>
      <c r="H7" s="318">
        <f>D7*$G$28</f>
        <v>44173.608449147207</v>
      </c>
      <c r="I7" s="235">
        <f t="shared" ref="I7:I27" si="2">H7-F7</f>
        <v>19660.123920707323</v>
      </c>
      <c r="J7" s="601">
        <f>+I7/F7</f>
        <v>0.80201261872412211</v>
      </c>
      <c r="M7" s="327" t="s">
        <v>55</v>
      </c>
      <c r="N7" s="221">
        <f t="shared" ref="N7:N27" si="3">F7</f>
        <v>24513.484528439883</v>
      </c>
      <c r="O7" s="350">
        <f t="shared" ref="O7:O27" si="4">H7</f>
        <v>44173.608449147207</v>
      </c>
      <c r="P7" s="241">
        <f>O7-N7</f>
        <v>19660.123920707323</v>
      </c>
      <c r="Q7" s="673">
        <f>(O7-N7)/N7</f>
        <v>0.80201261872412211</v>
      </c>
      <c r="R7" s="15"/>
    </row>
    <row r="8" spans="1:20" ht="12" customHeight="1">
      <c r="A8" s="38" t="s">
        <v>56</v>
      </c>
      <c r="B8" s="4" t="s">
        <v>1</v>
      </c>
      <c r="C8" s="268"/>
      <c r="D8" s="319">
        <f t="shared" si="0"/>
        <v>0</v>
      </c>
      <c r="E8" s="594"/>
      <c r="F8" s="213">
        <f t="shared" si="1"/>
        <v>0</v>
      </c>
      <c r="G8" s="594"/>
      <c r="H8" s="318">
        <f t="shared" ref="H8:H27" si="5">D8*$G$28</f>
        <v>0</v>
      </c>
      <c r="I8" s="235">
        <f t="shared" si="2"/>
        <v>0</v>
      </c>
      <c r="J8" s="602"/>
      <c r="M8" s="327" t="s">
        <v>56</v>
      </c>
      <c r="N8" s="221">
        <f t="shared" si="3"/>
        <v>0</v>
      </c>
      <c r="O8" s="350">
        <f t="shared" si="4"/>
        <v>0</v>
      </c>
      <c r="P8" s="241">
        <f t="shared" ref="P8:P16" si="6">O8-N8</f>
        <v>0</v>
      </c>
      <c r="Q8" s="673"/>
    </row>
    <row r="9" spans="1:20" ht="12" customHeight="1">
      <c r="A9" s="205" t="s">
        <v>57</v>
      </c>
      <c r="B9" s="4" t="s">
        <v>2</v>
      </c>
      <c r="C9" s="268"/>
      <c r="D9" s="319">
        <f t="shared" si="0"/>
        <v>0</v>
      </c>
      <c r="E9" s="594"/>
      <c r="F9" s="213">
        <f t="shared" si="1"/>
        <v>0</v>
      </c>
      <c r="G9" s="594"/>
      <c r="H9" s="318">
        <f t="shared" si="5"/>
        <v>0</v>
      </c>
      <c r="I9" s="235">
        <f t="shared" si="2"/>
        <v>0</v>
      </c>
      <c r="J9" s="602"/>
      <c r="M9" s="327" t="s">
        <v>57</v>
      </c>
      <c r="N9" s="221">
        <f t="shared" si="3"/>
        <v>0</v>
      </c>
      <c r="O9" s="350">
        <f t="shared" si="4"/>
        <v>0</v>
      </c>
      <c r="P9" s="241">
        <f t="shared" si="6"/>
        <v>0</v>
      </c>
      <c r="Q9" s="673"/>
    </row>
    <row r="10" spans="1:20" ht="12" customHeight="1">
      <c r="A10" s="38" t="s">
        <v>58</v>
      </c>
      <c r="B10" s="4" t="s">
        <v>1</v>
      </c>
      <c r="C10" s="268">
        <v>137.41</v>
      </c>
      <c r="D10" s="319">
        <f t="shared" si="0"/>
        <v>3.8179837844746621E-2</v>
      </c>
      <c r="E10" s="594"/>
      <c r="F10" s="213">
        <f t="shared" si="1"/>
        <v>40553.791344244215</v>
      </c>
      <c r="G10" s="594"/>
      <c r="H10" s="318">
        <f t="shared" si="5"/>
        <v>73078.443739433147</v>
      </c>
      <c r="I10" s="235">
        <f t="shared" si="2"/>
        <v>32524.652395188932</v>
      </c>
      <c r="J10" s="602"/>
      <c r="M10" s="327" t="s">
        <v>58</v>
      </c>
      <c r="N10" s="221">
        <f t="shared" si="3"/>
        <v>40553.791344244215</v>
      </c>
      <c r="O10" s="350">
        <f t="shared" si="4"/>
        <v>73078.443739433147</v>
      </c>
      <c r="P10" s="241">
        <f t="shared" si="6"/>
        <v>32524.652395188932</v>
      </c>
      <c r="Q10" s="673"/>
    </row>
    <row r="11" spans="1:20" ht="12" customHeight="1">
      <c r="A11" s="205" t="s">
        <v>59</v>
      </c>
      <c r="B11" s="4" t="s">
        <v>1</v>
      </c>
      <c r="C11" s="268">
        <v>232.03</v>
      </c>
      <c r="D11" s="319">
        <f t="shared" si="0"/>
        <v>6.4470328033742516E-2</v>
      </c>
      <c r="E11" s="594"/>
      <c r="F11" s="213">
        <f t="shared" si="1"/>
        <v>68478.976825594829</v>
      </c>
      <c r="G11" s="594"/>
      <c r="H11" s="318">
        <f t="shared" si="5"/>
        <v>123399.98035703861</v>
      </c>
      <c r="I11" s="235">
        <f t="shared" si="2"/>
        <v>54921.003531443785</v>
      </c>
      <c r="J11" s="602"/>
      <c r="M11" s="327" t="s">
        <v>59</v>
      </c>
      <c r="N11" s="221">
        <f t="shared" si="3"/>
        <v>68478.976825594829</v>
      </c>
      <c r="O11" s="350">
        <f t="shared" si="4"/>
        <v>123399.98035703861</v>
      </c>
      <c r="P11" s="241">
        <f t="shared" si="6"/>
        <v>54921.003531443785</v>
      </c>
      <c r="Q11" s="673"/>
    </row>
    <row r="12" spans="1:20" ht="12" customHeight="1">
      <c r="A12" s="38" t="s">
        <v>60</v>
      </c>
      <c r="B12" s="4" t="s">
        <v>1</v>
      </c>
      <c r="C12" s="268">
        <v>123.15</v>
      </c>
      <c r="D12" s="319">
        <f t="shared" si="0"/>
        <v>3.4217648137548552E-2</v>
      </c>
      <c r="E12" s="594"/>
      <c r="F12" s="213">
        <f t="shared" si="1"/>
        <v>36345.239822747069</v>
      </c>
      <c r="G12" s="594"/>
      <c r="H12" s="318">
        <f t="shared" si="5"/>
        <v>65494.580791144697</v>
      </c>
      <c r="I12" s="235">
        <f t="shared" si="2"/>
        <v>29149.340968397628</v>
      </c>
      <c r="J12" s="602"/>
      <c r="M12" s="327" t="s">
        <v>60</v>
      </c>
      <c r="N12" s="221">
        <f t="shared" si="3"/>
        <v>36345.239822747069</v>
      </c>
      <c r="O12" s="350">
        <f t="shared" si="4"/>
        <v>65494.580791144697</v>
      </c>
      <c r="P12" s="241">
        <f t="shared" si="6"/>
        <v>29149.340968397628</v>
      </c>
      <c r="Q12" s="673"/>
    </row>
    <row r="13" spans="1:20" ht="12" customHeight="1">
      <c r="A13" s="205" t="s">
        <v>61</v>
      </c>
      <c r="B13" s="4" t="s">
        <v>2</v>
      </c>
      <c r="C13" s="268">
        <v>108.61</v>
      </c>
      <c r="D13" s="319">
        <f t="shared" si="0"/>
        <v>3.0177659473967909E-2</v>
      </c>
      <c r="E13" s="594"/>
      <c r="F13" s="213">
        <f t="shared" si="1"/>
        <v>32054.051945989111</v>
      </c>
      <c r="G13" s="594"/>
      <c r="H13" s="318">
        <f t="shared" si="5"/>
        <v>57761.806087910882</v>
      </c>
      <c r="I13" s="235">
        <f t="shared" si="2"/>
        <v>25707.75414192177</v>
      </c>
      <c r="J13" s="602"/>
      <c r="M13" s="327" t="s">
        <v>61</v>
      </c>
      <c r="N13" s="221">
        <f t="shared" si="3"/>
        <v>32054.051945989111</v>
      </c>
      <c r="O13" s="350">
        <f t="shared" si="4"/>
        <v>57761.806087910882</v>
      </c>
      <c r="P13" s="241">
        <f t="shared" si="6"/>
        <v>25707.75414192177</v>
      </c>
      <c r="Q13" s="673"/>
    </row>
    <row r="14" spans="1:20" ht="12" customHeight="1">
      <c r="A14" s="38" t="s">
        <v>62</v>
      </c>
      <c r="B14" s="4" t="s">
        <v>2</v>
      </c>
      <c r="C14" s="268">
        <v>254.94</v>
      </c>
      <c r="D14" s="319">
        <f t="shared" si="0"/>
        <v>7.0835949786330718E-2</v>
      </c>
      <c r="E14" s="594"/>
      <c r="F14" s="213">
        <f t="shared" si="1"/>
        <v>75240.401464970666</v>
      </c>
      <c r="G14" s="594"/>
      <c r="H14" s="318">
        <f t="shared" si="5"/>
        <v>135584.15287774609</v>
      </c>
      <c r="I14" s="235">
        <f t="shared" si="2"/>
        <v>60343.751412775426</v>
      </c>
      <c r="J14" s="602"/>
      <c r="M14" s="327" t="s">
        <v>62</v>
      </c>
      <c r="N14" s="221">
        <f t="shared" si="3"/>
        <v>75240.401464970666</v>
      </c>
      <c r="O14" s="350">
        <f t="shared" si="4"/>
        <v>135584.15287774609</v>
      </c>
      <c r="P14" s="241">
        <f t="shared" si="6"/>
        <v>60343.751412775426</v>
      </c>
      <c r="Q14" s="673"/>
    </row>
    <row r="15" spans="1:20" ht="12" customHeight="1">
      <c r="A15" s="205" t="s">
        <v>63</v>
      </c>
      <c r="B15" s="4" t="s">
        <v>1</v>
      </c>
      <c r="C15" s="268">
        <v>216.19</v>
      </c>
      <c r="D15" s="319">
        <f t="shared" si="0"/>
        <v>6.0069129929814218E-2</v>
      </c>
      <c r="E15" s="594"/>
      <c r="F15" s="213">
        <f t="shared" si="1"/>
        <v>63804.120156554513</v>
      </c>
      <c r="G15" s="594"/>
      <c r="H15" s="318">
        <f t="shared" si="5"/>
        <v>114975.82964870134</v>
      </c>
      <c r="I15" s="235">
        <f t="shared" si="2"/>
        <v>51171.709492146831</v>
      </c>
      <c r="J15" s="602"/>
      <c r="M15" s="327" t="s">
        <v>63</v>
      </c>
      <c r="N15" s="221">
        <f t="shared" si="3"/>
        <v>63804.120156554513</v>
      </c>
      <c r="O15" s="350">
        <f t="shared" si="4"/>
        <v>114975.82964870134</v>
      </c>
      <c r="P15" s="241">
        <f t="shared" si="6"/>
        <v>51171.709492146831</v>
      </c>
      <c r="Q15" s="673"/>
    </row>
    <row r="16" spans="1:20" ht="12" customHeight="1">
      <c r="A16" s="38" t="s">
        <v>64</v>
      </c>
      <c r="B16" s="4" t="s">
        <v>1</v>
      </c>
      <c r="C16" s="268">
        <v>264.27999999999997</v>
      </c>
      <c r="D16" s="319">
        <f t="shared" si="0"/>
        <v>7.3431100688520753E-2</v>
      </c>
      <c r="E16" s="594"/>
      <c r="F16" s="213">
        <f t="shared" si="1"/>
        <v>77996.914172599223</v>
      </c>
      <c r="G16" s="594"/>
      <c r="H16" s="318">
        <f t="shared" si="5"/>
        <v>140551.42356056612</v>
      </c>
      <c r="I16" s="235">
        <f t="shared" si="2"/>
        <v>62554.5093879669</v>
      </c>
      <c r="J16" s="602"/>
      <c r="M16" s="327" t="s">
        <v>64</v>
      </c>
      <c r="N16" s="221">
        <f t="shared" si="3"/>
        <v>77996.914172599223</v>
      </c>
      <c r="O16" s="350">
        <f t="shared" si="4"/>
        <v>140551.42356056612</v>
      </c>
      <c r="P16" s="241">
        <f t="shared" si="6"/>
        <v>62554.5093879669</v>
      </c>
      <c r="Q16" s="673"/>
    </row>
    <row r="17" spans="1:17" ht="12" customHeight="1">
      <c r="A17" s="205" t="s">
        <v>73</v>
      </c>
      <c r="B17" s="4" t="s">
        <v>2</v>
      </c>
      <c r="C17" s="268"/>
      <c r="D17" s="319">
        <f t="shared" si="0"/>
        <v>0</v>
      </c>
      <c r="E17" s="594"/>
      <c r="F17" s="213">
        <f t="shared" si="1"/>
        <v>0</v>
      </c>
      <c r="G17" s="594"/>
      <c r="H17" s="318">
        <f t="shared" si="5"/>
        <v>0</v>
      </c>
      <c r="I17" s="235">
        <f t="shared" si="2"/>
        <v>0</v>
      </c>
      <c r="J17" s="602"/>
      <c r="M17" s="327" t="s">
        <v>73</v>
      </c>
      <c r="N17" s="221">
        <f t="shared" si="3"/>
        <v>0</v>
      </c>
      <c r="O17" s="350">
        <f t="shared" si="4"/>
        <v>0</v>
      </c>
      <c r="P17" s="241">
        <f>O17-N17</f>
        <v>0</v>
      </c>
      <c r="Q17" s="673"/>
    </row>
    <row r="18" spans="1:17" ht="12" customHeight="1">
      <c r="A18" s="38" t="s">
        <v>74</v>
      </c>
      <c r="B18" s="4" t="s">
        <v>2</v>
      </c>
      <c r="C18" s="268"/>
      <c r="D18" s="319">
        <f t="shared" si="0"/>
        <v>0</v>
      </c>
      <c r="E18" s="594"/>
      <c r="F18" s="213">
        <f t="shared" si="1"/>
        <v>0</v>
      </c>
      <c r="G18" s="594"/>
      <c r="H18" s="318">
        <f t="shared" si="5"/>
        <v>0</v>
      </c>
      <c r="I18" s="235">
        <f t="shared" si="2"/>
        <v>0</v>
      </c>
      <c r="J18" s="602"/>
      <c r="M18" s="327" t="s">
        <v>74</v>
      </c>
      <c r="N18" s="221">
        <f t="shared" si="3"/>
        <v>0</v>
      </c>
      <c r="O18" s="350">
        <f t="shared" si="4"/>
        <v>0</v>
      </c>
      <c r="P18" s="241">
        <f t="shared" ref="P18:P27" si="7">O18-N18</f>
        <v>0</v>
      </c>
      <c r="Q18" s="673"/>
    </row>
    <row r="19" spans="1:17" ht="12" customHeight="1">
      <c r="A19" s="205" t="s">
        <v>75</v>
      </c>
      <c r="B19" s="4" t="s">
        <v>2</v>
      </c>
      <c r="C19" s="268">
        <v>170.97</v>
      </c>
      <c r="D19" s="319">
        <f t="shared" si="0"/>
        <v>4.7504598474029033E-2</v>
      </c>
      <c r="E19" s="594"/>
      <c r="F19" s="213">
        <f t="shared" si="1"/>
        <v>50458.348781933142</v>
      </c>
      <c r="G19" s="594"/>
      <c r="H19" s="318">
        <f t="shared" si="5"/>
        <v>90926.581225026457</v>
      </c>
      <c r="I19" s="235">
        <f t="shared" si="2"/>
        <v>40468.232443093315</v>
      </c>
      <c r="J19" s="602"/>
      <c r="M19" s="327" t="s">
        <v>75</v>
      </c>
      <c r="N19" s="221">
        <f t="shared" si="3"/>
        <v>50458.348781933142</v>
      </c>
      <c r="O19" s="350">
        <f t="shared" si="4"/>
        <v>90926.581225026457</v>
      </c>
      <c r="P19" s="241">
        <f t="shared" si="7"/>
        <v>40468.232443093315</v>
      </c>
      <c r="Q19" s="673"/>
    </row>
    <row r="20" spans="1:17" ht="12" customHeight="1">
      <c r="A20" s="38" t="s">
        <v>76</v>
      </c>
      <c r="B20" s="4" t="s">
        <v>2</v>
      </c>
      <c r="C20" s="268">
        <v>509.1</v>
      </c>
      <c r="D20" s="319">
        <f t="shared" si="0"/>
        <v>0.14145517390845286</v>
      </c>
      <c r="E20" s="594"/>
      <c r="F20" s="213">
        <f t="shared" si="1"/>
        <v>150250.60165457195</v>
      </c>
      <c r="G20" s="594"/>
      <c r="H20" s="318">
        <f t="shared" si="5"/>
        <v>270753.48015243013</v>
      </c>
      <c r="I20" s="235">
        <f t="shared" si="2"/>
        <v>120502.87849785818</v>
      </c>
      <c r="J20" s="602"/>
      <c r="M20" s="327" t="s">
        <v>76</v>
      </c>
      <c r="N20" s="221">
        <f t="shared" si="3"/>
        <v>150250.60165457195</v>
      </c>
      <c r="O20" s="350">
        <f t="shared" si="4"/>
        <v>270753.48015243013</v>
      </c>
      <c r="P20" s="241">
        <f t="shared" si="7"/>
        <v>120502.87849785818</v>
      </c>
      <c r="Q20" s="673"/>
    </row>
    <row r="21" spans="1:17" ht="12" customHeight="1">
      <c r="A21" s="205" t="s">
        <v>65</v>
      </c>
      <c r="B21" s="4" t="s">
        <v>2</v>
      </c>
      <c r="C21" s="268">
        <v>145.1</v>
      </c>
      <c r="D21" s="319">
        <f t="shared" si="0"/>
        <v>4.0316530611110797E-2</v>
      </c>
      <c r="E21" s="594"/>
      <c r="F21" s="213">
        <f t="shared" si="1"/>
        <v>42823.33981551441</v>
      </c>
      <c r="G21" s="594"/>
      <c r="H21" s="318">
        <f t="shared" si="5"/>
        <v>77168.198723468086</v>
      </c>
      <c r="I21" s="235">
        <f t="shared" si="2"/>
        <v>34344.858907953676</v>
      </c>
      <c r="J21" s="602"/>
      <c r="M21" s="327" t="s">
        <v>65</v>
      </c>
      <c r="N21" s="221">
        <f t="shared" si="3"/>
        <v>42823.33981551441</v>
      </c>
      <c r="O21" s="350">
        <f t="shared" si="4"/>
        <v>77168.198723468086</v>
      </c>
      <c r="P21" s="241">
        <f t="shared" si="7"/>
        <v>34344.858907953676</v>
      </c>
      <c r="Q21" s="673"/>
    </row>
    <row r="22" spans="1:17" ht="12" customHeight="1">
      <c r="A22" s="38" t="s">
        <v>66</v>
      </c>
      <c r="B22" s="4" t="s">
        <v>2</v>
      </c>
      <c r="C22" s="268">
        <v>122.88</v>
      </c>
      <c r="D22" s="319">
        <f t="shared" si="0"/>
        <v>3.4142627715322497E-2</v>
      </c>
      <c r="E22" s="594"/>
      <c r="F22" s="213">
        <f t="shared" si="1"/>
        <v>36265.554765888424</v>
      </c>
      <c r="G22" s="594"/>
      <c r="H22" s="318">
        <f t="shared" si="5"/>
        <v>65350.98731316167</v>
      </c>
      <c r="I22" s="235">
        <f t="shared" si="2"/>
        <v>29085.432547273245</v>
      </c>
      <c r="J22" s="602"/>
      <c r="M22" s="327" t="s">
        <v>66</v>
      </c>
      <c r="N22" s="221">
        <f t="shared" si="3"/>
        <v>36265.554765888424</v>
      </c>
      <c r="O22" s="350">
        <f t="shared" si="4"/>
        <v>65350.98731316167</v>
      </c>
      <c r="P22" s="241">
        <f t="shared" si="7"/>
        <v>29085.432547273245</v>
      </c>
      <c r="Q22" s="673"/>
    </row>
    <row r="23" spans="1:17" ht="12" customHeight="1">
      <c r="A23" s="205" t="s">
        <v>67</v>
      </c>
      <c r="B23" s="4" t="s">
        <v>2</v>
      </c>
      <c r="C23" s="268">
        <v>285.79000000000002</v>
      </c>
      <c r="D23" s="319">
        <f t="shared" si="0"/>
        <v>7.9407727659196112E-2</v>
      </c>
      <c r="E23" s="594"/>
      <c r="F23" s="213">
        <f t="shared" si="1"/>
        <v>84345.157035671014</v>
      </c>
      <c r="G23" s="594"/>
      <c r="H23" s="318">
        <f t="shared" si="5"/>
        <v>151991.03730654684</v>
      </c>
      <c r="I23" s="235">
        <f t="shared" si="2"/>
        <v>67645.88027087583</v>
      </c>
      <c r="J23" s="602"/>
      <c r="M23" s="327" t="s">
        <v>67</v>
      </c>
      <c r="N23" s="221">
        <f t="shared" si="3"/>
        <v>84345.157035671014</v>
      </c>
      <c r="O23" s="350">
        <f t="shared" si="4"/>
        <v>151991.03730654684</v>
      </c>
      <c r="P23" s="241">
        <f t="shared" si="7"/>
        <v>67645.88027087583</v>
      </c>
      <c r="Q23" s="673"/>
    </row>
    <row r="24" spans="1:17" ht="12" customHeight="1">
      <c r="A24" s="38" t="s">
        <v>68</v>
      </c>
      <c r="B24" s="4" t="s">
        <v>1</v>
      </c>
      <c r="C24" s="268">
        <v>575.34</v>
      </c>
      <c r="D24" s="319">
        <f t="shared" si="0"/>
        <v>0.1598601841612439</v>
      </c>
      <c r="E24" s="594"/>
      <c r="F24" s="213">
        <f t="shared" si="1"/>
        <v>169800.00227055867</v>
      </c>
      <c r="G24" s="594"/>
      <c r="H24" s="318">
        <f t="shared" si="5"/>
        <v>305981.74675093131</v>
      </c>
      <c r="I24" s="235">
        <f t="shared" si="2"/>
        <v>136181.74448037264</v>
      </c>
      <c r="J24" s="602"/>
      <c r="M24" s="327" t="s">
        <v>68</v>
      </c>
      <c r="N24" s="221">
        <f t="shared" si="3"/>
        <v>169800.00227055867</v>
      </c>
      <c r="O24" s="350">
        <f t="shared" si="4"/>
        <v>305981.74675093131</v>
      </c>
      <c r="P24" s="241">
        <f t="shared" si="7"/>
        <v>136181.74448037264</v>
      </c>
      <c r="Q24" s="673"/>
    </row>
    <row r="25" spans="1:17" ht="12" customHeight="1">
      <c r="A25" s="205" t="s">
        <v>69</v>
      </c>
      <c r="B25" s="4" t="s">
        <v>2</v>
      </c>
      <c r="C25" s="268">
        <v>234.54</v>
      </c>
      <c r="D25" s="319">
        <f t="shared" si="0"/>
        <v>6.5167740107029123E-2</v>
      </c>
      <c r="E25" s="594"/>
      <c r="F25" s="213">
        <f t="shared" si="1"/>
        <v>69219.752724539969</v>
      </c>
      <c r="G25" s="594"/>
      <c r="H25" s="318">
        <f t="shared" si="5"/>
        <v>124734.86787458445</v>
      </c>
      <c r="I25" s="235">
        <f t="shared" si="2"/>
        <v>55515.115150044483</v>
      </c>
      <c r="J25" s="602"/>
      <c r="M25" s="327" t="s">
        <v>69</v>
      </c>
      <c r="N25" s="221">
        <f t="shared" si="3"/>
        <v>69219.752724539969</v>
      </c>
      <c r="O25" s="350">
        <f t="shared" si="4"/>
        <v>124734.86787458445</v>
      </c>
      <c r="P25" s="241">
        <f t="shared" si="7"/>
        <v>55515.115150044483</v>
      </c>
      <c r="Q25" s="673"/>
    </row>
    <row r="26" spans="1:17" ht="12" customHeight="1">
      <c r="A26" s="38" t="s">
        <v>70</v>
      </c>
      <c r="B26" s="4" t="s">
        <v>2</v>
      </c>
      <c r="C26" s="268">
        <v>54.33</v>
      </c>
      <c r="D26" s="319">
        <f t="shared" si="0"/>
        <v>1.5095776072375255E-2</v>
      </c>
      <c r="E26" s="594"/>
      <c r="F26" s="213">
        <f t="shared" si="1"/>
        <v>16034.404218999985</v>
      </c>
      <c r="G26" s="594"/>
      <c r="H26" s="318">
        <f t="shared" si="5"/>
        <v>28894.198736361275</v>
      </c>
      <c r="I26" s="235">
        <f t="shared" si="2"/>
        <v>12859.79451736129</v>
      </c>
      <c r="J26" s="602"/>
      <c r="M26" s="327" t="s">
        <v>70</v>
      </c>
      <c r="N26" s="221">
        <f t="shared" si="3"/>
        <v>16034.404218999985</v>
      </c>
      <c r="O26" s="350">
        <f t="shared" si="4"/>
        <v>28894.198736361275</v>
      </c>
      <c r="P26" s="241">
        <f t="shared" si="7"/>
        <v>12859.79451736129</v>
      </c>
      <c r="Q26" s="673"/>
    </row>
    <row r="27" spans="1:17" ht="12" customHeight="1" thickBot="1">
      <c r="A27" s="205" t="s">
        <v>71</v>
      </c>
      <c r="B27" s="4" t="s">
        <v>2</v>
      </c>
      <c r="C27" s="268">
        <v>81.3</v>
      </c>
      <c r="D27" s="319">
        <f>C27/$C$28</f>
        <v>2.2589482692510734E-2</v>
      </c>
      <c r="E27" s="594"/>
      <c r="F27" s="213">
        <f t="shared" si="1"/>
        <v>23994.056009657623</v>
      </c>
      <c r="G27" s="600"/>
      <c r="H27" s="318">
        <f t="shared" si="5"/>
        <v>43237.591703776394</v>
      </c>
      <c r="I27" s="235">
        <f t="shared" si="2"/>
        <v>19243.535694118771</v>
      </c>
      <c r="J27" s="603"/>
      <c r="M27" s="327" t="s">
        <v>71</v>
      </c>
      <c r="N27" s="221">
        <f t="shared" si="3"/>
        <v>23994.056009657623</v>
      </c>
      <c r="O27" s="350">
        <f t="shared" si="4"/>
        <v>43237.591703776394</v>
      </c>
      <c r="P27" s="241">
        <f t="shared" si="7"/>
        <v>19243.535694118771</v>
      </c>
      <c r="Q27" s="673"/>
    </row>
    <row r="28" spans="1:17" ht="15.95" customHeight="1" thickBot="1">
      <c r="A28" s="678"/>
      <c r="B28" s="208" t="s">
        <v>6</v>
      </c>
      <c r="C28" s="209">
        <f>SUBTOTAL(9,C7:C27)</f>
        <v>3599.0200000000004</v>
      </c>
      <c r="D28" s="210">
        <f>SUBTOTAL(9,D7:D27)</f>
        <v>1</v>
      </c>
      <c r="E28" s="215">
        <f>SUBTOTAL(9,E7:E27)</f>
        <v>1062178.1975384748</v>
      </c>
      <c r="F28" s="215">
        <f>SUBTOTAL(9,F7:F27)</f>
        <v>1062178.1975384746</v>
      </c>
      <c r="G28" s="215">
        <f>+'Caso Opt. RT| Flujo de Caja'!J34</f>
        <v>1914058.5152979749</v>
      </c>
      <c r="H28" s="215">
        <f>SUBTOTAL(9,H7:H27)</f>
        <v>1914058.5152979747</v>
      </c>
      <c r="I28" s="246">
        <f>G28-E28</f>
        <v>851880.31775950012</v>
      </c>
      <c r="J28" s="212">
        <f>I28/E28</f>
        <v>0.80201261872412222</v>
      </c>
      <c r="M28" s="340" t="s">
        <v>185</v>
      </c>
      <c r="N28" s="238">
        <f>SUBTOTAL(9,N7:N27)</f>
        <v>1062178.1975384746</v>
      </c>
      <c r="O28" s="239">
        <f>SUBTOTAL(9,O7:O27)</f>
        <v>1914058.5152979747</v>
      </c>
      <c r="P28" s="242">
        <f>SUBTOTAL(9,P7:P27)</f>
        <v>851880.31775950012</v>
      </c>
      <c r="Q28" s="240">
        <f>J28</f>
        <v>0.80201261872412222</v>
      </c>
    </row>
    <row r="29" spans="1:17" s="6" customFormat="1" ht="14.1" customHeight="1">
      <c r="A29" s="679"/>
      <c r="B29" s="320"/>
      <c r="C29" s="253"/>
      <c r="D29" s="16"/>
      <c r="E29" s="598">
        <f>E28/('Caso RT | m2 del Proyecto'!$E$30-'Caso RT | m2 del Proyecto'!$E$31)</f>
        <v>295.13066024781119</v>
      </c>
      <c r="F29" s="216"/>
      <c r="G29" s="598">
        <f>G28/('Caso RT | m2 del Proyecto'!$E$30-'Caso RT | m2 del Proyecto'!$E$31)</f>
        <v>531.8291739389374</v>
      </c>
      <c r="H29" s="214"/>
      <c r="I29" s="236"/>
      <c r="J29" s="247"/>
      <c r="M29" s="337"/>
      <c r="N29" s="243"/>
      <c r="O29" s="351"/>
      <c r="P29" s="241"/>
      <c r="Q29" s="250"/>
    </row>
    <row r="30" spans="1:17" ht="14.1" customHeight="1" thickBot="1">
      <c r="A30" s="680"/>
      <c r="B30" s="204"/>
      <c r="C30" s="5"/>
      <c r="D30" s="23"/>
      <c r="E30" s="599"/>
      <c r="F30" s="217"/>
      <c r="G30" s="599"/>
      <c r="H30" s="218"/>
      <c r="I30" s="237"/>
      <c r="J30" s="248"/>
      <c r="M30" s="338"/>
      <c r="N30" s="243"/>
      <c r="O30" s="351"/>
      <c r="P30" s="241"/>
      <c r="Q30" s="250"/>
    </row>
    <row r="31" spans="1:17">
      <c r="H31" s="219"/>
    </row>
    <row r="32" spans="1:17" ht="12" customHeight="1"/>
    <row r="35" spans="19:20" ht="15" thickBot="1"/>
    <row r="36" spans="19:20" ht="18">
      <c r="S36" s="339" t="s">
        <v>54</v>
      </c>
      <c r="T36" s="354" t="s">
        <v>187</v>
      </c>
    </row>
    <row r="37" spans="19:20">
      <c r="S37" s="606" t="s">
        <v>140</v>
      </c>
      <c r="T37" s="676" t="s">
        <v>134</v>
      </c>
    </row>
    <row r="38" spans="19:20" ht="12" customHeight="1" thickBot="1">
      <c r="S38" s="606"/>
      <c r="T38" s="676"/>
    </row>
    <row r="39" spans="19:20" ht="15" hidden="1" thickBot="1">
      <c r="S39" s="607"/>
      <c r="T39" s="677"/>
    </row>
    <row r="40" spans="19:20" ht="18.75" thickBot="1">
      <c r="S40" s="331">
        <v>1062178.1975384746</v>
      </c>
      <c r="T40" s="331">
        <v>1914058.5152979747</v>
      </c>
    </row>
    <row r="41" spans="19:20">
      <c r="S41" s="604">
        <v>295.13066024781119</v>
      </c>
      <c r="T41" s="604">
        <v>531.8291739389374</v>
      </c>
    </row>
    <row r="42" spans="19:20" ht="15" thickBot="1">
      <c r="S42" s="605"/>
      <c r="T42" s="605"/>
    </row>
  </sheetData>
  <mergeCells count="32">
    <mergeCell ref="S37:S39"/>
    <mergeCell ref="T37:T39"/>
    <mergeCell ref="S41:S42"/>
    <mergeCell ref="T41:T42"/>
    <mergeCell ref="A2:J2"/>
    <mergeCell ref="A3:A6"/>
    <mergeCell ref="B3:D3"/>
    <mergeCell ref="E3:F3"/>
    <mergeCell ref="G3:H3"/>
    <mergeCell ref="I3:J3"/>
    <mergeCell ref="B4:B6"/>
    <mergeCell ref="C4:C6"/>
    <mergeCell ref="D4:D6"/>
    <mergeCell ref="E4:E6"/>
    <mergeCell ref="A28:A30"/>
    <mergeCell ref="E29:E30"/>
    <mergeCell ref="G29:G30"/>
    <mergeCell ref="Q5:Q6"/>
    <mergeCell ref="E7:E27"/>
    <mergeCell ref="G7:G27"/>
    <mergeCell ref="J7:J27"/>
    <mergeCell ref="Q7:Q27"/>
    <mergeCell ref="F4:F6"/>
    <mergeCell ref="G4:G6"/>
    <mergeCell ref="H4:H6"/>
    <mergeCell ref="I4:I6"/>
    <mergeCell ref="J4:J6"/>
    <mergeCell ref="M4:Q4"/>
    <mergeCell ref="M5:M6"/>
    <mergeCell ref="N5:N6"/>
    <mergeCell ref="O5:O6"/>
    <mergeCell ref="P5:P6"/>
  </mergeCells>
  <pageMargins left="1" right="1" top="1" bottom="1" header="0.5" footer="0.5"/>
  <pageSetup paperSize="3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M10"/>
  <sheetViews>
    <sheetView zoomScale="115" zoomScaleNormal="115" workbookViewId="0">
      <selection activeCell="B2" sqref="B2:M8"/>
    </sheetView>
  </sheetViews>
  <sheetFormatPr baseColWidth="10" defaultColWidth="10.875" defaultRowHeight="14.25"/>
  <cols>
    <col min="1" max="1" width="10.875" style="1"/>
    <col min="2" max="2" width="10.875" style="1" customWidth="1"/>
    <col min="3" max="7" width="8.375" style="1" customWidth="1"/>
    <col min="8" max="11" width="5.125" style="1" customWidth="1"/>
    <col min="12" max="12" width="6" style="1" customWidth="1"/>
    <col min="13" max="13" width="14.25" style="1" customWidth="1"/>
    <col min="14" max="16384" width="10.875" style="1"/>
  </cols>
  <sheetData>
    <row r="1" spans="2:13" ht="15" thickBot="1"/>
    <row r="2" spans="2:13" ht="15.95" customHeight="1">
      <c r="B2" s="384" t="s">
        <v>54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6"/>
    </row>
    <row r="3" spans="2:13" ht="15.95" customHeight="1">
      <c r="B3" s="379" t="s">
        <v>44</v>
      </c>
      <c r="C3" s="382" t="s">
        <v>109</v>
      </c>
      <c r="D3" s="382"/>
      <c r="E3" s="382"/>
      <c r="F3" s="382"/>
      <c r="G3" s="382"/>
      <c r="H3" s="382"/>
      <c r="I3" s="382"/>
      <c r="J3" s="382"/>
      <c r="K3" s="382"/>
      <c r="L3" s="382"/>
      <c r="M3" s="383"/>
    </row>
    <row r="4" spans="2:13" ht="26.25" customHeight="1">
      <c r="B4" s="380"/>
      <c r="C4" s="389" t="s">
        <v>42</v>
      </c>
      <c r="D4" s="392" t="s">
        <v>39</v>
      </c>
      <c r="E4" s="392"/>
      <c r="F4" s="373" t="s">
        <v>43</v>
      </c>
      <c r="G4" s="373" t="s">
        <v>47</v>
      </c>
      <c r="H4" s="374"/>
      <c r="I4" s="374"/>
      <c r="J4" s="374"/>
      <c r="K4" s="375"/>
      <c r="L4" s="373" t="s">
        <v>45</v>
      </c>
      <c r="M4" s="393"/>
    </row>
    <row r="5" spans="2:13" ht="12" customHeight="1">
      <c r="B5" s="380"/>
      <c r="C5" s="390"/>
      <c r="D5" s="389" t="s">
        <v>41</v>
      </c>
      <c r="E5" s="389" t="s">
        <v>40</v>
      </c>
      <c r="F5" s="376"/>
      <c r="G5" s="376"/>
      <c r="H5" s="377"/>
      <c r="I5" s="377"/>
      <c r="J5" s="377"/>
      <c r="K5" s="378"/>
      <c r="L5" s="376"/>
      <c r="M5" s="394"/>
    </row>
    <row r="6" spans="2:13" ht="12" customHeight="1" thickBot="1">
      <c r="B6" s="381"/>
      <c r="C6" s="391"/>
      <c r="D6" s="391"/>
      <c r="E6" s="391"/>
      <c r="F6" s="395"/>
      <c r="G6" s="256" t="s">
        <v>48</v>
      </c>
      <c r="H6" s="256" t="s">
        <v>49</v>
      </c>
      <c r="I6" s="256" t="s">
        <v>49</v>
      </c>
      <c r="J6" s="256" t="s">
        <v>50</v>
      </c>
      <c r="K6" s="256" t="s">
        <v>51</v>
      </c>
      <c r="L6" s="395"/>
      <c r="M6" s="396"/>
    </row>
    <row r="7" spans="2:13" ht="42.75">
      <c r="B7" s="257" t="s">
        <v>37</v>
      </c>
      <c r="C7" s="258">
        <v>2.8</v>
      </c>
      <c r="D7" s="259">
        <v>16</v>
      </c>
      <c r="E7" s="259">
        <v>5</v>
      </c>
      <c r="F7" s="258">
        <v>0.7</v>
      </c>
      <c r="G7" s="260" t="s">
        <v>52</v>
      </c>
      <c r="H7" s="261">
        <v>0</v>
      </c>
      <c r="I7" s="261">
        <v>0</v>
      </c>
      <c r="J7" s="261">
        <v>4</v>
      </c>
      <c r="K7" s="259">
        <v>8</v>
      </c>
      <c r="L7" s="259" t="s">
        <v>3</v>
      </c>
      <c r="M7" s="262" t="s">
        <v>53</v>
      </c>
    </row>
    <row r="8" spans="2:13" ht="43.5" thickBot="1">
      <c r="B8" s="263" t="s">
        <v>38</v>
      </c>
      <c r="C8" s="264">
        <v>4.2</v>
      </c>
      <c r="D8" s="265">
        <v>24</v>
      </c>
      <c r="E8" s="265">
        <v>7</v>
      </c>
      <c r="F8" s="258">
        <v>0.7</v>
      </c>
      <c r="G8" s="260" t="s">
        <v>52</v>
      </c>
      <c r="H8" s="261">
        <v>0</v>
      </c>
      <c r="I8" s="261">
        <v>0</v>
      </c>
      <c r="J8" s="261">
        <v>4</v>
      </c>
      <c r="K8" s="265">
        <v>8</v>
      </c>
      <c r="L8" s="265">
        <v>1</v>
      </c>
      <c r="M8" s="266" t="s">
        <v>46</v>
      </c>
    </row>
    <row r="9" spans="2:13" ht="12" customHeight="1"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</row>
    <row r="10" spans="2:13">
      <c r="B10" s="388"/>
      <c r="C10" s="388"/>
      <c r="D10" s="388"/>
      <c r="E10" s="388"/>
      <c r="F10" s="388"/>
      <c r="G10" s="388"/>
      <c r="H10" s="388"/>
      <c r="I10" s="388"/>
      <c r="J10" s="388"/>
      <c r="K10" s="388"/>
      <c r="L10" s="388"/>
      <c r="M10" s="388"/>
    </row>
  </sheetData>
  <mergeCells count="11">
    <mergeCell ref="G4:K5"/>
    <mergeCell ref="B3:B6"/>
    <mergeCell ref="C3:M3"/>
    <mergeCell ref="B2:M2"/>
    <mergeCell ref="B9:M10"/>
    <mergeCell ref="C4:C6"/>
    <mergeCell ref="D5:D6"/>
    <mergeCell ref="E5:E6"/>
    <mergeCell ref="D4:E4"/>
    <mergeCell ref="L4:M6"/>
    <mergeCell ref="F4:F6"/>
  </mergeCells>
  <phoneticPr fontId="23" type="noConversion"/>
  <pageMargins left="1" right="1" top="1" bottom="1" header="0.5" footer="0.5"/>
  <pageSetup scale="75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O45"/>
  <sheetViews>
    <sheetView zoomScale="70" zoomScaleNormal="70" workbookViewId="0">
      <selection activeCell="A39" sqref="A39:I45"/>
    </sheetView>
  </sheetViews>
  <sheetFormatPr baseColWidth="10" defaultColWidth="10.875" defaultRowHeight="14.25"/>
  <cols>
    <col min="1" max="1" width="10.875" style="1" customWidth="1"/>
    <col min="2" max="2" width="12.625" style="1" bestFit="1" customWidth="1"/>
    <col min="3" max="4" width="11.875" style="1" customWidth="1"/>
    <col min="5" max="5" width="12.875" style="1" bestFit="1" customWidth="1"/>
    <col min="6" max="6" width="11.625" style="1" customWidth="1"/>
    <col min="7" max="7" width="12.375" style="1" bestFit="1" customWidth="1"/>
    <col min="8" max="8" width="12.25" style="1" customWidth="1"/>
    <col min="9" max="9" width="13.75" style="1" customWidth="1"/>
    <col min="10" max="10" width="12.75" style="1" customWidth="1"/>
    <col min="11" max="11" width="13" style="1" customWidth="1"/>
    <col min="12" max="12" width="13.375" style="1" customWidth="1"/>
    <col min="13" max="16" width="12" style="1" customWidth="1"/>
    <col min="17" max="16384" width="10.875" style="1"/>
  </cols>
  <sheetData>
    <row r="1" spans="1:12" ht="15" thickBot="1"/>
    <row r="2" spans="1:12" ht="15.95" customHeight="1">
      <c r="A2" s="415" t="s">
        <v>54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</row>
    <row r="3" spans="1:12" ht="15.95" customHeight="1">
      <c r="A3" s="417"/>
      <c r="B3" s="382" t="s">
        <v>81</v>
      </c>
      <c r="C3" s="382"/>
      <c r="D3" s="382"/>
      <c r="E3" s="382"/>
      <c r="F3" s="382"/>
      <c r="G3" s="382"/>
      <c r="H3" s="382"/>
      <c r="I3" s="382"/>
      <c r="J3" s="382"/>
      <c r="K3" s="382"/>
      <c r="L3" s="382"/>
    </row>
    <row r="4" spans="1:12" ht="14.25" customHeight="1">
      <c r="A4" s="417"/>
      <c r="B4" s="392" t="s">
        <v>78</v>
      </c>
      <c r="C4" s="392" t="s">
        <v>44</v>
      </c>
      <c r="D4" s="392" t="s">
        <v>42</v>
      </c>
      <c r="E4" s="419" t="s">
        <v>82</v>
      </c>
      <c r="F4" s="419" t="s">
        <v>110</v>
      </c>
      <c r="G4" s="419" t="s">
        <v>111</v>
      </c>
      <c r="H4" s="419" t="s">
        <v>112</v>
      </c>
      <c r="I4" s="419" t="s">
        <v>113</v>
      </c>
      <c r="J4" s="392" t="s">
        <v>83</v>
      </c>
      <c r="K4" s="392" t="s">
        <v>84</v>
      </c>
      <c r="L4" s="392" t="s">
        <v>85</v>
      </c>
    </row>
    <row r="5" spans="1:12" ht="12" customHeight="1">
      <c r="A5" s="417"/>
      <c r="B5" s="392"/>
      <c r="C5" s="392"/>
      <c r="D5" s="392"/>
      <c r="E5" s="420"/>
      <c r="F5" s="420"/>
      <c r="G5" s="420"/>
      <c r="H5" s="420"/>
      <c r="I5" s="420"/>
      <c r="J5" s="392"/>
      <c r="K5" s="392"/>
      <c r="L5" s="392"/>
    </row>
    <row r="6" spans="1:12" ht="17.25" customHeight="1" thickBot="1">
      <c r="A6" s="418"/>
      <c r="B6" s="412"/>
      <c r="C6" s="412"/>
      <c r="D6" s="412"/>
      <c r="E6" s="421"/>
      <c r="F6" s="421"/>
      <c r="G6" s="421"/>
      <c r="H6" s="421"/>
      <c r="I6" s="421"/>
      <c r="J6" s="412"/>
      <c r="K6" s="412"/>
      <c r="L6" s="412"/>
    </row>
    <row r="7" spans="1:12" ht="15" customHeight="1">
      <c r="A7" s="205" t="s">
        <v>55</v>
      </c>
      <c r="B7" s="206" t="s">
        <v>80</v>
      </c>
      <c r="C7" s="434" t="str">
        <f>'Caso Base | Edificabilidad'!B$7</f>
        <v>Categoría B</v>
      </c>
      <c r="D7" s="435">
        <f>'Caso Base | Edificabilidad'!C$7</f>
        <v>2.8</v>
      </c>
      <c r="E7" s="280">
        <v>83.06</v>
      </c>
      <c r="F7" s="280">
        <f>E7*$D$7</f>
        <v>232.56799999999998</v>
      </c>
      <c r="G7" s="280">
        <f>+E7*('Caso Base | Edificabilidad'!$F$7*1)</f>
        <v>58.141999999999996</v>
      </c>
      <c r="H7" s="280"/>
      <c r="I7" s="272">
        <f>+E7*('Caso Base | Edificabilidad'!$F$7*3)</f>
        <v>174.42599999999999</v>
      </c>
      <c r="J7" s="273">
        <f>+G7/30</f>
        <v>1.9380666666666666</v>
      </c>
      <c r="K7" s="279"/>
      <c r="L7" s="273">
        <f>+I7/90</f>
        <v>1.9380666666666666</v>
      </c>
    </row>
    <row r="8" spans="1:12">
      <c r="A8" s="38" t="s">
        <v>71</v>
      </c>
      <c r="B8" s="206" t="s">
        <v>80</v>
      </c>
      <c r="C8" s="434"/>
      <c r="D8" s="436"/>
      <c r="E8" s="401">
        <f>81.3+54.33</f>
        <v>135.63</v>
      </c>
      <c r="F8" s="401">
        <f>E8*$D$7</f>
        <v>379.76399999999995</v>
      </c>
      <c r="G8" s="401">
        <f>+E8*('Caso Base | Edificabilidad'!$F$7*1)</f>
        <v>94.940999999999988</v>
      </c>
      <c r="H8" s="445"/>
      <c r="I8" s="401">
        <f>+E8*('Caso Base | Edificabilidad'!$F$7*3)</f>
        <v>284.82299999999992</v>
      </c>
      <c r="J8" s="403">
        <f>+G8/30</f>
        <v>3.1646999999999994</v>
      </c>
      <c r="K8" s="447"/>
      <c r="L8" s="403">
        <f>+I8/90</f>
        <v>3.164699999999999</v>
      </c>
    </row>
    <row r="9" spans="1:12">
      <c r="A9" s="38" t="s">
        <v>70</v>
      </c>
      <c r="B9" s="4" t="s">
        <v>80</v>
      </c>
      <c r="C9" s="434"/>
      <c r="D9" s="436"/>
      <c r="E9" s="402"/>
      <c r="F9" s="402"/>
      <c r="G9" s="402"/>
      <c r="H9" s="446"/>
      <c r="I9" s="402"/>
      <c r="J9" s="404"/>
      <c r="K9" s="447"/>
      <c r="L9" s="404"/>
    </row>
    <row r="10" spans="1:12" ht="12" customHeight="1">
      <c r="A10" s="38" t="s">
        <v>69</v>
      </c>
      <c r="B10" s="4" t="s">
        <v>36</v>
      </c>
      <c r="C10" s="434"/>
      <c r="D10" s="436"/>
      <c r="E10" s="268">
        <v>234.54</v>
      </c>
      <c r="F10" s="268">
        <f>E10*$D$7</f>
        <v>656.71199999999999</v>
      </c>
      <c r="G10" s="268">
        <f>+E10*('Caso Base | Edificabilidad'!$F$7*1)</f>
        <v>164.178</v>
      </c>
      <c r="H10" s="268"/>
      <c r="I10" s="268">
        <f>+E10*('Caso Base | Edificabilidad'!$F$7*3)</f>
        <v>492.53399999999988</v>
      </c>
      <c r="J10" s="274">
        <f>+G10/30</f>
        <v>5.4725999999999999</v>
      </c>
      <c r="K10" s="268"/>
      <c r="L10" s="274">
        <f>+I10/90</f>
        <v>5.472599999999999</v>
      </c>
    </row>
    <row r="11" spans="1:12">
      <c r="A11" s="38" t="s">
        <v>56</v>
      </c>
      <c r="B11" s="4" t="s">
        <v>79</v>
      </c>
      <c r="C11" s="434"/>
      <c r="D11" s="436"/>
      <c r="E11" s="268">
        <v>36.47</v>
      </c>
      <c r="F11" s="268"/>
      <c r="G11" s="268"/>
      <c r="H11" s="253"/>
      <c r="I11" s="268"/>
      <c r="J11" s="268"/>
      <c r="K11" s="268"/>
      <c r="L11" s="274"/>
    </row>
    <row r="12" spans="1:12">
      <c r="A12" s="38" t="s">
        <v>57</v>
      </c>
      <c r="B12" s="4" t="s">
        <v>79</v>
      </c>
      <c r="C12" s="434"/>
      <c r="D12" s="436"/>
      <c r="E12" s="268">
        <v>390.91</v>
      </c>
      <c r="F12" s="268"/>
      <c r="G12" s="268"/>
      <c r="H12" s="253"/>
      <c r="I12" s="276"/>
      <c r="J12" s="276"/>
      <c r="K12" s="276"/>
      <c r="L12" s="284"/>
    </row>
    <row r="13" spans="1:12">
      <c r="A13" s="38" t="s">
        <v>58</v>
      </c>
      <c r="B13" s="4" t="s">
        <v>80</v>
      </c>
      <c r="C13" s="434"/>
      <c r="D13" s="436"/>
      <c r="E13" s="268">
        <v>137.41</v>
      </c>
      <c r="F13" s="268">
        <f>E13*$D$7</f>
        <v>384.74799999999999</v>
      </c>
      <c r="G13" s="268">
        <f>+E13*('Caso Base | Edificabilidad'!$F$7*1)</f>
        <v>96.186999999999998</v>
      </c>
      <c r="H13" s="268"/>
      <c r="I13" s="268">
        <f>+E13*('Caso Base | Edificabilidad'!$F$7*3)</f>
        <v>288.56099999999992</v>
      </c>
      <c r="J13" s="274">
        <f>+G13/30</f>
        <v>3.206233333333333</v>
      </c>
      <c r="K13" s="268"/>
      <c r="L13" s="274">
        <f>+I13/90</f>
        <v>3.2062333333333326</v>
      </c>
    </row>
    <row r="14" spans="1:12">
      <c r="A14" s="38" t="s">
        <v>68</v>
      </c>
      <c r="B14" s="4" t="s">
        <v>77</v>
      </c>
      <c r="C14" s="434"/>
      <c r="D14" s="436"/>
      <c r="E14" s="268">
        <v>575.34</v>
      </c>
      <c r="F14" s="268"/>
      <c r="G14" s="268"/>
      <c r="H14" s="253"/>
      <c r="I14" s="268"/>
      <c r="J14" s="268"/>
      <c r="K14" s="268"/>
      <c r="L14" s="274"/>
    </row>
    <row r="15" spans="1:12">
      <c r="A15" s="38" t="s">
        <v>67</v>
      </c>
      <c r="B15" s="4" t="s">
        <v>77</v>
      </c>
      <c r="C15" s="434"/>
      <c r="D15" s="436"/>
      <c r="E15" s="268">
        <v>285.79000000000002</v>
      </c>
      <c r="F15" s="268"/>
      <c r="G15" s="268"/>
      <c r="H15" s="253"/>
      <c r="I15" s="268"/>
      <c r="J15" s="268"/>
      <c r="K15" s="268"/>
      <c r="L15" s="274"/>
    </row>
    <row r="16" spans="1:12">
      <c r="A16" s="38" t="s">
        <v>66</v>
      </c>
      <c r="B16" s="4" t="s">
        <v>36</v>
      </c>
      <c r="C16" s="434"/>
      <c r="D16" s="436"/>
      <c r="E16" s="268">
        <v>122.88</v>
      </c>
      <c r="F16" s="268">
        <f>E16*$D$7</f>
        <v>344.06399999999996</v>
      </c>
      <c r="G16" s="268">
        <f>+E16*('Caso Base | Edificabilidad'!$F$7*1)</f>
        <v>86.015999999999991</v>
      </c>
      <c r="H16" s="268"/>
      <c r="I16" s="268">
        <f>+E16*('Caso Base | Edificabilidad'!$F$7*3)</f>
        <v>258.04799999999994</v>
      </c>
      <c r="J16" s="274">
        <f>+G16/30</f>
        <v>2.8671999999999995</v>
      </c>
      <c r="K16" s="268"/>
      <c r="L16" s="274">
        <f>+I16/90</f>
        <v>2.8671999999999995</v>
      </c>
    </row>
    <row r="17" spans="1:15">
      <c r="A17" s="38" t="s">
        <v>65</v>
      </c>
      <c r="B17" s="4" t="s">
        <v>80</v>
      </c>
      <c r="C17" s="434"/>
      <c r="D17" s="436"/>
      <c r="E17" s="268">
        <v>145.1</v>
      </c>
      <c r="F17" s="268">
        <f>E17*$D$7</f>
        <v>406.28</v>
      </c>
      <c r="G17" s="268">
        <f>+E17*('Caso Base | Edificabilidad'!$F$7*1)</f>
        <v>101.57</v>
      </c>
      <c r="H17" s="268"/>
      <c r="I17" s="268">
        <f>+E17*('Caso Base | Edificabilidad'!$F$7*3)</f>
        <v>304.70999999999992</v>
      </c>
      <c r="J17" s="274">
        <f>+G17/30</f>
        <v>3.3856666666666664</v>
      </c>
      <c r="K17" s="268"/>
      <c r="L17" s="274">
        <f>+I17/90</f>
        <v>3.3856666666666659</v>
      </c>
    </row>
    <row r="18" spans="1:15" ht="14.1" customHeight="1">
      <c r="A18" s="442" t="s">
        <v>72</v>
      </c>
      <c r="B18" s="443"/>
      <c r="C18" s="443"/>
      <c r="D18" s="444"/>
      <c r="E18" s="269">
        <f t="shared" ref="E18:L18" si="0">SUBTOTAL(9,E7:E17)</f>
        <v>2147.13</v>
      </c>
      <c r="F18" s="39">
        <f t="shared" si="0"/>
        <v>2404.1359999999995</v>
      </c>
      <c r="G18" s="207">
        <f t="shared" si="0"/>
        <v>601.03399999999988</v>
      </c>
      <c r="H18" s="39">
        <f t="shared" si="0"/>
        <v>0</v>
      </c>
      <c r="I18" s="39">
        <f t="shared" si="0"/>
        <v>1803.1019999999994</v>
      </c>
      <c r="J18" s="278">
        <f t="shared" si="0"/>
        <v>20.034466666666663</v>
      </c>
      <c r="K18" s="278">
        <f t="shared" si="0"/>
        <v>0</v>
      </c>
      <c r="L18" s="278">
        <f t="shared" si="0"/>
        <v>20.034466666666663</v>
      </c>
    </row>
    <row r="19" spans="1:15">
      <c r="A19" s="38" t="s">
        <v>59</v>
      </c>
      <c r="B19" s="4" t="s">
        <v>80</v>
      </c>
      <c r="C19" s="436" t="str">
        <f>'Caso Base | Edificabilidad'!B$8</f>
        <v>Categoría G</v>
      </c>
      <c r="D19" s="436">
        <f>'Caso Base | Edificabilidad'!C$8</f>
        <v>4.2</v>
      </c>
      <c r="E19" s="268">
        <v>232.03</v>
      </c>
      <c r="F19" s="268">
        <f t="shared" ref="F19:F28" si="1">E19*$D$19</f>
        <v>974.52600000000007</v>
      </c>
      <c r="G19" s="268">
        <f>+E19*('Caso Base | Edificabilidad'!$F$8*2)</f>
        <v>324.84199999999998</v>
      </c>
      <c r="H19" s="268">
        <f>+E19*('Caso Base | Edificabilidad'!$F$8*1)</f>
        <v>162.42099999999999</v>
      </c>
      <c r="I19" s="268">
        <f>+E19*('Caso Base | Edificabilidad'!$F$8*3)</f>
        <v>487.26299999999992</v>
      </c>
      <c r="J19" s="274">
        <f>+G19/90</f>
        <v>3.6093555555555552</v>
      </c>
      <c r="K19" s="274">
        <f>+H19/70</f>
        <v>2.3203</v>
      </c>
      <c r="L19" s="277">
        <f>+I19/120</f>
        <v>4.0605249999999993</v>
      </c>
      <c r="O19" s="1">
        <f>IF(G19&lt;'Caso Base | Edificabilidad'!F8,1,IF(AND(G19&gt;='Caso Base | Edificabilidad'!F8,G19&lt;'Caso Base | Edificabilidad'!G8),2,3))</f>
        <v>2</v>
      </c>
    </row>
    <row r="20" spans="1:15">
      <c r="A20" s="38" t="s">
        <v>60</v>
      </c>
      <c r="B20" s="4" t="s">
        <v>80</v>
      </c>
      <c r="C20" s="436"/>
      <c r="D20" s="436"/>
      <c r="E20" s="401">
        <f>123.15+108.6</f>
        <v>231.75</v>
      </c>
      <c r="F20" s="401">
        <f t="shared" si="1"/>
        <v>973.35</v>
      </c>
      <c r="G20" s="401">
        <f>+E20*('Caso Base | Edificabilidad'!$F$8*2)</f>
        <v>324.45</v>
      </c>
      <c r="H20" s="401">
        <f>+E20*('Caso Base | Edificabilidad'!$F$8*1)</f>
        <v>162.22499999999999</v>
      </c>
      <c r="I20" s="401">
        <f>+E20*('Caso Base | Edificabilidad'!$F$8*3)</f>
        <v>486.6749999999999</v>
      </c>
      <c r="J20" s="403">
        <f>+G20/90</f>
        <v>3.605</v>
      </c>
      <c r="K20" s="403">
        <f>+H20/70</f>
        <v>2.3174999999999999</v>
      </c>
      <c r="L20" s="403">
        <f t="shared" ref="L20:L28" si="2">+I20/120</f>
        <v>4.0556249999999991</v>
      </c>
    </row>
    <row r="21" spans="1:15">
      <c r="A21" s="38" t="s">
        <v>61</v>
      </c>
      <c r="B21" s="4" t="s">
        <v>80</v>
      </c>
      <c r="C21" s="436"/>
      <c r="D21" s="436"/>
      <c r="E21" s="402"/>
      <c r="F21" s="402"/>
      <c r="G21" s="402"/>
      <c r="H21" s="402"/>
      <c r="I21" s="402"/>
      <c r="J21" s="404"/>
      <c r="K21" s="404"/>
      <c r="L21" s="404"/>
    </row>
    <row r="22" spans="1:15">
      <c r="A22" s="38" t="s">
        <v>62</v>
      </c>
      <c r="B22" s="4" t="s">
        <v>36</v>
      </c>
      <c r="C22" s="436"/>
      <c r="D22" s="436"/>
      <c r="E22" s="268">
        <v>254.94</v>
      </c>
      <c r="F22" s="268">
        <f t="shared" si="1"/>
        <v>1070.748</v>
      </c>
      <c r="G22" s="268">
        <f>+E22*('Caso Base | Edificabilidad'!$F$8*2)</f>
        <v>356.916</v>
      </c>
      <c r="H22" s="268">
        <f>+E22*('Caso Base | Edificabilidad'!$F$8*1)</f>
        <v>178.458</v>
      </c>
      <c r="I22" s="268">
        <f>+E22*('Caso Base | Edificabilidad'!$F$8*3)</f>
        <v>535.37399999999991</v>
      </c>
      <c r="J22" s="274">
        <f>+G22/90</f>
        <v>3.9657333333333331</v>
      </c>
      <c r="K22" s="274">
        <f>+H22/70</f>
        <v>2.5493999999999999</v>
      </c>
      <c r="L22" s="277">
        <f t="shared" si="2"/>
        <v>4.4614499999999992</v>
      </c>
    </row>
    <row r="23" spans="1:15">
      <c r="A23" s="38" t="s">
        <v>63</v>
      </c>
      <c r="B23" s="4" t="s">
        <v>77</v>
      </c>
      <c r="C23" s="436"/>
      <c r="D23" s="436"/>
      <c r="E23" s="268">
        <v>216.19</v>
      </c>
      <c r="F23" s="268"/>
      <c r="G23" s="268"/>
      <c r="H23" s="268"/>
      <c r="I23" s="268"/>
      <c r="J23" s="280"/>
      <c r="K23" s="280"/>
      <c r="L23" s="277"/>
    </row>
    <row r="24" spans="1:15">
      <c r="A24" s="38" t="s">
        <v>64</v>
      </c>
      <c r="B24" s="4" t="s">
        <v>77</v>
      </c>
      <c r="C24" s="436"/>
      <c r="D24" s="436"/>
      <c r="E24" s="268">
        <v>264.27999999999997</v>
      </c>
      <c r="F24" s="268"/>
      <c r="G24" s="268"/>
      <c r="H24" s="268"/>
      <c r="I24" s="268"/>
      <c r="J24" s="280"/>
      <c r="K24" s="280"/>
      <c r="L24" s="277"/>
    </row>
    <row r="25" spans="1:15" ht="14.25" customHeight="1">
      <c r="A25" s="38" t="s">
        <v>73</v>
      </c>
      <c r="B25" s="4" t="s">
        <v>79</v>
      </c>
      <c r="C25" s="436"/>
      <c r="D25" s="436"/>
      <c r="E25" s="268">
        <v>175.36</v>
      </c>
      <c r="F25" s="268"/>
      <c r="G25" s="268"/>
      <c r="H25" s="268"/>
      <c r="I25" s="268"/>
      <c r="J25" s="280"/>
      <c r="K25" s="280"/>
      <c r="L25" s="277"/>
    </row>
    <row r="26" spans="1:15">
      <c r="A26" s="38" t="s">
        <v>74</v>
      </c>
      <c r="B26" s="4" t="s">
        <v>79</v>
      </c>
      <c r="C26" s="436"/>
      <c r="D26" s="436"/>
      <c r="E26" s="268">
        <v>229.58</v>
      </c>
      <c r="F26" s="268"/>
      <c r="G26" s="268"/>
      <c r="H26" s="268"/>
      <c r="I26" s="268"/>
      <c r="J26" s="280"/>
      <c r="K26" s="280"/>
      <c r="L26" s="277"/>
    </row>
    <row r="27" spans="1:15">
      <c r="A27" s="38" t="s">
        <v>75</v>
      </c>
      <c r="B27" s="4" t="s">
        <v>36</v>
      </c>
      <c r="C27" s="436"/>
      <c r="D27" s="436"/>
      <c r="E27" s="268">
        <v>170.97</v>
      </c>
      <c r="F27" s="268">
        <f t="shared" si="1"/>
        <v>718.07400000000007</v>
      </c>
      <c r="G27" s="268">
        <f>+E27*('Caso Base | Edificabilidad'!$F$8*2)</f>
        <v>239.35799999999998</v>
      </c>
      <c r="H27" s="268">
        <f>+E27*('Caso Base | Edificabilidad'!$F$8*1)</f>
        <v>119.67899999999999</v>
      </c>
      <c r="I27" s="268">
        <f>+E27*('Caso Base | Edificabilidad'!$F$8*3)</f>
        <v>359.03699999999992</v>
      </c>
      <c r="J27" s="274">
        <f>+G27/90</f>
        <v>2.6595333333333331</v>
      </c>
      <c r="K27" s="274">
        <f>+H27/70</f>
        <v>1.7096999999999998</v>
      </c>
      <c r="L27" s="277">
        <f t="shared" si="2"/>
        <v>2.9919749999999992</v>
      </c>
    </row>
    <row r="28" spans="1:15" ht="14.25" customHeight="1">
      <c r="A28" s="38" t="s">
        <v>76</v>
      </c>
      <c r="B28" s="4" t="s">
        <v>80</v>
      </c>
      <c r="C28" s="436"/>
      <c r="D28" s="436"/>
      <c r="E28" s="268">
        <v>509.1</v>
      </c>
      <c r="F28" s="268">
        <f t="shared" si="1"/>
        <v>2138.2200000000003</v>
      </c>
      <c r="G28" s="268">
        <f>+E28*('Caso Base | Edificabilidad'!$F$8*2)</f>
        <v>712.74</v>
      </c>
      <c r="H28" s="268">
        <f>+E28*('Caso Base | Edificabilidad'!$F$8*1)</f>
        <v>356.37</v>
      </c>
      <c r="I28" s="268">
        <f>+E28*('Caso Base | Edificabilidad'!$F$8*3)</f>
        <v>1069.1099999999999</v>
      </c>
      <c r="J28" s="274">
        <f>+G28/90</f>
        <v>7.9193333333333333</v>
      </c>
      <c r="K28" s="274">
        <f>+H28/70</f>
        <v>5.0910000000000002</v>
      </c>
      <c r="L28" s="277">
        <f t="shared" si="2"/>
        <v>8.9092499999999983</v>
      </c>
    </row>
    <row r="29" spans="1:15" ht="14.1" customHeight="1" thickBot="1">
      <c r="A29" s="437" t="s">
        <v>72</v>
      </c>
      <c r="B29" s="438"/>
      <c r="C29" s="438"/>
      <c r="D29" s="439"/>
      <c r="E29" s="270">
        <f t="shared" ref="E29:L29" si="3">SUBTOTAL(9,E19:E28)</f>
        <v>2284.2000000000003</v>
      </c>
      <c r="F29" s="13">
        <f t="shared" si="3"/>
        <v>5874.9180000000006</v>
      </c>
      <c r="G29" s="270">
        <f t="shared" si="3"/>
        <v>1958.3059999999998</v>
      </c>
      <c r="H29" s="270">
        <f t="shared" si="3"/>
        <v>979.15299999999991</v>
      </c>
      <c r="I29" s="13">
        <f t="shared" si="3"/>
        <v>2937.4589999999998</v>
      </c>
      <c r="J29" s="76">
        <f t="shared" si="3"/>
        <v>21.758955555555556</v>
      </c>
      <c r="K29" s="76">
        <f t="shared" si="3"/>
        <v>13.9879</v>
      </c>
      <c r="L29" s="76">
        <f t="shared" si="3"/>
        <v>24.478824999999993</v>
      </c>
    </row>
    <row r="30" spans="1:15" ht="18.75" thickBot="1">
      <c r="A30" s="422"/>
      <c r="B30" s="423"/>
      <c r="C30" s="428" t="s">
        <v>89</v>
      </c>
      <c r="D30" s="429"/>
      <c r="E30" s="293">
        <f t="shared" ref="E30:L30" si="4">SUBTOTAL(9,E7:E29)</f>
        <v>4431.3300000000008</v>
      </c>
      <c r="F30" s="294">
        <f t="shared" si="4"/>
        <v>8279.0540000000001</v>
      </c>
      <c r="G30" s="287">
        <f t="shared" si="4"/>
        <v>2559.3399999999997</v>
      </c>
      <c r="H30" s="286">
        <f t="shared" si="4"/>
        <v>979.15299999999991</v>
      </c>
      <c r="I30" s="40">
        <f t="shared" si="4"/>
        <v>4740.5609999999988</v>
      </c>
      <c r="J30" s="275">
        <f t="shared" si="4"/>
        <v>41.793422222222219</v>
      </c>
      <c r="K30" s="275">
        <f t="shared" si="4"/>
        <v>13.9879</v>
      </c>
      <c r="L30" s="275">
        <f t="shared" si="4"/>
        <v>44.51329166666666</v>
      </c>
    </row>
    <row r="31" spans="1:15" s="6" customFormat="1" ht="14.1" customHeight="1">
      <c r="A31" s="424"/>
      <c r="B31" s="425"/>
      <c r="C31" s="430" t="s">
        <v>88</v>
      </c>
      <c r="D31" s="431"/>
      <c r="E31" s="271">
        <f>SUMIF($B$7:$B$28,"Vacante",$E$7:$E$28)</f>
        <v>1474.08</v>
      </c>
      <c r="F31" s="295">
        <f>SUMIF($B$7:$B$28,"Vacante",$F$7:$F$28)</f>
        <v>5489.4560000000001</v>
      </c>
      <c r="G31" s="298">
        <f>SUMIF($B$7:$B$28,"Vacante",$G$7:$G$28)</f>
        <v>1712.8720000000001</v>
      </c>
      <c r="H31" s="267">
        <f>SUMIF($B$7:$B$28,"Vacante",$H$7:$H$28)</f>
        <v>681.01599999999996</v>
      </c>
      <c r="I31" s="299">
        <f ca="1">SUMIF($B$7:$B$28,"Vacante",$I$11:$I$29)</f>
        <v>2238.2639999999992</v>
      </c>
      <c r="J31" s="397"/>
      <c r="K31" s="398"/>
      <c r="L31" s="398"/>
    </row>
    <row r="32" spans="1:15" ht="14.1" customHeight="1" thickBot="1">
      <c r="A32" s="424"/>
      <c r="B32" s="425"/>
      <c r="C32" s="432" t="s">
        <v>104</v>
      </c>
      <c r="D32" s="433"/>
      <c r="E32" s="268">
        <f>SUMIF($B$7:$B$28,"Demolición",$E$7:$E$28)</f>
        <v>783.32999999999993</v>
      </c>
      <c r="F32" s="296">
        <f>SUMIF($B$7:$B$28,"Demolición",$F$7:$F$28)</f>
        <v>2789.598</v>
      </c>
      <c r="G32" s="300">
        <f>SUMIF($B$7:$B$28,"Demolición",$G$7:$G$28)</f>
        <v>846.46799999999996</v>
      </c>
      <c r="H32" s="288">
        <f>SUMIF($B$7:$B$28,"Demolición",$H$7:$H$28)</f>
        <v>298.137</v>
      </c>
      <c r="I32" s="297">
        <f>SUMIF($B$7:$B$28,"Demolición",$I$7:$I$28)</f>
        <v>1644.9929999999995</v>
      </c>
      <c r="J32" s="399"/>
      <c r="K32" s="400"/>
      <c r="L32" s="400"/>
    </row>
    <row r="33" spans="1:12" ht="14.1" customHeight="1">
      <c r="A33" s="424"/>
      <c r="B33" s="425"/>
      <c r="C33" s="432" t="s">
        <v>102</v>
      </c>
      <c r="D33" s="433"/>
      <c r="E33" s="268">
        <f>SUMIF($B$7:$B$28,"Expropiación",$E$7:$E$28)</f>
        <v>1341.6000000000001</v>
      </c>
      <c r="F33" s="296">
        <f>SUMIF($B$7:$B$28,"Expropiación",$F$7:$F$28)</f>
        <v>0</v>
      </c>
      <c r="G33" s="397"/>
      <c r="H33" s="398"/>
      <c r="I33" s="398"/>
      <c r="J33" s="398"/>
      <c r="K33" s="398"/>
      <c r="L33" s="398"/>
    </row>
    <row r="34" spans="1:12" ht="14.1" customHeight="1" thickBot="1">
      <c r="A34" s="426"/>
      <c r="B34" s="427"/>
      <c r="C34" s="440" t="s">
        <v>103</v>
      </c>
      <c r="D34" s="441"/>
      <c r="E34" s="288">
        <f>SUMIF($B$7:$B$28,"Existente",$E$7:$E$28)</f>
        <v>832.32</v>
      </c>
      <c r="F34" s="297"/>
      <c r="G34" s="399"/>
      <c r="H34" s="400"/>
      <c r="I34" s="400"/>
      <c r="J34" s="400"/>
      <c r="K34" s="400"/>
      <c r="L34" s="400"/>
    </row>
    <row r="36" spans="1:12">
      <c r="A36" s="2"/>
      <c r="B36" s="3"/>
      <c r="E36" s="8"/>
      <c r="F36" s="8"/>
    </row>
    <row r="37" spans="1:12" ht="15" thickBot="1"/>
    <row r="38" spans="1:12" ht="15.95" customHeight="1">
      <c r="A38" s="384" t="s">
        <v>54</v>
      </c>
      <c r="B38" s="385"/>
      <c r="C38" s="385"/>
      <c r="D38" s="385"/>
      <c r="E38" s="385"/>
      <c r="F38" s="385"/>
      <c r="G38" s="385"/>
      <c r="H38" s="385"/>
      <c r="I38" s="386"/>
      <c r="J38" s="281"/>
      <c r="K38" s="281"/>
    </row>
    <row r="39" spans="1:12" ht="15.95" customHeight="1">
      <c r="A39" s="413" t="s">
        <v>122</v>
      </c>
      <c r="B39" s="382" t="s">
        <v>120</v>
      </c>
      <c r="C39" s="382"/>
      <c r="D39" s="382"/>
      <c r="E39" s="382"/>
      <c r="F39" s="382"/>
      <c r="G39" s="382"/>
      <c r="H39" s="382"/>
      <c r="I39" s="383"/>
      <c r="J39" s="281"/>
      <c r="K39" s="281"/>
    </row>
    <row r="40" spans="1:12" ht="12" customHeight="1">
      <c r="A40" s="413"/>
      <c r="B40" s="392" t="s">
        <v>121</v>
      </c>
      <c r="C40" s="392" t="s">
        <v>114</v>
      </c>
      <c r="D40" s="392" t="s">
        <v>115</v>
      </c>
      <c r="E40" s="392" t="s">
        <v>116</v>
      </c>
      <c r="F40" s="392" t="s">
        <v>117</v>
      </c>
      <c r="G40" s="392" t="s">
        <v>186</v>
      </c>
      <c r="H40" s="392" t="s">
        <v>119</v>
      </c>
      <c r="I40" s="407" t="s">
        <v>36</v>
      </c>
      <c r="J40" s="282"/>
      <c r="K40" s="282"/>
    </row>
    <row r="41" spans="1:12" ht="12" customHeight="1">
      <c r="A41" s="413"/>
      <c r="B41" s="392"/>
      <c r="C41" s="392"/>
      <c r="D41" s="392"/>
      <c r="E41" s="392"/>
      <c r="F41" s="392"/>
      <c r="G41" s="392"/>
      <c r="H41" s="392"/>
      <c r="I41" s="407"/>
      <c r="J41" s="282"/>
      <c r="K41" s="282"/>
    </row>
    <row r="42" spans="1:12" ht="15.75" thickBot="1">
      <c r="A42" s="414"/>
      <c r="B42" s="412"/>
      <c r="C42" s="412"/>
      <c r="D42" s="412"/>
      <c r="E42" s="412"/>
      <c r="F42" s="412"/>
      <c r="G42" s="412"/>
      <c r="H42" s="412"/>
      <c r="I42" s="408"/>
      <c r="J42" s="282"/>
      <c r="K42" s="282"/>
    </row>
    <row r="43" spans="1:12" ht="12" customHeight="1">
      <c r="A43" s="405" t="s">
        <v>86</v>
      </c>
      <c r="B43" s="37" t="s">
        <v>28</v>
      </c>
      <c r="C43" s="285">
        <f>+G30/F30</f>
        <v>0.30913435278958196</v>
      </c>
      <c r="D43" s="19">
        <f>+G30</f>
        <v>2559.3399999999997</v>
      </c>
      <c r="E43" s="20">
        <f>Supuestos!J5</f>
        <v>1</v>
      </c>
      <c r="F43" s="19">
        <f>D43*E43</f>
        <v>2559.3399999999997</v>
      </c>
      <c r="G43" s="254">
        <f>+F43/J30</f>
        <v>61.237866245831349</v>
      </c>
      <c r="H43" s="201">
        <f>+J29</f>
        <v>21.758955555555556</v>
      </c>
      <c r="I43" s="409">
        <f>+F32</f>
        <v>2789.598</v>
      </c>
      <c r="J43" s="283"/>
      <c r="K43" s="283"/>
    </row>
    <row r="44" spans="1:12" ht="12" customHeight="1">
      <c r="A44" s="406"/>
      <c r="B44" s="10" t="s">
        <v>29</v>
      </c>
      <c r="C44" s="16">
        <f>+H30/F30</f>
        <v>0.11826870557916398</v>
      </c>
      <c r="D44" s="17">
        <f>+H30</f>
        <v>979.15299999999991</v>
      </c>
      <c r="E44" s="18">
        <f>Supuestos!K5</f>
        <v>0.9</v>
      </c>
      <c r="F44" s="17">
        <f>D44*E44</f>
        <v>881.2376999999999</v>
      </c>
      <c r="G44" s="255">
        <f>+F44/K30</f>
        <v>62.999999999999993</v>
      </c>
      <c r="H44" s="202">
        <f>+K29</f>
        <v>13.9879</v>
      </c>
      <c r="I44" s="410"/>
      <c r="J44" s="283"/>
      <c r="K44" s="283"/>
    </row>
    <row r="45" spans="1:12" ht="12" customHeight="1" thickBot="1">
      <c r="A45" s="24" t="s">
        <v>87</v>
      </c>
      <c r="B45" s="7" t="s">
        <v>30</v>
      </c>
      <c r="C45" s="16">
        <f>+I30/F30</f>
        <v>0.57259694163125385</v>
      </c>
      <c r="D45" s="21">
        <f>+I30</f>
        <v>4740.5609999999988</v>
      </c>
      <c r="E45" s="22">
        <f>Supuestos!L5</f>
        <v>0.85</v>
      </c>
      <c r="F45" s="21">
        <f>D45*E45</f>
        <v>4029.4768499999986</v>
      </c>
      <c r="G45" s="77">
        <f>F45/L30</f>
        <v>90.523003335146129</v>
      </c>
      <c r="H45" s="203">
        <f>+L29</f>
        <v>24.478824999999993</v>
      </c>
      <c r="I45" s="411"/>
      <c r="J45" s="283"/>
      <c r="K45" s="283"/>
    </row>
  </sheetData>
  <mergeCells count="57">
    <mergeCell ref="H8:H9"/>
    <mergeCell ref="I8:I9"/>
    <mergeCell ref="J8:J9"/>
    <mergeCell ref="L8:L9"/>
    <mergeCell ref="K8:K9"/>
    <mergeCell ref="E8:E9"/>
    <mergeCell ref="F8:F9"/>
    <mergeCell ref="C19:C28"/>
    <mergeCell ref="D19:D28"/>
    <mergeCell ref="G8:G9"/>
    <mergeCell ref="A30:B34"/>
    <mergeCell ref="C30:D30"/>
    <mergeCell ref="C31:D31"/>
    <mergeCell ref="C32:D32"/>
    <mergeCell ref="C7:C17"/>
    <mergeCell ref="D7:D17"/>
    <mergeCell ref="A29:D29"/>
    <mergeCell ref="C33:D33"/>
    <mergeCell ref="C34:D34"/>
    <mergeCell ref="A18:D18"/>
    <mergeCell ref="B3:L3"/>
    <mergeCell ref="A2:L2"/>
    <mergeCell ref="B4:B6"/>
    <mergeCell ref="C4:C6"/>
    <mergeCell ref="A3:A6"/>
    <mergeCell ref="D4:D6"/>
    <mergeCell ref="G4:G6"/>
    <mergeCell ref="H4:H6"/>
    <mergeCell ref="F4:F6"/>
    <mergeCell ref="E4:E6"/>
    <mergeCell ref="J4:J6"/>
    <mergeCell ref="K4:K6"/>
    <mergeCell ref="L4:L6"/>
    <mergeCell ref="I4:I6"/>
    <mergeCell ref="A43:A44"/>
    <mergeCell ref="I40:I42"/>
    <mergeCell ref="I43:I45"/>
    <mergeCell ref="B39:I39"/>
    <mergeCell ref="A38:I38"/>
    <mergeCell ref="E40:E42"/>
    <mergeCell ref="F40:F42"/>
    <mergeCell ref="G40:G42"/>
    <mergeCell ref="H40:H42"/>
    <mergeCell ref="B40:B42"/>
    <mergeCell ref="C40:C42"/>
    <mergeCell ref="D40:D42"/>
    <mergeCell ref="A39:A42"/>
    <mergeCell ref="G33:L34"/>
    <mergeCell ref="E20:E21"/>
    <mergeCell ref="F20:F21"/>
    <mergeCell ref="G20:G21"/>
    <mergeCell ref="H20:H21"/>
    <mergeCell ref="I20:I21"/>
    <mergeCell ref="J20:J21"/>
    <mergeCell ref="K20:K21"/>
    <mergeCell ref="L20:L21"/>
    <mergeCell ref="J31:L32"/>
  </mergeCells>
  <phoneticPr fontId="23" type="noConversion"/>
  <pageMargins left="1" right="1" top="1" bottom="1" header="0.5" footer="0.5"/>
  <pageSetup scale="69" orientation="landscape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S108"/>
  <sheetViews>
    <sheetView tabSelected="1" topLeftCell="A28" zoomScale="70" zoomScaleNormal="70" workbookViewId="0">
      <selection activeCell="A31" sqref="A31:J35"/>
    </sheetView>
  </sheetViews>
  <sheetFormatPr baseColWidth="10" defaultColWidth="10.875" defaultRowHeight="11.1" customHeight="1"/>
  <cols>
    <col min="1" max="2" width="10.625" style="25" customWidth="1"/>
    <col min="3" max="5" width="9.875" style="25" customWidth="1"/>
    <col min="6" max="6" width="10.25" style="25" bestFit="1" customWidth="1"/>
    <col min="7" max="7" width="11.125" style="25" bestFit="1" customWidth="1"/>
    <col min="8" max="11" width="9.875" style="25" customWidth="1"/>
    <col min="12" max="12" width="11.125" style="25" customWidth="1"/>
    <col min="13" max="18" width="9.875" style="25" customWidth="1"/>
    <col min="19" max="21" width="9.625" style="25" customWidth="1"/>
    <col min="22" max="16384" width="10.875" style="25"/>
  </cols>
  <sheetData>
    <row r="1" spans="1:15" ht="15.95" customHeight="1">
      <c r="A1" s="184" t="s">
        <v>163</v>
      </c>
      <c r="B1" s="185"/>
      <c r="C1" s="185"/>
      <c r="D1" s="185"/>
      <c r="E1" s="185"/>
      <c r="F1" s="185"/>
      <c r="G1" s="185"/>
      <c r="H1" s="185"/>
      <c r="I1" s="448" t="s">
        <v>246</v>
      </c>
      <c r="J1" s="448"/>
      <c r="K1" s="448"/>
      <c r="L1" s="448"/>
      <c r="M1" s="448"/>
      <c r="N1" s="448"/>
      <c r="O1" s="449"/>
    </row>
    <row r="2" spans="1:15" s="41" customFormat="1" ht="11.1" customHeight="1">
      <c r="A2" s="182"/>
      <c r="O2" s="183"/>
    </row>
    <row r="3" spans="1:15" ht="11.1" customHeight="1">
      <c r="A3" s="137" t="s">
        <v>28</v>
      </c>
      <c r="B3" s="186"/>
      <c r="C3" s="186"/>
      <c r="D3" s="186"/>
      <c r="E3" s="186"/>
      <c r="F3" s="137" t="s">
        <v>29</v>
      </c>
      <c r="G3" s="186"/>
      <c r="H3" s="186"/>
      <c r="I3" s="186"/>
      <c r="J3" s="187"/>
      <c r="K3" s="138" t="s">
        <v>30</v>
      </c>
      <c r="L3" s="186"/>
      <c r="M3" s="186"/>
      <c r="N3" s="186"/>
      <c r="O3" s="187"/>
    </row>
    <row r="4" spans="1:15" ht="11.1" customHeight="1">
      <c r="A4" s="46" t="s">
        <v>195</v>
      </c>
      <c r="B4" s="104">
        <f>'Caso Base | m2 del Proyecto'!D43</f>
        <v>2559.3399999999997</v>
      </c>
      <c r="C4" s="36"/>
      <c r="D4" s="36"/>
      <c r="E4" s="36"/>
      <c r="F4" s="46" t="s">
        <v>195</v>
      </c>
      <c r="G4" s="104">
        <f>'Caso Base | m2 del Proyecto'!D44</f>
        <v>979.15299999999991</v>
      </c>
      <c r="H4" s="36" t="s">
        <v>36</v>
      </c>
      <c r="I4" s="36"/>
      <c r="J4" s="358">
        <f>'Caso Base | m2 del Proyecto'!I43</f>
        <v>2789.598</v>
      </c>
      <c r="K4" s="46" t="s">
        <v>195</v>
      </c>
      <c r="L4" s="104">
        <f>'Caso Base | m2 del Proyecto'!D45</f>
        <v>4740.5609999999988</v>
      </c>
      <c r="M4" s="36" t="s">
        <v>214</v>
      </c>
      <c r="N4" s="36"/>
      <c r="O4" s="358">
        <f>'Caso Base | m2 del Proyecto'!G45</f>
        <v>90.523003335146129</v>
      </c>
    </row>
    <row r="5" spans="1:15" ht="11.1" customHeight="1">
      <c r="A5" s="46" t="s">
        <v>196</v>
      </c>
      <c r="B5" s="105">
        <f>'Caso Base | m2 del Proyecto'!F43</f>
        <v>2559.3399999999997</v>
      </c>
      <c r="C5" s="36" t="s">
        <v>202</v>
      </c>
      <c r="D5" s="36"/>
      <c r="E5" s="106">
        <f>Supuestos!J15</f>
        <v>45</v>
      </c>
      <c r="F5" s="46" t="s">
        <v>196</v>
      </c>
      <c r="G5" s="105">
        <f>'Caso Base | m2 del Proyecto'!F44</f>
        <v>881.2376999999999</v>
      </c>
      <c r="H5" s="36" t="s">
        <v>202</v>
      </c>
      <c r="I5" s="36"/>
      <c r="J5" s="107">
        <f>Supuestos!K15</f>
        <v>45</v>
      </c>
      <c r="K5" s="46" t="s">
        <v>196</v>
      </c>
      <c r="L5" s="105">
        <f>'Caso Base | m2 del Proyecto'!F45</f>
        <v>4029.4768499999986</v>
      </c>
      <c r="M5" s="36" t="s">
        <v>202</v>
      </c>
      <c r="N5" s="36"/>
      <c r="O5" s="107">
        <f>Supuestos!L15</f>
        <v>45</v>
      </c>
    </row>
    <row r="6" spans="1:15" ht="11.1" customHeight="1">
      <c r="A6" s="46" t="s">
        <v>146</v>
      </c>
      <c r="B6" s="106">
        <f>Supuestos!J7</f>
        <v>180</v>
      </c>
      <c r="C6" s="36" t="s">
        <v>203</v>
      </c>
      <c r="D6" s="36"/>
      <c r="E6" s="108">
        <f>Supuestos!J16</f>
        <v>0.1</v>
      </c>
      <c r="F6" s="46" t="s">
        <v>146</v>
      </c>
      <c r="G6" s="106">
        <f>Supuestos!K7</f>
        <v>144</v>
      </c>
      <c r="H6" s="36" t="s">
        <v>203</v>
      </c>
      <c r="I6" s="36"/>
      <c r="J6" s="109">
        <f>Supuestos!K16</f>
        <v>0.06</v>
      </c>
      <c r="K6" s="46" t="s">
        <v>146</v>
      </c>
      <c r="L6" s="106">
        <f>Supuestos!L7</f>
        <v>120</v>
      </c>
      <c r="M6" s="36" t="s">
        <v>203</v>
      </c>
      <c r="N6" s="36"/>
      <c r="O6" s="109">
        <f>Supuestos!L16</f>
        <v>0.05</v>
      </c>
    </row>
    <row r="7" spans="1:15" ht="11.1" customHeight="1">
      <c r="A7" s="48" t="s">
        <v>197</v>
      </c>
      <c r="B7" s="291">
        <f>Supuestos!J8</f>
        <v>1.8E-3</v>
      </c>
      <c r="C7" s="36" t="s">
        <v>204</v>
      </c>
      <c r="D7" s="36"/>
      <c r="E7" s="106">
        <f>Supuestos!J17</f>
        <v>2</v>
      </c>
      <c r="F7" s="48" t="s">
        <v>197</v>
      </c>
      <c r="G7" s="108">
        <f>Supuestos!K8</f>
        <v>1.8E-3</v>
      </c>
      <c r="H7" s="36" t="s">
        <v>204</v>
      </c>
      <c r="I7" s="36"/>
      <c r="J7" s="107">
        <f>Supuestos!K17</f>
        <v>1</v>
      </c>
      <c r="K7" s="48" t="s">
        <v>197</v>
      </c>
      <c r="L7" s="108">
        <f>Supuestos!L8</f>
        <v>1.8E-3</v>
      </c>
      <c r="M7" s="36" t="s">
        <v>204</v>
      </c>
      <c r="N7" s="36"/>
      <c r="O7" s="107">
        <f>Supuestos!L17</f>
        <v>1.5</v>
      </c>
    </row>
    <row r="8" spans="1:15" ht="11.1" customHeight="1">
      <c r="A8" s="46" t="s">
        <v>198</v>
      </c>
      <c r="B8" s="108">
        <f>Supuestos!J9</f>
        <v>0.08</v>
      </c>
      <c r="C8" s="36" t="s">
        <v>205</v>
      </c>
      <c r="D8" s="36"/>
      <c r="E8" s="104">
        <f>'Caso Base | m2 del Proyecto'!H43</f>
        <v>21.758955555555556</v>
      </c>
      <c r="F8" s="46" t="s">
        <v>198</v>
      </c>
      <c r="G8" s="108">
        <f>Supuestos!K9</f>
        <v>0.05</v>
      </c>
      <c r="H8" s="36" t="s">
        <v>205</v>
      </c>
      <c r="I8" s="36"/>
      <c r="J8" s="110">
        <f>'Caso Base | m2 del Proyecto'!H44</f>
        <v>13.9879</v>
      </c>
      <c r="K8" s="46" t="s">
        <v>198</v>
      </c>
      <c r="L8" s="108">
        <f>Supuestos!L9</f>
        <v>0.04</v>
      </c>
      <c r="M8" s="36" t="s">
        <v>205</v>
      </c>
      <c r="N8" s="36"/>
      <c r="O8" s="110">
        <f>'Caso Base | m2 del Proyecto'!H45</f>
        <v>24.478824999999993</v>
      </c>
    </row>
    <row r="9" spans="1:15" ht="11.1" customHeight="1">
      <c r="A9" s="46" t="s">
        <v>199</v>
      </c>
      <c r="B9" s="111">
        <f>Supuestos!J12</f>
        <v>57.6</v>
      </c>
      <c r="C9" s="36" t="s">
        <v>206</v>
      </c>
      <c r="D9" s="36"/>
      <c r="E9" s="112">
        <f>Supuestos!J10</f>
        <v>600</v>
      </c>
      <c r="F9" s="46" t="s">
        <v>199</v>
      </c>
      <c r="G9" s="106">
        <f>Supuestos!K12</f>
        <v>43.199999999999996</v>
      </c>
      <c r="H9" s="36" t="s">
        <v>206</v>
      </c>
      <c r="I9" s="36"/>
      <c r="J9" s="113">
        <f>Supuestos!K10</f>
        <v>600</v>
      </c>
      <c r="K9" s="46" t="s">
        <v>199</v>
      </c>
      <c r="L9" s="106">
        <f>Supuestos!L12</f>
        <v>36</v>
      </c>
      <c r="M9" s="36" t="s">
        <v>206</v>
      </c>
      <c r="N9" s="36"/>
      <c r="O9" s="113">
        <f>Supuestos!L10</f>
        <v>600</v>
      </c>
    </row>
    <row r="10" spans="1:15" ht="11.1" customHeight="1">
      <c r="A10" s="48" t="s">
        <v>197</v>
      </c>
      <c r="B10" s="291">
        <f>Supuestos!J13</f>
        <v>1.8E-3</v>
      </c>
      <c r="C10" s="36" t="s">
        <v>210</v>
      </c>
      <c r="D10" s="36"/>
      <c r="E10" s="114">
        <f>Supuestos!J19</f>
        <v>0.125</v>
      </c>
      <c r="F10" s="48" t="s">
        <v>197</v>
      </c>
      <c r="G10" s="108">
        <f>Supuestos!K13</f>
        <v>1.8E-3</v>
      </c>
      <c r="H10" s="36" t="s">
        <v>210</v>
      </c>
      <c r="I10" s="57"/>
      <c r="J10" s="115">
        <f>Supuestos!K19</f>
        <v>0.105</v>
      </c>
      <c r="K10" s="48" t="s">
        <v>197</v>
      </c>
      <c r="L10" s="108">
        <f>Supuestos!L13</f>
        <v>1.8E-3</v>
      </c>
      <c r="M10" s="36" t="s">
        <v>210</v>
      </c>
      <c r="N10" s="57"/>
      <c r="O10" s="115">
        <f>Supuestos!L19</f>
        <v>8.5000000000000006E-2</v>
      </c>
    </row>
    <row r="11" spans="1:15" ht="11.1" customHeight="1">
      <c r="A11" s="46" t="s">
        <v>200</v>
      </c>
      <c r="B11" s="356">
        <f>Supuestos!D6</f>
        <v>290</v>
      </c>
      <c r="C11" s="36" t="s">
        <v>211</v>
      </c>
      <c r="D11" s="36"/>
      <c r="E11" s="114">
        <f>Supuestos!J20</f>
        <v>0.11</v>
      </c>
      <c r="F11" s="46" t="s">
        <v>200</v>
      </c>
      <c r="G11" s="356">
        <f>Supuestos!D7</f>
        <v>290</v>
      </c>
      <c r="H11" s="36" t="s">
        <v>211</v>
      </c>
      <c r="I11" s="57"/>
      <c r="J11" s="115">
        <f>Supuestos!K20</f>
        <v>0.09</v>
      </c>
      <c r="K11" s="46" t="s">
        <v>200</v>
      </c>
      <c r="L11" s="356">
        <f>Supuestos!D8</f>
        <v>290</v>
      </c>
      <c r="M11" s="36" t="s">
        <v>211</v>
      </c>
      <c r="N11" s="57"/>
      <c r="O11" s="115">
        <f>Supuestos!L20</f>
        <v>7.0000000000000007E-2</v>
      </c>
    </row>
    <row r="12" spans="1:15" ht="11.1" customHeight="1">
      <c r="A12" s="53" t="s">
        <v>201</v>
      </c>
      <c r="B12" s="357">
        <f>Supuestos!D10</f>
        <v>110</v>
      </c>
      <c r="C12" s="27" t="s">
        <v>212</v>
      </c>
      <c r="D12" s="27"/>
      <c r="E12" s="116">
        <f>Supuestos!J21</f>
        <v>0.115</v>
      </c>
      <c r="F12" s="53" t="s">
        <v>201</v>
      </c>
      <c r="G12" s="357">
        <f>Supuestos!D11</f>
        <v>110</v>
      </c>
      <c r="H12" s="27" t="s">
        <v>212</v>
      </c>
      <c r="I12" s="117"/>
      <c r="J12" s="118">
        <f>Supuestos!K21</f>
        <v>9.5000000000000001E-2</v>
      </c>
      <c r="K12" s="53" t="s">
        <v>201</v>
      </c>
      <c r="L12" s="357">
        <f>Supuestos!D12</f>
        <v>150</v>
      </c>
      <c r="M12" s="27" t="s">
        <v>212</v>
      </c>
      <c r="N12" s="117"/>
      <c r="O12" s="118">
        <f>Supuestos!L21</f>
        <v>7.5000000000000011E-2</v>
      </c>
    </row>
    <row r="13" spans="1:15" ht="11.1" customHeight="1">
      <c r="A13" s="36"/>
      <c r="B13" s="211"/>
      <c r="C13" s="36"/>
      <c r="D13" s="36"/>
      <c r="E13" s="114"/>
      <c r="F13" s="36"/>
      <c r="G13" s="211"/>
      <c r="H13" s="36"/>
      <c r="I13" s="57"/>
      <c r="J13" s="114"/>
      <c r="K13" s="36"/>
      <c r="L13" s="211"/>
      <c r="M13" s="36"/>
      <c r="N13" s="57"/>
      <c r="O13" s="114"/>
    </row>
    <row r="14" spans="1:15" ht="11.1" customHeight="1">
      <c r="A14" s="36"/>
      <c r="B14" s="211"/>
      <c r="C14" s="36"/>
      <c r="D14" s="36"/>
      <c r="E14" s="114"/>
      <c r="F14" s="36"/>
      <c r="G14" s="211"/>
      <c r="H14" s="36"/>
      <c r="I14" s="57"/>
      <c r="J14" s="114"/>
      <c r="K14" s="36"/>
      <c r="L14" s="211"/>
      <c r="M14" s="36"/>
      <c r="N14" s="57"/>
      <c r="O14" s="114"/>
    </row>
    <row r="16" spans="1:15" ht="11.1" customHeight="1">
      <c r="A16" s="137" t="s">
        <v>239</v>
      </c>
      <c r="B16" s="186"/>
      <c r="C16" s="187"/>
    </row>
    <row r="17" spans="1:10" ht="11.1" customHeight="1">
      <c r="A17" s="46" t="s">
        <v>215</v>
      </c>
      <c r="B17" s="36"/>
      <c r="C17" s="130">
        <f>Supuestos!D21</f>
        <v>4.2799999999999998E-2</v>
      </c>
    </row>
    <row r="18" spans="1:10" ht="11.1" customHeight="1">
      <c r="A18" s="46" t="s">
        <v>218</v>
      </c>
      <c r="B18" s="128"/>
      <c r="C18" s="151">
        <v>10</v>
      </c>
    </row>
    <row r="19" spans="1:10" ht="11.1" customHeight="1">
      <c r="A19" s="44"/>
      <c r="B19" s="128"/>
      <c r="C19" s="151"/>
    </row>
    <row r="20" spans="1:10" ht="11.1" customHeight="1">
      <c r="A20" s="137" t="s">
        <v>216</v>
      </c>
      <c r="B20" s="186"/>
      <c r="C20" s="187"/>
    </row>
    <row r="21" spans="1:10" ht="11.1" customHeight="1">
      <c r="A21" s="68" t="s">
        <v>217</v>
      </c>
      <c r="B21" s="36"/>
      <c r="C21" s="144">
        <v>2</v>
      </c>
    </row>
    <row r="22" spans="1:10" ht="11.1" customHeight="1">
      <c r="A22" s="68" t="s">
        <v>219</v>
      </c>
      <c r="B22" s="36"/>
      <c r="C22" s="131">
        <f>Supuestos!D13</f>
        <v>4250</v>
      </c>
    </row>
    <row r="23" spans="1:10" ht="11.1" customHeight="1">
      <c r="A23" s="68" t="s">
        <v>213</v>
      </c>
      <c r="B23" s="36"/>
      <c r="C23" s="131">
        <f>Supuestos!D14</f>
        <v>50</v>
      </c>
    </row>
    <row r="24" spans="1:10" ht="11.1" customHeight="1">
      <c r="A24" s="68" t="s">
        <v>220</v>
      </c>
      <c r="B24" s="36"/>
      <c r="C24" s="132">
        <f>Supuestos!D17</f>
        <v>0.05</v>
      </c>
    </row>
    <row r="25" spans="1:10" ht="11.1" customHeight="1">
      <c r="A25" s="68" t="s">
        <v>33</v>
      </c>
      <c r="B25" s="36"/>
      <c r="C25" s="132">
        <f>Supuestos!D18</f>
        <v>3.5000000000000003E-2</v>
      </c>
    </row>
    <row r="26" spans="1:10" ht="11.1" customHeight="1">
      <c r="A26" s="68" t="s">
        <v>34</v>
      </c>
      <c r="B26" s="36"/>
      <c r="C26" s="132">
        <f>Supuestos!D19</f>
        <v>0.1</v>
      </c>
    </row>
    <row r="27" spans="1:10" ht="11.1" customHeight="1">
      <c r="A27" s="133" t="s">
        <v>35</v>
      </c>
      <c r="B27" s="27"/>
      <c r="C27" s="134">
        <f>Supuestos!D20</f>
        <v>0.2</v>
      </c>
      <c r="G27" s="56"/>
    </row>
    <row r="28" spans="1:10" ht="11.1" customHeight="1">
      <c r="A28" s="56"/>
      <c r="B28" s="36"/>
      <c r="C28" s="150"/>
      <c r="G28" s="56"/>
    </row>
    <row r="29" spans="1:10" ht="11.1" customHeight="1">
      <c r="A29" s="56"/>
      <c r="B29" s="36"/>
      <c r="C29" s="150"/>
      <c r="G29" s="56"/>
    </row>
    <row r="30" spans="1:10" ht="11.1" customHeight="1">
      <c r="A30" s="56"/>
      <c r="B30" s="36"/>
      <c r="C30" s="150"/>
      <c r="G30" s="56"/>
    </row>
    <row r="31" spans="1:10" ht="11.1" customHeight="1">
      <c r="A31" s="481" t="s">
        <v>172</v>
      </c>
      <c r="B31" s="455" t="s">
        <v>10</v>
      </c>
      <c r="C31" s="453"/>
      <c r="D31" s="453" t="s">
        <v>11</v>
      </c>
      <c r="E31" s="453"/>
      <c r="F31" s="453" t="s">
        <v>12</v>
      </c>
      <c r="G31" s="454"/>
      <c r="H31" s="469" t="s">
        <v>176</v>
      </c>
      <c r="I31" s="456" t="s">
        <v>177</v>
      </c>
      <c r="J31" s="459" t="s">
        <v>8</v>
      </c>
    </row>
    <row r="32" spans="1:10" ht="11.1" customHeight="1">
      <c r="A32" s="482"/>
      <c r="B32" s="470" t="s">
        <v>175</v>
      </c>
      <c r="C32" s="457"/>
      <c r="D32" s="457" t="s">
        <v>173</v>
      </c>
      <c r="E32" s="457"/>
      <c r="F32" s="457" t="s">
        <v>174</v>
      </c>
      <c r="G32" s="460"/>
      <c r="H32" s="470"/>
      <c r="I32" s="457"/>
      <c r="J32" s="460"/>
    </row>
    <row r="33" spans="1:18" ht="11.1" customHeight="1">
      <c r="A33" s="483"/>
      <c r="B33" s="471"/>
      <c r="C33" s="458"/>
      <c r="D33" s="458"/>
      <c r="E33" s="458"/>
      <c r="F33" s="458"/>
      <c r="G33" s="461"/>
      <c r="H33" s="471"/>
      <c r="I33" s="458"/>
      <c r="J33" s="461"/>
    </row>
    <row r="34" spans="1:18" ht="11.1" customHeight="1">
      <c r="A34" s="484" t="s">
        <v>15</v>
      </c>
      <c r="B34" s="475">
        <f>+D100*E42</f>
        <v>1062178.1975384748</v>
      </c>
      <c r="C34" s="476"/>
      <c r="D34" s="472">
        <f>-D99*E42</f>
        <v>4731208.5759278862</v>
      </c>
      <c r="E34" s="473"/>
      <c r="F34" s="472">
        <f>SUM(B34:E34)</f>
        <v>5793386.7734663608</v>
      </c>
      <c r="G34" s="503"/>
      <c r="H34" s="479">
        <f>C92</f>
        <v>5.0010336499073382E-2</v>
      </c>
      <c r="I34" s="465">
        <f>C93</f>
        <v>9.2264414483385293E-2</v>
      </c>
      <c r="J34" s="451">
        <f>C95</f>
        <v>0.64769887142835092</v>
      </c>
    </row>
    <row r="35" spans="1:18" ht="11.1" customHeight="1">
      <c r="A35" s="485"/>
      <c r="B35" s="477"/>
      <c r="C35" s="478"/>
      <c r="D35" s="474"/>
      <c r="E35" s="474"/>
      <c r="F35" s="474"/>
      <c r="G35" s="504"/>
      <c r="H35" s="480"/>
      <c r="I35" s="466"/>
      <c r="J35" s="452"/>
    </row>
    <row r="41" spans="1:18" ht="11.1" customHeight="1">
      <c r="E41" s="80"/>
      <c r="H41" s="79"/>
      <c r="J41" s="80"/>
      <c r="L41" s="59"/>
      <c r="M41" s="79"/>
      <c r="O41" s="80"/>
      <c r="Q41" s="59"/>
      <c r="R41" s="79"/>
    </row>
    <row r="42" spans="1:18" ht="11.1" customHeight="1">
      <c r="A42" s="26" t="s">
        <v>231</v>
      </c>
      <c r="E42" s="146">
        <v>1000</v>
      </c>
      <c r="H42" s="79"/>
      <c r="J42" s="80"/>
      <c r="L42" s="59"/>
      <c r="M42" s="79"/>
      <c r="O42" s="80"/>
      <c r="Q42" s="59"/>
      <c r="R42" s="79"/>
    </row>
    <row r="43" spans="1:18" ht="11.1" customHeight="1">
      <c r="G43" s="35"/>
    </row>
    <row r="44" spans="1:18" s="11" customFormat="1" ht="14.1" customHeight="1">
      <c r="A44" s="490" t="s">
        <v>91</v>
      </c>
      <c r="B44" s="491"/>
      <c r="C44" s="191" t="s">
        <v>98</v>
      </c>
      <c r="D44" s="500" t="s">
        <v>92</v>
      </c>
      <c r="E44" s="501"/>
      <c r="F44" s="501"/>
      <c r="G44" s="502"/>
      <c r="H44" s="462" t="s">
        <v>93</v>
      </c>
      <c r="I44" s="463"/>
      <c r="J44" s="463"/>
      <c r="K44" s="463"/>
      <c r="L44" s="463"/>
      <c r="M44" s="463"/>
      <c r="N44" s="463"/>
      <c r="O44" s="464"/>
      <c r="P44" s="174"/>
      <c r="Q44" s="175"/>
      <c r="R44" s="175"/>
    </row>
    <row r="45" spans="1:18" ht="11.1" customHeight="1">
      <c r="A45" s="492"/>
      <c r="B45" s="493"/>
      <c r="C45" s="190">
        <f>E42</f>
        <v>1000</v>
      </c>
      <c r="D45" s="66" t="s">
        <v>100</v>
      </c>
      <c r="E45" s="488" t="s">
        <v>101</v>
      </c>
      <c r="F45" s="489"/>
      <c r="G45" s="173" t="s">
        <v>5</v>
      </c>
      <c r="H45" s="467" t="s">
        <v>232</v>
      </c>
      <c r="I45" s="467"/>
      <c r="J45" s="467"/>
      <c r="K45" s="467"/>
      <c r="L45" s="467"/>
      <c r="M45" s="467"/>
      <c r="N45" s="467"/>
      <c r="O45" s="468"/>
      <c r="P45" s="176"/>
      <c r="Q45" s="177"/>
      <c r="R45" s="177"/>
    </row>
    <row r="46" spans="1:18" ht="11.1" customHeight="1">
      <c r="A46" s="139"/>
      <c r="B46" s="135"/>
      <c r="C46" s="135"/>
      <c r="D46" s="136"/>
      <c r="E46" s="360">
        <v>1</v>
      </c>
      <c r="F46" s="360">
        <v>2</v>
      </c>
      <c r="G46" s="360">
        <v>3</v>
      </c>
      <c r="H46" s="360">
        <v>4</v>
      </c>
      <c r="I46" s="360">
        <v>5</v>
      </c>
      <c r="J46" s="360">
        <v>6</v>
      </c>
      <c r="K46" s="360">
        <v>7</v>
      </c>
      <c r="L46" s="360">
        <v>8</v>
      </c>
      <c r="M46" s="360">
        <v>9</v>
      </c>
      <c r="N46" s="360">
        <v>10</v>
      </c>
      <c r="O46" s="361">
        <v>11</v>
      </c>
      <c r="P46" s="362">
        <v>12</v>
      </c>
      <c r="Q46" s="362">
        <v>13</v>
      </c>
      <c r="R46" s="362">
        <v>14</v>
      </c>
    </row>
    <row r="47" spans="1:18" ht="11.1" customHeight="1">
      <c r="A47" s="53"/>
      <c r="B47" s="27"/>
      <c r="C47" s="36"/>
      <c r="D47" s="147" t="s">
        <v>234</v>
      </c>
      <c r="E47" s="148"/>
      <c r="F47" s="148"/>
      <c r="G47" s="147" t="s">
        <v>235</v>
      </c>
      <c r="H47" s="148" t="str">
        <f t="shared" ref="H47:O47" si="0">IF(H46=$C$18,"Reversion","")</f>
        <v/>
      </c>
      <c r="I47" s="148" t="str">
        <f t="shared" si="0"/>
        <v/>
      </c>
      <c r="J47" s="148" t="str">
        <f t="shared" si="0"/>
        <v/>
      </c>
      <c r="K47" s="148" t="str">
        <f t="shared" si="0"/>
        <v/>
      </c>
      <c r="L47" s="148" t="str">
        <f t="shared" si="0"/>
        <v/>
      </c>
      <c r="M47" s="148" t="str">
        <f t="shared" si="0"/>
        <v/>
      </c>
      <c r="N47" s="148" t="str">
        <f t="shared" si="0"/>
        <v>Reversion</v>
      </c>
      <c r="O47" s="149" t="str">
        <f t="shared" si="0"/>
        <v/>
      </c>
      <c r="P47" s="59"/>
      <c r="Q47" s="59"/>
      <c r="R47" s="59"/>
    </row>
    <row r="48" spans="1:18" ht="11.1" customHeight="1">
      <c r="A48" s="145" t="s">
        <v>94</v>
      </c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31"/>
      <c r="P48" s="59"/>
      <c r="Q48" s="59"/>
      <c r="R48" s="59"/>
    </row>
    <row r="49" spans="1:19" s="59" customFormat="1" ht="11.1" customHeight="1">
      <c r="A49" s="96" t="s">
        <v>99</v>
      </c>
      <c r="B49" s="60"/>
      <c r="C49" s="57"/>
      <c r="D49" s="292">
        <f>-('Caso Base | m2 del Proyecto'!E31+'Caso Base | m2 del Proyecto'!E32+'Caso Base | m2 del Proyecto'!E33)*421.06/C45-362</f>
        <v>-1877.3991506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58"/>
    </row>
    <row r="50" spans="1:19" s="59" customFormat="1" ht="11.1" customHeight="1">
      <c r="A50" s="96" t="s">
        <v>107</v>
      </c>
      <c r="B50" s="60"/>
      <c r="C50" s="57"/>
      <c r="D50" s="292">
        <f>-'Caso Base | m2 del Proyecto'!E33*421/'Caso Base | Flujo de Caja'!C45</f>
        <v>-564.81360000000006</v>
      </c>
      <c r="F50" s="65"/>
      <c r="G50" s="65"/>
      <c r="H50" s="65"/>
      <c r="I50" s="65"/>
      <c r="J50" s="65"/>
      <c r="K50" s="65"/>
      <c r="L50" s="65"/>
      <c r="M50" s="65"/>
      <c r="N50" s="65"/>
      <c r="O50" s="58"/>
    </row>
    <row r="51" spans="1:19" s="59" customFormat="1" ht="11.1" customHeight="1">
      <c r="A51" s="96" t="s">
        <v>105</v>
      </c>
      <c r="B51" s="60"/>
      <c r="C51" s="57"/>
      <c r="E51" s="292">
        <f>-'Caso Base | m2 del Proyecto'!F32*50/C45</f>
        <v>-139.47989999999999</v>
      </c>
      <c r="F51" s="65"/>
      <c r="G51" s="65"/>
      <c r="H51" s="65"/>
      <c r="I51" s="65"/>
      <c r="J51" s="65"/>
      <c r="K51" s="65"/>
      <c r="L51" s="65"/>
      <c r="M51" s="65"/>
      <c r="N51" s="65"/>
      <c r="O51" s="58"/>
    </row>
    <row r="52" spans="1:19" s="59" customFormat="1" ht="11.1" customHeight="1">
      <c r="A52" s="97" t="s">
        <v>95</v>
      </c>
      <c r="B52" s="60"/>
      <c r="C52" s="57"/>
      <c r="D52" s="64"/>
      <c r="E52" s="292">
        <f>SUM(E53:E56)</f>
        <v>-1819.8849384305552</v>
      </c>
      <c r="F52" s="292">
        <f>SUM(F53:F56)</f>
        <v>-1900.3809384305553</v>
      </c>
      <c r="G52" s="65"/>
      <c r="H52" s="65"/>
      <c r="I52" s="65"/>
      <c r="J52" s="65"/>
      <c r="K52" s="65"/>
      <c r="L52" s="65"/>
      <c r="M52" s="65"/>
      <c r="N52" s="65"/>
      <c r="O52" s="58"/>
    </row>
    <row r="53" spans="1:19" s="59" customFormat="1" ht="11.1" customHeight="1">
      <c r="A53" s="301" t="s">
        <v>28</v>
      </c>
      <c r="B53" s="60"/>
      <c r="C53" s="60"/>
      <c r="D53" s="60"/>
      <c r="E53" s="61">
        <f>-(($B$4*$B$11+$B$5*$B$12+$C$22*$E$8)/$C$21)/$C$45</f>
        <v>-558.1057805555555</v>
      </c>
      <c r="F53" s="61">
        <f>-(($B$4*$B$11+$B$5*$B$12+$C$22*$E$8)/$C$21)/$C$45</f>
        <v>-558.1057805555555</v>
      </c>
      <c r="G53" s="61"/>
      <c r="H53" s="60"/>
      <c r="I53" s="60"/>
      <c r="J53" s="60"/>
      <c r="K53" s="60"/>
      <c r="L53" s="60"/>
      <c r="M53" s="60"/>
      <c r="N53" s="60"/>
      <c r="O53" s="58"/>
    </row>
    <row r="54" spans="1:19" s="59" customFormat="1" ht="11.1" customHeight="1">
      <c r="A54" s="301" t="s">
        <v>29</v>
      </c>
      <c r="B54" s="60"/>
      <c r="C54" s="60"/>
      <c r="D54" s="60"/>
      <c r="E54" s="61">
        <f>-(($G$4*$G$11+$G$5*$G$12+$C$22*$J$8)/$C$21)/C45</f>
        <v>-220.169546</v>
      </c>
      <c r="F54" s="61">
        <f>-(($G$4*$G$11+$G$5*$G$12+$C$22*$J$8)/$C$21)/C45</f>
        <v>-220.169546</v>
      </c>
      <c r="G54" s="61"/>
      <c r="H54" s="60"/>
      <c r="I54" s="60"/>
      <c r="J54" s="60"/>
      <c r="K54" s="60"/>
      <c r="L54" s="60"/>
      <c r="M54" s="60"/>
      <c r="N54" s="60"/>
      <c r="O54" s="58"/>
    </row>
    <row r="55" spans="1:19" s="59" customFormat="1" ht="11.1" customHeight="1">
      <c r="A55" s="301" t="s">
        <v>106</v>
      </c>
      <c r="B55" s="60"/>
      <c r="C55" s="60"/>
      <c r="D55" s="60"/>
      <c r="E55" s="61">
        <f>-(($L$4*$L$11+$L$5*$L$12+$C$22*$O$8)/$C$21)/C45</f>
        <v>-1041.6096118749997</v>
      </c>
      <c r="F55" s="61">
        <f>-(($L$4*$L$11+$L$5*$L$12+$C$22*$O$8)/$C$21)/C45</f>
        <v>-1041.6096118749997</v>
      </c>
      <c r="G55" s="61"/>
      <c r="H55" s="60"/>
      <c r="I55" s="60"/>
      <c r="J55" s="60"/>
      <c r="K55" s="60"/>
      <c r="L55" s="60"/>
      <c r="M55" s="60"/>
      <c r="N55" s="60"/>
      <c r="O55" s="58"/>
    </row>
    <row r="56" spans="1:19" s="59" customFormat="1" ht="11.1" customHeight="1">
      <c r="A56" s="301" t="s">
        <v>108</v>
      </c>
      <c r="B56" s="60"/>
      <c r="C56" s="60"/>
      <c r="D56" s="60"/>
      <c r="F56" s="61">
        <f>-'Caso Base | m2 del Proyecto'!$E$33*Supuestos!$D$15/$C$45</f>
        <v>-80.496000000000009</v>
      </c>
      <c r="G56" s="61"/>
      <c r="H56" s="60"/>
      <c r="I56" s="60"/>
      <c r="J56" s="60"/>
      <c r="K56" s="60"/>
      <c r="L56" s="60"/>
      <c r="M56" s="60"/>
      <c r="N56" s="60"/>
      <c r="O56" s="58"/>
    </row>
    <row r="57" spans="1:19" s="59" customFormat="1" ht="11.1" customHeight="1">
      <c r="A57" s="97" t="s">
        <v>96</v>
      </c>
      <c r="B57" s="60"/>
      <c r="C57" s="60"/>
      <c r="E57" s="61">
        <f>SUM($C$24:$C$25)*SUM(E52:F52)</f>
        <v>-316.2225995331944</v>
      </c>
      <c r="F57" s="61"/>
      <c r="G57" s="61"/>
      <c r="H57" s="60"/>
      <c r="I57" s="60"/>
      <c r="J57" s="60"/>
      <c r="K57" s="60"/>
      <c r="L57" s="60"/>
      <c r="M57" s="60"/>
      <c r="N57" s="60"/>
      <c r="O57" s="58"/>
      <c r="P57" s="25"/>
      <c r="Q57" s="25"/>
      <c r="R57" s="25"/>
    </row>
    <row r="58" spans="1:19" s="59" customFormat="1" ht="11.1" customHeight="1">
      <c r="A58" s="97" t="s">
        <v>34</v>
      </c>
      <c r="B58" s="60"/>
      <c r="C58" s="60"/>
      <c r="D58" s="60"/>
      <c r="E58" s="61">
        <f>$C$26*(E52+E57)</f>
        <v>-213.61075379637498</v>
      </c>
      <c r="F58" s="61">
        <f>$C$26*(F52+F57)</f>
        <v>-190.03809384305555</v>
      </c>
      <c r="G58" s="61"/>
      <c r="H58" s="60"/>
      <c r="I58" s="60"/>
      <c r="J58" s="60"/>
      <c r="K58" s="60"/>
      <c r="L58" s="60"/>
      <c r="M58" s="60"/>
      <c r="N58" s="60"/>
      <c r="O58" s="58"/>
      <c r="P58" s="25"/>
      <c r="Q58" s="25"/>
      <c r="R58" s="25"/>
    </row>
    <row r="59" spans="1:19" s="59" customFormat="1" ht="11.1" customHeight="1">
      <c r="A59" s="97" t="s">
        <v>97</v>
      </c>
      <c r="B59" s="60"/>
      <c r="C59" s="60"/>
      <c r="D59" s="60"/>
      <c r="E59" s="61">
        <f>(SUM($E$51:$F$52))*$C$27/$C$21</f>
        <v>-385.97457768611105</v>
      </c>
      <c r="F59" s="61">
        <f>(SUM($E$51:$F$52))*$C$27/$C$21</f>
        <v>-385.97457768611105</v>
      </c>
      <c r="G59" s="61"/>
      <c r="H59" s="60"/>
      <c r="I59" s="60"/>
      <c r="J59" s="60"/>
      <c r="K59" s="60"/>
      <c r="L59" s="60"/>
      <c r="M59" s="60"/>
      <c r="N59" s="60"/>
      <c r="O59" s="58"/>
      <c r="P59" s="25"/>
      <c r="Q59" s="36"/>
      <c r="R59" s="36"/>
      <c r="S59" s="57"/>
    </row>
    <row r="60" spans="1:19" s="59" customFormat="1" ht="11.1" customHeight="1" thickBot="1">
      <c r="A60" s="98" t="s">
        <v>153</v>
      </c>
      <c r="B60" s="99"/>
      <c r="C60" s="99"/>
      <c r="D60" s="100">
        <f>SUM(D49:D59)</f>
        <v>-2442.2127506000002</v>
      </c>
      <c r="E60" s="100">
        <f>+E50+E51+E52+E58+E59</f>
        <v>-2558.950169913041</v>
      </c>
      <c r="F60" s="100">
        <f>+F51+F52+F58+F59</f>
        <v>-2476.3936099597217</v>
      </c>
      <c r="G60" s="61"/>
      <c r="H60" s="60"/>
      <c r="I60" s="60"/>
      <c r="J60" s="60"/>
      <c r="K60" s="60"/>
      <c r="L60" s="60"/>
      <c r="M60" s="60"/>
      <c r="N60" s="60"/>
      <c r="O60" s="58"/>
      <c r="P60" s="25"/>
      <c r="Q60" s="36"/>
      <c r="R60" s="36"/>
      <c r="S60" s="57"/>
    </row>
    <row r="61" spans="1:19" ht="11.1" customHeight="1" thickTop="1">
      <c r="A61" s="46"/>
      <c r="B61" s="36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32"/>
      <c r="Q61" s="36"/>
      <c r="R61" s="36"/>
      <c r="S61" s="36"/>
    </row>
    <row r="62" spans="1:19" ht="11.1" customHeight="1">
      <c r="A62" s="46"/>
      <c r="B62" s="36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32"/>
      <c r="Q62" s="36"/>
      <c r="R62" s="36"/>
      <c r="S62" s="36"/>
    </row>
    <row r="63" spans="1:19" ht="11.1" customHeight="1">
      <c r="A63" s="359" t="s">
        <v>233</v>
      </c>
      <c r="B63" s="450" t="s">
        <v>166</v>
      </c>
      <c r="C63" s="450"/>
      <c r="D63" s="450"/>
      <c r="E63" s="188">
        <v>1</v>
      </c>
      <c r="F63" s="119">
        <f t="shared" ref="F63:O63" si="1">(1+$B$7)*E63</f>
        <v>1.0018</v>
      </c>
      <c r="G63" s="119">
        <f t="shared" si="1"/>
        <v>1.0036032400000001</v>
      </c>
      <c r="H63" s="119">
        <f t="shared" si="1"/>
        <v>1.0054097258320001</v>
      </c>
      <c r="I63" s="119">
        <f t="shared" si="1"/>
        <v>1.0072194633384977</v>
      </c>
      <c r="J63" s="119">
        <f t="shared" si="1"/>
        <v>1.009032458372507</v>
      </c>
      <c r="K63" s="119">
        <f t="shared" si="1"/>
        <v>1.0108487167975775</v>
      </c>
      <c r="L63" s="119">
        <f t="shared" si="1"/>
        <v>1.0126682444878132</v>
      </c>
      <c r="M63" s="119">
        <f t="shared" si="1"/>
        <v>1.0144910473278914</v>
      </c>
      <c r="N63" s="119">
        <f t="shared" si="1"/>
        <v>1.0163171312130816</v>
      </c>
      <c r="O63" s="120">
        <f t="shared" si="1"/>
        <v>1.0181465020492653</v>
      </c>
      <c r="P63" s="125">
        <f>(1+$B$7)*O63</f>
        <v>1.019979165752954</v>
      </c>
      <c r="Q63" s="119">
        <f>(1+$B$7)*P63</f>
        <v>1.0218151282513093</v>
      </c>
      <c r="R63" s="119">
        <f>(1+$B$7)*Q63</f>
        <v>1.0236543954821617</v>
      </c>
      <c r="S63" s="36"/>
    </row>
    <row r="64" spans="1:19" ht="11.1" customHeight="1">
      <c r="A64" s="359"/>
      <c r="B64" s="450" t="s">
        <v>167</v>
      </c>
      <c r="C64" s="450"/>
      <c r="D64" s="450"/>
      <c r="E64" s="188">
        <v>1</v>
      </c>
      <c r="F64" s="119">
        <f t="shared" ref="F64:O64" si="2">(1+$B$10)*E64</f>
        <v>1.0018</v>
      </c>
      <c r="G64" s="119">
        <f t="shared" si="2"/>
        <v>1.0036032400000001</v>
      </c>
      <c r="H64" s="119">
        <f t="shared" si="2"/>
        <v>1.0054097258320001</v>
      </c>
      <c r="I64" s="119">
        <f t="shared" si="2"/>
        <v>1.0072194633384977</v>
      </c>
      <c r="J64" s="119">
        <f t="shared" si="2"/>
        <v>1.009032458372507</v>
      </c>
      <c r="K64" s="119">
        <f t="shared" si="2"/>
        <v>1.0108487167975775</v>
      </c>
      <c r="L64" s="119">
        <f t="shared" si="2"/>
        <v>1.0126682444878132</v>
      </c>
      <c r="M64" s="119">
        <f t="shared" si="2"/>
        <v>1.0144910473278914</v>
      </c>
      <c r="N64" s="119">
        <f t="shared" si="2"/>
        <v>1.0163171312130816</v>
      </c>
      <c r="O64" s="120">
        <f t="shared" si="2"/>
        <v>1.0181465020492653</v>
      </c>
      <c r="P64" s="125">
        <f>(1+$B$10)*O64</f>
        <v>1.019979165752954</v>
      </c>
      <c r="Q64" s="119">
        <f>(1+$B$10)*P64</f>
        <v>1.0218151282513093</v>
      </c>
      <c r="R64" s="119">
        <f>(1+$B$10)*Q64</f>
        <v>1.0236543954821617</v>
      </c>
      <c r="S64" s="36"/>
    </row>
    <row r="65" spans="1:19" ht="11.1" customHeight="1">
      <c r="A65" s="359"/>
      <c r="B65" s="450" t="s">
        <v>168</v>
      </c>
      <c r="C65" s="450"/>
      <c r="D65" s="450"/>
      <c r="E65" s="121">
        <f>$B$6*E63</f>
        <v>180</v>
      </c>
      <c r="F65" s="121">
        <f t="shared" ref="F65:O65" si="3">$B$6*F63</f>
        <v>180.32400000000001</v>
      </c>
      <c r="G65" s="121">
        <f t="shared" si="3"/>
        <v>180.64858320000002</v>
      </c>
      <c r="H65" s="121">
        <f t="shared" si="3"/>
        <v>180.97375064976001</v>
      </c>
      <c r="I65" s="121">
        <f t="shared" si="3"/>
        <v>181.29950340092958</v>
      </c>
      <c r="J65" s="121">
        <f t="shared" si="3"/>
        <v>181.62584250705126</v>
      </c>
      <c r="K65" s="121">
        <f t="shared" si="3"/>
        <v>181.95276902356395</v>
      </c>
      <c r="L65" s="121">
        <f t="shared" si="3"/>
        <v>182.28028400780639</v>
      </c>
      <c r="M65" s="121">
        <f t="shared" si="3"/>
        <v>182.60838851902045</v>
      </c>
      <c r="N65" s="121">
        <f t="shared" si="3"/>
        <v>182.93708361835471</v>
      </c>
      <c r="O65" s="122">
        <f t="shared" si="3"/>
        <v>183.26637036886774</v>
      </c>
      <c r="P65" s="126">
        <f>$B$6*P63</f>
        <v>183.59624983553172</v>
      </c>
      <c r="Q65" s="121">
        <f>$B$6*Q63</f>
        <v>183.92672308523566</v>
      </c>
      <c r="R65" s="121">
        <f>$B$6*R63</f>
        <v>184.25779118678912</v>
      </c>
      <c r="S65" s="36"/>
    </row>
    <row r="66" spans="1:19" ht="11.1" customHeight="1">
      <c r="A66" s="46"/>
      <c r="B66" s="450" t="s">
        <v>169</v>
      </c>
      <c r="C66" s="450"/>
      <c r="D66" s="450"/>
      <c r="E66" s="121">
        <f>$G$6*E63</f>
        <v>144</v>
      </c>
      <c r="F66" s="121">
        <f>$G$6*F63</f>
        <v>144.25919999999999</v>
      </c>
      <c r="G66" s="121">
        <f t="shared" ref="G66:R66" si="4">$G$6*G63</f>
        <v>144.51886656000002</v>
      </c>
      <c r="H66" s="121">
        <f t="shared" si="4"/>
        <v>144.77900051980799</v>
      </c>
      <c r="I66" s="121">
        <f t="shared" si="4"/>
        <v>145.03960272074366</v>
      </c>
      <c r="J66" s="121">
        <f t="shared" si="4"/>
        <v>145.30067400564101</v>
      </c>
      <c r="K66" s="121">
        <f t="shared" si="4"/>
        <v>145.56221521885115</v>
      </c>
      <c r="L66" s="121">
        <f t="shared" si="4"/>
        <v>145.8242272062451</v>
      </c>
      <c r="M66" s="121">
        <f t="shared" si="4"/>
        <v>146.08671081521635</v>
      </c>
      <c r="N66" s="121">
        <f t="shared" si="4"/>
        <v>146.34966689468376</v>
      </c>
      <c r="O66" s="121">
        <f t="shared" si="4"/>
        <v>146.61309629509421</v>
      </c>
      <c r="P66" s="121">
        <f t="shared" si="4"/>
        <v>146.87699986842537</v>
      </c>
      <c r="Q66" s="121">
        <f t="shared" si="4"/>
        <v>147.14137846818852</v>
      </c>
      <c r="R66" s="121">
        <f t="shared" si="4"/>
        <v>147.40623294943128</v>
      </c>
    </row>
    <row r="67" spans="1:19" ht="11.1" customHeight="1">
      <c r="A67" s="46"/>
      <c r="B67" s="450" t="s">
        <v>170</v>
      </c>
      <c r="C67" s="450"/>
      <c r="D67" s="450"/>
      <c r="E67" s="121">
        <f>$L$6*E63</f>
        <v>120</v>
      </c>
      <c r="F67" s="121">
        <f t="shared" ref="F67:R67" si="5">$L$6*F63</f>
        <v>120.21600000000001</v>
      </c>
      <c r="G67" s="121">
        <f t="shared" si="5"/>
        <v>120.43238880000001</v>
      </c>
      <c r="H67" s="121">
        <f t="shared" si="5"/>
        <v>120.64916709984001</v>
      </c>
      <c r="I67" s="121">
        <f t="shared" si="5"/>
        <v>120.86633560061972</v>
      </c>
      <c r="J67" s="121">
        <f t="shared" si="5"/>
        <v>121.08389500470084</v>
      </c>
      <c r="K67" s="121">
        <f t="shared" si="5"/>
        <v>121.3018460157093</v>
      </c>
      <c r="L67" s="121">
        <f t="shared" si="5"/>
        <v>121.52018933853759</v>
      </c>
      <c r="M67" s="121">
        <f t="shared" si="5"/>
        <v>121.73892567934698</v>
      </c>
      <c r="N67" s="121">
        <f t="shared" si="5"/>
        <v>121.95805574556979</v>
      </c>
      <c r="O67" s="121">
        <f t="shared" si="5"/>
        <v>122.17758024591183</v>
      </c>
      <c r="P67" s="121">
        <f t="shared" si="5"/>
        <v>122.39749989035448</v>
      </c>
      <c r="Q67" s="121">
        <f t="shared" si="5"/>
        <v>122.61781539015712</v>
      </c>
      <c r="R67" s="121">
        <f t="shared" si="5"/>
        <v>122.83852745785941</v>
      </c>
    </row>
    <row r="68" spans="1:19" ht="11.1" customHeight="1">
      <c r="A68" s="46"/>
      <c r="B68" s="450" t="s">
        <v>151</v>
      </c>
      <c r="C68" s="450"/>
      <c r="D68" s="450"/>
      <c r="E68" s="121">
        <f t="shared" ref="E68:O68" si="6">$B$9*E64</f>
        <v>57.6</v>
      </c>
      <c r="F68" s="121">
        <f t="shared" si="6"/>
        <v>57.703680000000006</v>
      </c>
      <c r="G68" s="121">
        <f t="shared" si="6"/>
        <v>57.807546624000011</v>
      </c>
      <c r="H68" s="121">
        <f t="shared" si="6"/>
        <v>57.911600207923208</v>
      </c>
      <c r="I68" s="121">
        <f t="shared" si="6"/>
        <v>58.015841088297464</v>
      </c>
      <c r="J68" s="121">
        <f t="shared" si="6"/>
        <v>58.120269602256407</v>
      </c>
      <c r="K68" s="121">
        <f t="shared" si="6"/>
        <v>58.224886087540462</v>
      </c>
      <c r="L68" s="121">
        <f t="shared" si="6"/>
        <v>58.329690882498042</v>
      </c>
      <c r="M68" s="121">
        <f t="shared" si="6"/>
        <v>58.434684326086547</v>
      </c>
      <c r="N68" s="121">
        <f t="shared" si="6"/>
        <v>58.539866757873504</v>
      </c>
      <c r="O68" s="122">
        <f t="shared" si="6"/>
        <v>58.645238518037679</v>
      </c>
      <c r="P68" s="126">
        <f>$B$9*P64</f>
        <v>58.750799947370155</v>
      </c>
      <c r="Q68" s="121">
        <f>$B$9*Q64</f>
        <v>58.856551387275417</v>
      </c>
      <c r="R68" s="121">
        <f>$B$9*R64</f>
        <v>58.962493179772515</v>
      </c>
      <c r="S68" s="36"/>
    </row>
    <row r="69" spans="1:19" ht="11.1" customHeight="1">
      <c r="A69" s="46"/>
      <c r="B69" s="450" t="s">
        <v>171</v>
      </c>
      <c r="C69" s="450"/>
      <c r="D69" s="450"/>
      <c r="E69" s="123">
        <f t="shared" ref="E69:O69" si="7">$E$9*E63</f>
        <v>600</v>
      </c>
      <c r="F69" s="123">
        <f t="shared" si="7"/>
        <v>601.08000000000004</v>
      </c>
      <c r="G69" s="123">
        <f t="shared" si="7"/>
        <v>602.16194400000006</v>
      </c>
      <c r="H69" s="123">
        <f t="shared" si="7"/>
        <v>603.24583549919998</v>
      </c>
      <c r="I69" s="123">
        <f t="shared" si="7"/>
        <v>604.33167800309855</v>
      </c>
      <c r="J69" s="123">
        <f t="shared" si="7"/>
        <v>605.41947502350422</v>
      </c>
      <c r="K69" s="123">
        <f t="shared" si="7"/>
        <v>606.50923007854647</v>
      </c>
      <c r="L69" s="123">
        <f t="shared" si="7"/>
        <v>607.6009466926879</v>
      </c>
      <c r="M69" s="123">
        <f t="shared" si="7"/>
        <v>608.69462839673486</v>
      </c>
      <c r="N69" s="123">
        <f t="shared" si="7"/>
        <v>609.790278727849</v>
      </c>
      <c r="O69" s="124">
        <f t="shared" si="7"/>
        <v>610.88790122955913</v>
      </c>
      <c r="P69" s="127">
        <f>$E$9*P63</f>
        <v>611.98749945177235</v>
      </c>
      <c r="Q69" s="123">
        <f>$E$9*Q63</f>
        <v>613.08907695078551</v>
      </c>
      <c r="R69" s="123">
        <f>$E$9*R63</f>
        <v>614.19263728929707</v>
      </c>
      <c r="S69" s="36"/>
    </row>
    <row r="70" spans="1:19" ht="11.1" customHeight="1">
      <c r="A70" s="46"/>
      <c r="B70" s="450" t="s">
        <v>7</v>
      </c>
      <c r="C70" s="450"/>
      <c r="D70" s="450"/>
      <c r="E70" s="121"/>
      <c r="F70" s="121"/>
      <c r="G70" s="152">
        <v>1</v>
      </c>
      <c r="H70" s="152">
        <v>0</v>
      </c>
      <c r="I70" s="152">
        <v>0</v>
      </c>
      <c r="J70" s="152">
        <v>0</v>
      </c>
      <c r="K70" s="152">
        <v>0</v>
      </c>
      <c r="L70" s="152">
        <v>0.25</v>
      </c>
      <c r="M70" s="152">
        <v>0</v>
      </c>
      <c r="N70" s="152">
        <v>0</v>
      </c>
      <c r="O70" s="153">
        <v>0</v>
      </c>
      <c r="P70" s="154">
        <v>0</v>
      </c>
      <c r="Q70" s="152">
        <v>0.25</v>
      </c>
      <c r="R70" s="152">
        <v>0</v>
      </c>
      <c r="S70" s="36"/>
    </row>
    <row r="71" spans="1:19" ht="11.1" customHeight="1">
      <c r="A71" s="46"/>
      <c r="B71" s="317"/>
      <c r="C71" s="317"/>
      <c r="D71" s="317"/>
      <c r="E71" s="121"/>
      <c r="F71" s="121"/>
      <c r="G71" s="152"/>
      <c r="H71" s="152"/>
      <c r="I71" s="152"/>
      <c r="J71" s="152"/>
      <c r="K71" s="152"/>
      <c r="L71" s="152"/>
      <c r="M71" s="152"/>
      <c r="N71" s="152"/>
      <c r="O71" s="153"/>
      <c r="P71" s="152"/>
      <c r="Q71" s="152"/>
      <c r="R71" s="152"/>
      <c r="S71" s="36"/>
    </row>
    <row r="72" spans="1:19" ht="11.1" customHeight="1">
      <c r="A72" s="323" t="s">
        <v>245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2"/>
      <c r="Q72" s="36"/>
      <c r="R72" s="36"/>
      <c r="S72" s="36"/>
    </row>
    <row r="73" spans="1:19" ht="11.1" customHeight="1">
      <c r="A73" s="46" t="s">
        <v>154</v>
      </c>
      <c r="B73" s="36"/>
      <c r="C73" s="36"/>
      <c r="D73" s="36"/>
      <c r="E73" s="36"/>
      <c r="F73" s="146"/>
      <c r="G73" s="47">
        <f t="shared" ref="G73:R73" si="8">$B$5*G65/$C$45</f>
        <v>462.34114492708801</v>
      </c>
      <c r="H73" s="47">
        <f t="shared" si="8"/>
        <v>463.1733589879567</v>
      </c>
      <c r="I73" s="47">
        <f t="shared" si="8"/>
        <v>464.00707103413504</v>
      </c>
      <c r="J73" s="47">
        <f t="shared" si="8"/>
        <v>464.84228376199655</v>
      </c>
      <c r="K73" s="47">
        <f t="shared" si="8"/>
        <v>465.67899987276809</v>
      </c>
      <c r="L73" s="47">
        <f t="shared" si="8"/>
        <v>466.51722207253914</v>
      </c>
      <c r="M73" s="47">
        <f t="shared" si="8"/>
        <v>467.35695307226973</v>
      </c>
      <c r="N73" s="47">
        <f t="shared" si="8"/>
        <v>468.19819558779989</v>
      </c>
      <c r="O73" s="47">
        <f t="shared" si="8"/>
        <v>469.04095233985794</v>
      </c>
      <c r="P73" s="47">
        <f t="shared" si="8"/>
        <v>469.88522605406968</v>
      </c>
      <c r="Q73" s="47">
        <f t="shared" si="8"/>
        <v>470.73101946096699</v>
      </c>
      <c r="R73" s="47">
        <f t="shared" si="8"/>
        <v>471.57833529599679</v>
      </c>
      <c r="S73" s="36"/>
    </row>
    <row r="74" spans="1:19" ht="11.1" customHeight="1">
      <c r="A74" s="48" t="s">
        <v>221</v>
      </c>
      <c r="B74" s="36"/>
      <c r="C74" s="36"/>
      <c r="D74" s="36"/>
      <c r="E74" s="47"/>
      <c r="F74" s="47"/>
      <c r="G74" s="67">
        <f t="shared" ref="G74:R74" si="9">-(($B$5*G70)*G65/2)/$C$45</f>
        <v>-231.170572463544</v>
      </c>
      <c r="H74" s="67">
        <f t="shared" si="9"/>
        <v>0</v>
      </c>
      <c r="I74" s="67">
        <f t="shared" si="9"/>
        <v>0</v>
      </c>
      <c r="J74" s="67">
        <f t="shared" si="9"/>
        <v>0</v>
      </c>
      <c r="K74" s="67">
        <f t="shared" si="9"/>
        <v>0</v>
      </c>
      <c r="L74" s="67">
        <f t="shared" si="9"/>
        <v>-58.314652759067393</v>
      </c>
      <c r="M74" s="67">
        <f t="shared" si="9"/>
        <v>0</v>
      </c>
      <c r="N74" s="67">
        <f t="shared" si="9"/>
        <v>0</v>
      </c>
      <c r="O74" s="67">
        <f t="shared" si="9"/>
        <v>0</v>
      </c>
      <c r="P74" s="67">
        <f t="shared" si="9"/>
        <v>0</v>
      </c>
      <c r="Q74" s="67">
        <f t="shared" si="9"/>
        <v>-58.841377432620874</v>
      </c>
      <c r="R74" s="67">
        <f t="shared" si="9"/>
        <v>0</v>
      </c>
      <c r="S74" s="36"/>
    </row>
    <row r="75" spans="1:19" ht="11.1" customHeight="1">
      <c r="A75" s="48" t="s">
        <v>198</v>
      </c>
      <c r="B75" s="36"/>
      <c r="C75" s="36"/>
      <c r="D75" s="36"/>
      <c r="E75" s="47"/>
      <c r="F75" s="47"/>
      <c r="G75" s="47">
        <f>IF(G70&gt;$B$8,0,-$B$8*G73)</f>
        <v>0</v>
      </c>
      <c r="H75" s="47">
        <f t="shared" ref="H75:R75" si="10">IF(H70&gt;$B$8,0,-$B$8*H73)</f>
        <v>-37.053868719036537</v>
      </c>
      <c r="I75" s="47">
        <f t="shared" si="10"/>
        <v>-37.120565682730806</v>
      </c>
      <c r="J75" s="47">
        <f t="shared" si="10"/>
        <v>-37.187382700959724</v>
      </c>
      <c r="K75" s="47">
        <f t="shared" si="10"/>
        <v>-37.254319989821447</v>
      </c>
      <c r="L75" s="47">
        <f t="shared" si="10"/>
        <v>0</v>
      </c>
      <c r="M75" s="47">
        <f t="shared" si="10"/>
        <v>-37.388556245781579</v>
      </c>
      <c r="N75" s="47">
        <f t="shared" si="10"/>
        <v>-37.455855647023995</v>
      </c>
      <c r="O75" s="47">
        <f t="shared" si="10"/>
        <v>-37.523276187188635</v>
      </c>
      <c r="P75" s="47">
        <f t="shared" si="10"/>
        <v>-37.590818084325576</v>
      </c>
      <c r="Q75" s="47">
        <f t="shared" si="10"/>
        <v>0</v>
      </c>
      <c r="R75" s="47">
        <f t="shared" si="10"/>
        <v>-37.726266823679744</v>
      </c>
      <c r="S75" s="36"/>
    </row>
    <row r="76" spans="1:19" ht="11.1" customHeight="1">
      <c r="A76" s="46" t="s">
        <v>155</v>
      </c>
      <c r="B76" s="36"/>
      <c r="C76" s="36"/>
      <c r="D76" s="36"/>
      <c r="E76" s="36"/>
      <c r="F76" s="146"/>
      <c r="G76" s="47">
        <f t="shared" ref="G76:R76" si="11">$G$5*G66/$C$45</f>
        <v>127.35547357394131</v>
      </c>
      <c r="H76" s="47">
        <f t="shared" si="11"/>
        <v>127.58471342637439</v>
      </c>
      <c r="I76" s="47">
        <f t="shared" si="11"/>
        <v>127.81436591054188</v>
      </c>
      <c r="J76" s="47">
        <f t="shared" si="11"/>
        <v>128.04443176918085</v>
      </c>
      <c r="K76" s="47">
        <f t="shared" si="11"/>
        <v>128.27491174636538</v>
      </c>
      <c r="L76" s="47">
        <f t="shared" si="11"/>
        <v>128.50580658750883</v>
      </c>
      <c r="M76" s="47">
        <f t="shared" si="11"/>
        <v>128.73711703936635</v>
      </c>
      <c r="N76" s="47">
        <f t="shared" si="11"/>
        <v>128.96884385003725</v>
      </c>
      <c r="O76" s="47">
        <f t="shared" si="11"/>
        <v>129.20098776896734</v>
      </c>
      <c r="P76" s="47">
        <f t="shared" si="11"/>
        <v>129.43354954695147</v>
      </c>
      <c r="Q76" s="47">
        <f t="shared" si="11"/>
        <v>129.66652993613596</v>
      </c>
      <c r="R76" s="47">
        <f t="shared" si="11"/>
        <v>129.89992969002103</v>
      </c>
    </row>
    <row r="77" spans="1:19" ht="11.1" customHeight="1">
      <c r="A77" s="48" t="s">
        <v>221</v>
      </c>
      <c r="B77" s="36"/>
      <c r="C77" s="36"/>
      <c r="D77" s="36"/>
      <c r="E77" s="47"/>
      <c r="F77" s="47"/>
      <c r="G77" s="67">
        <f t="shared" ref="G77:R77" si="12">-(($G$5*G70)*G66/2)/$C$45</f>
        <v>-63.677736786970655</v>
      </c>
      <c r="H77" s="67">
        <f t="shared" si="12"/>
        <v>0</v>
      </c>
      <c r="I77" s="67">
        <f t="shared" si="12"/>
        <v>0</v>
      </c>
      <c r="J77" s="67">
        <f t="shared" si="12"/>
        <v>0</v>
      </c>
      <c r="K77" s="67">
        <f t="shared" si="12"/>
        <v>0</v>
      </c>
      <c r="L77" s="67">
        <f t="shared" si="12"/>
        <v>-16.063225823438604</v>
      </c>
      <c r="M77" s="67">
        <f t="shared" si="12"/>
        <v>0</v>
      </c>
      <c r="N77" s="67">
        <f t="shared" si="12"/>
        <v>0</v>
      </c>
      <c r="O77" s="67">
        <f t="shared" si="12"/>
        <v>0</v>
      </c>
      <c r="P77" s="67">
        <f t="shared" si="12"/>
        <v>0</v>
      </c>
      <c r="Q77" s="67">
        <f t="shared" si="12"/>
        <v>-16.208316242016995</v>
      </c>
      <c r="R77" s="67">
        <f t="shared" si="12"/>
        <v>0</v>
      </c>
    </row>
    <row r="78" spans="1:19" ht="11.1" customHeight="1">
      <c r="A78" s="48" t="s">
        <v>198</v>
      </c>
      <c r="B78" s="36"/>
      <c r="C78" s="36"/>
      <c r="D78" s="36"/>
      <c r="E78" s="47"/>
      <c r="F78" s="47"/>
      <c r="G78" s="47">
        <f>IF(G70&gt;$G$8,0,-$G$8*G76)</f>
        <v>0</v>
      </c>
      <c r="H78" s="47">
        <f t="shared" ref="H78:R78" si="13">IF(H70&gt;$G$8,0,-$G$8*H76)</f>
        <v>-6.3792356713187202</v>
      </c>
      <c r="I78" s="47">
        <f t="shared" si="13"/>
        <v>-6.390718295527094</v>
      </c>
      <c r="J78" s="47">
        <f t="shared" si="13"/>
        <v>-6.4022215884590423</v>
      </c>
      <c r="K78" s="47">
        <f t="shared" si="13"/>
        <v>-6.4137455873182692</v>
      </c>
      <c r="L78" s="47">
        <f t="shared" si="13"/>
        <v>0</v>
      </c>
      <c r="M78" s="47">
        <f t="shared" si="13"/>
        <v>-6.4368558519683177</v>
      </c>
      <c r="N78" s="47">
        <f t="shared" si="13"/>
        <v>-6.4484421925018625</v>
      </c>
      <c r="O78" s="47">
        <f t="shared" si="13"/>
        <v>-6.4600493884483674</v>
      </c>
      <c r="P78" s="47">
        <f t="shared" si="13"/>
        <v>-6.4716774773475736</v>
      </c>
      <c r="Q78" s="47">
        <f t="shared" si="13"/>
        <v>0</v>
      </c>
      <c r="R78" s="47">
        <f t="shared" si="13"/>
        <v>-6.4949964845010513</v>
      </c>
    </row>
    <row r="79" spans="1:19" ht="11.1" customHeight="1">
      <c r="A79" s="46" t="s">
        <v>156</v>
      </c>
      <c r="B79" s="36"/>
      <c r="C79" s="36"/>
      <c r="D79" s="189"/>
      <c r="E79" s="47"/>
      <c r="F79" s="146"/>
      <c r="G79" s="47">
        <f t="shared" ref="G79:R79" si="14">$L$5*G67/$C$45</f>
        <v>485.27952265979917</v>
      </c>
      <c r="H79" s="47">
        <f t="shared" si="14"/>
        <v>486.15302580058682</v>
      </c>
      <c r="I79" s="47">
        <f t="shared" si="14"/>
        <v>487.02810124702785</v>
      </c>
      <c r="J79" s="47">
        <f t="shared" si="14"/>
        <v>487.90475182927247</v>
      </c>
      <c r="K79" s="47">
        <f t="shared" si="14"/>
        <v>488.7829803825652</v>
      </c>
      <c r="L79" s="47">
        <f t="shared" si="14"/>
        <v>489.6627897472539</v>
      </c>
      <c r="M79" s="47">
        <f t="shared" si="14"/>
        <v>490.54418276879903</v>
      </c>
      <c r="N79" s="47">
        <f t="shared" si="14"/>
        <v>491.42716229778284</v>
      </c>
      <c r="O79" s="47">
        <f t="shared" si="14"/>
        <v>492.31173118991882</v>
      </c>
      <c r="P79" s="47">
        <f t="shared" si="14"/>
        <v>493.19789230606074</v>
      </c>
      <c r="Q79" s="47">
        <f t="shared" si="14"/>
        <v>494.08564851221166</v>
      </c>
      <c r="R79" s="47">
        <f t="shared" si="14"/>
        <v>494.9750026795337</v>
      </c>
    </row>
    <row r="80" spans="1:19" ht="11.1" customHeight="1">
      <c r="A80" s="48" t="s">
        <v>221</v>
      </c>
      <c r="B80" s="36"/>
      <c r="C80" s="36"/>
      <c r="D80" s="36"/>
      <c r="E80" s="47"/>
      <c r="F80" s="47"/>
      <c r="G80" s="67">
        <f t="shared" ref="G80:R80" si="15">-(($L$5*G70)*G67/2)/$C$45</f>
        <v>-242.63976132989959</v>
      </c>
      <c r="H80" s="67">
        <f t="shared" si="15"/>
        <v>0</v>
      </c>
      <c r="I80" s="67">
        <f t="shared" si="15"/>
        <v>0</v>
      </c>
      <c r="J80" s="67">
        <f t="shared" si="15"/>
        <v>0</v>
      </c>
      <c r="K80" s="67">
        <f t="shared" si="15"/>
        <v>0</v>
      </c>
      <c r="L80" s="67">
        <f t="shared" si="15"/>
        <v>-61.207848718406737</v>
      </c>
      <c r="M80" s="67">
        <f t="shared" si="15"/>
        <v>0</v>
      </c>
      <c r="N80" s="67">
        <f t="shared" si="15"/>
        <v>0</v>
      </c>
      <c r="O80" s="67">
        <f t="shared" si="15"/>
        <v>0</v>
      </c>
      <c r="P80" s="67">
        <f t="shared" si="15"/>
        <v>0</v>
      </c>
      <c r="Q80" s="67">
        <f t="shared" si="15"/>
        <v>-61.760706064026458</v>
      </c>
      <c r="R80" s="67">
        <f t="shared" si="15"/>
        <v>0</v>
      </c>
    </row>
    <row r="81" spans="1:19" ht="11.1" customHeight="1">
      <c r="A81" s="48" t="s">
        <v>198</v>
      </c>
      <c r="B81" s="36"/>
      <c r="C81" s="36"/>
      <c r="D81" s="36"/>
      <c r="E81" s="47"/>
      <c r="F81" s="47"/>
      <c r="G81" s="47">
        <f>IF(G70&gt;$L$8,0,-$L$8*G79)</f>
        <v>0</v>
      </c>
      <c r="H81" s="47">
        <f t="shared" ref="H81:R81" si="16">IF(H70&gt;$L$8,0,-$L$8*H79)</f>
        <v>-19.446121032023473</v>
      </c>
      <c r="I81" s="47">
        <f t="shared" si="16"/>
        <v>-19.481124049881114</v>
      </c>
      <c r="J81" s="47">
        <f t="shared" si="16"/>
        <v>-19.5161900731709</v>
      </c>
      <c r="K81" s="47">
        <f t="shared" si="16"/>
        <v>-19.551319215302609</v>
      </c>
      <c r="L81" s="47">
        <f t="shared" si="16"/>
        <v>0</v>
      </c>
      <c r="M81" s="47">
        <f t="shared" si="16"/>
        <v>-19.621767310751963</v>
      </c>
      <c r="N81" s="47">
        <f t="shared" si="16"/>
        <v>-19.657086491911315</v>
      </c>
      <c r="O81" s="47">
        <f t="shared" si="16"/>
        <v>-19.692469247596755</v>
      </c>
      <c r="P81" s="47">
        <f t="shared" si="16"/>
        <v>-19.72791569224243</v>
      </c>
      <c r="Q81" s="47">
        <f t="shared" si="16"/>
        <v>0</v>
      </c>
      <c r="R81" s="47">
        <f t="shared" si="16"/>
        <v>-19.79900010718135</v>
      </c>
    </row>
    <row r="82" spans="1:19" ht="11.1" customHeight="1">
      <c r="A82" s="78" t="s">
        <v>157</v>
      </c>
      <c r="B82" s="27"/>
      <c r="C82" s="27"/>
      <c r="D82" s="27"/>
      <c r="E82" s="28"/>
      <c r="F82" s="28"/>
      <c r="G82" s="28">
        <f t="shared" ref="G82:R82" si="17">($E$8*G69)/$C$45</f>
        <v>13.102414976742935</v>
      </c>
      <c r="H82" s="28">
        <f t="shared" si="17"/>
        <v>13.12599932370107</v>
      </c>
      <c r="I82" s="28">
        <f t="shared" si="17"/>
        <v>13.149626122483733</v>
      </c>
      <c r="J82" s="28">
        <f t="shared" si="17"/>
        <v>13.173295449504206</v>
      </c>
      <c r="K82" s="28">
        <f t="shared" si="17"/>
        <v>13.197007381313311</v>
      </c>
      <c r="L82" s="28">
        <f t="shared" si="17"/>
        <v>13.220761994599675</v>
      </c>
      <c r="M82" s="28">
        <f t="shared" si="17"/>
        <v>13.244559366189959</v>
      </c>
      <c r="N82" s="28">
        <f t="shared" si="17"/>
        <v>13.2683995730491</v>
      </c>
      <c r="O82" s="28">
        <f t="shared" si="17"/>
        <v>13.292282692280589</v>
      </c>
      <c r="P82" s="28">
        <f t="shared" si="17"/>
        <v>13.316208801126695</v>
      </c>
      <c r="Q82" s="28">
        <f t="shared" si="17"/>
        <v>13.340177976968722</v>
      </c>
      <c r="R82" s="28">
        <f t="shared" si="17"/>
        <v>13.364190297327267</v>
      </c>
      <c r="S82" s="36"/>
    </row>
    <row r="83" spans="1:19" ht="11.1" customHeight="1">
      <c r="A83" s="324"/>
      <c r="B83" s="36"/>
      <c r="C83" s="36"/>
      <c r="D83" s="36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36"/>
    </row>
    <row r="84" spans="1:19" ht="11.1" customHeight="1">
      <c r="A84" s="46" t="s">
        <v>222</v>
      </c>
      <c r="B84" s="36"/>
      <c r="C84" s="49"/>
      <c r="D84" s="36"/>
      <c r="E84" s="47"/>
      <c r="F84" s="47"/>
      <c r="G84" s="47">
        <f t="shared" ref="G84:R84" si="18">SUM(G73:G82)</f>
        <v>550.59048555715731</v>
      </c>
      <c r="H84" s="47">
        <f t="shared" si="18"/>
        <v>1027.1578721162402</v>
      </c>
      <c r="I84" s="47">
        <f t="shared" si="18"/>
        <v>1029.0067562860495</v>
      </c>
      <c r="J84" s="47">
        <f t="shared" si="18"/>
        <v>1030.8589684473643</v>
      </c>
      <c r="K84" s="47">
        <f t="shared" si="18"/>
        <v>1032.7145145905697</v>
      </c>
      <c r="L84" s="47">
        <f t="shared" si="18"/>
        <v>962.32085310098887</v>
      </c>
      <c r="M84" s="47">
        <f t="shared" si="18"/>
        <v>1036.4356328381234</v>
      </c>
      <c r="N84" s="47">
        <f t="shared" si="18"/>
        <v>1038.3012169772319</v>
      </c>
      <c r="O84" s="33">
        <f t="shared" si="18"/>
        <v>1040.1701591677909</v>
      </c>
      <c r="P84" s="101">
        <f t="shared" si="18"/>
        <v>1042.0424654542931</v>
      </c>
      <c r="Q84" s="129">
        <f t="shared" si="18"/>
        <v>971.01297614761904</v>
      </c>
      <c r="R84" s="129">
        <f t="shared" si="18"/>
        <v>1045.7971945475165</v>
      </c>
      <c r="S84" s="36"/>
    </row>
    <row r="85" spans="1:19" ht="11.1" customHeight="1">
      <c r="A85" s="48" t="s">
        <v>223</v>
      </c>
      <c r="B85" s="36"/>
      <c r="C85" s="50"/>
      <c r="D85" s="36"/>
      <c r="E85" s="36"/>
      <c r="F85" s="36"/>
      <c r="G85" s="47">
        <f t="shared" ref="G85:R85" si="19">-($B$5*G68)/$C$45</f>
        <v>-147.94916637666819</v>
      </c>
      <c r="H85" s="47">
        <f t="shared" si="19"/>
        <v>-148.21547487614615</v>
      </c>
      <c r="I85" s="47">
        <f t="shared" si="19"/>
        <v>-148.48226273092322</v>
      </c>
      <c r="J85" s="47">
        <f t="shared" si="19"/>
        <v>-148.74953080383889</v>
      </c>
      <c r="K85" s="47">
        <f t="shared" si="19"/>
        <v>-149.01727995928579</v>
      </c>
      <c r="L85" s="47">
        <f t="shared" si="19"/>
        <v>-149.28551106321254</v>
      </c>
      <c r="M85" s="47">
        <f t="shared" si="19"/>
        <v>-149.55422498312635</v>
      </c>
      <c r="N85" s="47">
        <f t="shared" si="19"/>
        <v>-149.82342258809595</v>
      </c>
      <c r="O85" s="33">
        <f t="shared" si="19"/>
        <v>-150.09310474875454</v>
      </c>
      <c r="P85" s="101">
        <f t="shared" si="19"/>
        <v>-150.36327233730231</v>
      </c>
      <c r="Q85" s="47">
        <f t="shared" si="19"/>
        <v>-150.63392622750945</v>
      </c>
      <c r="R85" s="47">
        <f t="shared" si="19"/>
        <v>-150.90506729471895</v>
      </c>
      <c r="S85" s="36"/>
    </row>
    <row r="86" spans="1:19" s="26" customFormat="1" ht="11.1" customHeight="1" thickBot="1">
      <c r="A86" s="51" t="s">
        <v>158</v>
      </c>
      <c r="B86" s="29"/>
      <c r="C86" s="29"/>
      <c r="D86" s="29"/>
      <c r="E86" s="29"/>
      <c r="F86" s="29"/>
      <c r="G86" s="30">
        <f>SUM(G84:G85)</f>
        <v>402.64131918048912</v>
      </c>
      <c r="H86" s="30">
        <f t="shared" ref="H86:O86" si="20">SUM(H84:H85)</f>
        <v>878.94239724009412</v>
      </c>
      <c r="I86" s="30">
        <f t="shared" si="20"/>
        <v>880.52449355512624</v>
      </c>
      <c r="J86" s="30">
        <f t="shared" si="20"/>
        <v>882.10943764352544</v>
      </c>
      <c r="K86" s="30">
        <f t="shared" si="20"/>
        <v>883.69723463128389</v>
      </c>
      <c r="L86" s="30">
        <f t="shared" si="20"/>
        <v>813.03534203777633</v>
      </c>
      <c r="M86" s="30">
        <f t="shared" si="20"/>
        <v>886.88140785499706</v>
      </c>
      <c r="N86" s="30">
        <f t="shared" si="20"/>
        <v>888.47779438913597</v>
      </c>
      <c r="O86" s="34">
        <f t="shared" si="20"/>
        <v>890.07705441903636</v>
      </c>
      <c r="P86" s="102">
        <f>SUM(P84:P85)</f>
        <v>891.67919311699075</v>
      </c>
      <c r="Q86" s="30">
        <f>SUM(Q84:Q85)</f>
        <v>820.37904992010954</v>
      </c>
      <c r="R86" s="30">
        <f>SUM(R84:R85)</f>
        <v>894.89212725279754</v>
      </c>
      <c r="S86" s="128"/>
    </row>
    <row r="87" spans="1:19" ht="11.1" customHeight="1" thickTop="1">
      <c r="A87" s="46" t="s">
        <v>224</v>
      </c>
      <c r="B87" s="36"/>
      <c r="C87" s="36"/>
      <c r="D87" s="36"/>
      <c r="E87" s="36"/>
      <c r="F87" s="36"/>
      <c r="G87" s="62">
        <f t="shared" ref="G87:N87" si="21">IF(G46&lt;=$C$18,SUM(G86:G86),0)</f>
        <v>402.64131918048912</v>
      </c>
      <c r="H87" s="62">
        <f t="shared" si="21"/>
        <v>878.94239724009412</v>
      </c>
      <c r="I87" s="62">
        <f t="shared" si="21"/>
        <v>880.52449355512624</v>
      </c>
      <c r="J87" s="62">
        <f t="shared" si="21"/>
        <v>882.10943764352544</v>
      </c>
      <c r="K87" s="62">
        <f t="shared" si="21"/>
        <v>883.69723463128389</v>
      </c>
      <c r="L87" s="62">
        <f t="shared" si="21"/>
        <v>813.03534203777633</v>
      </c>
      <c r="M87" s="62">
        <f t="shared" si="21"/>
        <v>886.88140785499706</v>
      </c>
      <c r="N87" s="62">
        <f t="shared" si="21"/>
        <v>888.47779438913597</v>
      </c>
      <c r="O87" s="52"/>
      <c r="Q87" s="36"/>
      <c r="R87" s="36"/>
      <c r="S87" s="36"/>
    </row>
    <row r="88" spans="1:19" ht="11.1" customHeight="1">
      <c r="A88" s="53" t="s">
        <v>225</v>
      </c>
      <c r="B88" s="27"/>
      <c r="C88" s="27"/>
      <c r="D88" s="27"/>
      <c r="E88" s="27"/>
      <c r="F88" s="27"/>
      <c r="G88" s="63">
        <f t="shared" ref="G88:N88" si="22">IF($C$18=G46,H86/$E$12,0)</f>
        <v>0</v>
      </c>
      <c r="H88" s="63">
        <f t="shared" si="22"/>
        <v>0</v>
      </c>
      <c r="I88" s="63">
        <f t="shared" si="22"/>
        <v>0</v>
      </c>
      <c r="J88" s="63">
        <f t="shared" si="22"/>
        <v>0</v>
      </c>
      <c r="K88" s="63">
        <f t="shared" si="22"/>
        <v>0</v>
      </c>
      <c r="L88" s="63">
        <f t="shared" si="22"/>
        <v>0</v>
      </c>
      <c r="M88" s="63">
        <f t="shared" si="22"/>
        <v>0</v>
      </c>
      <c r="N88" s="63">
        <f t="shared" si="22"/>
        <v>7739.8004732090112</v>
      </c>
      <c r="O88" s="52"/>
      <c r="Q88" s="36"/>
      <c r="R88" s="36"/>
      <c r="S88" s="36"/>
    </row>
    <row r="89" spans="1:19" ht="11.1" customHeight="1">
      <c r="A89" s="46" t="s">
        <v>226</v>
      </c>
      <c r="B89" s="36"/>
      <c r="C89" s="36"/>
      <c r="D89" s="36"/>
      <c r="E89" s="36"/>
      <c r="F89" s="36"/>
      <c r="G89" s="62"/>
      <c r="H89" s="62">
        <f t="shared" ref="H89:N89" si="23">SUM(H87:H88)</f>
        <v>878.94239724009412</v>
      </c>
      <c r="I89" s="62">
        <f t="shared" si="23"/>
        <v>880.52449355512624</v>
      </c>
      <c r="J89" s="62">
        <f t="shared" si="23"/>
        <v>882.10943764352544</v>
      </c>
      <c r="K89" s="62">
        <f t="shared" si="23"/>
        <v>883.69723463128389</v>
      </c>
      <c r="L89" s="62">
        <f t="shared" si="23"/>
        <v>813.03534203777633</v>
      </c>
      <c r="M89" s="62">
        <f t="shared" si="23"/>
        <v>886.88140785499706</v>
      </c>
      <c r="N89" s="62">
        <f t="shared" si="23"/>
        <v>8628.2782675981471</v>
      </c>
      <c r="O89" s="52"/>
      <c r="Q89" s="36"/>
      <c r="R89" s="36"/>
      <c r="S89" s="36"/>
    </row>
    <row r="90" spans="1:19" ht="11.1" customHeight="1">
      <c r="A90" s="178" t="s">
        <v>238</v>
      </c>
      <c r="B90" s="179"/>
      <c r="C90" s="363"/>
      <c r="D90" s="363"/>
      <c r="E90" s="363"/>
      <c r="F90" s="363"/>
      <c r="G90" s="180">
        <f>-NPV($E$11,H89:N89)</f>
        <v>-7846.1457078839194</v>
      </c>
      <c r="H90" s="181">
        <f>H89</f>
        <v>878.94239724009412</v>
      </c>
      <c r="I90" s="181">
        <f t="shared" ref="I90:N90" si="24">I89</f>
        <v>880.52449355512624</v>
      </c>
      <c r="J90" s="181">
        <f t="shared" si="24"/>
        <v>882.10943764352544</v>
      </c>
      <c r="K90" s="181">
        <f t="shared" si="24"/>
        <v>883.69723463128389</v>
      </c>
      <c r="L90" s="181">
        <f t="shared" si="24"/>
        <v>813.03534203777633</v>
      </c>
      <c r="M90" s="181">
        <f t="shared" si="24"/>
        <v>886.88140785499706</v>
      </c>
      <c r="N90" s="181">
        <f t="shared" si="24"/>
        <v>8628.2782675981471</v>
      </c>
      <c r="O90" s="52"/>
    </row>
    <row r="91" spans="1:19" ht="11.1" customHeight="1">
      <c r="A91" s="54" t="s">
        <v>159</v>
      </c>
      <c r="B91" s="55"/>
      <c r="C91" s="55"/>
      <c r="D91" s="225">
        <f>D60+D87</f>
        <v>-2442.2127506000002</v>
      </c>
      <c r="E91" s="225">
        <f>E60+E87</f>
        <v>-2558.950169913041</v>
      </c>
      <c r="F91" s="225">
        <f>F60+F87</f>
        <v>-2476.3936099597217</v>
      </c>
      <c r="G91" s="225">
        <f>G87-G90</f>
        <v>8248.7870270644089</v>
      </c>
      <c r="H91" s="36"/>
      <c r="I91" s="36"/>
      <c r="J91" s="36"/>
      <c r="K91" s="36"/>
      <c r="L91" s="36"/>
      <c r="M91" s="36"/>
      <c r="N91" s="36"/>
      <c r="O91" s="52"/>
    </row>
    <row r="92" spans="1:19" ht="11.1" customHeight="1">
      <c r="A92" s="54" t="s">
        <v>162</v>
      </c>
      <c r="B92" s="55"/>
      <c r="C92" s="222">
        <f>IRR(D91:G91)</f>
        <v>5.0010336499073382E-2</v>
      </c>
      <c r="D92" s="36"/>
      <c r="E92" s="56"/>
      <c r="F92" s="56"/>
      <c r="G92" s="56"/>
      <c r="H92" s="36"/>
      <c r="I92" s="36"/>
      <c r="J92" s="36"/>
      <c r="K92" s="36"/>
      <c r="L92" s="36"/>
      <c r="M92" s="36"/>
      <c r="N92" s="36"/>
      <c r="O92" s="52"/>
    </row>
    <row r="93" spans="1:19" ht="11.1" customHeight="1">
      <c r="A93" s="226" t="s">
        <v>160</v>
      </c>
      <c r="B93" s="227"/>
      <c r="C93" s="228">
        <f>IRR(D93:N93)</f>
        <v>9.2264414483385293E-2</v>
      </c>
      <c r="D93" s="229">
        <f>D91</f>
        <v>-2442.2127506000002</v>
      </c>
      <c r="E93" s="229">
        <f>E91</f>
        <v>-2558.950169913041</v>
      </c>
      <c r="F93" s="229">
        <f>F91</f>
        <v>-2476.3936099597217</v>
      </c>
      <c r="G93" s="229">
        <f>G87</f>
        <v>402.64131918048912</v>
      </c>
      <c r="H93" s="67">
        <f t="shared" ref="H93:N93" si="25">H90</f>
        <v>878.94239724009412</v>
      </c>
      <c r="I93" s="67">
        <f t="shared" si="25"/>
        <v>880.52449355512624</v>
      </c>
      <c r="J93" s="67">
        <f t="shared" si="25"/>
        <v>882.10943764352544</v>
      </c>
      <c r="K93" s="67">
        <f t="shared" si="25"/>
        <v>883.69723463128389</v>
      </c>
      <c r="L93" s="67">
        <f t="shared" si="25"/>
        <v>813.03534203777633</v>
      </c>
      <c r="M93" s="67">
        <f t="shared" si="25"/>
        <v>886.88140785499706</v>
      </c>
      <c r="N93" s="67">
        <f t="shared" si="25"/>
        <v>8628.2782675981471</v>
      </c>
      <c r="O93" s="52"/>
    </row>
    <row r="94" spans="1:19" ht="11.1" customHeight="1">
      <c r="A94" s="140" t="s">
        <v>161</v>
      </c>
      <c r="B94" s="103"/>
      <c r="C94" s="230" t="s">
        <v>16</v>
      </c>
      <c r="D94" s="70"/>
      <c r="E94" s="70"/>
      <c r="F94" s="70"/>
      <c r="G94" s="70"/>
      <c r="H94" s="36"/>
      <c r="I94" s="36"/>
      <c r="J94" s="36"/>
      <c r="K94" s="36"/>
      <c r="L94" s="36"/>
      <c r="M94" s="36"/>
      <c r="N94" s="36"/>
      <c r="O94" s="52"/>
    </row>
    <row r="95" spans="1:19" ht="11.1" customHeight="1">
      <c r="A95" s="223" t="s">
        <v>240</v>
      </c>
      <c r="B95" s="69"/>
      <c r="C95" s="224">
        <f>((G96+G97)/(D98+D99))^(1/$C$21)-1</f>
        <v>0.64769887142835092</v>
      </c>
      <c r="D95" s="70"/>
      <c r="E95" s="70"/>
      <c r="F95" s="70"/>
      <c r="G95" s="70"/>
      <c r="H95" s="36"/>
      <c r="I95" s="36"/>
      <c r="J95" s="36"/>
      <c r="K95" s="36"/>
      <c r="L95" s="36"/>
      <c r="M95" s="36"/>
      <c r="N95" s="36"/>
      <c r="O95" s="52"/>
    </row>
    <row r="96" spans="1:19" ht="11.1" customHeight="1">
      <c r="A96" s="71" t="s">
        <v>227</v>
      </c>
      <c r="B96" s="70"/>
      <c r="C96" s="72">
        <f>$E$11</f>
        <v>0.11</v>
      </c>
      <c r="D96" s="70"/>
      <c r="E96" s="70"/>
      <c r="F96" s="70"/>
      <c r="G96" s="73">
        <f>G91</f>
        <v>8248.7870270644089</v>
      </c>
      <c r="H96" s="36"/>
      <c r="I96" s="36"/>
      <c r="J96" s="36"/>
      <c r="K96" s="36"/>
      <c r="L96" s="36"/>
      <c r="M96" s="36"/>
      <c r="N96" s="36"/>
      <c r="O96" s="52"/>
    </row>
    <row r="97" spans="1:15" ht="11.1" customHeight="1">
      <c r="A97" s="71" t="s">
        <v>228</v>
      </c>
      <c r="B97" s="70"/>
      <c r="C97" s="72">
        <f>$C$17</f>
        <v>4.2799999999999998E-2</v>
      </c>
      <c r="D97" s="70"/>
      <c r="E97" s="70"/>
      <c r="F97" s="70"/>
      <c r="G97" s="73">
        <f>D99*(1+C97)^($G$46)</f>
        <v>-5365.0671482028474</v>
      </c>
      <c r="H97" s="36"/>
      <c r="I97" s="36"/>
      <c r="J97" s="36"/>
      <c r="K97" s="36"/>
      <c r="L97" s="36"/>
      <c r="M97" s="36"/>
      <c r="N97" s="36"/>
      <c r="O97" s="52"/>
    </row>
    <row r="98" spans="1:15" ht="11.1" customHeight="1">
      <c r="A98" s="71" t="s">
        <v>229</v>
      </c>
      <c r="B98" s="70"/>
      <c r="C98" s="72">
        <f>$E$10</f>
        <v>0.125</v>
      </c>
      <c r="D98" s="74">
        <f>(G96)/(1+C98)^($G$46)</f>
        <v>5793.3867734663609</v>
      </c>
      <c r="E98" s="70"/>
      <c r="F98" s="70"/>
      <c r="G98" s="73"/>
      <c r="H98" s="36"/>
      <c r="I98" s="36"/>
      <c r="J98" s="36"/>
      <c r="K98" s="36"/>
      <c r="L98" s="36"/>
      <c r="M98" s="36"/>
      <c r="N98" s="36"/>
      <c r="O98" s="52"/>
    </row>
    <row r="99" spans="1:15" ht="11.1" customHeight="1">
      <c r="A99" s="141" t="s">
        <v>230</v>
      </c>
      <c r="B99" s="75"/>
      <c r="C99" s="142">
        <f>$C$17</f>
        <v>4.2799999999999998E-2</v>
      </c>
      <c r="D99" s="143">
        <f>NPV(C99,E91:F91)</f>
        <v>-4731.2085759278862</v>
      </c>
      <c r="E99" s="75"/>
      <c r="F99" s="75"/>
      <c r="G99" s="75"/>
      <c r="H99" s="36"/>
      <c r="I99" s="36"/>
      <c r="J99" s="36"/>
      <c r="K99" s="36"/>
      <c r="L99" s="36"/>
      <c r="M99" s="36"/>
      <c r="N99" s="36"/>
      <c r="O99" s="52"/>
    </row>
    <row r="100" spans="1:15" ht="11.1" customHeight="1">
      <c r="A100" s="494" t="s">
        <v>236</v>
      </c>
      <c r="B100" s="495"/>
      <c r="C100" s="495"/>
      <c r="D100" s="498">
        <f>SUM(D98:D99)</f>
        <v>1062.1781975384747</v>
      </c>
      <c r="E100" s="486" t="s">
        <v>237</v>
      </c>
      <c r="F100" s="486"/>
      <c r="G100" s="486"/>
      <c r="H100" s="36"/>
      <c r="I100" s="36"/>
      <c r="J100" s="36"/>
      <c r="K100" s="36"/>
      <c r="L100" s="36"/>
      <c r="M100" s="36"/>
      <c r="N100" s="36"/>
      <c r="O100" s="52"/>
    </row>
    <row r="101" spans="1:15" s="41" customFormat="1" ht="17.25" customHeight="1">
      <c r="A101" s="496"/>
      <c r="B101" s="497"/>
      <c r="C101" s="497"/>
      <c r="D101" s="499"/>
      <c r="E101" s="487"/>
      <c r="F101" s="487"/>
      <c r="G101" s="487"/>
      <c r="H101" s="192"/>
      <c r="I101" s="192"/>
      <c r="J101" s="192"/>
      <c r="K101" s="192"/>
      <c r="L101" s="192"/>
      <c r="M101" s="192"/>
      <c r="N101" s="192"/>
      <c r="O101" s="193"/>
    </row>
    <row r="102" spans="1:15" s="41" customFormat="1" ht="11.1" customHeight="1">
      <c r="A102" s="194"/>
      <c r="B102" s="194"/>
      <c r="O102" s="56"/>
    </row>
    <row r="103" spans="1:15" s="41" customFormat="1" ht="11.1" customHeight="1">
      <c r="A103" s="197"/>
      <c r="B103" s="194"/>
      <c r="C103" s="194"/>
      <c r="D103" s="195"/>
      <c r="E103" s="196"/>
      <c r="F103" s="196"/>
      <c r="G103" s="192"/>
      <c r="H103" s="192"/>
      <c r="I103" s="192"/>
      <c r="J103" s="192"/>
      <c r="K103" s="192"/>
      <c r="L103" s="192"/>
      <c r="M103" s="192"/>
      <c r="N103" s="192"/>
      <c r="O103" s="192"/>
    </row>
    <row r="108" spans="1:15" ht="11.1" customHeight="1">
      <c r="E108" s="315"/>
    </row>
  </sheetData>
  <mergeCells count="34">
    <mergeCell ref="E100:G101"/>
    <mergeCell ref="E45:F45"/>
    <mergeCell ref="A44:B45"/>
    <mergeCell ref="B69:D69"/>
    <mergeCell ref="B70:D70"/>
    <mergeCell ref="B68:D68"/>
    <mergeCell ref="B67:D67"/>
    <mergeCell ref="B66:D66"/>
    <mergeCell ref="A100:C101"/>
    <mergeCell ref="D100:D101"/>
    <mergeCell ref="D44:G44"/>
    <mergeCell ref="B34:C35"/>
    <mergeCell ref="H34:H35"/>
    <mergeCell ref="A31:A33"/>
    <mergeCell ref="A34:A35"/>
    <mergeCell ref="F32:G33"/>
    <mergeCell ref="F34:G35"/>
    <mergeCell ref="D32:E33"/>
    <mergeCell ref="I1:O1"/>
    <mergeCell ref="B63:D63"/>
    <mergeCell ref="B64:D64"/>
    <mergeCell ref="B65:D65"/>
    <mergeCell ref="J34:J35"/>
    <mergeCell ref="D31:E31"/>
    <mergeCell ref="F31:G31"/>
    <mergeCell ref="B31:C31"/>
    <mergeCell ref="I31:I33"/>
    <mergeCell ref="J31:J33"/>
    <mergeCell ref="H44:O44"/>
    <mergeCell ref="I34:I35"/>
    <mergeCell ref="H45:O45"/>
    <mergeCell ref="H31:H33"/>
    <mergeCell ref="B32:C33"/>
    <mergeCell ref="D34:E35"/>
  </mergeCells>
  <phoneticPr fontId="23" type="noConversion"/>
  <conditionalFormatting sqref="H47:O47">
    <cfRule type="containsText" dxfId="2" priority="3" operator="containsText" text="Reversion">
      <formula>NOT(ISERROR(SEARCH("Reversion",H47)))</formula>
    </cfRule>
  </conditionalFormatting>
  <pageMargins left="1" right="1" top="1" bottom="1" header="0.5" footer="0.5"/>
  <pageSetup paperSize="3" orientation="landscape" horizontalDpi="4294967292" verticalDpi="4294967292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B1:M10"/>
  <sheetViews>
    <sheetView topLeftCell="B1" zoomScale="115" zoomScaleNormal="115" workbookViewId="0">
      <selection activeCell="E8" sqref="E8"/>
    </sheetView>
  </sheetViews>
  <sheetFormatPr baseColWidth="10" defaultColWidth="10.875" defaultRowHeight="14.25"/>
  <cols>
    <col min="1" max="1" width="10.875" style="1"/>
    <col min="2" max="2" width="10.875" style="1" customWidth="1"/>
    <col min="3" max="7" width="8.375" style="1" customWidth="1"/>
    <col min="8" max="11" width="5.125" style="1" customWidth="1"/>
    <col min="12" max="12" width="6" style="1" customWidth="1"/>
    <col min="13" max="13" width="14.25" style="1" customWidth="1"/>
    <col min="14" max="16384" width="10.875" style="1"/>
  </cols>
  <sheetData>
    <row r="1" spans="2:13" ht="15" thickBot="1"/>
    <row r="2" spans="2:13" ht="15.95" customHeight="1">
      <c r="B2" s="505" t="s">
        <v>123</v>
      </c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7"/>
    </row>
    <row r="3" spans="2:13" ht="15.95" customHeight="1">
      <c r="B3" s="508" t="s">
        <v>44</v>
      </c>
      <c r="C3" s="511" t="s">
        <v>109</v>
      </c>
      <c r="D3" s="511"/>
      <c r="E3" s="511"/>
      <c r="F3" s="511"/>
      <c r="G3" s="511"/>
      <c r="H3" s="511"/>
      <c r="I3" s="511"/>
      <c r="J3" s="511"/>
      <c r="K3" s="511"/>
      <c r="L3" s="511"/>
      <c r="M3" s="512"/>
    </row>
    <row r="4" spans="2:13" ht="26.25" customHeight="1">
      <c r="B4" s="509"/>
      <c r="C4" s="513" t="s">
        <v>42</v>
      </c>
      <c r="D4" s="516" t="s">
        <v>39</v>
      </c>
      <c r="E4" s="516"/>
      <c r="F4" s="517" t="s">
        <v>43</v>
      </c>
      <c r="G4" s="517" t="s">
        <v>47</v>
      </c>
      <c r="H4" s="520"/>
      <c r="I4" s="520"/>
      <c r="J4" s="520"/>
      <c r="K4" s="521"/>
      <c r="L4" s="517" t="s">
        <v>45</v>
      </c>
      <c r="M4" s="524"/>
    </row>
    <row r="5" spans="2:13" ht="12" customHeight="1">
      <c r="B5" s="509"/>
      <c r="C5" s="514"/>
      <c r="D5" s="513" t="s">
        <v>41</v>
      </c>
      <c r="E5" s="513" t="s">
        <v>40</v>
      </c>
      <c r="F5" s="518"/>
      <c r="G5" s="518"/>
      <c r="H5" s="522"/>
      <c r="I5" s="522"/>
      <c r="J5" s="522"/>
      <c r="K5" s="523"/>
      <c r="L5" s="518"/>
      <c r="M5" s="525"/>
    </row>
    <row r="6" spans="2:13" ht="12" customHeight="1" thickBot="1">
      <c r="B6" s="510"/>
      <c r="C6" s="515"/>
      <c r="D6" s="515"/>
      <c r="E6" s="515"/>
      <c r="F6" s="519"/>
      <c r="G6" s="302" t="s">
        <v>48</v>
      </c>
      <c r="H6" s="302" t="s">
        <v>49</v>
      </c>
      <c r="I6" s="302" t="s">
        <v>49</v>
      </c>
      <c r="J6" s="302" t="s">
        <v>50</v>
      </c>
      <c r="K6" s="302" t="s">
        <v>51</v>
      </c>
      <c r="L6" s="519"/>
      <c r="M6" s="526"/>
    </row>
    <row r="7" spans="2:13" ht="42.75">
      <c r="B7" s="257" t="s">
        <v>37</v>
      </c>
      <c r="C7" s="258">
        <v>2.8</v>
      </c>
      <c r="D7" s="259">
        <v>16</v>
      </c>
      <c r="E7" s="259">
        <v>5</v>
      </c>
      <c r="F7" s="258">
        <v>0.7</v>
      </c>
      <c r="G7" s="260" t="s">
        <v>52</v>
      </c>
      <c r="H7" s="261">
        <v>0</v>
      </c>
      <c r="I7" s="261">
        <v>0</v>
      </c>
      <c r="J7" s="261">
        <v>4</v>
      </c>
      <c r="K7" s="259">
        <v>8</v>
      </c>
      <c r="L7" s="259" t="s">
        <v>3</v>
      </c>
      <c r="M7" s="262" t="s">
        <v>53</v>
      </c>
    </row>
    <row r="8" spans="2:13" ht="43.5" thickBot="1">
      <c r="B8" s="263" t="s">
        <v>38</v>
      </c>
      <c r="C8" s="264">
        <v>4.2</v>
      </c>
      <c r="D8" s="265">
        <v>24</v>
      </c>
      <c r="E8" s="265">
        <v>7</v>
      </c>
      <c r="F8" s="258">
        <v>0.7</v>
      </c>
      <c r="G8" s="260" t="s">
        <v>52</v>
      </c>
      <c r="H8" s="261">
        <v>0</v>
      </c>
      <c r="I8" s="261">
        <v>0</v>
      </c>
      <c r="J8" s="261">
        <v>4</v>
      </c>
      <c r="K8" s="265">
        <v>8</v>
      </c>
      <c r="L8" s="265">
        <v>1</v>
      </c>
      <c r="M8" s="266" t="s">
        <v>46</v>
      </c>
    </row>
    <row r="9" spans="2:13" ht="12" customHeight="1"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</row>
    <row r="10" spans="2:13">
      <c r="B10" s="388"/>
      <c r="C10" s="388"/>
      <c r="D10" s="388"/>
      <c r="E10" s="388"/>
      <c r="F10" s="388"/>
      <c r="G10" s="388"/>
      <c r="H10" s="388"/>
      <c r="I10" s="388"/>
      <c r="J10" s="388"/>
      <c r="K10" s="388"/>
      <c r="L10" s="388"/>
      <c r="M10" s="388"/>
    </row>
  </sheetData>
  <mergeCells count="11">
    <mergeCell ref="B9:M10"/>
    <mergeCell ref="B2:M2"/>
    <mergeCell ref="B3:B6"/>
    <mergeCell ref="C3:M3"/>
    <mergeCell ref="C4:C6"/>
    <mergeCell ref="D4:E4"/>
    <mergeCell ref="F4:F6"/>
    <mergeCell ref="G4:K5"/>
    <mergeCell ref="L4:M6"/>
    <mergeCell ref="D5:D6"/>
    <mergeCell ref="E5:E6"/>
  </mergeCells>
  <pageMargins left="1" right="1" top="1" bottom="1" header="0.5" footer="0.5"/>
  <pageSetup scale="75" orientation="landscape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O45"/>
  <sheetViews>
    <sheetView zoomScale="85" zoomScaleNormal="85" workbookViewId="0">
      <selection activeCell="A2" sqref="A2:L32"/>
    </sheetView>
  </sheetViews>
  <sheetFormatPr baseColWidth="10" defaultColWidth="10.875" defaultRowHeight="14.25"/>
  <cols>
    <col min="1" max="1" width="10.875" style="1" customWidth="1"/>
    <col min="2" max="2" width="12.625" style="1" bestFit="1" customWidth="1"/>
    <col min="3" max="4" width="11.875" style="1" customWidth="1"/>
    <col min="5" max="5" width="12.875" style="1" bestFit="1" customWidth="1"/>
    <col min="6" max="6" width="11.625" style="1" customWidth="1"/>
    <col min="7" max="7" width="12.375" style="1" bestFit="1" customWidth="1"/>
    <col min="8" max="8" width="12.25" style="1" customWidth="1"/>
    <col min="9" max="9" width="13.75" style="1" customWidth="1"/>
    <col min="10" max="10" width="12.75" style="1" customWidth="1"/>
    <col min="11" max="11" width="13" style="1" customWidth="1"/>
    <col min="12" max="12" width="13.375" style="1" customWidth="1"/>
    <col min="13" max="16" width="12" style="1" customWidth="1"/>
    <col min="17" max="16384" width="10.875" style="1"/>
  </cols>
  <sheetData>
    <row r="1" spans="1:12" ht="15" thickBot="1"/>
    <row r="2" spans="1:12" ht="15.95" customHeight="1">
      <c r="A2" s="545" t="s">
        <v>123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</row>
    <row r="3" spans="1:12" ht="15.95" customHeight="1">
      <c r="A3" s="547"/>
      <c r="B3" s="511" t="s">
        <v>81</v>
      </c>
      <c r="C3" s="511"/>
      <c r="D3" s="511"/>
      <c r="E3" s="511"/>
      <c r="F3" s="511"/>
      <c r="G3" s="511"/>
      <c r="H3" s="511"/>
      <c r="I3" s="511"/>
      <c r="J3" s="511"/>
      <c r="K3" s="511"/>
      <c r="L3" s="511"/>
    </row>
    <row r="4" spans="1:12" ht="14.25" customHeight="1">
      <c r="A4" s="547"/>
      <c r="B4" s="516" t="s">
        <v>124</v>
      </c>
      <c r="C4" s="516" t="s">
        <v>44</v>
      </c>
      <c r="D4" s="516" t="s">
        <v>42</v>
      </c>
      <c r="E4" s="549" t="s">
        <v>82</v>
      </c>
      <c r="F4" s="549" t="s">
        <v>110</v>
      </c>
      <c r="G4" s="549" t="s">
        <v>111</v>
      </c>
      <c r="H4" s="549" t="s">
        <v>112</v>
      </c>
      <c r="I4" s="549" t="s">
        <v>113</v>
      </c>
      <c r="J4" s="516" t="s">
        <v>83</v>
      </c>
      <c r="K4" s="516" t="s">
        <v>84</v>
      </c>
      <c r="L4" s="516" t="s">
        <v>85</v>
      </c>
    </row>
    <row r="5" spans="1:12" ht="12" customHeight="1">
      <c r="A5" s="547"/>
      <c r="B5" s="516"/>
      <c r="C5" s="516"/>
      <c r="D5" s="516"/>
      <c r="E5" s="550"/>
      <c r="F5" s="550"/>
      <c r="G5" s="550"/>
      <c r="H5" s="550"/>
      <c r="I5" s="550"/>
      <c r="J5" s="516"/>
      <c r="K5" s="516"/>
      <c r="L5" s="516"/>
    </row>
    <row r="6" spans="1:12" ht="17.25" customHeight="1" thickBot="1">
      <c r="A6" s="548"/>
      <c r="B6" s="544"/>
      <c r="C6" s="544"/>
      <c r="D6" s="544"/>
      <c r="E6" s="551"/>
      <c r="F6" s="551"/>
      <c r="G6" s="551"/>
      <c r="H6" s="551"/>
      <c r="I6" s="551"/>
      <c r="J6" s="544"/>
      <c r="K6" s="544"/>
      <c r="L6" s="544"/>
    </row>
    <row r="7" spans="1:12" ht="15" customHeight="1">
      <c r="A7" s="205" t="s">
        <v>55</v>
      </c>
      <c r="B7" s="529" t="s">
        <v>10</v>
      </c>
      <c r="C7" s="434" t="str">
        <f>'Caso Base | Edificabilidad'!B$7</f>
        <v>Categoría B</v>
      </c>
      <c r="D7" s="435">
        <f>'Caso Base | Edificabilidad'!C$7</f>
        <v>2.8</v>
      </c>
      <c r="E7" s="532">
        <f>83.06+81.3+54.33+234.54</f>
        <v>453.23</v>
      </c>
      <c r="F7" s="532">
        <f>E7*$D$7</f>
        <v>1269.0439999999999</v>
      </c>
      <c r="G7" s="532">
        <f>+E7*'Caso RT | Edificabilidad'!$F$7*1</f>
        <v>317.26099999999997</v>
      </c>
      <c r="H7" s="534"/>
      <c r="I7" s="532">
        <f>+E7*'Caso RT | Edificabilidad'!$F$7*3</f>
        <v>951.7829999999999</v>
      </c>
      <c r="J7" s="533">
        <f>+G7/30</f>
        <v>10.575366666666666</v>
      </c>
      <c r="K7" s="534"/>
      <c r="L7" s="533">
        <f>+I7/90</f>
        <v>10.575366666666666</v>
      </c>
    </row>
    <row r="8" spans="1:12">
      <c r="A8" s="38" t="s">
        <v>71</v>
      </c>
      <c r="B8" s="529"/>
      <c r="C8" s="434"/>
      <c r="D8" s="436"/>
      <c r="E8" s="532"/>
      <c r="F8" s="532"/>
      <c r="G8" s="532"/>
      <c r="H8" s="534"/>
      <c r="I8" s="532"/>
      <c r="J8" s="533"/>
      <c r="K8" s="534"/>
      <c r="L8" s="533"/>
    </row>
    <row r="9" spans="1:12">
      <c r="A9" s="38" t="s">
        <v>70</v>
      </c>
      <c r="B9" s="529"/>
      <c r="C9" s="434"/>
      <c r="D9" s="436"/>
      <c r="E9" s="532"/>
      <c r="F9" s="532"/>
      <c r="G9" s="532"/>
      <c r="H9" s="534"/>
      <c r="I9" s="532"/>
      <c r="J9" s="533"/>
      <c r="K9" s="534"/>
      <c r="L9" s="533"/>
    </row>
    <row r="10" spans="1:12" ht="12" customHeight="1">
      <c r="A10" s="38" t="s">
        <v>69</v>
      </c>
      <c r="B10" s="530"/>
      <c r="C10" s="434"/>
      <c r="D10" s="436"/>
      <c r="E10" s="402"/>
      <c r="F10" s="402"/>
      <c r="G10" s="402"/>
      <c r="H10" s="446"/>
      <c r="I10" s="402"/>
      <c r="J10" s="404"/>
      <c r="K10" s="446"/>
      <c r="L10" s="404"/>
    </row>
    <row r="11" spans="1:12">
      <c r="A11" s="38" t="s">
        <v>56</v>
      </c>
      <c r="B11" s="4" t="s">
        <v>79</v>
      </c>
      <c r="C11" s="434"/>
      <c r="D11" s="436"/>
      <c r="E11" s="268">
        <v>36.47</v>
      </c>
      <c r="F11" s="268"/>
      <c r="G11" s="268"/>
      <c r="H11" s="253"/>
      <c r="I11" s="268"/>
      <c r="J11" s="268"/>
      <c r="K11" s="268"/>
      <c r="L11" s="274"/>
    </row>
    <row r="12" spans="1:12">
      <c r="A12" s="38" t="s">
        <v>57</v>
      </c>
      <c r="B12" s="4" t="s">
        <v>79</v>
      </c>
      <c r="C12" s="434"/>
      <c r="D12" s="436"/>
      <c r="E12" s="268">
        <v>390.91</v>
      </c>
      <c r="F12" s="268"/>
      <c r="G12" s="276"/>
      <c r="H12" s="253"/>
      <c r="I12" s="276"/>
      <c r="J12" s="276"/>
      <c r="K12" s="276"/>
      <c r="L12" s="284"/>
    </row>
    <row r="13" spans="1:12">
      <c r="A13" s="38" t="s">
        <v>68</v>
      </c>
      <c r="B13" s="531" t="s">
        <v>108</v>
      </c>
      <c r="C13" s="434"/>
      <c r="D13" s="436"/>
      <c r="E13" s="401">
        <f>575.34+285.79</f>
        <v>861.13000000000011</v>
      </c>
      <c r="F13" s="401">
        <f>E13*($D$7/4)</f>
        <v>602.79100000000005</v>
      </c>
      <c r="G13" s="401">
        <f>+E13*'Caso RT | Edificabilidad'!$F$7*1</f>
        <v>602.79100000000005</v>
      </c>
      <c r="H13" s="535"/>
      <c r="I13" s="445"/>
      <c r="J13" s="403">
        <f>+G13/30</f>
        <v>20.093033333333334</v>
      </c>
      <c r="K13" s="445"/>
      <c r="L13" s="403"/>
    </row>
    <row r="14" spans="1:12">
      <c r="A14" s="38" t="s">
        <v>67</v>
      </c>
      <c r="B14" s="530"/>
      <c r="C14" s="434"/>
      <c r="D14" s="436"/>
      <c r="E14" s="402"/>
      <c r="F14" s="402"/>
      <c r="G14" s="402"/>
      <c r="H14" s="536"/>
      <c r="I14" s="446"/>
      <c r="J14" s="404"/>
      <c r="K14" s="446"/>
      <c r="L14" s="404"/>
    </row>
    <row r="15" spans="1:12">
      <c r="A15" s="38" t="s">
        <v>66</v>
      </c>
      <c r="B15" s="531" t="s">
        <v>11</v>
      </c>
      <c r="C15" s="434"/>
      <c r="D15" s="436"/>
      <c r="E15" s="401">
        <f>122.88+145.1</f>
        <v>267.98</v>
      </c>
      <c r="F15" s="401">
        <f>E15*$D$7</f>
        <v>750.34400000000005</v>
      </c>
      <c r="G15" s="401">
        <f>+E15*'Caso RT | Edificabilidad'!$F$7*1</f>
        <v>187.58600000000001</v>
      </c>
      <c r="H15" s="445"/>
      <c r="I15" s="401">
        <f>+E15*'Caso RT | Edificabilidad'!$F$7*3</f>
        <v>562.75800000000004</v>
      </c>
      <c r="J15" s="403">
        <f>+G15/30</f>
        <v>6.2528666666666668</v>
      </c>
      <c r="K15" s="445"/>
      <c r="L15" s="403">
        <f>+I15/90</f>
        <v>6.2528666666666668</v>
      </c>
    </row>
    <row r="16" spans="1:12">
      <c r="A16" s="38" t="s">
        <v>65</v>
      </c>
      <c r="B16" s="530"/>
      <c r="C16" s="434"/>
      <c r="D16" s="436"/>
      <c r="E16" s="402"/>
      <c r="F16" s="402"/>
      <c r="G16" s="402"/>
      <c r="H16" s="446"/>
      <c r="I16" s="402"/>
      <c r="J16" s="404"/>
      <c r="K16" s="446"/>
      <c r="L16" s="404"/>
    </row>
    <row r="17" spans="1:15" ht="14.1" customHeight="1">
      <c r="A17" s="442" t="s">
        <v>72</v>
      </c>
      <c r="B17" s="443"/>
      <c r="C17" s="443"/>
      <c r="D17" s="444"/>
      <c r="E17" s="269">
        <f t="shared" ref="E17:L17" si="0">SUBTOTAL(9,E7:E16)</f>
        <v>2009.7200000000003</v>
      </c>
      <c r="F17" s="39">
        <f t="shared" si="0"/>
        <v>2622.1790000000001</v>
      </c>
      <c r="G17" s="207">
        <f t="shared" si="0"/>
        <v>1107.6379999999999</v>
      </c>
      <c r="H17" s="39">
        <f t="shared" si="0"/>
        <v>0</v>
      </c>
      <c r="I17" s="39">
        <f t="shared" si="0"/>
        <v>1514.5409999999999</v>
      </c>
      <c r="J17" s="278">
        <f t="shared" si="0"/>
        <v>36.921266666666668</v>
      </c>
      <c r="K17" s="278">
        <f t="shared" si="0"/>
        <v>0</v>
      </c>
      <c r="L17" s="278">
        <f t="shared" si="0"/>
        <v>16.828233333333333</v>
      </c>
    </row>
    <row r="18" spans="1:15" ht="15.75" customHeight="1">
      <c r="A18" s="38" t="s">
        <v>58</v>
      </c>
      <c r="B18" s="531" t="s">
        <v>125</v>
      </c>
      <c r="C18" s="539" t="str">
        <f>'Caso Base | Edificabilidad'!B$8</f>
        <v>Categoría G</v>
      </c>
      <c r="D18" s="436">
        <f>'Caso Base | Edificabilidad'!C$8</f>
        <v>4.2</v>
      </c>
      <c r="E18" s="401">
        <f>137.41+232.03+123.15+108.6+254.94</f>
        <v>856.13000000000011</v>
      </c>
      <c r="F18" s="401">
        <f>E18*$D$18</f>
        <v>3595.7460000000005</v>
      </c>
      <c r="G18" s="401">
        <f>+E18*'Caso RT | Edificabilidad'!$F$8*2</f>
        <v>1198.5820000000001</v>
      </c>
      <c r="H18" s="401">
        <f>+E18*'Caso RT | Edificabilidad'!$F$8*1</f>
        <v>599.29100000000005</v>
      </c>
      <c r="I18" s="401">
        <f>+E18*'Caso RT | Edificabilidad'!$F$7*3</f>
        <v>1797.873</v>
      </c>
      <c r="J18" s="403">
        <f>+G18/30</f>
        <v>39.952733333333335</v>
      </c>
      <c r="K18" s="403">
        <f>+H18/70</f>
        <v>8.561300000000001</v>
      </c>
      <c r="L18" s="403">
        <f>+I18/90</f>
        <v>19.976366666666667</v>
      </c>
    </row>
    <row r="19" spans="1:15">
      <c r="A19" s="38" t="s">
        <v>59</v>
      </c>
      <c r="B19" s="529"/>
      <c r="C19" s="540"/>
      <c r="D19" s="436"/>
      <c r="E19" s="532"/>
      <c r="F19" s="532"/>
      <c r="G19" s="532"/>
      <c r="H19" s="532"/>
      <c r="I19" s="532"/>
      <c r="J19" s="533"/>
      <c r="K19" s="533"/>
      <c r="L19" s="533"/>
      <c r="O19" s="1">
        <f>IF(G19&lt;'Caso Base | Edificabilidad'!F8,1,IF(AND(G19&gt;='Caso Base | Edificabilidad'!F8,G19&lt;'Caso Base | Edificabilidad'!G8),2,3))</f>
        <v>1</v>
      </c>
    </row>
    <row r="20" spans="1:15">
      <c r="A20" s="38" t="s">
        <v>60</v>
      </c>
      <c r="B20" s="529"/>
      <c r="C20" s="540"/>
      <c r="D20" s="436"/>
      <c r="E20" s="532"/>
      <c r="F20" s="532"/>
      <c r="G20" s="532"/>
      <c r="H20" s="532"/>
      <c r="I20" s="532"/>
      <c r="J20" s="533"/>
      <c r="K20" s="533"/>
      <c r="L20" s="533"/>
    </row>
    <row r="21" spans="1:15">
      <c r="A21" s="38" t="s">
        <v>61</v>
      </c>
      <c r="B21" s="529"/>
      <c r="C21" s="540"/>
      <c r="D21" s="436"/>
      <c r="E21" s="532"/>
      <c r="F21" s="532"/>
      <c r="G21" s="532"/>
      <c r="H21" s="532"/>
      <c r="I21" s="532"/>
      <c r="J21" s="533"/>
      <c r="K21" s="533"/>
      <c r="L21" s="533"/>
    </row>
    <row r="22" spans="1:15">
      <c r="A22" s="38" t="s">
        <v>62</v>
      </c>
      <c r="B22" s="530"/>
      <c r="C22" s="540"/>
      <c r="D22" s="436"/>
      <c r="E22" s="402"/>
      <c r="F22" s="402"/>
      <c r="G22" s="402"/>
      <c r="H22" s="402"/>
      <c r="I22" s="402"/>
      <c r="J22" s="404"/>
      <c r="K22" s="404"/>
      <c r="L22" s="404"/>
    </row>
    <row r="23" spans="1:15">
      <c r="A23" s="38" t="s">
        <v>63</v>
      </c>
      <c r="B23" s="531" t="s">
        <v>108</v>
      </c>
      <c r="C23" s="540"/>
      <c r="D23" s="436"/>
      <c r="E23" s="401">
        <f>216.19+264.28</f>
        <v>480.46999999999997</v>
      </c>
      <c r="F23" s="401">
        <f>E23*($D$18/3)</f>
        <v>672.65800000000002</v>
      </c>
      <c r="G23" s="401">
        <f>+E23*'Caso RT | Edificabilidad'!$F$8*1</f>
        <v>336.32899999999995</v>
      </c>
      <c r="H23" s="401">
        <f>+E23*'Caso RT | Edificabilidad'!$F$8*1</f>
        <v>336.32899999999995</v>
      </c>
      <c r="I23" s="445"/>
      <c r="J23" s="403">
        <f>+G23/90</f>
        <v>3.7369888888888885</v>
      </c>
      <c r="K23" s="403">
        <f>+H23/70</f>
        <v>4.8046999999999995</v>
      </c>
      <c r="L23" s="403"/>
    </row>
    <row r="24" spans="1:15">
      <c r="A24" s="38" t="s">
        <v>64</v>
      </c>
      <c r="B24" s="530"/>
      <c r="C24" s="540"/>
      <c r="D24" s="436"/>
      <c r="E24" s="402"/>
      <c r="F24" s="402"/>
      <c r="G24" s="402"/>
      <c r="H24" s="402"/>
      <c r="I24" s="446"/>
      <c r="J24" s="404"/>
      <c r="K24" s="404"/>
      <c r="L24" s="404"/>
    </row>
    <row r="25" spans="1:15" ht="14.25" customHeight="1">
      <c r="A25" s="38" t="s">
        <v>73</v>
      </c>
      <c r="B25" s="4" t="s">
        <v>79</v>
      </c>
      <c r="C25" s="540"/>
      <c r="D25" s="436"/>
      <c r="E25" s="268">
        <v>175.36</v>
      </c>
      <c r="F25" s="268"/>
      <c r="G25" s="268"/>
      <c r="H25" s="268"/>
      <c r="I25" s="268"/>
      <c r="J25" s="280"/>
      <c r="K25" s="280"/>
      <c r="L25" s="277"/>
    </row>
    <row r="26" spans="1:15">
      <c r="A26" s="38" t="s">
        <v>74</v>
      </c>
      <c r="B26" s="4" t="s">
        <v>79</v>
      </c>
      <c r="C26" s="540"/>
      <c r="D26" s="436"/>
      <c r="E26" s="268">
        <v>229.58</v>
      </c>
      <c r="F26" s="268"/>
      <c r="G26" s="268"/>
      <c r="H26" s="268"/>
      <c r="I26" s="268"/>
      <c r="J26" s="280"/>
      <c r="K26" s="280"/>
      <c r="L26" s="277"/>
    </row>
    <row r="27" spans="1:15">
      <c r="A27" s="38" t="s">
        <v>75</v>
      </c>
      <c r="B27" s="531" t="s">
        <v>13</v>
      </c>
      <c r="C27" s="540"/>
      <c r="D27" s="436"/>
      <c r="E27" s="401">
        <f>170.97+509.1</f>
        <v>680.07</v>
      </c>
      <c r="F27" s="401">
        <f>E27*$D$18</f>
        <v>2856.2940000000003</v>
      </c>
      <c r="G27" s="401">
        <f>+E27*'Caso RT | Edificabilidad'!$F$8*2</f>
        <v>952.09799999999996</v>
      </c>
      <c r="H27" s="401">
        <f>+E27*'Caso RT | Edificabilidad'!$F$8*1</f>
        <v>476.04899999999998</v>
      </c>
      <c r="I27" s="401">
        <f>+E27*'Caso RT | Edificabilidad'!$F$8*3</f>
        <v>1428.1469999999999</v>
      </c>
      <c r="J27" s="403">
        <f>+G27/90</f>
        <v>10.578866666666666</v>
      </c>
      <c r="K27" s="403">
        <f>+H27/70</f>
        <v>6.8007</v>
      </c>
      <c r="L27" s="403">
        <f>+I27/120</f>
        <v>11.901225</v>
      </c>
    </row>
    <row r="28" spans="1:15" ht="14.25" customHeight="1">
      <c r="A28" s="38" t="s">
        <v>76</v>
      </c>
      <c r="B28" s="530"/>
      <c r="C28" s="541"/>
      <c r="D28" s="436"/>
      <c r="E28" s="402"/>
      <c r="F28" s="402"/>
      <c r="G28" s="402"/>
      <c r="H28" s="402"/>
      <c r="I28" s="402"/>
      <c r="J28" s="404"/>
      <c r="K28" s="404"/>
      <c r="L28" s="404"/>
    </row>
    <row r="29" spans="1:15" ht="14.1" customHeight="1" thickBot="1">
      <c r="A29" s="437" t="s">
        <v>72</v>
      </c>
      <c r="B29" s="438"/>
      <c r="C29" s="438"/>
      <c r="D29" s="439"/>
      <c r="E29" s="270">
        <f>SUBTOTAL(9,E19:E28)</f>
        <v>1565.48</v>
      </c>
      <c r="F29" s="13">
        <f t="shared" ref="F29:L29" si="1">SUBTOTAL(9,F18:F28)</f>
        <v>7124.6980000000003</v>
      </c>
      <c r="G29" s="270">
        <f t="shared" si="1"/>
        <v>2487.009</v>
      </c>
      <c r="H29" s="270">
        <f t="shared" si="1"/>
        <v>1411.6689999999999</v>
      </c>
      <c r="I29" s="270">
        <f t="shared" si="1"/>
        <v>3226.02</v>
      </c>
      <c r="J29" s="76">
        <f t="shared" si="1"/>
        <v>54.268588888888885</v>
      </c>
      <c r="K29" s="76">
        <f t="shared" si="1"/>
        <v>20.166699999999999</v>
      </c>
      <c r="L29" s="76">
        <f t="shared" si="1"/>
        <v>31.877591666666667</v>
      </c>
    </row>
    <row r="30" spans="1:15" ht="18.75" thickBot="1">
      <c r="A30" s="527"/>
      <c r="B30" s="423"/>
      <c r="C30" s="428" t="s">
        <v>89</v>
      </c>
      <c r="D30" s="429"/>
      <c r="E30" s="293">
        <f t="shared" ref="E30:L30" si="2">SUBTOTAL(9,E7:E29)</f>
        <v>4431.33</v>
      </c>
      <c r="F30" s="294">
        <f t="shared" si="2"/>
        <v>9746.8770000000022</v>
      </c>
      <c r="G30" s="287">
        <f t="shared" si="2"/>
        <v>3594.6469999999999</v>
      </c>
      <c r="H30" s="286">
        <f t="shared" si="2"/>
        <v>1411.6689999999999</v>
      </c>
      <c r="I30" s="40">
        <f t="shared" si="2"/>
        <v>4740.5609999999997</v>
      </c>
      <c r="J30" s="275">
        <f t="shared" si="2"/>
        <v>91.189855555555553</v>
      </c>
      <c r="K30" s="275">
        <f t="shared" si="2"/>
        <v>20.166699999999999</v>
      </c>
      <c r="L30" s="275">
        <f t="shared" si="2"/>
        <v>48.705825000000004</v>
      </c>
    </row>
    <row r="31" spans="1:15" ht="14.1" customHeight="1" thickBot="1">
      <c r="A31" s="528"/>
      <c r="B31" s="425"/>
      <c r="C31" s="440" t="s">
        <v>103</v>
      </c>
      <c r="D31" s="441"/>
      <c r="E31" s="288">
        <f>SUMIF($B$7:$B$28,"Existente",$E$7:$E$28)</f>
        <v>832.32</v>
      </c>
      <c r="F31" s="297"/>
      <c r="G31" s="399"/>
      <c r="H31" s="400"/>
      <c r="I31" s="400"/>
      <c r="J31" s="400"/>
      <c r="K31" s="400"/>
      <c r="L31" s="400"/>
    </row>
    <row r="32" spans="1:15" ht="14.1" customHeight="1" thickBot="1">
      <c r="A32" s="528"/>
      <c r="B32" s="425"/>
      <c r="C32" s="440" t="s">
        <v>126</v>
      </c>
      <c r="D32" s="441"/>
      <c r="E32" s="288">
        <f>SUMIF($B$7:$B$28,"Parque",$E$7:$E$28)</f>
        <v>1341.6000000000001</v>
      </c>
      <c r="F32" s="297"/>
      <c r="G32" s="289"/>
      <c r="H32" s="289"/>
      <c r="I32" s="289"/>
      <c r="J32" s="289"/>
      <c r="K32" s="289"/>
      <c r="L32" s="289"/>
    </row>
    <row r="33" spans="1:11">
      <c r="E33" s="9"/>
    </row>
    <row r="34" spans="1:11">
      <c r="A34" s="2"/>
      <c r="B34" s="3"/>
      <c r="E34" s="8"/>
      <c r="F34" s="8"/>
    </row>
    <row r="35" spans="1:11" ht="15" thickBot="1"/>
    <row r="36" spans="1:11" ht="15.95" customHeight="1">
      <c r="A36" s="505" t="s">
        <v>123</v>
      </c>
      <c r="B36" s="506"/>
      <c r="C36" s="506"/>
      <c r="D36" s="506"/>
      <c r="E36" s="506"/>
      <c r="F36" s="506"/>
      <c r="G36" s="506"/>
      <c r="H36" s="506"/>
      <c r="I36" s="507"/>
      <c r="J36" s="303"/>
      <c r="K36" s="303"/>
    </row>
    <row r="37" spans="1:11" ht="15.95" customHeight="1">
      <c r="A37" s="542" t="s">
        <v>122</v>
      </c>
      <c r="B37" s="511" t="s">
        <v>120</v>
      </c>
      <c r="C37" s="511"/>
      <c r="D37" s="511"/>
      <c r="E37" s="511"/>
      <c r="F37" s="511"/>
      <c r="G37" s="511"/>
      <c r="H37" s="511"/>
      <c r="I37" s="512"/>
      <c r="J37" s="303"/>
      <c r="K37" s="303"/>
    </row>
    <row r="38" spans="1:11" ht="12" customHeight="1">
      <c r="A38" s="542"/>
      <c r="B38" s="516" t="s">
        <v>121</v>
      </c>
      <c r="C38" s="516" t="s">
        <v>114</v>
      </c>
      <c r="D38" s="516" t="s">
        <v>115</v>
      </c>
      <c r="E38" s="516" t="s">
        <v>116</v>
      </c>
      <c r="F38" s="516" t="s">
        <v>117</v>
      </c>
      <c r="G38" s="516" t="s">
        <v>118</v>
      </c>
      <c r="H38" s="516" t="s">
        <v>119</v>
      </c>
      <c r="I38" s="537" t="s">
        <v>183</v>
      </c>
      <c r="J38" s="304"/>
      <c r="K38" s="304"/>
    </row>
    <row r="39" spans="1:11" ht="12" customHeight="1">
      <c r="A39" s="542"/>
      <c r="B39" s="516"/>
      <c r="C39" s="516"/>
      <c r="D39" s="516"/>
      <c r="E39" s="516"/>
      <c r="F39" s="516"/>
      <c r="G39" s="516"/>
      <c r="H39" s="516"/>
      <c r="I39" s="537"/>
      <c r="J39" s="304"/>
      <c r="K39" s="304"/>
    </row>
    <row r="40" spans="1:11" ht="12" customHeight="1" thickBot="1">
      <c r="A40" s="543"/>
      <c r="B40" s="544"/>
      <c r="C40" s="544"/>
      <c r="D40" s="544"/>
      <c r="E40" s="544"/>
      <c r="F40" s="544"/>
      <c r="G40" s="544"/>
      <c r="H40" s="544"/>
      <c r="I40" s="538"/>
      <c r="J40" s="304"/>
      <c r="K40" s="304"/>
    </row>
    <row r="41" spans="1:11" ht="12" customHeight="1">
      <c r="A41" s="405" t="s">
        <v>86</v>
      </c>
      <c r="B41" s="37" t="s">
        <v>28</v>
      </c>
      <c r="C41" s="285">
        <f>+G30/F30</f>
        <v>0.36879987302599582</v>
      </c>
      <c r="D41" s="19">
        <f>+G30</f>
        <v>3594.6469999999999</v>
      </c>
      <c r="E41" s="20">
        <f>Supuestos!J5</f>
        <v>1</v>
      </c>
      <c r="F41" s="19">
        <f>D41*E41</f>
        <v>3594.6469999999999</v>
      </c>
      <c r="G41" s="254">
        <f>+F41/J30</f>
        <v>39.419373768061675</v>
      </c>
      <c r="H41" s="201">
        <f>+J29</f>
        <v>54.268588888888885</v>
      </c>
      <c r="I41" s="409">
        <f>+'Caso Base | m2 del Proyecto'!I43</f>
        <v>2789.598</v>
      </c>
      <c r="J41" s="283"/>
      <c r="K41" s="283"/>
    </row>
    <row r="42" spans="1:11" ht="12" customHeight="1">
      <c r="A42" s="406"/>
      <c r="B42" s="10" t="s">
        <v>29</v>
      </c>
      <c r="C42" s="16">
        <f>+H30/F30</f>
        <v>0.14483295521221817</v>
      </c>
      <c r="D42" s="17">
        <f>+H30</f>
        <v>1411.6689999999999</v>
      </c>
      <c r="E42" s="18">
        <f>Supuestos!K5</f>
        <v>0.9</v>
      </c>
      <c r="F42" s="17">
        <f>D42*E42</f>
        <v>1270.5020999999999</v>
      </c>
      <c r="G42" s="255">
        <f>+F42/K30</f>
        <v>63</v>
      </c>
      <c r="H42" s="202">
        <f>+K29</f>
        <v>20.166699999999999</v>
      </c>
      <c r="I42" s="410"/>
      <c r="J42" s="283"/>
      <c r="K42" s="283"/>
    </row>
    <row r="43" spans="1:11" ht="12" customHeight="1" thickBot="1">
      <c r="A43" s="24" t="s">
        <v>87</v>
      </c>
      <c r="B43" s="7" t="s">
        <v>30</v>
      </c>
      <c r="C43" s="23">
        <f>+I30/F30</f>
        <v>0.48636717176178573</v>
      </c>
      <c r="D43" s="21">
        <f>+I30</f>
        <v>4740.5609999999997</v>
      </c>
      <c r="E43" s="22">
        <f>Supuestos!L5</f>
        <v>0.85</v>
      </c>
      <c r="F43" s="21">
        <f>D43*E43</f>
        <v>4029.4768499999996</v>
      </c>
      <c r="G43" s="77">
        <f>F43/L30</f>
        <v>82.730902309939296</v>
      </c>
      <c r="H43" s="203">
        <f>+L29</f>
        <v>31.877591666666667</v>
      </c>
      <c r="I43" s="411"/>
      <c r="J43" s="283"/>
      <c r="K43" s="283"/>
    </row>
    <row r="45" spans="1:11">
      <c r="D45" s="1" t="s">
        <v>9</v>
      </c>
    </row>
  </sheetData>
  <mergeCells count="92">
    <mergeCell ref="A2:L2"/>
    <mergeCell ref="A3:A6"/>
    <mergeCell ref="B3:L3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G31:L31"/>
    <mergeCell ref="C31:D31"/>
    <mergeCell ref="A17:D17"/>
    <mergeCell ref="L18:L22"/>
    <mergeCell ref="K27:K28"/>
    <mergeCell ref="L27:L28"/>
    <mergeCell ref="E23:E24"/>
    <mergeCell ref="F23:F24"/>
    <mergeCell ref="G23:G24"/>
    <mergeCell ref="H23:H24"/>
    <mergeCell ref="I23:I24"/>
    <mergeCell ref="J23:J24"/>
    <mergeCell ref="K23:K24"/>
    <mergeCell ref="E7:E10"/>
    <mergeCell ref="F7:F10"/>
    <mergeCell ref="G7:G10"/>
    <mergeCell ref="H7:H10"/>
    <mergeCell ref="I7:I10"/>
    <mergeCell ref="I38:I40"/>
    <mergeCell ref="A41:A42"/>
    <mergeCell ref="I41:I43"/>
    <mergeCell ref="C18:C28"/>
    <mergeCell ref="D18:D28"/>
    <mergeCell ref="A36:I36"/>
    <mergeCell ref="A37:A40"/>
    <mergeCell ref="B37:I37"/>
    <mergeCell ref="B38:B40"/>
    <mergeCell ref="C38:C40"/>
    <mergeCell ref="D38:D40"/>
    <mergeCell ref="E38:E40"/>
    <mergeCell ref="F38:F40"/>
    <mergeCell ref="G38:G40"/>
    <mergeCell ref="H38:H40"/>
    <mergeCell ref="A29:D29"/>
    <mergeCell ref="E13:E14"/>
    <mergeCell ref="F13:F14"/>
    <mergeCell ref="G13:G14"/>
    <mergeCell ref="H13:H14"/>
    <mergeCell ref="I13:I14"/>
    <mergeCell ref="J7:J10"/>
    <mergeCell ref="K7:K10"/>
    <mergeCell ref="L7:L10"/>
    <mergeCell ref="J13:J14"/>
    <mergeCell ref="L13:L14"/>
    <mergeCell ref="K13:K14"/>
    <mergeCell ref="J15:J16"/>
    <mergeCell ref="L15:L16"/>
    <mergeCell ref="K15:K16"/>
    <mergeCell ref="E18:E22"/>
    <mergeCell ref="F18:F22"/>
    <mergeCell ref="G18:G22"/>
    <mergeCell ref="H18:H22"/>
    <mergeCell ref="I18:I22"/>
    <mergeCell ref="J18:J22"/>
    <mergeCell ref="K18:K22"/>
    <mergeCell ref="E15:E16"/>
    <mergeCell ref="F15:F16"/>
    <mergeCell ref="G15:G16"/>
    <mergeCell ref="H15:H16"/>
    <mergeCell ref="I15:I16"/>
    <mergeCell ref="L23:L24"/>
    <mergeCell ref="E27:E28"/>
    <mergeCell ref="F27:F28"/>
    <mergeCell ref="G27:G28"/>
    <mergeCell ref="H27:H28"/>
    <mergeCell ref="I27:I28"/>
    <mergeCell ref="J27:J28"/>
    <mergeCell ref="C32:D32"/>
    <mergeCell ref="A30:B32"/>
    <mergeCell ref="B7:B10"/>
    <mergeCell ref="B13:B14"/>
    <mergeCell ref="B15:B16"/>
    <mergeCell ref="B18:B22"/>
    <mergeCell ref="B23:B24"/>
    <mergeCell ref="B27:B28"/>
    <mergeCell ref="C30:D30"/>
    <mergeCell ref="C7:C16"/>
    <mergeCell ref="D7:D16"/>
  </mergeCells>
  <pageMargins left="1" right="1" top="1" bottom="1" header="0.5" footer="0.5"/>
  <pageSetup scale="69" orientation="landscape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</sheetPr>
  <dimension ref="A1:S107"/>
  <sheetViews>
    <sheetView topLeftCell="A40" zoomScale="85" zoomScaleNormal="85" workbookViewId="0">
      <selection activeCell="A61" sqref="A61:XFD71"/>
    </sheetView>
  </sheetViews>
  <sheetFormatPr baseColWidth="10" defaultColWidth="10.875" defaultRowHeight="11.1" customHeight="1"/>
  <cols>
    <col min="1" max="1" width="9.875" style="25" customWidth="1"/>
    <col min="2" max="2" width="11.375" style="25" customWidth="1"/>
    <col min="3" max="5" width="9.875" style="25" customWidth="1"/>
    <col min="6" max="6" width="10.25" style="25" bestFit="1" customWidth="1"/>
    <col min="7" max="7" width="11.125" style="25" bestFit="1" customWidth="1"/>
    <col min="8" max="11" width="9.875" style="25" customWidth="1"/>
    <col min="12" max="12" width="11" style="25" customWidth="1"/>
    <col min="13" max="18" width="9.875" style="25" customWidth="1"/>
    <col min="19" max="21" width="9.625" style="25" customWidth="1"/>
    <col min="22" max="16384" width="10.875" style="25"/>
  </cols>
  <sheetData>
    <row r="1" spans="1:15" ht="15.95" customHeight="1">
      <c r="A1" s="305" t="s">
        <v>123</v>
      </c>
      <c r="B1" s="306"/>
      <c r="C1" s="306"/>
      <c r="D1" s="306"/>
      <c r="E1" s="306"/>
      <c r="F1" s="306"/>
      <c r="G1" s="306"/>
      <c r="H1" s="306"/>
      <c r="I1" s="575" t="s">
        <v>246</v>
      </c>
      <c r="J1" s="575"/>
      <c r="K1" s="575"/>
      <c r="L1" s="575"/>
      <c r="M1" s="575"/>
      <c r="N1" s="575"/>
      <c r="O1" s="576"/>
    </row>
    <row r="2" spans="1:15" s="41" customFormat="1" ht="11.1" customHeight="1">
      <c r="A2" s="182"/>
      <c r="O2" s="183"/>
    </row>
    <row r="3" spans="1:15" ht="11.1" customHeight="1">
      <c r="A3" s="137" t="s">
        <v>28</v>
      </c>
      <c r="B3" s="186"/>
      <c r="C3" s="186"/>
      <c r="D3" s="186"/>
      <c r="E3" s="186"/>
      <c r="F3" s="137" t="s">
        <v>29</v>
      </c>
      <c r="G3" s="186"/>
      <c r="H3" s="186"/>
      <c r="I3" s="186"/>
      <c r="J3" s="187"/>
      <c r="K3" s="138" t="s">
        <v>30</v>
      </c>
      <c r="L3" s="186"/>
      <c r="M3" s="186"/>
      <c r="N3" s="186"/>
      <c r="O3" s="187"/>
    </row>
    <row r="4" spans="1:15" ht="11.1" customHeight="1">
      <c r="A4" s="46" t="s">
        <v>195</v>
      </c>
      <c r="B4" s="104">
        <f>+'Caso RT | m2 del Proyecto'!D41</f>
        <v>3594.6469999999999</v>
      </c>
      <c r="C4" s="36"/>
      <c r="D4" s="36"/>
      <c r="E4" s="36"/>
      <c r="F4" s="46" t="s">
        <v>195</v>
      </c>
      <c r="G4" s="104">
        <f>+'Caso RT | m2 del Proyecto'!D42</f>
        <v>1411.6689999999999</v>
      </c>
      <c r="H4" s="36" t="s">
        <v>36</v>
      </c>
      <c r="I4" s="36"/>
      <c r="J4" s="200">
        <f>'Caso Base | m2 del Proyecto'!I43</f>
        <v>2789.598</v>
      </c>
      <c r="K4" s="46" t="s">
        <v>195</v>
      </c>
      <c r="L4" s="104">
        <f>+'Caso RT | m2 del Proyecto'!D43</f>
        <v>4740.5609999999997</v>
      </c>
      <c r="M4" s="36" t="s">
        <v>214</v>
      </c>
      <c r="N4" s="36"/>
      <c r="O4" s="358">
        <f>'Caso Base | m2 del Proyecto'!G45</f>
        <v>90.523003335146129</v>
      </c>
    </row>
    <row r="5" spans="1:15" ht="11.1" customHeight="1">
      <c r="A5" s="46" t="s">
        <v>196</v>
      </c>
      <c r="B5" s="105">
        <f>+'Caso RT | m2 del Proyecto'!F41</f>
        <v>3594.6469999999999</v>
      </c>
      <c r="C5" s="36" t="s">
        <v>202</v>
      </c>
      <c r="D5" s="36"/>
      <c r="E5" s="106">
        <f>Supuestos!J15</f>
        <v>45</v>
      </c>
      <c r="F5" s="46" t="s">
        <v>196</v>
      </c>
      <c r="G5" s="105">
        <f>+'Caso RT | m2 del Proyecto'!F42</f>
        <v>1270.5020999999999</v>
      </c>
      <c r="H5" s="36" t="s">
        <v>202</v>
      </c>
      <c r="I5" s="36"/>
      <c r="J5" s="107">
        <f>Supuestos!K15</f>
        <v>45</v>
      </c>
      <c r="K5" s="46" t="s">
        <v>196</v>
      </c>
      <c r="L5" s="105">
        <f>+'Caso RT | m2 del Proyecto'!F43</f>
        <v>4029.4768499999996</v>
      </c>
      <c r="M5" s="36" t="s">
        <v>202</v>
      </c>
      <c r="N5" s="36"/>
      <c r="O5" s="107">
        <f>Supuestos!L15</f>
        <v>45</v>
      </c>
    </row>
    <row r="6" spans="1:15" ht="11.1" customHeight="1">
      <c r="A6" s="46" t="s">
        <v>146</v>
      </c>
      <c r="B6" s="106">
        <f>Supuestos!J7</f>
        <v>180</v>
      </c>
      <c r="C6" s="36" t="s">
        <v>203</v>
      </c>
      <c r="D6" s="36"/>
      <c r="E6" s="108">
        <f>Supuestos!J16</f>
        <v>0.1</v>
      </c>
      <c r="F6" s="46" t="s">
        <v>146</v>
      </c>
      <c r="G6" s="106">
        <f>Supuestos!K7</f>
        <v>144</v>
      </c>
      <c r="H6" s="36" t="s">
        <v>203</v>
      </c>
      <c r="I6" s="36"/>
      <c r="J6" s="109">
        <f>Supuestos!K16</f>
        <v>0.06</v>
      </c>
      <c r="K6" s="46" t="s">
        <v>146</v>
      </c>
      <c r="L6" s="106">
        <f>Supuestos!L7</f>
        <v>120</v>
      </c>
      <c r="M6" s="36" t="s">
        <v>203</v>
      </c>
      <c r="N6" s="36"/>
      <c r="O6" s="109">
        <f>Supuestos!L16</f>
        <v>0.05</v>
      </c>
    </row>
    <row r="7" spans="1:15" ht="11.1" customHeight="1">
      <c r="A7" s="48" t="s">
        <v>197</v>
      </c>
      <c r="B7" s="291">
        <f>Supuestos!J8</f>
        <v>1.8E-3</v>
      </c>
      <c r="C7" s="36" t="s">
        <v>204</v>
      </c>
      <c r="D7" s="36"/>
      <c r="E7" s="106">
        <f>Supuestos!J17</f>
        <v>2</v>
      </c>
      <c r="F7" s="48" t="s">
        <v>197</v>
      </c>
      <c r="G7" s="108">
        <f>Supuestos!K8</f>
        <v>1.8E-3</v>
      </c>
      <c r="H7" s="36" t="s">
        <v>204</v>
      </c>
      <c r="I7" s="36"/>
      <c r="J7" s="107">
        <f>Supuestos!K17</f>
        <v>1</v>
      </c>
      <c r="K7" s="48" t="s">
        <v>197</v>
      </c>
      <c r="L7" s="108">
        <f>Supuestos!L8</f>
        <v>1.8E-3</v>
      </c>
      <c r="M7" s="36" t="s">
        <v>204</v>
      </c>
      <c r="N7" s="36"/>
      <c r="O7" s="107">
        <f>Supuestos!L17</f>
        <v>1.5</v>
      </c>
    </row>
    <row r="8" spans="1:15" ht="11.1" customHeight="1">
      <c r="A8" s="46" t="s">
        <v>198</v>
      </c>
      <c r="B8" s="108">
        <f>Supuestos!J9</f>
        <v>0.08</v>
      </c>
      <c r="C8" s="36" t="s">
        <v>205</v>
      </c>
      <c r="D8" s="36"/>
      <c r="E8" s="104">
        <f>+'Caso RT | m2 del Proyecto'!H41</f>
        <v>54.268588888888885</v>
      </c>
      <c r="F8" s="46" t="s">
        <v>198</v>
      </c>
      <c r="G8" s="108">
        <f>Supuestos!K9</f>
        <v>0.05</v>
      </c>
      <c r="H8" s="36" t="s">
        <v>205</v>
      </c>
      <c r="I8" s="36"/>
      <c r="J8" s="110">
        <f>+'Caso RT | m2 del Proyecto'!H42</f>
        <v>20.166699999999999</v>
      </c>
      <c r="K8" s="46" t="s">
        <v>198</v>
      </c>
      <c r="L8" s="108">
        <f>Supuestos!L9</f>
        <v>0.04</v>
      </c>
      <c r="M8" s="36" t="s">
        <v>205</v>
      </c>
      <c r="N8" s="36"/>
      <c r="O8" s="110">
        <f>+'Caso RT | m2 del Proyecto'!H43</f>
        <v>31.877591666666667</v>
      </c>
    </row>
    <row r="9" spans="1:15" ht="11.1" customHeight="1">
      <c r="A9" s="46" t="s">
        <v>199</v>
      </c>
      <c r="B9" s="111">
        <f>Supuestos!J12</f>
        <v>57.6</v>
      </c>
      <c r="C9" s="36" t="s">
        <v>206</v>
      </c>
      <c r="D9" s="36"/>
      <c r="E9" s="112">
        <f>Supuestos!J10</f>
        <v>600</v>
      </c>
      <c r="F9" s="46" t="s">
        <v>199</v>
      </c>
      <c r="G9" s="106">
        <f>Supuestos!K12</f>
        <v>43.199999999999996</v>
      </c>
      <c r="H9" s="36" t="s">
        <v>206</v>
      </c>
      <c r="I9" s="36"/>
      <c r="J9" s="113">
        <f>Supuestos!K10</f>
        <v>600</v>
      </c>
      <c r="K9" s="46" t="s">
        <v>199</v>
      </c>
      <c r="L9" s="106">
        <f>Supuestos!L12</f>
        <v>36</v>
      </c>
      <c r="M9" s="36" t="s">
        <v>206</v>
      </c>
      <c r="N9" s="36"/>
      <c r="O9" s="113">
        <f>Supuestos!L10</f>
        <v>600</v>
      </c>
    </row>
    <row r="10" spans="1:15" ht="11.1" customHeight="1">
      <c r="A10" s="48" t="s">
        <v>197</v>
      </c>
      <c r="B10" s="291">
        <f>Supuestos!J13</f>
        <v>1.8E-3</v>
      </c>
      <c r="C10" s="36" t="s">
        <v>210</v>
      </c>
      <c r="D10" s="36"/>
      <c r="E10" s="114">
        <f>Supuestos!J19</f>
        <v>0.125</v>
      </c>
      <c r="F10" s="48" t="s">
        <v>197</v>
      </c>
      <c r="G10" s="108">
        <f>Supuestos!K13</f>
        <v>1.8E-3</v>
      </c>
      <c r="H10" s="36" t="s">
        <v>210</v>
      </c>
      <c r="I10" s="57"/>
      <c r="J10" s="115">
        <f>Supuestos!K19</f>
        <v>0.105</v>
      </c>
      <c r="K10" s="48" t="s">
        <v>197</v>
      </c>
      <c r="L10" s="108">
        <f>Supuestos!L13</f>
        <v>1.8E-3</v>
      </c>
      <c r="M10" s="36" t="s">
        <v>210</v>
      </c>
      <c r="N10" s="57"/>
      <c r="O10" s="115">
        <f>Supuestos!L19</f>
        <v>8.5000000000000006E-2</v>
      </c>
    </row>
    <row r="11" spans="1:15" ht="11.1" customHeight="1">
      <c r="A11" s="46" t="s">
        <v>200</v>
      </c>
      <c r="B11" s="356">
        <f>Supuestos!D6</f>
        <v>290</v>
      </c>
      <c r="C11" s="36" t="s">
        <v>211</v>
      </c>
      <c r="D11" s="36"/>
      <c r="E11" s="114">
        <f>Supuestos!J20</f>
        <v>0.11</v>
      </c>
      <c r="F11" s="46" t="s">
        <v>200</v>
      </c>
      <c r="G11" s="356">
        <f>Supuestos!D7</f>
        <v>290</v>
      </c>
      <c r="H11" s="36" t="s">
        <v>211</v>
      </c>
      <c r="I11" s="57"/>
      <c r="J11" s="115">
        <f>Supuestos!K20</f>
        <v>0.09</v>
      </c>
      <c r="K11" s="46" t="s">
        <v>200</v>
      </c>
      <c r="L11" s="356">
        <f>Supuestos!D8</f>
        <v>290</v>
      </c>
      <c r="M11" s="36" t="s">
        <v>211</v>
      </c>
      <c r="N11" s="57"/>
      <c r="O11" s="115">
        <f>Supuestos!L20</f>
        <v>7.0000000000000007E-2</v>
      </c>
    </row>
    <row r="12" spans="1:15" ht="11.1" customHeight="1">
      <c r="A12" s="53" t="s">
        <v>201</v>
      </c>
      <c r="B12" s="357">
        <f>Supuestos!D10</f>
        <v>110</v>
      </c>
      <c r="C12" s="27" t="s">
        <v>212</v>
      </c>
      <c r="D12" s="27"/>
      <c r="E12" s="116">
        <f>Supuestos!J21</f>
        <v>0.115</v>
      </c>
      <c r="F12" s="53" t="s">
        <v>201</v>
      </c>
      <c r="G12" s="357">
        <f>Supuestos!D11</f>
        <v>110</v>
      </c>
      <c r="H12" s="27" t="s">
        <v>212</v>
      </c>
      <c r="I12" s="117"/>
      <c r="J12" s="118">
        <f>Supuestos!K21</f>
        <v>9.5000000000000001E-2</v>
      </c>
      <c r="K12" s="53" t="s">
        <v>201</v>
      </c>
      <c r="L12" s="357">
        <f>Supuestos!D12</f>
        <v>150</v>
      </c>
      <c r="M12" s="27" t="s">
        <v>212</v>
      </c>
      <c r="N12" s="117"/>
      <c r="O12" s="118">
        <f>Supuestos!L21</f>
        <v>7.5000000000000011E-2</v>
      </c>
    </row>
    <row r="13" spans="1:15" ht="11.1" customHeight="1">
      <c r="A13" s="36"/>
      <c r="B13" s="211"/>
      <c r="C13" s="36"/>
      <c r="D13" s="36"/>
      <c r="E13" s="114"/>
      <c r="F13" s="36"/>
      <c r="G13" s="211"/>
      <c r="H13" s="36"/>
      <c r="I13" s="57"/>
      <c r="J13" s="114"/>
      <c r="K13" s="36"/>
      <c r="L13" s="211"/>
      <c r="M13" s="36"/>
      <c r="N13" s="57"/>
      <c r="O13" s="114"/>
    </row>
    <row r="14" spans="1:15" ht="11.1" customHeight="1">
      <c r="A14" s="36"/>
      <c r="B14" s="211"/>
      <c r="C14" s="36"/>
      <c r="D14" s="36"/>
      <c r="E14" s="114"/>
      <c r="F14" s="36"/>
      <c r="G14" s="211"/>
      <c r="H14" s="36"/>
      <c r="I14" s="57"/>
      <c r="J14" s="114"/>
      <c r="K14" s="36"/>
      <c r="L14" s="211"/>
      <c r="M14" s="36"/>
      <c r="N14" s="57"/>
      <c r="O14" s="114"/>
    </row>
    <row r="16" spans="1:15" ht="11.1" customHeight="1">
      <c r="A16" s="137" t="s">
        <v>239</v>
      </c>
      <c r="B16" s="186"/>
      <c r="C16" s="187"/>
    </row>
    <row r="17" spans="1:14" ht="11.1" customHeight="1">
      <c r="A17" s="46" t="s">
        <v>215</v>
      </c>
      <c r="B17" s="36"/>
      <c r="C17" s="130">
        <f>Supuestos!D21</f>
        <v>4.2799999999999998E-2</v>
      </c>
    </row>
    <row r="18" spans="1:14" ht="11.1" customHeight="1">
      <c r="A18" s="46" t="s">
        <v>218</v>
      </c>
      <c r="B18" s="128"/>
      <c r="C18" s="151">
        <v>10</v>
      </c>
    </row>
    <row r="19" spans="1:14" ht="11.1" customHeight="1">
      <c r="A19" s="44"/>
      <c r="B19" s="128"/>
      <c r="C19" s="151"/>
    </row>
    <row r="20" spans="1:14" ht="11.1" customHeight="1">
      <c r="A20" s="137" t="s">
        <v>216</v>
      </c>
      <c r="B20" s="186"/>
      <c r="C20" s="187"/>
    </row>
    <row r="21" spans="1:14" ht="11.1" customHeight="1">
      <c r="A21" s="68" t="s">
        <v>217</v>
      </c>
      <c r="B21" s="36"/>
      <c r="C21" s="144">
        <v>2</v>
      </c>
    </row>
    <row r="22" spans="1:14" ht="11.1" customHeight="1">
      <c r="A22" s="68" t="s">
        <v>219</v>
      </c>
      <c r="B22" s="36"/>
      <c r="C22" s="131">
        <f>Supuestos!D13</f>
        <v>4250</v>
      </c>
    </row>
    <row r="23" spans="1:14" ht="11.1" customHeight="1">
      <c r="A23" s="68" t="s">
        <v>213</v>
      </c>
      <c r="B23" s="36"/>
      <c r="C23" s="131">
        <f>Supuestos!D14</f>
        <v>50</v>
      </c>
    </row>
    <row r="24" spans="1:14" ht="11.1" customHeight="1">
      <c r="A24" s="68" t="s">
        <v>220</v>
      </c>
      <c r="B24" s="36"/>
      <c r="C24" s="132">
        <f>Supuestos!D17</f>
        <v>0.05</v>
      </c>
    </row>
    <row r="25" spans="1:14" ht="11.1" customHeight="1">
      <c r="A25" s="68" t="s">
        <v>33</v>
      </c>
      <c r="B25" s="36"/>
      <c r="C25" s="132">
        <f>Supuestos!D18</f>
        <v>3.5000000000000003E-2</v>
      </c>
    </row>
    <row r="26" spans="1:14" ht="11.1" customHeight="1">
      <c r="A26" s="68" t="s">
        <v>34</v>
      </c>
      <c r="B26" s="36"/>
      <c r="C26" s="132">
        <f>Supuestos!D19</f>
        <v>0.1</v>
      </c>
    </row>
    <row r="27" spans="1:14" ht="11.1" customHeight="1">
      <c r="A27" s="133" t="s">
        <v>35</v>
      </c>
      <c r="B27" s="27"/>
      <c r="C27" s="134">
        <f>Supuestos!D20</f>
        <v>0.2</v>
      </c>
      <c r="G27" s="56"/>
    </row>
    <row r="28" spans="1:14" ht="11.1" customHeight="1">
      <c r="A28" s="56"/>
      <c r="B28" s="36"/>
      <c r="C28" s="150"/>
      <c r="G28" s="56"/>
    </row>
    <row r="29" spans="1:14" ht="11.1" customHeight="1">
      <c r="A29" s="56"/>
      <c r="B29" s="36"/>
      <c r="C29" s="150"/>
      <c r="G29" s="56"/>
    </row>
    <row r="30" spans="1:14" ht="11.1" customHeight="1">
      <c r="A30" s="56"/>
      <c r="B30" s="36"/>
      <c r="C30" s="150"/>
      <c r="G30" s="56"/>
    </row>
    <row r="31" spans="1:14" ht="11.1" customHeight="1">
      <c r="A31" s="481" t="s">
        <v>172</v>
      </c>
      <c r="B31" s="455" t="s">
        <v>10</v>
      </c>
      <c r="C31" s="453"/>
      <c r="D31" s="453" t="s">
        <v>11</v>
      </c>
      <c r="E31" s="453"/>
      <c r="F31" s="453" t="s">
        <v>12</v>
      </c>
      <c r="G31" s="454"/>
      <c r="H31" s="577" t="s">
        <v>13</v>
      </c>
      <c r="I31" s="578"/>
      <c r="J31" s="578" t="s">
        <v>14</v>
      </c>
      <c r="K31" s="579"/>
      <c r="L31" s="469" t="s">
        <v>176</v>
      </c>
      <c r="M31" s="456" t="s">
        <v>177</v>
      </c>
      <c r="N31" s="459" t="s">
        <v>8</v>
      </c>
    </row>
    <row r="32" spans="1:14" ht="11.1" customHeight="1">
      <c r="A32" s="482"/>
      <c r="B32" s="470" t="s">
        <v>128</v>
      </c>
      <c r="C32" s="457"/>
      <c r="D32" s="457" t="s">
        <v>178</v>
      </c>
      <c r="E32" s="457"/>
      <c r="F32" s="457" t="s">
        <v>174</v>
      </c>
      <c r="G32" s="460"/>
      <c r="H32" s="470" t="s">
        <v>179</v>
      </c>
      <c r="I32" s="457"/>
      <c r="J32" s="457" t="s">
        <v>180</v>
      </c>
      <c r="K32" s="460"/>
      <c r="L32" s="470"/>
      <c r="M32" s="457"/>
      <c r="N32" s="460"/>
    </row>
    <row r="33" spans="1:18" ht="11.1" customHeight="1">
      <c r="A33" s="483"/>
      <c r="B33" s="471"/>
      <c r="C33" s="458"/>
      <c r="D33" s="458"/>
      <c r="E33" s="458"/>
      <c r="F33" s="458"/>
      <c r="G33" s="461"/>
      <c r="H33" s="471"/>
      <c r="I33" s="458"/>
      <c r="J33" s="458"/>
      <c r="K33" s="461"/>
      <c r="L33" s="471"/>
      <c r="M33" s="458"/>
      <c r="N33" s="461"/>
    </row>
    <row r="34" spans="1:18" ht="11.1" customHeight="1">
      <c r="A34" s="484" t="s">
        <v>15</v>
      </c>
      <c r="B34" s="559">
        <f>+'Caso Base | Flujo de Caja'!B34</f>
        <v>1062178.1975384748</v>
      </c>
      <c r="C34" s="560"/>
      <c r="D34" s="472">
        <f>-D98*E42</f>
        <v>5564426.649008763</v>
      </c>
      <c r="E34" s="473"/>
      <c r="F34" s="472">
        <f>SUM(B34:E34)</f>
        <v>6626604.8465472376</v>
      </c>
      <c r="G34" s="503"/>
      <c r="H34" s="563">
        <f>D100*E42</f>
        <v>388412.12553328206</v>
      </c>
      <c r="I34" s="564"/>
      <c r="J34" s="567">
        <f>H34+B34</f>
        <v>1450590.3230717569</v>
      </c>
      <c r="K34" s="568"/>
      <c r="L34" s="571">
        <f>C91</f>
        <v>0.22120801721927608</v>
      </c>
      <c r="M34" s="552">
        <f>C92</f>
        <v>0.13925079737207668</v>
      </c>
      <c r="N34" s="554">
        <f>C94</f>
        <v>0.59238854732309587</v>
      </c>
    </row>
    <row r="35" spans="1:18" ht="11.1" customHeight="1">
      <c r="A35" s="485"/>
      <c r="B35" s="561"/>
      <c r="C35" s="562"/>
      <c r="D35" s="474"/>
      <c r="E35" s="474"/>
      <c r="F35" s="474"/>
      <c r="G35" s="504"/>
      <c r="H35" s="565"/>
      <c r="I35" s="566"/>
      <c r="J35" s="569"/>
      <c r="K35" s="570"/>
      <c r="L35" s="572"/>
      <c r="M35" s="553"/>
      <c r="N35" s="555"/>
    </row>
    <row r="41" spans="1:18" ht="11.1" customHeight="1">
      <c r="E41" s="80"/>
      <c r="H41" s="79"/>
      <c r="J41" s="80"/>
      <c r="L41" s="59"/>
      <c r="M41" s="79"/>
      <c r="O41" s="80"/>
      <c r="Q41" s="59"/>
      <c r="R41" s="79"/>
    </row>
    <row r="42" spans="1:18" ht="11.1" customHeight="1">
      <c r="A42" s="26" t="s">
        <v>231</v>
      </c>
      <c r="E42" s="146">
        <v>1000</v>
      </c>
      <c r="H42" s="79"/>
      <c r="J42" s="80"/>
      <c r="L42" s="59"/>
      <c r="M42" s="79"/>
      <c r="O42" s="80"/>
      <c r="Q42" s="59"/>
      <c r="R42" s="79"/>
    </row>
    <row r="43" spans="1:18" ht="11.1" customHeight="1">
      <c r="G43" s="35"/>
    </row>
    <row r="44" spans="1:18" s="11" customFormat="1" ht="14.1" customHeight="1">
      <c r="A44" s="490" t="s">
        <v>243</v>
      </c>
      <c r="B44" s="491"/>
      <c r="C44" s="191" t="s">
        <v>98</v>
      </c>
      <c r="D44" s="500" t="s">
        <v>92</v>
      </c>
      <c r="E44" s="501"/>
      <c r="F44" s="501"/>
      <c r="G44" s="502"/>
      <c r="H44" s="556" t="s">
        <v>93</v>
      </c>
      <c r="I44" s="557"/>
      <c r="J44" s="557"/>
      <c r="K44" s="557"/>
      <c r="L44" s="557"/>
      <c r="M44" s="557"/>
      <c r="N44" s="557"/>
      <c r="O44" s="558"/>
      <c r="P44" s="311"/>
      <c r="Q44" s="312"/>
      <c r="R44" s="312"/>
    </row>
    <row r="45" spans="1:18" ht="11.1" customHeight="1">
      <c r="A45" s="492"/>
      <c r="B45" s="493"/>
      <c r="C45" s="190">
        <f>E42</f>
        <v>1000</v>
      </c>
      <c r="D45" s="66" t="s">
        <v>100</v>
      </c>
      <c r="E45" s="488" t="s">
        <v>101</v>
      </c>
      <c r="F45" s="489"/>
      <c r="G45" s="307" t="s">
        <v>5</v>
      </c>
      <c r="H45" s="573" t="s">
        <v>232</v>
      </c>
      <c r="I45" s="573"/>
      <c r="J45" s="573"/>
      <c r="K45" s="573"/>
      <c r="L45" s="573"/>
      <c r="M45" s="573"/>
      <c r="N45" s="573"/>
      <c r="O45" s="574"/>
      <c r="P45" s="313"/>
      <c r="Q45" s="314"/>
      <c r="R45" s="314"/>
    </row>
    <row r="46" spans="1:18" ht="11.1" customHeight="1">
      <c r="A46" s="139"/>
      <c r="B46" s="135"/>
      <c r="C46" s="135"/>
      <c r="D46" s="136"/>
      <c r="E46" s="360">
        <v>1</v>
      </c>
      <c r="F46" s="360">
        <v>2</v>
      </c>
      <c r="G46" s="360">
        <v>3</v>
      </c>
      <c r="H46" s="360">
        <v>4</v>
      </c>
      <c r="I46" s="360">
        <v>5</v>
      </c>
      <c r="J46" s="360">
        <v>6</v>
      </c>
      <c r="K46" s="360">
        <v>7</v>
      </c>
      <c r="L46" s="360">
        <v>8</v>
      </c>
      <c r="M46" s="360">
        <v>9</v>
      </c>
      <c r="N46" s="360">
        <v>10</v>
      </c>
      <c r="O46" s="361">
        <v>11</v>
      </c>
      <c r="P46" s="362">
        <v>12</v>
      </c>
      <c r="Q46" s="362">
        <v>13</v>
      </c>
      <c r="R46" s="362">
        <v>14</v>
      </c>
    </row>
    <row r="47" spans="1:18" ht="11.1" customHeight="1">
      <c r="A47" s="53"/>
      <c r="B47" s="27"/>
      <c r="C47" s="36"/>
      <c r="D47" s="147" t="s">
        <v>234</v>
      </c>
      <c r="E47" s="148"/>
      <c r="F47" s="148"/>
      <c r="G47" s="147" t="s">
        <v>235</v>
      </c>
      <c r="H47" s="148" t="str">
        <f t="shared" ref="H47:O47" si="0">IF(H46=$C$18,"Reversion","")</f>
        <v/>
      </c>
      <c r="I47" s="148" t="str">
        <f t="shared" si="0"/>
        <v/>
      </c>
      <c r="J47" s="148" t="str">
        <f t="shared" si="0"/>
        <v/>
      </c>
      <c r="K47" s="148" t="str">
        <f t="shared" si="0"/>
        <v/>
      </c>
      <c r="L47" s="148" t="str">
        <f t="shared" si="0"/>
        <v/>
      </c>
      <c r="M47" s="148" t="str">
        <f t="shared" si="0"/>
        <v/>
      </c>
      <c r="N47" s="148" t="str">
        <f t="shared" si="0"/>
        <v>Reversion</v>
      </c>
      <c r="O47" s="149" t="str">
        <f t="shared" si="0"/>
        <v/>
      </c>
      <c r="P47" s="59"/>
      <c r="Q47" s="59"/>
      <c r="R47" s="59"/>
    </row>
    <row r="48" spans="1:18" ht="11.1" customHeight="1">
      <c r="A48" s="145" t="s">
        <v>94</v>
      </c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31"/>
      <c r="P48" s="59"/>
      <c r="Q48" s="59"/>
      <c r="R48" s="59"/>
    </row>
    <row r="49" spans="1:19" s="59" customFormat="1" ht="11.1" customHeight="1">
      <c r="A49" s="96" t="s">
        <v>99</v>
      </c>
      <c r="B49" s="60"/>
      <c r="C49" s="57"/>
      <c r="D49" s="292">
        <f>-B34/C45</f>
        <v>-1062.1781975384747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58"/>
    </row>
    <row r="50" spans="1:19" s="59" customFormat="1" ht="11.1" customHeight="1">
      <c r="A50" s="96" t="s">
        <v>107</v>
      </c>
      <c r="B50" s="60"/>
      <c r="C50" s="57"/>
      <c r="D50" s="292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58"/>
    </row>
    <row r="51" spans="1:19" s="59" customFormat="1" ht="11.1" customHeight="1">
      <c r="A51" s="96" t="s">
        <v>105</v>
      </c>
      <c r="B51" s="60"/>
      <c r="C51" s="57"/>
      <c r="D51" s="292"/>
      <c r="E51" s="292">
        <f>-'Caso Base | m2 del Proyecto'!$F$32*50/$C$45</f>
        <v>-139.47989999999999</v>
      </c>
      <c r="F51" s="65"/>
      <c r="G51" s="65"/>
      <c r="H51" s="65"/>
      <c r="I51" s="65"/>
      <c r="J51" s="65"/>
      <c r="K51" s="65"/>
      <c r="L51" s="65"/>
      <c r="M51" s="65"/>
      <c r="N51" s="65"/>
      <c r="O51" s="58"/>
    </row>
    <row r="52" spans="1:19" s="59" customFormat="1" ht="11.1" customHeight="1">
      <c r="A52" s="97" t="s">
        <v>95</v>
      </c>
      <c r="B52" s="60"/>
      <c r="C52" s="57"/>
      <c r="D52" s="64"/>
      <c r="E52" s="292">
        <f>SUM(E53:E56)</f>
        <v>-2209.0060004305556</v>
      </c>
      <c r="F52" s="292">
        <f>SUM(F53:F55)</f>
        <v>-2209.0060004305556</v>
      </c>
      <c r="G52" s="65"/>
      <c r="H52" s="65"/>
      <c r="I52" s="65"/>
      <c r="J52" s="65"/>
      <c r="K52" s="65"/>
      <c r="L52" s="65"/>
      <c r="M52" s="65"/>
      <c r="N52" s="65"/>
      <c r="O52" s="58"/>
    </row>
    <row r="53" spans="1:19" s="59" customFormat="1" ht="11.1" customHeight="1">
      <c r="A53" s="301" t="s">
        <v>28</v>
      </c>
      <c r="B53" s="60"/>
      <c r="C53" s="60"/>
      <c r="D53" s="60"/>
      <c r="E53" s="61">
        <f>-(($B$4*$B$11+$B$5*$B$12+$C$22*$E$8)/$C$21)/$C$45</f>
        <v>-834.25015138888898</v>
      </c>
      <c r="F53" s="61">
        <f>-(($B$4*$B$11+$B$5*$B$12+$C$22*$E$8)/$C$21)/$C$45</f>
        <v>-834.25015138888898</v>
      </c>
      <c r="G53" s="61"/>
      <c r="H53" s="60"/>
      <c r="I53" s="60"/>
      <c r="J53" s="60"/>
      <c r="K53" s="60"/>
      <c r="L53" s="60"/>
      <c r="M53" s="60"/>
      <c r="N53" s="60"/>
      <c r="O53" s="58"/>
    </row>
    <row r="54" spans="1:19" s="59" customFormat="1" ht="11.1" customHeight="1">
      <c r="A54" s="301" t="s">
        <v>29</v>
      </c>
      <c r="B54" s="60"/>
      <c r="C54" s="60"/>
      <c r="D54" s="60"/>
      <c r="E54" s="61">
        <f>-(($G$4*$G$11+$G$5*$G$12+$C$22*$J$8)/$C$21)/C45</f>
        <v>-317.42385799999994</v>
      </c>
      <c r="F54" s="61">
        <f>-(($G$4*$G$11+$G$5*$G$12+$C$22*$J$8)/$C$21)/C45</f>
        <v>-317.42385799999994</v>
      </c>
      <c r="G54" s="61"/>
      <c r="H54" s="60"/>
      <c r="I54" s="60"/>
      <c r="J54" s="60"/>
      <c r="K54" s="60"/>
      <c r="L54" s="60"/>
      <c r="M54" s="60"/>
      <c r="N54" s="60"/>
      <c r="O54" s="58"/>
    </row>
    <row r="55" spans="1:19" s="59" customFormat="1" ht="11.1" customHeight="1">
      <c r="A55" s="301" t="s">
        <v>106</v>
      </c>
      <c r="B55" s="60"/>
      <c r="C55" s="60"/>
      <c r="D55" s="60"/>
      <c r="E55" s="61">
        <f>-(($L$4*$L$11+$L$5*$L$12+$C$22*$O$8)/$C$21)/C45</f>
        <v>-1057.3319910416667</v>
      </c>
      <c r="F55" s="61">
        <f>-(($L$4*$L$11+$L$5*$L$12+$C$22*$O$8)/$C$21)/C45</f>
        <v>-1057.3319910416667</v>
      </c>
      <c r="G55" s="61"/>
      <c r="H55" s="60"/>
      <c r="I55" s="60"/>
      <c r="J55" s="60"/>
      <c r="K55" s="60"/>
      <c r="L55" s="60"/>
      <c r="M55" s="60"/>
      <c r="N55" s="60"/>
      <c r="O55" s="58"/>
    </row>
    <row r="56" spans="1:19" s="59" customFormat="1" ht="11.1" customHeight="1">
      <c r="A56" s="301" t="s">
        <v>108</v>
      </c>
      <c r="B56" s="60"/>
      <c r="C56" s="60"/>
      <c r="D56" s="60"/>
      <c r="F56" s="61">
        <f>-'Caso RT | m2 del Proyecto'!$E$32*Supuestos!$D$15/$C$45</f>
        <v>-80.496000000000009</v>
      </c>
      <c r="G56" s="61"/>
      <c r="H56" s="60"/>
      <c r="I56" s="60"/>
      <c r="J56" s="60"/>
      <c r="K56" s="60"/>
      <c r="L56" s="60"/>
      <c r="M56" s="60"/>
      <c r="N56" s="60"/>
      <c r="O56" s="58"/>
    </row>
    <row r="57" spans="1:19" s="59" customFormat="1" ht="11.1" customHeight="1">
      <c r="A57" s="97" t="s">
        <v>96</v>
      </c>
      <c r="B57" s="60"/>
      <c r="C57" s="60"/>
      <c r="E57" s="61">
        <f>SUM($C$24:$C$25)*SUM(E52:F52)</f>
        <v>-375.5310200731945</v>
      </c>
      <c r="F57" s="61"/>
      <c r="G57" s="61"/>
      <c r="H57" s="60"/>
      <c r="I57" s="60"/>
      <c r="J57" s="60"/>
      <c r="K57" s="60"/>
      <c r="L57" s="60"/>
      <c r="M57" s="60"/>
      <c r="N57" s="60"/>
      <c r="O57" s="58"/>
      <c r="P57" s="25"/>
      <c r="Q57" s="25"/>
      <c r="R57" s="25"/>
    </row>
    <row r="58" spans="1:19" s="59" customFormat="1" ht="11.1" customHeight="1">
      <c r="A58" s="97" t="s">
        <v>34</v>
      </c>
      <c r="B58" s="60"/>
      <c r="C58" s="60"/>
      <c r="D58" s="60"/>
      <c r="E58" s="61">
        <f>$C$26*(E52+E57)</f>
        <v>-258.45370205037506</v>
      </c>
      <c r="F58" s="61">
        <f>$C$26*(F52+F57)</f>
        <v>-220.90060004305556</v>
      </c>
      <c r="G58" s="61"/>
      <c r="H58" s="60"/>
      <c r="I58" s="60"/>
      <c r="J58" s="60"/>
      <c r="K58" s="60"/>
      <c r="L58" s="60"/>
      <c r="M58" s="60"/>
      <c r="N58" s="60"/>
      <c r="O58" s="58"/>
      <c r="P58" s="25"/>
      <c r="Q58" s="25"/>
      <c r="R58" s="25"/>
    </row>
    <row r="59" spans="1:19" s="59" customFormat="1" ht="11.1" customHeight="1">
      <c r="A59" s="97" t="s">
        <v>97</v>
      </c>
      <c r="B59" s="60"/>
      <c r="C59" s="60"/>
      <c r="D59" s="60"/>
      <c r="E59" s="61">
        <f>(SUM($E$52:$F$52)*$C$27/$C$21)</f>
        <v>-441.80120008611112</v>
      </c>
      <c r="F59" s="61">
        <f>(SUM($E$52:$F$52)*$C$27/$C$21)</f>
        <v>-441.80120008611112</v>
      </c>
      <c r="G59" s="61"/>
      <c r="H59" s="60"/>
      <c r="I59" s="60"/>
      <c r="J59" s="60"/>
      <c r="K59" s="60"/>
      <c r="L59" s="60"/>
      <c r="M59" s="60"/>
      <c r="N59" s="60"/>
      <c r="O59" s="58"/>
      <c r="P59" s="25"/>
      <c r="Q59" s="36"/>
      <c r="R59" s="36"/>
      <c r="S59" s="57"/>
    </row>
    <row r="60" spans="1:19" s="59" customFormat="1" ht="10.5" customHeight="1" thickBot="1">
      <c r="A60" s="98" t="s">
        <v>153</v>
      </c>
      <c r="B60" s="99"/>
      <c r="C60" s="99"/>
      <c r="D60" s="100">
        <f>SUM(D49:D59)</f>
        <v>-1062.1781975384747</v>
      </c>
      <c r="E60" s="100">
        <f>+E51+E52+E58+E59</f>
        <v>-3048.7408025670416</v>
      </c>
      <c r="F60" s="100">
        <f>+F51+F52+F57+F58+F59</f>
        <v>-2871.7078005597223</v>
      </c>
      <c r="G60" s="61"/>
      <c r="H60" s="60"/>
      <c r="I60" s="60"/>
      <c r="J60" s="60"/>
      <c r="K60" s="60"/>
      <c r="L60" s="60"/>
      <c r="M60" s="60"/>
      <c r="N60" s="60"/>
      <c r="O60" s="58"/>
      <c r="P60" s="25"/>
      <c r="Q60" s="36"/>
      <c r="R60" s="36"/>
      <c r="S60" s="57"/>
    </row>
    <row r="61" spans="1:19" ht="11.1" customHeight="1" thickTop="1">
      <c r="A61" s="46"/>
      <c r="B61" s="36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32"/>
      <c r="Q61" s="36"/>
      <c r="R61" s="36"/>
      <c r="S61" s="36"/>
    </row>
    <row r="62" spans="1:19" ht="11.1" customHeight="1">
      <c r="A62" s="359" t="s">
        <v>233</v>
      </c>
      <c r="B62" s="450" t="s">
        <v>166</v>
      </c>
      <c r="C62" s="450"/>
      <c r="D62" s="450"/>
      <c r="E62" s="188">
        <v>1</v>
      </c>
      <c r="F62" s="119">
        <f t="shared" ref="F62:R62" si="1">(1+$B$7)*E62</f>
        <v>1.0018</v>
      </c>
      <c r="G62" s="119">
        <f t="shared" si="1"/>
        <v>1.0036032400000001</v>
      </c>
      <c r="H62" s="119">
        <f t="shared" si="1"/>
        <v>1.0054097258320001</v>
      </c>
      <c r="I62" s="119">
        <f t="shared" si="1"/>
        <v>1.0072194633384977</v>
      </c>
      <c r="J62" s="119">
        <f t="shared" si="1"/>
        <v>1.009032458372507</v>
      </c>
      <c r="K62" s="119">
        <f t="shared" si="1"/>
        <v>1.0108487167975775</v>
      </c>
      <c r="L62" s="119">
        <f t="shared" si="1"/>
        <v>1.0126682444878132</v>
      </c>
      <c r="M62" s="119">
        <f t="shared" si="1"/>
        <v>1.0144910473278914</v>
      </c>
      <c r="N62" s="119">
        <f t="shared" si="1"/>
        <v>1.0163171312130816</v>
      </c>
      <c r="O62" s="120">
        <f t="shared" si="1"/>
        <v>1.0181465020492653</v>
      </c>
      <c r="P62" s="125">
        <f t="shared" si="1"/>
        <v>1.019979165752954</v>
      </c>
      <c r="Q62" s="119">
        <f t="shared" si="1"/>
        <v>1.0218151282513093</v>
      </c>
      <c r="R62" s="119">
        <f t="shared" si="1"/>
        <v>1.0236543954821617</v>
      </c>
      <c r="S62" s="36"/>
    </row>
    <row r="63" spans="1:19" ht="11.1" customHeight="1">
      <c r="A63" s="46"/>
      <c r="B63" s="450" t="s">
        <v>167</v>
      </c>
      <c r="C63" s="450"/>
      <c r="D63" s="450"/>
      <c r="E63" s="188">
        <v>1</v>
      </c>
      <c r="F63" s="119">
        <f t="shared" ref="F63:R63" si="2">(1+$B$10)*E63</f>
        <v>1.0018</v>
      </c>
      <c r="G63" s="119">
        <f t="shared" si="2"/>
        <v>1.0036032400000001</v>
      </c>
      <c r="H63" s="119">
        <f t="shared" si="2"/>
        <v>1.0054097258320001</v>
      </c>
      <c r="I63" s="119">
        <f t="shared" si="2"/>
        <v>1.0072194633384977</v>
      </c>
      <c r="J63" s="119">
        <f t="shared" si="2"/>
        <v>1.009032458372507</v>
      </c>
      <c r="K63" s="119">
        <f t="shared" si="2"/>
        <v>1.0108487167975775</v>
      </c>
      <c r="L63" s="119">
        <f t="shared" si="2"/>
        <v>1.0126682444878132</v>
      </c>
      <c r="M63" s="119">
        <f t="shared" si="2"/>
        <v>1.0144910473278914</v>
      </c>
      <c r="N63" s="119">
        <f t="shared" si="2"/>
        <v>1.0163171312130816</v>
      </c>
      <c r="O63" s="120">
        <f t="shared" si="2"/>
        <v>1.0181465020492653</v>
      </c>
      <c r="P63" s="125">
        <f t="shared" si="2"/>
        <v>1.019979165752954</v>
      </c>
      <c r="Q63" s="119">
        <f t="shared" si="2"/>
        <v>1.0218151282513093</v>
      </c>
      <c r="R63" s="119">
        <f t="shared" si="2"/>
        <v>1.0236543954821617</v>
      </c>
      <c r="S63" s="36"/>
    </row>
    <row r="64" spans="1:19" ht="11.1" customHeight="1">
      <c r="A64" s="46"/>
      <c r="B64" s="450" t="s">
        <v>168</v>
      </c>
      <c r="C64" s="450"/>
      <c r="D64" s="450"/>
      <c r="E64" s="121">
        <f t="shared" ref="E64:R64" si="3">$B$6*E62</f>
        <v>180</v>
      </c>
      <c r="F64" s="121">
        <f t="shared" si="3"/>
        <v>180.32400000000001</v>
      </c>
      <c r="G64" s="121">
        <f t="shared" si="3"/>
        <v>180.64858320000002</v>
      </c>
      <c r="H64" s="121">
        <f t="shared" si="3"/>
        <v>180.97375064976001</v>
      </c>
      <c r="I64" s="121">
        <f t="shared" si="3"/>
        <v>181.29950340092958</v>
      </c>
      <c r="J64" s="121">
        <f t="shared" si="3"/>
        <v>181.62584250705126</v>
      </c>
      <c r="K64" s="121">
        <f t="shared" si="3"/>
        <v>181.95276902356395</v>
      </c>
      <c r="L64" s="121">
        <f t="shared" si="3"/>
        <v>182.28028400780639</v>
      </c>
      <c r="M64" s="121">
        <f t="shared" si="3"/>
        <v>182.60838851902045</v>
      </c>
      <c r="N64" s="121">
        <f t="shared" si="3"/>
        <v>182.93708361835471</v>
      </c>
      <c r="O64" s="122">
        <f t="shared" si="3"/>
        <v>183.26637036886774</v>
      </c>
      <c r="P64" s="126">
        <f t="shared" si="3"/>
        <v>183.59624983553172</v>
      </c>
      <c r="Q64" s="121">
        <f t="shared" si="3"/>
        <v>183.92672308523566</v>
      </c>
      <c r="R64" s="121">
        <f t="shared" si="3"/>
        <v>184.25779118678912</v>
      </c>
      <c r="S64" s="36"/>
    </row>
    <row r="65" spans="1:19" ht="11.1" customHeight="1">
      <c r="A65" s="46"/>
      <c r="B65" s="450" t="s">
        <v>169</v>
      </c>
      <c r="C65" s="450"/>
      <c r="D65" s="450"/>
      <c r="E65" s="121">
        <f>$G$6*E62</f>
        <v>144</v>
      </c>
      <c r="F65" s="121">
        <f>$G$6*F62</f>
        <v>144.25919999999999</v>
      </c>
      <c r="G65" s="121">
        <f t="shared" ref="G65:R65" si="4">$G$6*G62</f>
        <v>144.51886656000002</v>
      </c>
      <c r="H65" s="121">
        <f t="shared" si="4"/>
        <v>144.77900051980799</v>
      </c>
      <c r="I65" s="121">
        <f t="shared" si="4"/>
        <v>145.03960272074366</v>
      </c>
      <c r="J65" s="121">
        <f t="shared" si="4"/>
        <v>145.30067400564101</v>
      </c>
      <c r="K65" s="121">
        <f t="shared" si="4"/>
        <v>145.56221521885115</v>
      </c>
      <c r="L65" s="121">
        <f t="shared" si="4"/>
        <v>145.8242272062451</v>
      </c>
      <c r="M65" s="121">
        <f t="shared" si="4"/>
        <v>146.08671081521635</v>
      </c>
      <c r="N65" s="121">
        <f t="shared" si="4"/>
        <v>146.34966689468376</v>
      </c>
      <c r="O65" s="121">
        <f t="shared" si="4"/>
        <v>146.61309629509421</v>
      </c>
      <c r="P65" s="121">
        <f t="shared" si="4"/>
        <v>146.87699986842537</v>
      </c>
      <c r="Q65" s="121">
        <f t="shared" si="4"/>
        <v>147.14137846818852</v>
      </c>
      <c r="R65" s="121">
        <f t="shared" si="4"/>
        <v>147.40623294943128</v>
      </c>
    </row>
    <row r="66" spans="1:19" ht="11.1" customHeight="1">
      <c r="A66" s="46"/>
      <c r="B66" s="450" t="s">
        <v>170</v>
      </c>
      <c r="C66" s="450"/>
      <c r="D66" s="450"/>
      <c r="E66" s="121">
        <f>$L$6*E62</f>
        <v>120</v>
      </c>
      <c r="F66" s="121">
        <f t="shared" ref="F66:R66" si="5">$L$6*F62</f>
        <v>120.21600000000001</v>
      </c>
      <c r="G66" s="121">
        <f t="shared" si="5"/>
        <v>120.43238880000001</v>
      </c>
      <c r="H66" s="121">
        <f t="shared" si="5"/>
        <v>120.64916709984001</v>
      </c>
      <c r="I66" s="121">
        <f t="shared" si="5"/>
        <v>120.86633560061972</v>
      </c>
      <c r="J66" s="121">
        <f t="shared" si="5"/>
        <v>121.08389500470084</v>
      </c>
      <c r="K66" s="121">
        <f t="shared" si="5"/>
        <v>121.3018460157093</v>
      </c>
      <c r="L66" s="121">
        <f t="shared" si="5"/>
        <v>121.52018933853759</v>
      </c>
      <c r="M66" s="121">
        <f t="shared" si="5"/>
        <v>121.73892567934698</v>
      </c>
      <c r="N66" s="121">
        <f t="shared" si="5"/>
        <v>121.95805574556979</v>
      </c>
      <c r="O66" s="121">
        <f t="shared" si="5"/>
        <v>122.17758024591183</v>
      </c>
      <c r="P66" s="121">
        <f t="shared" si="5"/>
        <v>122.39749989035448</v>
      </c>
      <c r="Q66" s="121">
        <f t="shared" si="5"/>
        <v>122.61781539015712</v>
      </c>
      <c r="R66" s="121">
        <f t="shared" si="5"/>
        <v>122.83852745785941</v>
      </c>
    </row>
    <row r="67" spans="1:19" ht="11.1" customHeight="1">
      <c r="A67" s="46"/>
      <c r="B67" s="450" t="s">
        <v>151</v>
      </c>
      <c r="C67" s="450"/>
      <c r="D67" s="450"/>
      <c r="E67" s="121">
        <f t="shared" ref="E67:R67" si="6">$B$9*E63</f>
        <v>57.6</v>
      </c>
      <c r="F67" s="121">
        <f t="shared" si="6"/>
        <v>57.703680000000006</v>
      </c>
      <c r="G67" s="121">
        <f t="shared" si="6"/>
        <v>57.807546624000011</v>
      </c>
      <c r="H67" s="121">
        <f t="shared" si="6"/>
        <v>57.911600207923208</v>
      </c>
      <c r="I67" s="121">
        <f t="shared" si="6"/>
        <v>58.015841088297464</v>
      </c>
      <c r="J67" s="121">
        <f t="shared" si="6"/>
        <v>58.120269602256407</v>
      </c>
      <c r="K67" s="121">
        <f t="shared" si="6"/>
        <v>58.224886087540462</v>
      </c>
      <c r="L67" s="121">
        <f t="shared" si="6"/>
        <v>58.329690882498042</v>
      </c>
      <c r="M67" s="121">
        <f t="shared" si="6"/>
        <v>58.434684326086547</v>
      </c>
      <c r="N67" s="121">
        <f t="shared" si="6"/>
        <v>58.539866757873504</v>
      </c>
      <c r="O67" s="122">
        <f t="shared" si="6"/>
        <v>58.645238518037679</v>
      </c>
      <c r="P67" s="126">
        <f t="shared" si="6"/>
        <v>58.750799947370155</v>
      </c>
      <c r="Q67" s="121">
        <f t="shared" si="6"/>
        <v>58.856551387275417</v>
      </c>
      <c r="R67" s="121">
        <f t="shared" si="6"/>
        <v>58.962493179772515</v>
      </c>
      <c r="S67" s="36"/>
    </row>
    <row r="68" spans="1:19" ht="11.1" customHeight="1">
      <c r="A68" s="46"/>
      <c r="B68" s="450" t="s">
        <v>171</v>
      </c>
      <c r="C68" s="450"/>
      <c r="D68" s="450"/>
      <c r="E68" s="123">
        <f t="shared" ref="E68:R68" si="7">$E$9*E62</f>
        <v>600</v>
      </c>
      <c r="F68" s="123">
        <f t="shared" si="7"/>
        <v>601.08000000000004</v>
      </c>
      <c r="G68" s="123">
        <f t="shared" si="7"/>
        <v>602.16194400000006</v>
      </c>
      <c r="H68" s="123">
        <f t="shared" si="7"/>
        <v>603.24583549919998</v>
      </c>
      <c r="I68" s="123">
        <f t="shared" si="7"/>
        <v>604.33167800309855</v>
      </c>
      <c r="J68" s="123">
        <f t="shared" si="7"/>
        <v>605.41947502350422</v>
      </c>
      <c r="K68" s="123">
        <f t="shared" si="7"/>
        <v>606.50923007854647</v>
      </c>
      <c r="L68" s="123">
        <f t="shared" si="7"/>
        <v>607.6009466926879</v>
      </c>
      <c r="M68" s="123">
        <f t="shared" si="7"/>
        <v>608.69462839673486</v>
      </c>
      <c r="N68" s="123">
        <f t="shared" si="7"/>
        <v>609.790278727849</v>
      </c>
      <c r="O68" s="124">
        <f t="shared" si="7"/>
        <v>610.88790122955913</v>
      </c>
      <c r="P68" s="127">
        <f t="shared" si="7"/>
        <v>611.98749945177235</v>
      </c>
      <c r="Q68" s="123">
        <f t="shared" si="7"/>
        <v>613.08907695078551</v>
      </c>
      <c r="R68" s="123">
        <f t="shared" si="7"/>
        <v>614.19263728929707</v>
      </c>
      <c r="S68" s="36"/>
    </row>
    <row r="69" spans="1:19" ht="11.1" customHeight="1">
      <c r="A69" s="46"/>
      <c r="B69" s="450" t="s">
        <v>7</v>
      </c>
      <c r="C69" s="450"/>
      <c r="D69" s="450"/>
      <c r="E69" s="121"/>
      <c r="F69" s="121"/>
      <c r="G69" s="152">
        <v>1</v>
      </c>
      <c r="H69" s="152">
        <v>0</v>
      </c>
      <c r="I69" s="152">
        <v>0</v>
      </c>
      <c r="J69" s="152">
        <v>0</v>
      </c>
      <c r="K69" s="152">
        <v>0</v>
      </c>
      <c r="L69" s="152">
        <v>0.25</v>
      </c>
      <c r="M69" s="152">
        <v>0</v>
      </c>
      <c r="N69" s="152">
        <v>0</v>
      </c>
      <c r="O69" s="153">
        <v>0</v>
      </c>
      <c r="P69" s="154">
        <v>0</v>
      </c>
      <c r="Q69" s="152">
        <v>0.25</v>
      </c>
      <c r="R69" s="152">
        <v>0</v>
      </c>
      <c r="S69" s="36"/>
    </row>
    <row r="70" spans="1:19" ht="11.1" customHeight="1">
      <c r="A70" s="46"/>
      <c r="B70" s="355"/>
      <c r="C70" s="355"/>
      <c r="D70" s="355"/>
      <c r="E70" s="121"/>
      <c r="F70" s="121"/>
      <c r="G70" s="152"/>
      <c r="H70" s="152"/>
      <c r="I70" s="152"/>
      <c r="J70" s="152"/>
      <c r="K70" s="152"/>
      <c r="L70" s="152"/>
      <c r="M70" s="152"/>
      <c r="N70" s="152"/>
      <c r="O70" s="153"/>
      <c r="P70" s="152"/>
      <c r="Q70" s="152"/>
      <c r="R70" s="152"/>
      <c r="S70" s="36"/>
    </row>
    <row r="71" spans="1:19" ht="11.1" customHeight="1">
      <c r="A71" s="323" t="s">
        <v>245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2"/>
      <c r="Q71" s="36"/>
      <c r="R71" s="36"/>
      <c r="S71" s="36"/>
    </row>
    <row r="72" spans="1:19" ht="11.1" customHeight="1">
      <c r="A72" s="46" t="s">
        <v>154</v>
      </c>
      <c r="B72" s="36"/>
      <c r="C72" s="36"/>
      <c r="D72" s="36"/>
      <c r="E72" s="36"/>
      <c r="F72" s="146"/>
      <c r="G72" s="47">
        <f t="shared" ref="G72:R72" si="8">$B$5*G64/$C$45</f>
        <v>649.36788765413041</v>
      </c>
      <c r="H72" s="47">
        <f t="shared" si="8"/>
        <v>650.53674985190787</v>
      </c>
      <c r="I72" s="47">
        <f t="shared" si="8"/>
        <v>651.7077160016413</v>
      </c>
      <c r="J72" s="47">
        <f t="shared" si="8"/>
        <v>652.88078989044425</v>
      </c>
      <c r="K72" s="47">
        <f t="shared" si="8"/>
        <v>654.05597531224703</v>
      </c>
      <c r="L72" s="47">
        <f t="shared" si="8"/>
        <v>655.23327606780924</v>
      </c>
      <c r="M72" s="47">
        <f t="shared" si="8"/>
        <v>656.41269596473126</v>
      </c>
      <c r="N72" s="47">
        <f t="shared" si="8"/>
        <v>657.59423881746784</v>
      </c>
      <c r="O72" s="47">
        <f t="shared" si="8"/>
        <v>658.77790844733931</v>
      </c>
      <c r="P72" s="47">
        <f t="shared" si="8"/>
        <v>659.96370868254451</v>
      </c>
      <c r="Q72" s="47">
        <f t="shared" si="8"/>
        <v>661.15164335817303</v>
      </c>
      <c r="R72" s="47">
        <f t="shared" si="8"/>
        <v>662.34171631621791</v>
      </c>
      <c r="S72" s="36"/>
    </row>
    <row r="73" spans="1:19" ht="11.1" customHeight="1">
      <c r="A73" s="48" t="s">
        <v>221</v>
      </c>
      <c r="B73" s="36"/>
      <c r="C73" s="36"/>
      <c r="D73" s="36"/>
      <c r="E73" s="47"/>
      <c r="F73" s="47"/>
      <c r="G73" s="67">
        <f t="shared" ref="G73:R73" si="9">-(($B$5*G69)*G64/2)/$C$45</f>
        <v>-324.68394382706521</v>
      </c>
      <c r="H73" s="67">
        <f t="shared" si="9"/>
        <v>0</v>
      </c>
      <c r="I73" s="67">
        <f t="shared" si="9"/>
        <v>0</v>
      </c>
      <c r="J73" s="67">
        <f t="shared" si="9"/>
        <v>0</v>
      </c>
      <c r="K73" s="67">
        <f t="shared" si="9"/>
        <v>0</v>
      </c>
      <c r="L73" s="67">
        <f t="shared" si="9"/>
        <v>-81.904159508476155</v>
      </c>
      <c r="M73" s="67">
        <f t="shared" si="9"/>
        <v>0</v>
      </c>
      <c r="N73" s="67">
        <f t="shared" si="9"/>
        <v>0</v>
      </c>
      <c r="O73" s="67">
        <f t="shared" si="9"/>
        <v>0</v>
      </c>
      <c r="P73" s="67">
        <f t="shared" si="9"/>
        <v>0</v>
      </c>
      <c r="Q73" s="67">
        <f t="shared" si="9"/>
        <v>-82.643955419771629</v>
      </c>
      <c r="R73" s="67">
        <f t="shared" si="9"/>
        <v>0</v>
      </c>
      <c r="S73" s="36"/>
    </row>
    <row r="74" spans="1:19" ht="11.1" customHeight="1">
      <c r="A74" s="48" t="s">
        <v>198</v>
      </c>
      <c r="B74" s="36"/>
      <c r="C74" s="36"/>
      <c r="D74" s="36"/>
      <c r="E74" s="47"/>
      <c r="F74" s="47"/>
      <c r="G74" s="47">
        <f>IF(G69&gt;$B$8,0,-$B$8*G72)</f>
        <v>0</v>
      </c>
      <c r="H74" s="47">
        <f t="shared" ref="H74:R74" si="10">IF(H69&gt;$B$8,0,-$B$8*H72)</f>
        <v>-52.042939988152632</v>
      </c>
      <c r="I74" s="47">
        <f t="shared" si="10"/>
        <v>-52.136617280131304</v>
      </c>
      <c r="J74" s="47">
        <f t="shared" si="10"/>
        <v>-52.230463191235543</v>
      </c>
      <c r="K74" s="47">
        <f t="shared" si="10"/>
        <v>-52.324478024979761</v>
      </c>
      <c r="L74" s="47">
        <f t="shared" si="10"/>
        <v>0</v>
      </c>
      <c r="M74" s="47">
        <f t="shared" si="10"/>
        <v>-52.513015677178501</v>
      </c>
      <c r="N74" s="47">
        <f t="shared" si="10"/>
        <v>-52.607539105397429</v>
      </c>
      <c r="O74" s="47">
        <f t="shared" si="10"/>
        <v>-52.702232675787144</v>
      </c>
      <c r="P74" s="47">
        <f t="shared" si="10"/>
        <v>-52.79709669460356</v>
      </c>
      <c r="Q74" s="47">
        <f t="shared" si="10"/>
        <v>0</v>
      </c>
      <c r="R74" s="47">
        <f t="shared" si="10"/>
        <v>-52.987337305297437</v>
      </c>
      <c r="S74" s="36"/>
    </row>
    <row r="75" spans="1:19" ht="11.1" customHeight="1">
      <c r="A75" s="46" t="s">
        <v>155</v>
      </c>
      <c r="B75" s="36"/>
      <c r="C75" s="36"/>
      <c r="D75" s="36"/>
      <c r="E75" s="36"/>
      <c r="F75" s="146"/>
      <c r="G75" s="47">
        <f t="shared" ref="G75:R75" si="11">$G$5*G65/$C$45</f>
        <v>183.6115234540998</v>
      </c>
      <c r="H75" s="47">
        <f t="shared" si="11"/>
        <v>183.94202419631713</v>
      </c>
      <c r="I75" s="47">
        <f t="shared" si="11"/>
        <v>184.2731198398705</v>
      </c>
      <c r="J75" s="47">
        <f t="shared" si="11"/>
        <v>184.60481145558231</v>
      </c>
      <c r="K75" s="47">
        <f t="shared" si="11"/>
        <v>184.93710011620234</v>
      </c>
      <c r="L75" s="47">
        <f t="shared" si="11"/>
        <v>185.26998689641152</v>
      </c>
      <c r="M75" s="47">
        <f t="shared" si="11"/>
        <v>185.60347287282508</v>
      </c>
      <c r="N75" s="47">
        <f t="shared" si="11"/>
        <v>185.93755912399618</v>
      </c>
      <c r="O75" s="47">
        <f t="shared" si="11"/>
        <v>186.2722467304194</v>
      </c>
      <c r="P75" s="47">
        <f t="shared" si="11"/>
        <v>186.60753677453414</v>
      </c>
      <c r="Q75" s="47">
        <f t="shared" si="11"/>
        <v>186.9434303407283</v>
      </c>
      <c r="R75" s="47">
        <f t="shared" si="11"/>
        <v>187.27992851534162</v>
      </c>
    </row>
    <row r="76" spans="1:19" ht="11.1" customHeight="1">
      <c r="A76" s="48" t="s">
        <v>221</v>
      </c>
      <c r="B76" s="36"/>
      <c r="C76" s="36"/>
      <c r="D76" s="36"/>
      <c r="E76" s="47"/>
      <c r="F76" s="47"/>
      <c r="G76" s="67">
        <f t="shared" ref="G76:R76" si="12">-(($G$5*G69)*G65/2)/$C$45</f>
        <v>-91.805761727049898</v>
      </c>
      <c r="H76" s="67">
        <f t="shared" si="12"/>
        <v>0</v>
      </c>
      <c r="I76" s="67">
        <f t="shared" si="12"/>
        <v>0</v>
      </c>
      <c r="J76" s="67">
        <f t="shared" si="12"/>
        <v>0</v>
      </c>
      <c r="K76" s="67">
        <f t="shared" si="12"/>
        <v>0</v>
      </c>
      <c r="L76" s="67">
        <f t="shared" si="12"/>
        <v>-23.15874836205144</v>
      </c>
      <c r="M76" s="67">
        <f t="shared" si="12"/>
        <v>0</v>
      </c>
      <c r="N76" s="67">
        <f t="shared" si="12"/>
        <v>0</v>
      </c>
      <c r="O76" s="67">
        <f t="shared" si="12"/>
        <v>0</v>
      </c>
      <c r="P76" s="67">
        <f t="shared" si="12"/>
        <v>0</v>
      </c>
      <c r="Q76" s="67">
        <f t="shared" si="12"/>
        <v>-23.367928792591037</v>
      </c>
      <c r="R76" s="67">
        <f t="shared" si="12"/>
        <v>0</v>
      </c>
    </row>
    <row r="77" spans="1:19" ht="11.1" customHeight="1">
      <c r="A77" s="48" t="s">
        <v>198</v>
      </c>
      <c r="B77" s="36"/>
      <c r="C77" s="36"/>
      <c r="D77" s="36"/>
      <c r="E77" s="47"/>
      <c r="F77" s="47"/>
      <c r="G77" s="47">
        <f>IF(G69&gt;$G$8,0,-$G$8*G75)</f>
        <v>0</v>
      </c>
      <c r="H77" s="47">
        <f t="shared" ref="H77:R77" si="13">IF(H69&gt;$G$8,0,-$G$8*H75)</f>
        <v>-9.1971012098158571</v>
      </c>
      <c r="I77" s="47">
        <f t="shared" si="13"/>
        <v>-9.2136559919935248</v>
      </c>
      <c r="J77" s="47">
        <f t="shared" si="13"/>
        <v>-9.230240572779115</v>
      </c>
      <c r="K77" s="47">
        <f t="shared" si="13"/>
        <v>-9.2468550058101169</v>
      </c>
      <c r="L77" s="47">
        <f t="shared" si="13"/>
        <v>0</v>
      </c>
      <c r="M77" s="47">
        <f t="shared" si="13"/>
        <v>-9.2801736436412536</v>
      </c>
      <c r="N77" s="47">
        <f t="shared" si="13"/>
        <v>-9.2968779561998094</v>
      </c>
      <c r="O77" s="47">
        <f t="shared" si="13"/>
        <v>-9.3136123365209702</v>
      </c>
      <c r="P77" s="47">
        <f t="shared" si="13"/>
        <v>-9.330376838726707</v>
      </c>
      <c r="Q77" s="47">
        <f t="shared" si="13"/>
        <v>0</v>
      </c>
      <c r="R77" s="47">
        <f t="shared" si="13"/>
        <v>-9.3639964257670822</v>
      </c>
    </row>
    <row r="78" spans="1:19" ht="11.1" customHeight="1">
      <c r="A78" s="46" t="s">
        <v>156</v>
      </c>
      <c r="B78" s="36"/>
      <c r="C78" s="36"/>
      <c r="D78" s="189"/>
      <c r="E78" s="47"/>
      <c r="F78" s="146"/>
      <c r="G78" s="47">
        <f t="shared" ref="G78:R78" si="14">$L$5*G66/$C$45</f>
        <v>485.27952265979928</v>
      </c>
      <c r="H78" s="47">
        <f t="shared" si="14"/>
        <v>486.15302580058693</v>
      </c>
      <c r="I78" s="47">
        <f t="shared" si="14"/>
        <v>487.02810124702796</v>
      </c>
      <c r="J78" s="47">
        <f t="shared" si="14"/>
        <v>487.90475182927258</v>
      </c>
      <c r="K78" s="47">
        <f t="shared" si="14"/>
        <v>488.78298038256531</v>
      </c>
      <c r="L78" s="47">
        <f t="shared" si="14"/>
        <v>489.66278974725401</v>
      </c>
      <c r="M78" s="47">
        <f t="shared" si="14"/>
        <v>490.54418276879915</v>
      </c>
      <c r="N78" s="47">
        <f t="shared" si="14"/>
        <v>491.4271622977829</v>
      </c>
      <c r="O78" s="47">
        <f t="shared" si="14"/>
        <v>492.31173118991893</v>
      </c>
      <c r="P78" s="47">
        <f t="shared" si="14"/>
        <v>493.19789230606091</v>
      </c>
      <c r="Q78" s="47">
        <f t="shared" si="14"/>
        <v>494.08564851221178</v>
      </c>
      <c r="R78" s="47">
        <f t="shared" si="14"/>
        <v>494.97500267953382</v>
      </c>
    </row>
    <row r="79" spans="1:19" ht="11.1" customHeight="1">
      <c r="A79" s="48" t="s">
        <v>221</v>
      </c>
      <c r="B79" s="36"/>
      <c r="C79" s="36"/>
      <c r="D79" s="36"/>
      <c r="E79" s="47"/>
      <c r="F79" s="47"/>
      <c r="G79" s="67">
        <f t="shared" ref="G79:R79" si="15">-(($L$5*G69)*G66/2)/$C$45</f>
        <v>-242.63976132989964</v>
      </c>
      <c r="H79" s="67">
        <f t="shared" si="15"/>
        <v>0</v>
      </c>
      <c r="I79" s="67">
        <f t="shared" si="15"/>
        <v>0</v>
      </c>
      <c r="J79" s="67">
        <f t="shared" si="15"/>
        <v>0</v>
      </c>
      <c r="K79" s="67">
        <f t="shared" si="15"/>
        <v>0</v>
      </c>
      <c r="L79" s="67">
        <f t="shared" si="15"/>
        <v>-61.207848718406751</v>
      </c>
      <c r="M79" s="67">
        <f t="shared" si="15"/>
        <v>0</v>
      </c>
      <c r="N79" s="67">
        <f t="shared" si="15"/>
        <v>0</v>
      </c>
      <c r="O79" s="67">
        <f t="shared" si="15"/>
        <v>0</v>
      </c>
      <c r="P79" s="67">
        <f t="shared" si="15"/>
        <v>0</v>
      </c>
      <c r="Q79" s="67">
        <f t="shared" si="15"/>
        <v>-61.760706064026472</v>
      </c>
      <c r="R79" s="67">
        <f t="shared" si="15"/>
        <v>0</v>
      </c>
    </row>
    <row r="80" spans="1:19" ht="11.1" customHeight="1">
      <c r="A80" s="48" t="s">
        <v>198</v>
      </c>
      <c r="B80" s="36"/>
      <c r="C80" s="36"/>
      <c r="D80" s="36"/>
      <c r="E80" s="47"/>
      <c r="F80" s="47"/>
      <c r="G80" s="47">
        <f>IF(G69&gt;$L$8,0,-$L$8*G78)</f>
        <v>0</v>
      </c>
      <c r="H80" s="47">
        <f t="shared" ref="H80:R80" si="16">IF(H69&gt;$L$8,0,-$L$8*H78)</f>
        <v>-19.446121032023477</v>
      </c>
      <c r="I80" s="47">
        <f t="shared" si="16"/>
        <v>-19.481124049881117</v>
      </c>
      <c r="J80" s="47">
        <f t="shared" si="16"/>
        <v>-19.516190073170904</v>
      </c>
      <c r="K80" s="47">
        <f t="shared" si="16"/>
        <v>-19.551319215302613</v>
      </c>
      <c r="L80" s="47">
        <f t="shared" si="16"/>
        <v>0</v>
      </c>
      <c r="M80" s="47">
        <f t="shared" si="16"/>
        <v>-19.621767310751967</v>
      </c>
      <c r="N80" s="47">
        <f t="shared" si="16"/>
        <v>-19.657086491911315</v>
      </c>
      <c r="O80" s="47">
        <f t="shared" si="16"/>
        <v>-19.692469247596758</v>
      </c>
      <c r="P80" s="47">
        <f t="shared" si="16"/>
        <v>-19.727915692242437</v>
      </c>
      <c r="Q80" s="47">
        <f t="shared" si="16"/>
        <v>0</v>
      </c>
      <c r="R80" s="47">
        <f t="shared" si="16"/>
        <v>-19.799000107181353</v>
      </c>
    </row>
    <row r="81" spans="1:19" ht="11.1" customHeight="1">
      <c r="A81" s="78" t="s">
        <v>157</v>
      </c>
      <c r="B81" s="27"/>
      <c r="C81" s="27"/>
      <c r="D81" s="27"/>
      <c r="E81" s="28"/>
      <c r="F81" s="28"/>
      <c r="G81" s="28">
        <f t="shared" ref="G81:R81" si="17">($E$8*G68)/$C$45</f>
        <v>32.678478983470136</v>
      </c>
      <c r="H81" s="28">
        <f t="shared" si="17"/>
        <v>32.737300245640377</v>
      </c>
      <c r="I81" s="28">
        <f t="shared" si="17"/>
        <v>32.796227386082528</v>
      </c>
      <c r="J81" s="28">
        <f t="shared" si="17"/>
        <v>32.855260595377487</v>
      </c>
      <c r="K81" s="28">
        <f t="shared" si="17"/>
        <v>32.914400064449161</v>
      </c>
      <c r="L81" s="28">
        <f t="shared" si="17"/>
        <v>32.973645984565167</v>
      </c>
      <c r="M81" s="28">
        <f t="shared" si="17"/>
        <v>33.032998547337399</v>
      </c>
      <c r="N81" s="28">
        <f t="shared" si="17"/>
        <v>33.092457944722604</v>
      </c>
      <c r="O81" s="28">
        <f t="shared" si="17"/>
        <v>33.15202436902311</v>
      </c>
      <c r="P81" s="28">
        <f t="shared" si="17"/>
        <v>33.211698012887346</v>
      </c>
      <c r="Q81" s="28">
        <f t="shared" si="17"/>
        <v>33.271479069310537</v>
      </c>
      <c r="R81" s="28">
        <f t="shared" si="17"/>
        <v>33.331367731635304</v>
      </c>
      <c r="S81" s="36"/>
    </row>
    <row r="82" spans="1:19" ht="11.1" customHeight="1">
      <c r="A82" s="324"/>
      <c r="B82" s="36"/>
      <c r="C82" s="36"/>
      <c r="D82" s="36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36"/>
    </row>
    <row r="83" spans="1:19" ht="11.1" customHeight="1">
      <c r="A83" s="46" t="s">
        <v>222</v>
      </c>
      <c r="B83" s="36"/>
      <c r="C83" s="49"/>
      <c r="D83" s="36"/>
      <c r="E83" s="47"/>
      <c r="F83" s="47"/>
      <c r="G83" s="47">
        <f t="shared" ref="G83:R83" si="18">SUM(G72:G81)</f>
        <v>691.80794586748482</v>
      </c>
      <c r="H83" s="47">
        <f t="shared" si="18"/>
        <v>1272.6829378644604</v>
      </c>
      <c r="I83" s="47">
        <f t="shared" si="18"/>
        <v>1274.9737671526163</v>
      </c>
      <c r="J83" s="47">
        <f t="shared" si="18"/>
        <v>1277.268719933491</v>
      </c>
      <c r="K83" s="47">
        <f t="shared" si="18"/>
        <v>1279.5678036293716</v>
      </c>
      <c r="L83" s="47">
        <f t="shared" si="18"/>
        <v>1196.8689421071056</v>
      </c>
      <c r="M83" s="47">
        <f t="shared" si="18"/>
        <v>1284.1783935221215</v>
      </c>
      <c r="N83" s="47">
        <f t="shared" si="18"/>
        <v>1286.4899146304608</v>
      </c>
      <c r="O83" s="33">
        <f t="shared" si="18"/>
        <v>1288.8055964767959</v>
      </c>
      <c r="P83" s="101">
        <f t="shared" si="18"/>
        <v>1291.1254465504542</v>
      </c>
      <c r="Q83" s="129">
        <f t="shared" si="18"/>
        <v>1207.6796110040348</v>
      </c>
      <c r="R83" s="129">
        <f t="shared" si="18"/>
        <v>1295.7776814044828</v>
      </c>
      <c r="S83" s="36"/>
    </row>
    <row r="84" spans="1:19" ht="11.1" customHeight="1">
      <c r="A84" s="48" t="s">
        <v>223</v>
      </c>
      <c r="B84" s="36"/>
      <c r="C84" s="50"/>
      <c r="D84" s="36"/>
      <c r="E84" s="36"/>
      <c r="F84" s="36"/>
      <c r="G84" s="47">
        <f t="shared" ref="G84:R84" si="19">-($B$5*G67)/$C$45</f>
        <v>-207.79772404932174</v>
      </c>
      <c r="H84" s="47">
        <f t="shared" si="19"/>
        <v>-208.17175995261053</v>
      </c>
      <c r="I84" s="47">
        <f t="shared" si="19"/>
        <v>-208.54646912052519</v>
      </c>
      <c r="J84" s="47">
        <f t="shared" si="19"/>
        <v>-208.9218527649422</v>
      </c>
      <c r="K84" s="47">
        <f t="shared" si="19"/>
        <v>-209.29791209991905</v>
      </c>
      <c r="L84" s="47">
        <f t="shared" si="19"/>
        <v>-209.67464834169891</v>
      </c>
      <c r="M84" s="47">
        <f t="shared" si="19"/>
        <v>-210.052062708714</v>
      </c>
      <c r="N84" s="47">
        <f t="shared" si="19"/>
        <v>-210.43015642158971</v>
      </c>
      <c r="O84" s="33">
        <f t="shared" si="19"/>
        <v>-210.8089307031486</v>
      </c>
      <c r="P84" s="101">
        <f t="shared" si="19"/>
        <v>-211.18838677841427</v>
      </c>
      <c r="Q84" s="47">
        <f t="shared" si="19"/>
        <v>-211.5685258746154</v>
      </c>
      <c r="R84" s="47">
        <f t="shared" si="19"/>
        <v>-211.94934922118975</v>
      </c>
      <c r="S84" s="36"/>
    </row>
    <row r="85" spans="1:19" s="26" customFormat="1" ht="11.1" customHeight="1" thickBot="1">
      <c r="A85" s="51" t="s">
        <v>158</v>
      </c>
      <c r="B85" s="29"/>
      <c r="C85" s="29"/>
      <c r="D85" s="29"/>
      <c r="E85" s="29"/>
      <c r="F85" s="29"/>
      <c r="G85" s="30">
        <f>SUM(G83:G84)</f>
        <v>484.01022181816307</v>
      </c>
      <c r="H85" s="30">
        <f t="shared" ref="H85:R85" si="20">SUM(H83:H84)</f>
        <v>1064.5111779118499</v>
      </c>
      <c r="I85" s="30">
        <f t="shared" si="20"/>
        <v>1066.4272980320911</v>
      </c>
      <c r="J85" s="30">
        <f t="shared" si="20"/>
        <v>1068.3468671685487</v>
      </c>
      <c r="K85" s="30">
        <f t="shared" si="20"/>
        <v>1070.2698915294525</v>
      </c>
      <c r="L85" s="30">
        <f t="shared" si="20"/>
        <v>987.19429376540666</v>
      </c>
      <c r="M85" s="30">
        <f t="shared" si="20"/>
        <v>1074.1263308134075</v>
      </c>
      <c r="N85" s="30">
        <f t="shared" si="20"/>
        <v>1076.059758208871</v>
      </c>
      <c r="O85" s="34">
        <f t="shared" si="20"/>
        <v>1077.9966657736472</v>
      </c>
      <c r="P85" s="102">
        <f t="shared" si="20"/>
        <v>1079.9370597720399</v>
      </c>
      <c r="Q85" s="30">
        <f t="shared" si="20"/>
        <v>996.11108512941939</v>
      </c>
      <c r="R85" s="30">
        <f t="shared" si="20"/>
        <v>1083.828332183293</v>
      </c>
      <c r="S85" s="128"/>
    </row>
    <row r="86" spans="1:19" ht="11.1" customHeight="1" thickTop="1">
      <c r="A86" s="46" t="s">
        <v>224</v>
      </c>
      <c r="B86" s="36"/>
      <c r="C86" s="36"/>
      <c r="D86" s="36"/>
      <c r="E86" s="36"/>
      <c r="F86" s="36"/>
      <c r="G86" s="62">
        <f t="shared" ref="G86:N86" si="21">IF(G46&lt;=$C$18,SUM(G85:G85),0)</f>
        <v>484.01022181816307</v>
      </c>
      <c r="H86" s="62">
        <f t="shared" si="21"/>
        <v>1064.5111779118499</v>
      </c>
      <c r="I86" s="62">
        <f t="shared" si="21"/>
        <v>1066.4272980320911</v>
      </c>
      <c r="J86" s="62">
        <f t="shared" si="21"/>
        <v>1068.3468671685487</v>
      </c>
      <c r="K86" s="62">
        <f t="shared" si="21"/>
        <v>1070.2698915294525</v>
      </c>
      <c r="L86" s="62">
        <f t="shared" si="21"/>
        <v>987.19429376540666</v>
      </c>
      <c r="M86" s="62">
        <f t="shared" si="21"/>
        <v>1074.1263308134075</v>
      </c>
      <c r="N86" s="62">
        <f t="shared" si="21"/>
        <v>1076.059758208871</v>
      </c>
      <c r="O86" s="52"/>
      <c r="Q86" s="36"/>
      <c r="R86" s="36"/>
      <c r="S86" s="36"/>
    </row>
    <row r="87" spans="1:19" ht="11.1" customHeight="1">
      <c r="A87" s="53" t="s">
        <v>225</v>
      </c>
      <c r="B87" s="27"/>
      <c r="C87" s="27"/>
      <c r="D87" s="27"/>
      <c r="E87" s="27"/>
      <c r="F87" s="27"/>
      <c r="G87" s="63">
        <f t="shared" ref="G87:N87" si="22">IF($C$18=G46,H85/$E$12,0)</f>
        <v>0</v>
      </c>
      <c r="H87" s="63">
        <f t="shared" si="22"/>
        <v>0</v>
      </c>
      <c r="I87" s="63">
        <f t="shared" si="22"/>
        <v>0</v>
      </c>
      <c r="J87" s="63">
        <f t="shared" si="22"/>
        <v>0</v>
      </c>
      <c r="K87" s="63">
        <f t="shared" si="22"/>
        <v>0</v>
      </c>
      <c r="L87" s="63">
        <f t="shared" si="22"/>
        <v>0</v>
      </c>
      <c r="M87" s="63">
        <f t="shared" si="22"/>
        <v>0</v>
      </c>
      <c r="N87" s="63">
        <f t="shared" si="22"/>
        <v>9373.8840502056282</v>
      </c>
      <c r="O87" s="52"/>
      <c r="Q87" s="36"/>
      <c r="R87" s="36"/>
      <c r="S87" s="36"/>
    </row>
    <row r="88" spans="1:19" ht="11.1" customHeight="1">
      <c r="A88" s="46" t="s">
        <v>226</v>
      </c>
      <c r="B88" s="36"/>
      <c r="C88" s="36"/>
      <c r="D88" s="36"/>
      <c r="E88" s="36"/>
      <c r="F88" s="36"/>
      <c r="G88" s="62"/>
      <c r="H88" s="62">
        <f t="shared" ref="H88:N88" si="23">SUM(H86:H87)</f>
        <v>1064.5111779118499</v>
      </c>
      <c r="I88" s="62">
        <f t="shared" si="23"/>
        <v>1066.4272980320911</v>
      </c>
      <c r="J88" s="62">
        <f t="shared" si="23"/>
        <v>1068.3468671685487</v>
      </c>
      <c r="K88" s="62">
        <f t="shared" si="23"/>
        <v>1070.2698915294525</v>
      </c>
      <c r="L88" s="62">
        <f t="shared" si="23"/>
        <v>987.19429376540666</v>
      </c>
      <c r="M88" s="62">
        <f t="shared" si="23"/>
        <v>1074.1263308134075</v>
      </c>
      <c r="N88" s="62">
        <f t="shared" si="23"/>
        <v>10449.943808414499</v>
      </c>
      <c r="O88" s="52"/>
      <c r="Q88" s="36"/>
      <c r="R88" s="36"/>
      <c r="S88" s="36"/>
    </row>
    <row r="89" spans="1:19" ht="11.1" customHeight="1">
      <c r="A89" s="365" t="s">
        <v>238</v>
      </c>
      <c r="B89" s="310"/>
      <c r="C89" s="310"/>
      <c r="D89" s="310"/>
      <c r="E89" s="310"/>
      <c r="F89" s="310"/>
      <c r="G89" s="308">
        <f>-NPV($E$11,H88:N88)</f>
        <v>-9504.1682403824198</v>
      </c>
      <c r="H89" s="309">
        <f>H88</f>
        <v>1064.5111779118499</v>
      </c>
      <c r="I89" s="309">
        <f t="shared" ref="I89:N89" si="24">I88</f>
        <v>1066.4272980320911</v>
      </c>
      <c r="J89" s="309">
        <f t="shared" si="24"/>
        <v>1068.3468671685487</v>
      </c>
      <c r="K89" s="309">
        <f t="shared" si="24"/>
        <v>1070.2698915294525</v>
      </c>
      <c r="L89" s="309">
        <f t="shared" si="24"/>
        <v>987.19429376540666</v>
      </c>
      <c r="M89" s="309">
        <f t="shared" si="24"/>
        <v>1074.1263308134075</v>
      </c>
      <c r="N89" s="309">
        <f t="shared" si="24"/>
        <v>10449.943808414499</v>
      </c>
      <c r="O89" s="52"/>
    </row>
    <row r="90" spans="1:19" ht="11.1" customHeight="1">
      <c r="A90" s="54" t="s">
        <v>159</v>
      </c>
      <c r="B90" s="55"/>
      <c r="C90" s="55"/>
      <c r="D90" s="225">
        <f>D60+D86</f>
        <v>-1062.1781975384747</v>
      </c>
      <c r="E90" s="225">
        <f>E60+E86</f>
        <v>-3048.7408025670416</v>
      </c>
      <c r="F90" s="225">
        <f>F60+F86</f>
        <v>-2871.7078005597223</v>
      </c>
      <c r="G90" s="225">
        <f>G86-G89</f>
        <v>9988.1784622005835</v>
      </c>
      <c r="H90" s="36"/>
      <c r="I90" s="36"/>
      <c r="J90" s="36"/>
      <c r="K90" s="36"/>
      <c r="L90" s="36"/>
      <c r="M90" s="36"/>
      <c r="N90" s="36"/>
      <c r="O90" s="52"/>
    </row>
    <row r="91" spans="1:19" ht="11.1" customHeight="1">
      <c r="A91" s="54" t="s">
        <v>162</v>
      </c>
      <c r="B91" s="55"/>
      <c r="C91" s="222">
        <f>IRR(D90:G90)</f>
        <v>0.22120801721927608</v>
      </c>
      <c r="D91" s="36"/>
      <c r="E91" s="56"/>
      <c r="F91" s="56"/>
      <c r="G91" s="56"/>
      <c r="H91" s="36"/>
      <c r="I91" s="36"/>
      <c r="J91" s="36"/>
      <c r="K91" s="36"/>
      <c r="L91" s="36"/>
      <c r="M91" s="36"/>
      <c r="N91" s="36"/>
      <c r="O91" s="52"/>
    </row>
    <row r="92" spans="1:19" ht="11.1" customHeight="1">
      <c r="A92" s="226" t="s">
        <v>160</v>
      </c>
      <c r="B92" s="227"/>
      <c r="C92" s="228">
        <f>IRR(D92:N92)</f>
        <v>0.13925079737207668</v>
      </c>
      <c r="D92" s="229">
        <f>D90</f>
        <v>-1062.1781975384747</v>
      </c>
      <c r="E92" s="229">
        <f>E90</f>
        <v>-3048.7408025670416</v>
      </c>
      <c r="F92" s="229">
        <f>F90</f>
        <v>-2871.7078005597223</v>
      </c>
      <c r="G92" s="229">
        <f>G86</f>
        <v>484.01022181816307</v>
      </c>
      <c r="H92" s="67">
        <f t="shared" ref="H92:N92" si="25">H89</f>
        <v>1064.5111779118499</v>
      </c>
      <c r="I92" s="67">
        <f t="shared" si="25"/>
        <v>1066.4272980320911</v>
      </c>
      <c r="J92" s="67">
        <f t="shared" si="25"/>
        <v>1068.3468671685487</v>
      </c>
      <c r="K92" s="67">
        <f t="shared" si="25"/>
        <v>1070.2698915294525</v>
      </c>
      <c r="L92" s="67">
        <f t="shared" si="25"/>
        <v>987.19429376540666</v>
      </c>
      <c r="M92" s="67">
        <f t="shared" si="25"/>
        <v>1074.1263308134075</v>
      </c>
      <c r="N92" s="67">
        <f t="shared" si="25"/>
        <v>10449.943808414499</v>
      </c>
      <c r="O92" s="52"/>
    </row>
    <row r="93" spans="1:19" ht="11.1" customHeight="1">
      <c r="A93" s="140" t="s">
        <v>161</v>
      </c>
      <c r="B93" s="103"/>
      <c r="C93" s="230" t="s">
        <v>16</v>
      </c>
      <c r="D93" s="70"/>
      <c r="E93" s="70"/>
      <c r="F93" s="70"/>
      <c r="G93" s="70"/>
      <c r="H93" s="36"/>
      <c r="I93" s="36"/>
      <c r="J93" s="36"/>
      <c r="K93" s="36"/>
      <c r="L93" s="36"/>
      <c r="M93" s="36"/>
      <c r="N93" s="36"/>
      <c r="O93" s="52"/>
    </row>
    <row r="94" spans="1:19" ht="11.1" customHeight="1">
      <c r="A94" s="223" t="s">
        <v>240</v>
      </c>
      <c r="B94" s="69"/>
      <c r="C94" s="224">
        <f>((G95+G96)/(D97+D98))^(1/$C$21)-1</f>
        <v>0.59238854732309587</v>
      </c>
      <c r="D94" s="70"/>
      <c r="E94" s="70"/>
      <c r="F94" s="70"/>
      <c r="G94" s="70"/>
      <c r="H94" s="36"/>
      <c r="I94" s="36"/>
      <c r="J94" s="36"/>
      <c r="K94" s="36"/>
      <c r="L94" s="36"/>
      <c r="M94" s="36"/>
      <c r="N94" s="36"/>
      <c r="O94" s="52"/>
    </row>
    <row r="95" spans="1:19" ht="11.1" customHeight="1">
      <c r="A95" s="71" t="s">
        <v>227</v>
      </c>
      <c r="B95" s="70"/>
      <c r="C95" s="72">
        <f>$E$11</f>
        <v>0.11</v>
      </c>
      <c r="D95" s="70"/>
      <c r="E95" s="70"/>
      <c r="F95" s="70"/>
      <c r="G95" s="73">
        <f>G90</f>
        <v>9988.1784622005835</v>
      </c>
      <c r="H95" s="36"/>
      <c r="I95" s="36"/>
      <c r="J95" s="36"/>
      <c r="K95" s="36"/>
      <c r="L95" s="36"/>
      <c r="M95" s="36"/>
      <c r="N95" s="36"/>
      <c r="O95" s="52"/>
    </row>
    <row r="96" spans="1:19" ht="11.1" customHeight="1">
      <c r="A96" s="71" t="s">
        <v>228</v>
      </c>
      <c r="B96" s="70"/>
      <c r="C96" s="72">
        <f>$C$17</f>
        <v>4.2799999999999998E-2</v>
      </c>
      <c r="D96" s="70"/>
      <c r="E96" s="70"/>
      <c r="F96" s="70"/>
      <c r="G96" s="73">
        <f>D98*(1+C96)^($G$46)</f>
        <v>-6309.9147150422323</v>
      </c>
      <c r="H96" s="36"/>
      <c r="I96" s="36"/>
      <c r="J96" s="36"/>
      <c r="K96" s="36"/>
      <c r="L96" s="36"/>
      <c r="M96" s="36"/>
      <c r="N96" s="36"/>
      <c r="O96" s="52"/>
    </row>
    <row r="97" spans="1:15" ht="11.1" customHeight="1">
      <c r="A97" s="71" t="s">
        <v>229</v>
      </c>
      <c r="B97" s="70"/>
      <c r="C97" s="72">
        <f>$E$10</f>
        <v>0.125</v>
      </c>
      <c r="D97" s="74">
        <f>(G95)/(1+C97)^($G$46)</f>
        <v>7015.0169720805197</v>
      </c>
      <c r="E97" s="70"/>
      <c r="F97" s="70"/>
      <c r="G97" s="73"/>
      <c r="H97" s="36"/>
      <c r="I97" s="36"/>
      <c r="J97" s="36"/>
      <c r="K97" s="36"/>
      <c r="L97" s="36"/>
      <c r="M97" s="36"/>
      <c r="N97" s="36"/>
      <c r="O97" s="52"/>
    </row>
    <row r="98" spans="1:15" ht="11.1" customHeight="1">
      <c r="A98" s="141" t="s">
        <v>230</v>
      </c>
      <c r="B98" s="75"/>
      <c r="C98" s="142">
        <f>$C$17</f>
        <v>4.2799999999999998E-2</v>
      </c>
      <c r="D98" s="143">
        <f>NPV(C98,E90:F90)</f>
        <v>-5564.426649008763</v>
      </c>
      <c r="E98" s="75"/>
      <c r="F98" s="75"/>
      <c r="G98" s="75"/>
      <c r="H98" s="36"/>
      <c r="I98" s="36"/>
      <c r="J98" s="36"/>
      <c r="K98" s="36"/>
      <c r="L98" s="36"/>
      <c r="M98" s="36"/>
      <c r="N98" s="36"/>
      <c r="O98" s="52"/>
    </row>
    <row r="99" spans="1:15" ht="11.1" customHeight="1">
      <c r="A99" s="71" t="s">
        <v>241</v>
      </c>
      <c r="B99" s="70"/>
      <c r="C99" s="72"/>
      <c r="D99" s="74">
        <f>D90</f>
        <v>-1062.1781975384747</v>
      </c>
      <c r="E99" s="70"/>
      <c r="F99" s="70"/>
      <c r="G99" s="70"/>
      <c r="H99" s="36"/>
      <c r="I99" s="36"/>
      <c r="J99" s="36"/>
      <c r="K99" s="36"/>
      <c r="L99" s="36"/>
      <c r="M99" s="36"/>
      <c r="N99" s="36"/>
      <c r="O99" s="52"/>
    </row>
    <row r="100" spans="1:15" ht="11.1" customHeight="1">
      <c r="A100" s="494" t="s">
        <v>236</v>
      </c>
      <c r="B100" s="495"/>
      <c r="C100" s="495"/>
      <c r="D100" s="498">
        <f>SUM(D97:D99)</f>
        <v>388.41212553328205</v>
      </c>
      <c r="E100" s="486" t="s">
        <v>129</v>
      </c>
      <c r="F100" s="486"/>
      <c r="G100" s="486"/>
      <c r="H100" s="36"/>
      <c r="I100" s="36"/>
      <c r="J100" s="36"/>
      <c r="K100" s="36"/>
      <c r="L100" s="36"/>
      <c r="M100" s="36"/>
      <c r="N100" s="36"/>
      <c r="O100" s="52"/>
    </row>
    <row r="101" spans="1:15" s="41" customFormat="1" ht="15.75" customHeight="1">
      <c r="A101" s="496"/>
      <c r="B101" s="497"/>
      <c r="C101" s="497"/>
      <c r="D101" s="499"/>
      <c r="E101" s="487"/>
      <c r="F101" s="487"/>
      <c r="G101" s="487"/>
      <c r="H101" s="192"/>
      <c r="I101" s="192"/>
      <c r="J101" s="192"/>
      <c r="K101" s="192"/>
      <c r="L101" s="192"/>
      <c r="M101" s="192"/>
      <c r="N101" s="192"/>
      <c r="O101" s="193"/>
    </row>
    <row r="102" spans="1:15" s="41" customFormat="1" ht="11.1" customHeight="1">
      <c r="A102" s="194"/>
      <c r="B102" s="194"/>
      <c r="O102" s="56"/>
    </row>
    <row r="103" spans="1:15" s="41" customFormat="1" ht="11.1" customHeight="1">
      <c r="A103" s="197"/>
      <c r="B103" s="194"/>
      <c r="C103" s="194"/>
      <c r="D103" s="195"/>
      <c r="E103" s="196"/>
      <c r="F103" s="196"/>
      <c r="G103" s="192"/>
      <c r="H103" s="192"/>
      <c r="I103" s="192"/>
      <c r="J103" s="192"/>
      <c r="K103" s="192"/>
      <c r="L103" s="192"/>
      <c r="M103" s="192"/>
      <c r="N103" s="192"/>
      <c r="O103" s="192"/>
    </row>
    <row r="106" spans="1:15" ht="11.1" customHeight="1">
      <c r="C106" s="315"/>
    </row>
    <row r="107" spans="1:15" ht="11.1" customHeight="1">
      <c r="C107" s="315"/>
      <c r="D107" s="316"/>
    </row>
  </sheetData>
  <mergeCells count="40">
    <mergeCell ref="I1:O1"/>
    <mergeCell ref="A31:A33"/>
    <mergeCell ref="B31:C31"/>
    <mergeCell ref="D31:E31"/>
    <mergeCell ref="F31:G31"/>
    <mergeCell ref="B32:C33"/>
    <mergeCell ref="D32:E33"/>
    <mergeCell ref="F32:G33"/>
    <mergeCell ref="H31:I31"/>
    <mergeCell ref="J31:K31"/>
    <mergeCell ref="H32:I33"/>
    <mergeCell ref="J32:K33"/>
    <mergeCell ref="L31:L33"/>
    <mergeCell ref="M31:M33"/>
    <mergeCell ref="N31:N33"/>
    <mergeCell ref="M34:M35"/>
    <mergeCell ref="N34:N35"/>
    <mergeCell ref="A44:B45"/>
    <mergeCell ref="D44:G44"/>
    <mergeCell ref="H44:O44"/>
    <mergeCell ref="E45:F45"/>
    <mergeCell ref="A34:A35"/>
    <mergeCell ref="B34:C35"/>
    <mergeCell ref="D34:E35"/>
    <mergeCell ref="F34:G35"/>
    <mergeCell ref="H34:I35"/>
    <mergeCell ref="J34:K35"/>
    <mergeCell ref="L34:L35"/>
    <mergeCell ref="H45:O45"/>
    <mergeCell ref="B67:D67"/>
    <mergeCell ref="B62:D62"/>
    <mergeCell ref="B63:D63"/>
    <mergeCell ref="B64:D64"/>
    <mergeCell ref="B65:D65"/>
    <mergeCell ref="B66:D66"/>
    <mergeCell ref="B68:D68"/>
    <mergeCell ref="B69:D69"/>
    <mergeCell ref="A100:C101"/>
    <mergeCell ref="D100:D101"/>
    <mergeCell ref="E100:G101"/>
  </mergeCells>
  <conditionalFormatting sqref="H47:O47">
    <cfRule type="containsText" dxfId="1" priority="1" operator="containsText" text="Reversion">
      <formula>NOT(ISERROR(SEARCH("Reversion",H47)))</formula>
    </cfRule>
  </conditionalFormatting>
  <pageMargins left="1" right="1" top="1" bottom="1" header="0.5" footer="0.5"/>
  <pageSetup paperSize="3" orientation="landscape" horizontalDpi="4294967292" verticalDpi="4294967292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V61"/>
  <sheetViews>
    <sheetView topLeftCell="J1" zoomScaleNormal="100" workbookViewId="0">
      <selection activeCell="T36" sqref="T36:U42"/>
    </sheetView>
  </sheetViews>
  <sheetFormatPr baseColWidth="10" defaultColWidth="10.875" defaultRowHeight="14.25"/>
  <cols>
    <col min="1" max="1" width="10.875" style="1" customWidth="1"/>
    <col min="2" max="2" width="10.875" style="1" hidden="1" customWidth="1"/>
    <col min="3" max="4" width="10.875" style="1" customWidth="1"/>
    <col min="5" max="10" width="18" style="1" customWidth="1"/>
    <col min="11" max="11" width="12" style="1" customWidth="1"/>
    <col min="12" max="12" width="10.875" style="1"/>
    <col min="13" max="13" width="15.25" style="1" customWidth="1"/>
    <col min="14" max="15" width="15.5" style="1" bestFit="1" customWidth="1"/>
    <col min="16" max="17" width="13.125" style="1" customWidth="1"/>
    <col min="18" max="19" width="9.625" style="1" customWidth="1"/>
    <col min="20" max="20" width="36.25" style="1" bestFit="1" customWidth="1"/>
    <col min="21" max="21" width="40.125" style="1" bestFit="1" customWidth="1"/>
    <col min="22" max="22" width="13.125" style="1" customWidth="1"/>
    <col min="23" max="23" width="9.625" style="1" customWidth="1"/>
    <col min="24" max="16384" width="10.875" style="1"/>
  </cols>
  <sheetData>
    <row r="1" spans="1:21" ht="15" thickBot="1"/>
    <row r="2" spans="1:21" ht="15.95" customHeight="1">
      <c r="A2" s="580" t="s">
        <v>130</v>
      </c>
      <c r="B2" s="581"/>
      <c r="C2" s="581"/>
      <c r="D2" s="581"/>
      <c r="E2" s="581"/>
      <c r="F2" s="581"/>
      <c r="G2" s="581"/>
      <c r="H2" s="581"/>
      <c r="I2" s="581"/>
      <c r="J2" s="582"/>
      <c r="K2" s="251"/>
      <c r="R2" s="15"/>
      <c r="S2" s="336">
        <f>(2050+398)/11</f>
        <v>222.54545454545453</v>
      </c>
      <c r="T2" s="15"/>
    </row>
    <row r="3" spans="1:21" ht="15.75" customHeight="1">
      <c r="A3" s="588"/>
      <c r="B3" s="583" t="s">
        <v>131</v>
      </c>
      <c r="C3" s="583"/>
      <c r="D3" s="583"/>
      <c r="E3" s="583" t="s">
        <v>54</v>
      </c>
      <c r="F3" s="583"/>
      <c r="G3" s="583" t="s">
        <v>123</v>
      </c>
      <c r="H3" s="583"/>
      <c r="I3" s="595" t="s">
        <v>138</v>
      </c>
      <c r="J3" s="596"/>
      <c r="L3" s="249"/>
      <c r="M3" s="249"/>
      <c r="N3" s="249"/>
      <c r="O3" s="249"/>
      <c r="P3" s="249"/>
      <c r="Q3" s="249"/>
      <c r="R3" s="15"/>
    </row>
    <row r="4" spans="1:21" ht="21.75" customHeight="1">
      <c r="A4" s="588"/>
      <c r="B4" s="590" t="s">
        <v>0</v>
      </c>
      <c r="C4" s="584" t="s">
        <v>132</v>
      </c>
      <c r="D4" s="584" t="s">
        <v>133</v>
      </c>
      <c r="E4" s="584" t="s">
        <v>140</v>
      </c>
      <c r="F4" s="584" t="s">
        <v>135</v>
      </c>
      <c r="G4" s="584" t="s">
        <v>134</v>
      </c>
      <c r="H4" s="584" t="s">
        <v>136</v>
      </c>
      <c r="I4" s="590" t="s">
        <v>137</v>
      </c>
      <c r="J4" s="586" t="s">
        <v>139</v>
      </c>
      <c r="M4" s="610" t="s">
        <v>184</v>
      </c>
      <c r="N4" s="611"/>
      <c r="O4" s="611"/>
      <c r="P4" s="611"/>
      <c r="Q4" s="612"/>
      <c r="R4" s="15"/>
    </row>
    <row r="5" spans="1:21" ht="12" customHeight="1">
      <c r="A5" s="588"/>
      <c r="B5" s="591"/>
      <c r="C5" s="584"/>
      <c r="D5" s="584"/>
      <c r="E5" s="584"/>
      <c r="F5" s="584"/>
      <c r="G5" s="584"/>
      <c r="H5" s="584"/>
      <c r="I5" s="591"/>
      <c r="J5" s="586"/>
      <c r="M5" s="597" t="s">
        <v>141</v>
      </c>
      <c r="N5" s="613" t="s">
        <v>142</v>
      </c>
      <c r="O5" s="614" t="s">
        <v>143</v>
      </c>
      <c r="P5" s="597" t="s">
        <v>137</v>
      </c>
      <c r="Q5" s="597" t="s">
        <v>144</v>
      </c>
      <c r="R5" s="15"/>
    </row>
    <row r="6" spans="1:21" ht="20.25" customHeight="1" thickBot="1">
      <c r="A6" s="589"/>
      <c r="B6" s="592"/>
      <c r="C6" s="585"/>
      <c r="D6" s="585"/>
      <c r="E6" s="585"/>
      <c r="F6" s="585"/>
      <c r="G6" s="585"/>
      <c r="H6" s="585"/>
      <c r="I6" s="592"/>
      <c r="J6" s="587"/>
      <c r="M6" s="597"/>
      <c r="N6" s="613"/>
      <c r="O6" s="614"/>
      <c r="P6" s="597"/>
      <c r="Q6" s="597"/>
      <c r="R6" s="15"/>
    </row>
    <row r="7" spans="1:21" ht="12" customHeight="1">
      <c r="A7" s="205" t="s">
        <v>55</v>
      </c>
      <c r="B7" s="206" t="s">
        <v>1</v>
      </c>
      <c r="C7" s="280">
        <v>83.06</v>
      </c>
      <c r="D7" s="319">
        <f t="shared" ref="D7:D26" si="0">C7/$C$28</f>
        <v>2.3078504704058325E-2</v>
      </c>
      <c r="E7" s="593">
        <f>+'Caso Base | Flujo de Caja'!B34</f>
        <v>1062178.1975384748</v>
      </c>
      <c r="F7" s="213">
        <f t="shared" ref="F7:F27" si="1">D7*$E$7</f>
        <v>24513.484528439883</v>
      </c>
      <c r="G7" s="593">
        <f>+G28</f>
        <v>1450590.3230717569</v>
      </c>
      <c r="H7" s="318">
        <f>D7*$G$28</f>
        <v>33477.455594673025</v>
      </c>
      <c r="I7" s="235">
        <f t="shared" ref="I7:I27" si="2">H7-F7</f>
        <v>8963.9710662331418</v>
      </c>
      <c r="J7" s="601">
        <f>+I7/F7</f>
        <v>0.3656751065248755</v>
      </c>
      <c r="M7" s="220" t="s">
        <v>55</v>
      </c>
      <c r="N7" s="221">
        <f t="shared" ref="N7:N27" si="3">F7</f>
        <v>24513.484528439883</v>
      </c>
      <c r="O7" s="231">
        <f t="shared" ref="O7:O27" si="4">H7</f>
        <v>33477.455594673025</v>
      </c>
      <c r="P7" s="241">
        <f>O7-N7</f>
        <v>8963.9710662331418</v>
      </c>
      <c r="Q7" s="615">
        <f>(O7-N7)/N7</f>
        <v>0.3656751065248755</v>
      </c>
      <c r="R7" s="15"/>
    </row>
    <row r="8" spans="1:21" ht="12" customHeight="1">
      <c r="A8" s="38" t="s">
        <v>56</v>
      </c>
      <c r="B8" s="4" t="s">
        <v>1</v>
      </c>
      <c r="C8" s="268"/>
      <c r="D8" s="319">
        <f t="shared" si="0"/>
        <v>0</v>
      </c>
      <c r="E8" s="594"/>
      <c r="F8" s="213">
        <f t="shared" si="1"/>
        <v>0</v>
      </c>
      <c r="G8" s="594"/>
      <c r="H8" s="318">
        <f t="shared" ref="H8:H27" si="5">D8*$G$28</f>
        <v>0</v>
      </c>
      <c r="I8" s="235">
        <f t="shared" si="2"/>
        <v>0</v>
      </c>
      <c r="J8" s="602"/>
      <c r="M8" s="220" t="s">
        <v>56</v>
      </c>
      <c r="N8" s="221">
        <f t="shared" si="3"/>
        <v>0</v>
      </c>
      <c r="O8" s="231">
        <f t="shared" si="4"/>
        <v>0</v>
      </c>
      <c r="P8" s="241">
        <f t="shared" ref="P8:P16" si="6">O8-N8</f>
        <v>0</v>
      </c>
      <c r="Q8" s="616"/>
    </row>
    <row r="9" spans="1:21" ht="12" customHeight="1">
      <c r="A9" s="205" t="s">
        <v>57</v>
      </c>
      <c r="B9" s="4" t="s">
        <v>2</v>
      </c>
      <c r="C9" s="268"/>
      <c r="D9" s="319">
        <f t="shared" si="0"/>
        <v>0</v>
      </c>
      <c r="E9" s="594"/>
      <c r="F9" s="213">
        <f t="shared" si="1"/>
        <v>0</v>
      </c>
      <c r="G9" s="594"/>
      <c r="H9" s="318">
        <f t="shared" si="5"/>
        <v>0</v>
      </c>
      <c r="I9" s="235">
        <f t="shared" si="2"/>
        <v>0</v>
      </c>
      <c r="J9" s="602"/>
      <c r="M9" s="220" t="s">
        <v>57</v>
      </c>
      <c r="N9" s="221">
        <f t="shared" si="3"/>
        <v>0</v>
      </c>
      <c r="O9" s="231">
        <f t="shared" si="4"/>
        <v>0</v>
      </c>
      <c r="P9" s="241">
        <f t="shared" si="6"/>
        <v>0</v>
      </c>
      <c r="Q9" s="616"/>
    </row>
    <row r="10" spans="1:21" ht="12" customHeight="1">
      <c r="A10" s="38" t="s">
        <v>58</v>
      </c>
      <c r="B10" s="4" t="s">
        <v>1</v>
      </c>
      <c r="C10" s="268">
        <v>137.41</v>
      </c>
      <c r="D10" s="319">
        <f t="shared" si="0"/>
        <v>3.8179837844746621E-2</v>
      </c>
      <c r="E10" s="594"/>
      <c r="F10" s="213">
        <f t="shared" si="1"/>
        <v>40553.791344244215</v>
      </c>
      <c r="G10" s="594"/>
      <c r="H10" s="318">
        <f t="shared" si="5"/>
        <v>55383.30331403829</v>
      </c>
      <c r="I10" s="235">
        <f t="shared" si="2"/>
        <v>14829.511969794075</v>
      </c>
      <c r="J10" s="602"/>
      <c r="M10" s="220" t="s">
        <v>58</v>
      </c>
      <c r="N10" s="221">
        <f t="shared" si="3"/>
        <v>40553.791344244215</v>
      </c>
      <c r="O10" s="231">
        <f t="shared" si="4"/>
        <v>55383.30331403829</v>
      </c>
      <c r="P10" s="241">
        <f t="shared" si="6"/>
        <v>14829.511969794075</v>
      </c>
      <c r="Q10" s="616"/>
    </row>
    <row r="11" spans="1:21" ht="12" customHeight="1">
      <c r="A11" s="205" t="s">
        <v>59</v>
      </c>
      <c r="B11" s="4" t="s">
        <v>1</v>
      </c>
      <c r="C11" s="268">
        <v>232.03</v>
      </c>
      <c r="D11" s="319">
        <f t="shared" si="0"/>
        <v>6.4470328033742516E-2</v>
      </c>
      <c r="E11" s="594"/>
      <c r="F11" s="213">
        <f t="shared" si="1"/>
        <v>68478.976825594829</v>
      </c>
      <c r="G11" s="594"/>
      <c r="H11" s="318">
        <f t="shared" si="5"/>
        <v>93520.033971008699</v>
      </c>
      <c r="I11" s="235">
        <f t="shared" si="2"/>
        <v>25041.05714541387</v>
      </c>
      <c r="J11" s="602"/>
      <c r="M11" s="220" t="s">
        <v>59</v>
      </c>
      <c r="N11" s="221">
        <f t="shared" si="3"/>
        <v>68478.976825594829</v>
      </c>
      <c r="O11" s="231">
        <f t="shared" si="4"/>
        <v>93520.033971008699</v>
      </c>
      <c r="P11" s="241">
        <f t="shared" si="6"/>
        <v>25041.05714541387</v>
      </c>
      <c r="Q11" s="616"/>
      <c r="T11" s="329"/>
      <c r="U11" s="329"/>
    </row>
    <row r="12" spans="1:21" ht="12" customHeight="1">
      <c r="A12" s="38" t="s">
        <v>60</v>
      </c>
      <c r="B12" s="4" t="s">
        <v>1</v>
      </c>
      <c r="C12" s="268">
        <v>123.15</v>
      </c>
      <c r="D12" s="319">
        <f t="shared" si="0"/>
        <v>3.4217648137548552E-2</v>
      </c>
      <c r="E12" s="594"/>
      <c r="F12" s="213">
        <f t="shared" si="1"/>
        <v>36345.239822747069</v>
      </c>
      <c r="G12" s="594"/>
      <c r="H12" s="318">
        <f t="shared" si="5"/>
        <v>49635.789266602253</v>
      </c>
      <c r="I12" s="235">
        <f t="shared" si="2"/>
        <v>13290.549443855183</v>
      </c>
      <c r="J12" s="602"/>
      <c r="M12" s="220" t="s">
        <v>60</v>
      </c>
      <c r="N12" s="221">
        <f t="shared" si="3"/>
        <v>36345.239822747069</v>
      </c>
      <c r="O12" s="231">
        <f t="shared" si="4"/>
        <v>49635.789266602253</v>
      </c>
      <c r="P12" s="241">
        <f t="shared" si="6"/>
        <v>13290.549443855183</v>
      </c>
      <c r="Q12" s="616"/>
      <c r="T12" s="329"/>
      <c r="U12" s="329"/>
    </row>
    <row r="13" spans="1:21" ht="12" customHeight="1">
      <c r="A13" s="205" t="s">
        <v>61</v>
      </c>
      <c r="B13" s="4" t="s">
        <v>2</v>
      </c>
      <c r="C13" s="268">
        <v>108.61</v>
      </c>
      <c r="D13" s="319">
        <f t="shared" si="0"/>
        <v>3.0177659473967909E-2</v>
      </c>
      <c r="E13" s="594"/>
      <c r="F13" s="213">
        <f t="shared" si="1"/>
        <v>32054.051945989111</v>
      </c>
      <c r="G13" s="594"/>
      <c r="H13" s="318">
        <f t="shared" si="5"/>
        <v>43775.420805892572</v>
      </c>
      <c r="I13" s="235">
        <f t="shared" si="2"/>
        <v>11721.368859903461</v>
      </c>
      <c r="J13" s="602"/>
      <c r="M13" s="220" t="s">
        <v>61</v>
      </c>
      <c r="N13" s="221">
        <f t="shared" si="3"/>
        <v>32054.051945989111</v>
      </c>
      <c r="O13" s="231">
        <f t="shared" si="4"/>
        <v>43775.420805892572</v>
      </c>
      <c r="P13" s="241">
        <f t="shared" si="6"/>
        <v>11721.368859903461</v>
      </c>
      <c r="Q13" s="616"/>
      <c r="T13" s="329"/>
      <c r="U13" s="329"/>
    </row>
    <row r="14" spans="1:21" ht="12" customHeight="1">
      <c r="A14" s="38" t="s">
        <v>62</v>
      </c>
      <c r="B14" s="4" t="s">
        <v>2</v>
      </c>
      <c r="C14" s="268">
        <v>254.94</v>
      </c>
      <c r="D14" s="319">
        <f t="shared" si="0"/>
        <v>7.0835949786330718E-2</v>
      </c>
      <c r="E14" s="594"/>
      <c r="F14" s="213">
        <f t="shared" si="1"/>
        <v>75240.401464970666</v>
      </c>
      <c r="G14" s="594"/>
      <c r="H14" s="318">
        <f t="shared" si="5"/>
        <v>102753.94328564822</v>
      </c>
      <c r="I14" s="235">
        <f t="shared" si="2"/>
        <v>27513.54182067755</v>
      </c>
      <c r="J14" s="602"/>
      <c r="M14" s="220" t="s">
        <v>62</v>
      </c>
      <c r="N14" s="221">
        <f t="shared" si="3"/>
        <v>75240.401464970666</v>
      </c>
      <c r="O14" s="231">
        <f t="shared" si="4"/>
        <v>102753.94328564822</v>
      </c>
      <c r="P14" s="241">
        <f t="shared" si="6"/>
        <v>27513.54182067755</v>
      </c>
      <c r="Q14" s="616"/>
      <c r="T14" s="329"/>
      <c r="U14" s="329"/>
    </row>
    <row r="15" spans="1:21" ht="12" customHeight="1">
      <c r="A15" s="205" t="s">
        <v>63</v>
      </c>
      <c r="B15" s="4" t="s">
        <v>1</v>
      </c>
      <c r="C15" s="268">
        <v>216.19</v>
      </c>
      <c r="D15" s="319">
        <f t="shared" si="0"/>
        <v>6.0069129929814218E-2</v>
      </c>
      <c r="E15" s="594"/>
      <c r="F15" s="213">
        <f t="shared" si="1"/>
        <v>63804.120156554513</v>
      </c>
      <c r="G15" s="594"/>
      <c r="H15" s="318">
        <f t="shared" si="5"/>
        <v>87135.698591528548</v>
      </c>
      <c r="I15" s="235">
        <f t="shared" si="2"/>
        <v>23331.578434974035</v>
      </c>
      <c r="J15" s="602"/>
      <c r="M15" s="220" t="s">
        <v>63</v>
      </c>
      <c r="N15" s="221">
        <f t="shared" si="3"/>
        <v>63804.120156554513</v>
      </c>
      <c r="O15" s="231">
        <f t="shared" si="4"/>
        <v>87135.698591528548</v>
      </c>
      <c r="P15" s="241">
        <f t="shared" si="6"/>
        <v>23331.578434974035</v>
      </c>
      <c r="Q15" s="616"/>
      <c r="T15" s="329"/>
      <c r="U15" s="329"/>
    </row>
    <row r="16" spans="1:21" ht="12" customHeight="1">
      <c r="A16" s="38" t="s">
        <v>64</v>
      </c>
      <c r="B16" s="4" t="s">
        <v>1</v>
      </c>
      <c r="C16" s="268">
        <v>264.27999999999997</v>
      </c>
      <c r="D16" s="319">
        <f t="shared" si="0"/>
        <v>7.3431100688520753E-2</v>
      </c>
      <c r="E16" s="594"/>
      <c r="F16" s="213">
        <f t="shared" si="1"/>
        <v>77996.914172599223</v>
      </c>
      <c r="G16" s="594"/>
      <c r="H16" s="318">
        <f t="shared" si="5"/>
        <v>106518.44407127603</v>
      </c>
      <c r="I16" s="235">
        <f t="shared" si="2"/>
        <v>28521.529898676803</v>
      </c>
      <c r="J16" s="602"/>
      <c r="M16" s="220" t="s">
        <v>64</v>
      </c>
      <c r="N16" s="221">
        <f t="shared" si="3"/>
        <v>77996.914172599223</v>
      </c>
      <c r="O16" s="231">
        <f t="shared" si="4"/>
        <v>106518.44407127603</v>
      </c>
      <c r="P16" s="241">
        <f t="shared" si="6"/>
        <v>28521.529898676803</v>
      </c>
      <c r="Q16" s="616"/>
      <c r="T16" s="329"/>
      <c r="U16" s="329"/>
    </row>
    <row r="17" spans="1:21" ht="12" customHeight="1">
      <c r="A17" s="205" t="s">
        <v>73</v>
      </c>
      <c r="B17" s="4" t="s">
        <v>2</v>
      </c>
      <c r="C17" s="268"/>
      <c r="D17" s="319">
        <f t="shared" si="0"/>
        <v>0</v>
      </c>
      <c r="E17" s="594"/>
      <c r="F17" s="213">
        <f t="shared" si="1"/>
        <v>0</v>
      </c>
      <c r="G17" s="594"/>
      <c r="H17" s="318">
        <f t="shared" si="5"/>
        <v>0</v>
      </c>
      <c r="I17" s="235">
        <f t="shared" si="2"/>
        <v>0</v>
      </c>
      <c r="J17" s="602"/>
      <c r="M17" s="220" t="s">
        <v>73</v>
      </c>
      <c r="N17" s="221">
        <f t="shared" si="3"/>
        <v>0</v>
      </c>
      <c r="O17" s="231">
        <f t="shared" si="4"/>
        <v>0</v>
      </c>
      <c r="P17" s="241">
        <f>O17-N17</f>
        <v>0</v>
      </c>
      <c r="Q17" s="616"/>
      <c r="T17" s="329"/>
      <c r="U17" s="329"/>
    </row>
    <row r="18" spans="1:21" ht="12" customHeight="1">
      <c r="A18" s="38" t="s">
        <v>74</v>
      </c>
      <c r="B18" s="4" t="s">
        <v>2</v>
      </c>
      <c r="C18" s="268"/>
      <c r="D18" s="319">
        <f t="shared" si="0"/>
        <v>0</v>
      </c>
      <c r="E18" s="594"/>
      <c r="F18" s="213">
        <f t="shared" si="1"/>
        <v>0</v>
      </c>
      <c r="G18" s="594"/>
      <c r="H18" s="318">
        <f t="shared" si="5"/>
        <v>0</v>
      </c>
      <c r="I18" s="235">
        <f t="shared" si="2"/>
        <v>0</v>
      </c>
      <c r="J18" s="602"/>
      <c r="M18" s="220" t="s">
        <v>74</v>
      </c>
      <c r="N18" s="221">
        <f t="shared" si="3"/>
        <v>0</v>
      </c>
      <c r="O18" s="231">
        <f t="shared" si="4"/>
        <v>0</v>
      </c>
      <c r="P18" s="241">
        <f t="shared" ref="P18:P27" si="7">O18-N18</f>
        <v>0</v>
      </c>
      <c r="Q18" s="616"/>
      <c r="T18" s="329"/>
      <c r="U18" s="329"/>
    </row>
    <row r="19" spans="1:21" ht="12" customHeight="1">
      <c r="A19" s="205" t="s">
        <v>75</v>
      </c>
      <c r="B19" s="4" t="s">
        <v>2</v>
      </c>
      <c r="C19" s="268">
        <v>170.97</v>
      </c>
      <c r="D19" s="319">
        <f t="shared" si="0"/>
        <v>4.7504598474029033E-2</v>
      </c>
      <c r="E19" s="594"/>
      <c r="F19" s="213">
        <f t="shared" si="1"/>
        <v>50458.348781933142</v>
      </c>
      <c r="G19" s="594"/>
      <c r="H19" s="318">
        <f t="shared" si="5"/>
        <v>68909.710847835857</v>
      </c>
      <c r="I19" s="235">
        <f t="shared" si="2"/>
        <v>18451.362065902715</v>
      </c>
      <c r="J19" s="602"/>
      <c r="M19" s="220" t="s">
        <v>75</v>
      </c>
      <c r="N19" s="221">
        <f t="shared" si="3"/>
        <v>50458.348781933142</v>
      </c>
      <c r="O19" s="231">
        <f t="shared" si="4"/>
        <v>68909.710847835857</v>
      </c>
      <c r="P19" s="241">
        <f t="shared" si="7"/>
        <v>18451.362065902715</v>
      </c>
      <c r="Q19" s="616"/>
      <c r="T19" s="329"/>
      <c r="U19" s="329"/>
    </row>
    <row r="20" spans="1:21" ht="12" customHeight="1">
      <c r="A20" s="38" t="s">
        <v>76</v>
      </c>
      <c r="B20" s="4" t="s">
        <v>2</v>
      </c>
      <c r="C20" s="268">
        <v>509.1</v>
      </c>
      <c r="D20" s="319">
        <f t="shared" si="0"/>
        <v>0.14145517390845286</v>
      </c>
      <c r="E20" s="594"/>
      <c r="F20" s="213">
        <f t="shared" si="1"/>
        <v>150250.60165457195</v>
      </c>
      <c r="G20" s="594"/>
      <c r="H20" s="318">
        <f t="shared" si="5"/>
        <v>205193.50642003419</v>
      </c>
      <c r="I20" s="235">
        <f t="shared" si="2"/>
        <v>54942.904765462241</v>
      </c>
      <c r="J20" s="602"/>
      <c r="M20" s="220" t="s">
        <v>76</v>
      </c>
      <c r="N20" s="221">
        <f t="shared" si="3"/>
        <v>150250.60165457195</v>
      </c>
      <c r="O20" s="231">
        <f t="shared" si="4"/>
        <v>205193.50642003419</v>
      </c>
      <c r="P20" s="241">
        <f t="shared" si="7"/>
        <v>54942.904765462241</v>
      </c>
      <c r="Q20" s="616"/>
      <c r="T20" s="329"/>
      <c r="U20" s="329"/>
    </row>
    <row r="21" spans="1:21" ht="12" customHeight="1">
      <c r="A21" s="205" t="s">
        <v>65</v>
      </c>
      <c r="B21" s="4" t="s">
        <v>2</v>
      </c>
      <c r="C21" s="268">
        <v>145.1</v>
      </c>
      <c r="D21" s="319">
        <f t="shared" si="0"/>
        <v>4.0316530611110797E-2</v>
      </c>
      <c r="E21" s="594"/>
      <c r="F21" s="213">
        <f t="shared" si="1"/>
        <v>42823.33981551441</v>
      </c>
      <c r="G21" s="594"/>
      <c r="H21" s="318">
        <f t="shared" si="5"/>
        <v>58482.769164303587</v>
      </c>
      <c r="I21" s="235">
        <f t="shared" si="2"/>
        <v>15659.429348789177</v>
      </c>
      <c r="J21" s="602"/>
      <c r="M21" s="220" t="s">
        <v>65</v>
      </c>
      <c r="N21" s="221">
        <f t="shared" si="3"/>
        <v>42823.33981551441</v>
      </c>
      <c r="O21" s="231">
        <f t="shared" si="4"/>
        <v>58482.769164303587</v>
      </c>
      <c r="P21" s="241">
        <f t="shared" si="7"/>
        <v>15659.429348789177</v>
      </c>
      <c r="Q21" s="616"/>
      <c r="T21" s="329"/>
      <c r="U21" s="329"/>
    </row>
    <row r="22" spans="1:21" ht="12" customHeight="1">
      <c r="A22" s="38" t="s">
        <v>66</v>
      </c>
      <c r="B22" s="4" t="s">
        <v>2</v>
      </c>
      <c r="C22" s="268">
        <v>122.88</v>
      </c>
      <c r="D22" s="319">
        <f t="shared" si="0"/>
        <v>3.4142627715322497E-2</v>
      </c>
      <c r="E22" s="594"/>
      <c r="F22" s="213">
        <f t="shared" si="1"/>
        <v>36265.554765888424</v>
      </c>
      <c r="G22" s="594"/>
      <c r="H22" s="318">
        <f t="shared" si="5"/>
        <v>49526.965368088378</v>
      </c>
      <c r="I22" s="235">
        <f t="shared" si="2"/>
        <v>13261.410602199954</v>
      </c>
      <c r="J22" s="602"/>
      <c r="M22" s="220" t="s">
        <v>66</v>
      </c>
      <c r="N22" s="221">
        <f t="shared" si="3"/>
        <v>36265.554765888424</v>
      </c>
      <c r="O22" s="231">
        <f t="shared" si="4"/>
        <v>49526.965368088378</v>
      </c>
      <c r="P22" s="241">
        <f t="shared" si="7"/>
        <v>13261.410602199954</v>
      </c>
      <c r="Q22" s="616"/>
      <c r="T22" s="329"/>
      <c r="U22" s="329"/>
    </row>
    <row r="23" spans="1:21" ht="12" customHeight="1">
      <c r="A23" s="205" t="s">
        <v>67</v>
      </c>
      <c r="B23" s="4" t="s">
        <v>2</v>
      </c>
      <c r="C23" s="268">
        <v>285.79000000000002</v>
      </c>
      <c r="D23" s="319">
        <f t="shared" si="0"/>
        <v>7.9407727659196112E-2</v>
      </c>
      <c r="E23" s="594"/>
      <c r="F23" s="213">
        <f t="shared" si="1"/>
        <v>84345.157035671014</v>
      </c>
      <c r="G23" s="594"/>
      <c r="H23" s="318">
        <f t="shared" si="5"/>
        <v>115188.08131954737</v>
      </c>
      <c r="I23" s="235">
        <f t="shared" si="2"/>
        <v>30842.92428387636</v>
      </c>
      <c r="J23" s="602"/>
      <c r="M23" s="220" t="s">
        <v>67</v>
      </c>
      <c r="N23" s="221">
        <f t="shared" si="3"/>
        <v>84345.157035671014</v>
      </c>
      <c r="O23" s="231">
        <f t="shared" si="4"/>
        <v>115188.08131954737</v>
      </c>
      <c r="P23" s="241">
        <f t="shared" si="7"/>
        <v>30842.92428387636</v>
      </c>
      <c r="Q23" s="616"/>
      <c r="T23" s="329"/>
      <c r="U23" s="329"/>
    </row>
    <row r="24" spans="1:21" ht="12" customHeight="1">
      <c r="A24" s="38" t="s">
        <v>68</v>
      </c>
      <c r="B24" s="4" t="s">
        <v>1</v>
      </c>
      <c r="C24" s="268">
        <v>575.34</v>
      </c>
      <c r="D24" s="319">
        <f t="shared" si="0"/>
        <v>0.1598601841612439</v>
      </c>
      <c r="E24" s="594"/>
      <c r="F24" s="213">
        <f t="shared" si="1"/>
        <v>169800.00227055867</v>
      </c>
      <c r="G24" s="594"/>
      <c r="H24" s="318">
        <f t="shared" si="5"/>
        <v>231891.63618876933</v>
      </c>
      <c r="I24" s="235">
        <f t="shared" si="2"/>
        <v>62091.63391821066</v>
      </c>
      <c r="J24" s="602"/>
      <c r="M24" s="220" t="s">
        <v>68</v>
      </c>
      <c r="N24" s="221">
        <f t="shared" si="3"/>
        <v>169800.00227055867</v>
      </c>
      <c r="O24" s="231">
        <f t="shared" si="4"/>
        <v>231891.63618876933</v>
      </c>
      <c r="P24" s="241">
        <f t="shared" si="7"/>
        <v>62091.63391821066</v>
      </c>
      <c r="Q24" s="616"/>
      <c r="T24" s="329"/>
      <c r="U24" s="329"/>
    </row>
    <row r="25" spans="1:21" ht="12" customHeight="1">
      <c r="A25" s="205" t="s">
        <v>69</v>
      </c>
      <c r="B25" s="4" t="s">
        <v>2</v>
      </c>
      <c r="C25" s="268">
        <v>234.54</v>
      </c>
      <c r="D25" s="319">
        <f t="shared" si="0"/>
        <v>6.5167740107029123E-2</v>
      </c>
      <c r="E25" s="594"/>
      <c r="F25" s="213">
        <f t="shared" si="1"/>
        <v>69219.752724539969</v>
      </c>
      <c r="G25" s="594"/>
      <c r="H25" s="318">
        <f t="shared" si="5"/>
        <v>94531.693175711669</v>
      </c>
      <c r="I25" s="235">
        <f t="shared" si="2"/>
        <v>25311.9404511717</v>
      </c>
      <c r="J25" s="602"/>
      <c r="M25" s="220" t="s">
        <v>69</v>
      </c>
      <c r="N25" s="221">
        <f t="shared" si="3"/>
        <v>69219.752724539969</v>
      </c>
      <c r="O25" s="231">
        <f t="shared" si="4"/>
        <v>94531.693175711669</v>
      </c>
      <c r="P25" s="241">
        <f t="shared" si="7"/>
        <v>25311.9404511717</v>
      </c>
      <c r="Q25" s="616"/>
      <c r="T25" s="329"/>
      <c r="U25" s="329"/>
    </row>
    <row r="26" spans="1:21" ht="12" customHeight="1">
      <c r="A26" s="38" t="s">
        <v>70</v>
      </c>
      <c r="B26" s="4" t="s">
        <v>2</v>
      </c>
      <c r="C26" s="268">
        <v>54.33</v>
      </c>
      <c r="D26" s="319">
        <f t="shared" si="0"/>
        <v>1.5095776072375255E-2</v>
      </c>
      <c r="E26" s="594"/>
      <c r="F26" s="213">
        <f t="shared" si="1"/>
        <v>16034.404218999985</v>
      </c>
      <c r="G26" s="594"/>
      <c r="H26" s="318">
        <f t="shared" si="5"/>
        <v>21897.786689845718</v>
      </c>
      <c r="I26" s="235">
        <f t="shared" si="2"/>
        <v>5863.3824708457323</v>
      </c>
      <c r="J26" s="602"/>
      <c r="M26" s="220" t="s">
        <v>70</v>
      </c>
      <c r="N26" s="221">
        <f t="shared" si="3"/>
        <v>16034.404218999985</v>
      </c>
      <c r="O26" s="231">
        <f t="shared" si="4"/>
        <v>21897.786689845718</v>
      </c>
      <c r="P26" s="241">
        <f t="shared" si="7"/>
        <v>5863.3824708457323</v>
      </c>
      <c r="Q26" s="616"/>
      <c r="T26" s="329"/>
      <c r="U26" s="329"/>
    </row>
    <row r="27" spans="1:21" ht="12" customHeight="1" thickBot="1">
      <c r="A27" s="205" t="s">
        <v>71</v>
      </c>
      <c r="B27" s="4" t="s">
        <v>2</v>
      </c>
      <c r="C27" s="268">
        <v>81.3</v>
      </c>
      <c r="D27" s="319">
        <f>C27/$C$28</f>
        <v>2.2589482692510734E-2</v>
      </c>
      <c r="E27" s="594"/>
      <c r="F27" s="213">
        <f t="shared" si="1"/>
        <v>23994.056009657623</v>
      </c>
      <c r="G27" s="600"/>
      <c r="H27" s="318">
        <f t="shared" si="5"/>
        <v>32768.084996953003</v>
      </c>
      <c r="I27" s="235">
        <f t="shared" si="2"/>
        <v>8774.0289872953799</v>
      </c>
      <c r="J27" s="603"/>
      <c r="M27" s="220" t="s">
        <v>71</v>
      </c>
      <c r="N27" s="221">
        <f t="shared" si="3"/>
        <v>23994.056009657623</v>
      </c>
      <c r="O27" s="231">
        <f t="shared" si="4"/>
        <v>32768.084996953003</v>
      </c>
      <c r="P27" s="241">
        <f t="shared" si="7"/>
        <v>8774.0289872953799</v>
      </c>
      <c r="Q27" s="617"/>
      <c r="T27" s="329"/>
      <c r="U27" s="329"/>
    </row>
    <row r="28" spans="1:21" ht="15.95" customHeight="1" thickBot="1">
      <c r="A28" s="334" t="s">
        <v>185</v>
      </c>
      <c r="C28" s="209">
        <f>SUBTOTAL(9,C7:C27)</f>
        <v>3599.0200000000004</v>
      </c>
      <c r="D28" s="210">
        <f>SUBTOTAL(9,D7:D27)</f>
        <v>1</v>
      </c>
      <c r="E28" s="215">
        <f>SUBTOTAL(9,E7:E27)</f>
        <v>1062178.1975384748</v>
      </c>
      <c r="F28" s="215">
        <f>SUBTOTAL(9,F7:F27)</f>
        <v>1062178.1975384746</v>
      </c>
      <c r="G28" s="215">
        <f>+'Caso RT | Flujo de Caja'!J34</f>
        <v>1450590.3230717569</v>
      </c>
      <c r="H28" s="215">
        <f>SUBTOTAL(9,H7:H27)</f>
        <v>1450590.3230717564</v>
      </c>
      <c r="I28" s="246">
        <f>G28-E28</f>
        <v>388412.12553328206</v>
      </c>
      <c r="J28" s="212">
        <f>I28/E28</f>
        <v>0.3656751065248755</v>
      </c>
      <c r="M28" s="335" t="s">
        <v>185</v>
      </c>
      <c r="N28" s="238">
        <f>SUBTOTAL(9,N7:N27)</f>
        <v>1062178.1975384746</v>
      </c>
      <c r="O28" s="239">
        <f>SUBTOTAL(9,O7:O27)</f>
        <v>1450590.3230717564</v>
      </c>
      <c r="P28" s="242">
        <f>SUBTOTAL(9,P7:P27)</f>
        <v>388412.125533282</v>
      </c>
      <c r="Q28" s="240">
        <f>J28</f>
        <v>0.3656751065248755</v>
      </c>
      <c r="T28" s="329"/>
      <c r="U28" s="330"/>
    </row>
    <row r="29" spans="1:21" s="6" customFormat="1" ht="14.1" customHeight="1">
      <c r="A29" s="245"/>
      <c r="C29" s="232"/>
      <c r="D29" s="16"/>
      <c r="E29" s="598">
        <f>E28/('Caso RT | m2 del Proyecto'!$E$30-'Caso RT | m2 del Proyecto'!$E$31)</f>
        <v>295.13066024781119</v>
      </c>
      <c r="F29" s="216"/>
      <c r="G29" s="598">
        <f>G28/('Caso RT | m2 del Proyecto'!$E$30-'Caso RT | m2 del Proyecto'!$E$31)</f>
        <v>403.05259587268637</v>
      </c>
      <c r="H29" s="214"/>
      <c r="I29" s="236"/>
      <c r="J29" s="247"/>
      <c r="M29" s="325"/>
      <c r="N29" s="243"/>
      <c r="O29" s="244"/>
      <c r="P29" s="241"/>
      <c r="Q29" s="250"/>
    </row>
    <row r="30" spans="1:21" ht="14.1" customHeight="1" thickBot="1">
      <c r="A30" s="204"/>
      <c r="C30" s="5"/>
      <c r="D30" s="23"/>
      <c r="E30" s="599"/>
      <c r="F30" s="217"/>
      <c r="G30" s="599"/>
      <c r="H30" s="218"/>
      <c r="I30" s="237"/>
      <c r="J30" s="248"/>
      <c r="M30" s="326"/>
      <c r="N30" s="243"/>
      <c r="O30" s="244"/>
      <c r="P30" s="241"/>
      <c r="Q30" s="250"/>
    </row>
    <row r="31" spans="1:21" ht="15.75" customHeight="1">
      <c r="H31" s="219"/>
    </row>
    <row r="32" spans="1:21" ht="12" customHeight="1"/>
    <row r="34" spans="7:22">
      <c r="G34" s="328"/>
    </row>
    <row r="35" spans="7:22" ht="15" customHeight="1" thickBot="1"/>
    <row r="36" spans="7:22" ht="18">
      <c r="T36" s="332" t="s">
        <v>54</v>
      </c>
      <c r="U36" s="333" t="s">
        <v>123</v>
      </c>
      <c r="V36" s="312"/>
    </row>
    <row r="37" spans="7:22">
      <c r="T37" s="606" t="s">
        <v>140</v>
      </c>
      <c r="U37" s="608" t="s">
        <v>134</v>
      </c>
    </row>
    <row r="38" spans="7:22" ht="10.5" customHeight="1" thickBot="1">
      <c r="T38" s="606"/>
      <c r="U38" s="608"/>
    </row>
    <row r="39" spans="7:22" ht="15" hidden="1" thickBot="1">
      <c r="T39" s="607"/>
      <c r="U39" s="609"/>
    </row>
    <row r="40" spans="7:22" ht="18.75" thickBot="1">
      <c r="T40" s="331">
        <v>1062178.1975384746</v>
      </c>
      <c r="U40" s="331">
        <v>1450590.3230717564</v>
      </c>
    </row>
    <row r="41" spans="7:22">
      <c r="T41" s="604">
        <v>295.13066024781119</v>
      </c>
      <c r="U41" s="604">
        <v>403.05259587268637</v>
      </c>
    </row>
    <row r="42" spans="7:22" ht="15" thickBot="1">
      <c r="T42" s="605"/>
      <c r="U42" s="605"/>
    </row>
    <row r="60" ht="15" customHeight="1"/>
    <row r="61" ht="15.75" customHeight="1"/>
  </sheetData>
  <mergeCells count="31">
    <mergeCell ref="T41:T42"/>
    <mergeCell ref="U41:U42"/>
    <mergeCell ref="T37:T39"/>
    <mergeCell ref="U37:U39"/>
    <mergeCell ref="M4:Q4"/>
    <mergeCell ref="M5:M6"/>
    <mergeCell ref="N5:N6"/>
    <mergeCell ref="O5:O6"/>
    <mergeCell ref="Q5:Q6"/>
    <mergeCell ref="Q7:Q27"/>
    <mergeCell ref="E7:E27"/>
    <mergeCell ref="I3:J3"/>
    <mergeCell ref="I4:I6"/>
    <mergeCell ref="P5:P6"/>
    <mergeCell ref="G29:G30"/>
    <mergeCell ref="G7:G27"/>
    <mergeCell ref="J7:J27"/>
    <mergeCell ref="E29:E30"/>
    <mergeCell ref="A2:J2"/>
    <mergeCell ref="E3:F3"/>
    <mergeCell ref="B3:D3"/>
    <mergeCell ref="G3:H3"/>
    <mergeCell ref="G4:G6"/>
    <mergeCell ref="H4:H6"/>
    <mergeCell ref="J4:J6"/>
    <mergeCell ref="A3:A6"/>
    <mergeCell ref="B4:B6"/>
    <mergeCell ref="E4:E6"/>
    <mergeCell ref="C4:C6"/>
    <mergeCell ref="D4:D6"/>
    <mergeCell ref="F4:F6"/>
  </mergeCells>
  <phoneticPr fontId="23" type="noConversion"/>
  <pageMargins left="1" right="1" top="1" bottom="1" header="0.5" footer="0.5"/>
  <pageSetup paperSize="3" orientation="landscape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B1:M10"/>
  <sheetViews>
    <sheetView zoomScale="115" zoomScaleNormal="115" workbookViewId="0">
      <selection activeCell="C3" sqref="B3:M8"/>
    </sheetView>
  </sheetViews>
  <sheetFormatPr baseColWidth="10" defaultColWidth="10.875" defaultRowHeight="14.25"/>
  <cols>
    <col min="1" max="1" width="10.875" style="1"/>
    <col min="2" max="2" width="10.875" style="1" customWidth="1"/>
    <col min="3" max="7" width="8.375" style="1" customWidth="1"/>
    <col min="8" max="11" width="5.125" style="1" customWidth="1"/>
    <col min="12" max="12" width="6" style="1" customWidth="1"/>
    <col min="13" max="13" width="14.25" style="1" customWidth="1"/>
    <col min="14" max="16384" width="10.875" style="1"/>
  </cols>
  <sheetData>
    <row r="1" spans="2:13" ht="15" thickBot="1"/>
    <row r="2" spans="2:13" ht="15.95" customHeight="1">
      <c r="B2" s="618" t="s">
        <v>181</v>
      </c>
      <c r="C2" s="619"/>
      <c r="D2" s="619"/>
      <c r="E2" s="619"/>
      <c r="F2" s="619"/>
      <c r="G2" s="619"/>
      <c r="H2" s="619"/>
      <c r="I2" s="619"/>
      <c r="J2" s="619"/>
      <c r="K2" s="619"/>
      <c r="L2" s="619"/>
      <c r="M2" s="620"/>
    </row>
    <row r="3" spans="2:13" ht="15.95" customHeight="1">
      <c r="B3" s="621" t="s">
        <v>44</v>
      </c>
      <c r="C3" s="624" t="s">
        <v>109</v>
      </c>
      <c r="D3" s="624"/>
      <c r="E3" s="624"/>
      <c r="F3" s="624"/>
      <c r="G3" s="624"/>
      <c r="H3" s="624"/>
      <c r="I3" s="624"/>
      <c r="J3" s="624"/>
      <c r="K3" s="624"/>
      <c r="L3" s="624"/>
      <c r="M3" s="625"/>
    </row>
    <row r="4" spans="2:13" ht="26.25" customHeight="1">
      <c r="B4" s="622"/>
      <c r="C4" s="626" t="s">
        <v>42</v>
      </c>
      <c r="D4" s="629" t="s">
        <v>39</v>
      </c>
      <c r="E4" s="629"/>
      <c r="F4" s="630" t="s">
        <v>43</v>
      </c>
      <c r="G4" s="630" t="s">
        <v>47</v>
      </c>
      <c r="H4" s="633"/>
      <c r="I4" s="633"/>
      <c r="J4" s="633"/>
      <c r="K4" s="634"/>
      <c r="L4" s="630" t="s">
        <v>45</v>
      </c>
      <c r="M4" s="637"/>
    </row>
    <row r="5" spans="2:13" ht="12" customHeight="1">
      <c r="B5" s="622"/>
      <c r="C5" s="627"/>
      <c r="D5" s="626" t="s">
        <v>41</v>
      </c>
      <c r="E5" s="626" t="s">
        <v>40</v>
      </c>
      <c r="F5" s="631"/>
      <c r="G5" s="631"/>
      <c r="H5" s="635"/>
      <c r="I5" s="635"/>
      <c r="J5" s="635"/>
      <c r="K5" s="636"/>
      <c r="L5" s="631"/>
      <c r="M5" s="638"/>
    </row>
    <row r="6" spans="2:13" ht="12" customHeight="1" thickBot="1">
      <c r="B6" s="623"/>
      <c r="C6" s="628"/>
      <c r="D6" s="628"/>
      <c r="E6" s="628"/>
      <c r="F6" s="632"/>
      <c r="G6" s="352" t="s">
        <v>48</v>
      </c>
      <c r="H6" s="352" t="s">
        <v>49</v>
      </c>
      <c r="I6" s="352" t="s">
        <v>49</v>
      </c>
      <c r="J6" s="352" t="s">
        <v>50</v>
      </c>
      <c r="K6" s="352" t="s">
        <v>51</v>
      </c>
      <c r="L6" s="632"/>
      <c r="M6" s="639"/>
    </row>
    <row r="7" spans="2:13" ht="42.75">
      <c r="B7" s="257" t="s">
        <v>37</v>
      </c>
      <c r="C7" s="258">
        <v>4.2</v>
      </c>
      <c r="D7" s="259">
        <v>19</v>
      </c>
      <c r="E7" s="259">
        <v>6</v>
      </c>
      <c r="F7" s="258">
        <v>0.7</v>
      </c>
      <c r="G7" s="260" t="s">
        <v>52</v>
      </c>
      <c r="H7" s="261">
        <v>0</v>
      </c>
      <c r="I7" s="261">
        <v>0</v>
      </c>
      <c r="J7" s="261">
        <v>4</v>
      </c>
      <c r="K7" s="259">
        <v>8</v>
      </c>
      <c r="L7" s="259" t="s">
        <v>3</v>
      </c>
      <c r="M7" s="262" t="s">
        <v>53</v>
      </c>
    </row>
    <row r="8" spans="2:13" ht="43.5" thickBot="1">
      <c r="B8" s="263" t="s">
        <v>38</v>
      </c>
      <c r="C8" s="264">
        <v>4.2</v>
      </c>
      <c r="D8" s="265">
        <v>24</v>
      </c>
      <c r="E8" s="265">
        <v>7</v>
      </c>
      <c r="F8" s="258">
        <v>0.7</v>
      </c>
      <c r="G8" s="260" t="s">
        <v>52</v>
      </c>
      <c r="H8" s="261">
        <v>0</v>
      </c>
      <c r="I8" s="261">
        <v>0</v>
      </c>
      <c r="J8" s="261">
        <v>4</v>
      </c>
      <c r="K8" s="265">
        <v>8</v>
      </c>
      <c r="L8" s="265">
        <v>1</v>
      </c>
      <c r="M8" s="266" t="s">
        <v>46</v>
      </c>
    </row>
    <row r="9" spans="2:13" ht="12" customHeight="1"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</row>
    <row r="10" spans="2:13">
      <c r="B10" s="388"/>
      <c r="C10" s="388"/>
      <c r="D10" s="388"/>
      <c r="E10" s="388"/>
      <c r="F10" s="388"/>
      <c r="G10" s="388"/>
      <c r="H10" s="388"/>
      <c r="I10" s="388"/>
      <c r="J10" s="388"/>
      <c r="K10" s="388"/>
      <c r="L10" s="388"/>
      <c r="M10" s="388"/>
    </row>
  </sheetData>
  <mergeCells count="11">
    <mergeCell ref="B9:M10"/>
    <mergeCell ref="B2:M2"/>
    <mergeCell ref="B3:B6"/>
    <mergeCell ref="C3:M3"/>
    <mergeCell ref="C4:C6"/>
    <mergeCell ref="D4:E4"/>
    <mergeCell ref="F4:F6"/>
    <mergeCell ref="G4:K5"/>
    <mergeCell ref="L4:M6"/>
    <mergeCell ref="D5:D6"/>
    <mergeCell ref="E5:E6"/>
  </mergeCells>
  <pageMargins left="1" right="1" top="1" bottom="1" header="0.5" footer="0.5"/>
  <pageSetup scale="75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Supuestos</vt:lpstr>
      <vt:lpstr>Caso Base | Edificabilidad</vt:lpstr>
      <vt:lpstr>Caso Base | m2 del Proyecto</vt:lpstr>
      <vt:lpstr>Caso Base | Flujo de Caja</vt:lpstr>
      <vt:lpstr>Caso RT | Edificabilidad</vt:lpstr>
      <vt:lpstr>Caso RT | m2 del Proyecto</vt:lpstr>
      <vt:lpstr>Caso RT | Flujo de Caja</vt:lpstr>
      <vt:lpstr>Comp. Valores de Propiedad</vt:lpstr>
      <vt:lpstr>Caso Opt. RT | Edificabilidad</vt:lpstr>
      <vt:lpstr>Caso Opt. RT | m2 del Proyecto</vt:lpstr>
      <vt:lpstr>Caso Opt. RT| Flujo de Caja</vt:lpstr>
      <vt:lpstr>Comp. Valores de Propiedad Opt.</vt:lpstr>
      <vt:lpstr>'Caso Base | Edificabilidad'!Área_de_impresión</vt:lpstr>
      <vt:lpstr>'Caso Base | m2 del Proyecto'!Área_de_impresión</vt:lpstr>
      <vt:lpstr>'Caso Opt. RT | Edificabilidad'!Área_de_impresión</vt:lpstr>
      <vt:lpstr>'Caso Opt. RT | m2 del Proyecto'!Área_de_impresión</vt:lpstr>
      <vt:lpstr>'Caso RT | Edificabilidad'!Área_de_impresión</vt:lpstr>
      <vt:lpstr>'Caso RT | m2 del Proyecto'!Área_de_impresión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Schrock</dc:creator>
  <cp:lastModifiedBy>15</cp:lastModifiedBy>
  <cp:lastPrinted>2012-07-25T15:44:30Z</cp:lastPrinted>
  <dcterms:created xsi:type="dcterms:W3CDTF">2012-02-05T19:21:22Z</dcterms:created>
  <dcterms:modified xsi:type="dcterms:W3CDTF">2019-12-04T18:19:47Z</dcterms:modified>
</cp:coreProperties>
</file>