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7.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0.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drawings/drawing33.xml" ContentType="application/vnd.openxmlformats-officedocument.drawing+xml"/>
  <Override PartName="/xl/tables/table2.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228"/>
  <workbookPr codeName="ThisWorkbook"/>
  <mc:AlternateContent xmlns:mc="http://schemas.openxmlformats.org/markup-compatibility/2006">
    <mc:Choice Requires="x15">
      <x15ac:absPath xmlns:x15ac="http://schemas.microsoft.com/office/spreadsheetml/2010/11/ac" url="E:\Trabajo Titulación\"/>
    </mc:Choice>
  </mc:AlternateContent>
  <xr:revisionPtr revIDLastSave="0" documentId="13_ncr:1_{6E052D9A-1082-45A0-813C-3F571C18B2EC}" xr6:coauthVersionLast="45" xr6:coauthVersionMax="45" xr10:uidLastSave="{00000000-0000-0000-0000-000000000000}"/>
  <bookViews>
    <workbookView xWindow="-120" yWindow="-120" windowWidth="24240" windowHeight="13140" tabRatio="801" firstSheet="14" activeTab="20" xr2:uid="{00000000-000D-0000-FFFF-FFFF00000000}"/>
  </bookViews>
  <sheets>
    <sheet name="Acta de Constitucion" sheetId="3" r:id="rId1"/>
    <sheet name="Plan Dirección Proyecto" sheetId="9" r:id="rId2"/>
    <sheet name="Factores Ambientales" sheetId="7" r:id="rId3"/>
    <sheet name="Plan Gestión Alcance" sheetId="8" r:id="rId4"/>
    <sheet name="Solicitud Cambio" sheetId="11" r:id="rId5"/>
    <sheet name="Matriz Influencia Previsibilida" sheetId="12" r:id="rId6"/>
    <sheet name="Registro Riesgos Alcance" sheetId="14" r:id="rId7"/>
    <sheet name="Enunciado del Alcance" sheetId="15" r:id="rId8"/>
    <sheet name="Gestión Costos" sheetId="17" r:id="rId9"/>
    <sheet name="Linea Base y Propuesta costos" sheetId="16" r:id="rId10"/>
    <sheet name="Resumen Costos" sheetId="69" r:id="rId11"/>
    <sheet name="Precios terreno" sheetId="72" r:id="rId12"/>
    <sheet name="Presupuesto Obra gris" sheetId="75" r:id="rId13"/>
    <sheet name="presupuesto electrico" sheetId="74" r:id="rId14"/>
    <sheet name="Presupuesto acabados" sheetId="73" r:id="rId15"/>
    <sheet name="Resumen costos directos" sheetId="76" r:id="rId16"/>
    <sheet name="Indirectos Consultorias" sheetId="80" r:id="rId17"/>
    <sheet name="Indirectos Administra" sheetId="78" r:id="rId18"/>
    <sheet name="Indirectos Obras" sheetId="77" r:id="rId19"/>
    <sheet name="Indirectos Estudios" sheetId="85" r:id="rId20"/>
    <sheet name="resumen indirectos" sheetId="81" r:id="rId21"/>
    <sheet name="Cronograma " sheetId="89" r:id="rId22"/>
    <sheet name="Cronograma Valorado" sheetId="87" r:id="rId23"/>
    <sheet name="Gestion Riesgos" sheetId="19" r:id="rId24"/>
    <sheet name="Riesgos y Responsables" sheetId="83" r:id="rId25"/>
    <sheet name="Catego-Origen Riesgos" sheetId="82" r:id="rId26"/>
    <sheet name="Lista Riesgos" sheetId="21" r:id="rId27"/>
    <sheet name="Riesgo Cualitativo" sheetId="90" r:id="rId28"/>
    <sheet name="Respuesta de riesgos" sheetId="24" r:id="rId29"/>
    <sheet name="Adquisiciones" sheetId="25" r:id="rId30"/>
    <sheet name="Efectuar Adquisiciones" sheetId="26" r:id="rId31"/>
    <sheet name="Solicitud Cambio actualización" sheetId="27" r:id="rId32"/>
  </sheets>
  <externalReferences>
    <externalReference r:id="rId33"/>
    <externalReference r:id="rId34"/>
    <externalReference r:id="rId35"/>
    <externalReference r:id="rId36"/>
    <externalReference r:id="rId37"/>
    <externalReference r:id="rId38"/>
  </externalReferences>
  <definedNames>
    <definedName name="_xlnm.Print_Area" localSheetId="0">'Acta de Constitucion'!$A$1:$G$139</definedName>
    <definedName name="_xlnm.Print_Area" localSheetId="22">'Cronograma Valorado'!$A$1:$V$909</definedName>
    <definedName name="_xlnm.Print_Area" localSheetId="17">'Indirectos Administra'!$D$4:$X$78</definedName>
    <definedName name="_xlnm.Print_Area" localSheetId="19">'Indirectos Estudios'!$B$3:$I$49</definedName>
    <definedName name="_xlnm.Print_Area" localSheetId="18">'Indirectos Obras'!$D$4:$V$135</definedName>
    <definedName name="_xlnm.Print_Area" localSheetId="13">'presupuesto electrico'!$A$1:$I$86</definedName>
    <definedName name="_xlnm.Print_Titles" localSheetId="13">'presupuesto electrico'!$1:$2</definedName>
    <definedName name="_xlnm.Print_Titles" localSheetId="12">'Presupuesto Obra gris'!$1:$2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919" i="87" l="1"/>
  <c r="I919" i="87"/>
  <c r="J919" i="87"/>
  <c r="K919" i="87"/>
  <c r="L919" i="87"/>
  <c r="M919" i="87"/>
  <c r="N919" i="87"/>
  <c r="O919" i="87"/>
  <c r="P919" i="87"/>
  <c r="Q919" i="87"/>
  <c r="R919" i="87"/>
  <c r="S919" i="87"/>
  <c r="T919" i="87"/>
  <c r="U919" i="87"/>
  <c r="V919" i="87"/>
  <c r="G919" i="87"/>
  <c r="G920" i="87" s="1"/>
  <c r="H920" i="87" l="1"/>
  <c r="I920" i="87" s="1"/>
  <c r="J920" i="87" s="1"/>
  <c r="K920" i="87" s="1"/>
  <c r="L920" i="87" s="1"/>
  <c r="M920" i="87" s="1"/>
  <c r="N920" i="87" s="1"/>
  <c r="O920" i="87" s="1"/>
  <c r="P920" i="87" s="1"/>
  <c r="Q920" i="87" s="1"/>
  <c r="R920" i="87" s="1"/>
  <c r="S920" i="87" s="1"/>
  <c r="T920" i="87" s="1"/>
  <c r="U920" i="87" s="1"/>
  <c r="V920" i="87" s="1"/>
  <c r="X919" i="87" s="1"/>
  <c r="X918" i="87" s="1"/>
  <c r="L179" i="77"/>
  <c r="M179" i="77"/>
  <c r="N179" i="77"/>
  <c r="O179" i="77"/>
  <c r="P179" i="77"/>
  <c r="Q179" i="77"/>
  <c r="R179" i="77"/>
  <c r="S179" i="77"/>
  <c r="T179" i="77"/>
  <c r="U179" i="77"/>
  <c r="V179" i="77"/>
  <c r="W179" i="77"/>
  <c r="X179" i="77"/>
  <c r="K179" i="77"/>
  <c r="AA175" i="77" l="1"/>
  <c r="AA176" i="77"/>
  <c r="AA177" i="77"/>
  <c r="AA178" i="77"/>
  <c r="Y180" i="77"/>
  <c r="K180" i="77"/>
  <c r="AA171" i="77"/>
  <c r="W149" i="77"/>
  <c r="W150" i="77"/>
  <c r="W151" i="77"/>
  <c r="W152" i="77"/>
  <c r="W153" i="77"/>
  <c r="W154" i="77"/>
  <c r="W155" i="77"/>
  <c r="W156" i="77"/>
  <c r="W157" i="77"/>
  <c r="W158" i="77"/>
  <c r="W159" i="77"/>
  <c r="W160" i="77"/>
  <c r="W161" i="77"/>
  <c r="W162" i="77"/>
  <c r="W163" i="77"/>
  <c r="W164" i="77"/>
  <c r="W165" i="77"/>
  <c r="W166" i="77"/>
  <c r="W167" i="77"/>
  <c r="W168" i="77"/>
  <c r="W169" i="77"/>
  <c r="W170" i="77"/>
  <c r="W148" i="77"/>
  <c r="L171" i="77"/>
  <c r="M171" i="77"/>
  <c r="N171" i="77"/>
  <c r="O171" i="77"/>
  <c r="P171" i="77"/>
  <c r="Q171" i="77"/>
  <c r="R171" i="77"/>
  <c r="S171" i="77"/>
  <c r="T171" i="77"/>
  <c r="U171" i="77"/>
  <c r="V171" i="77"/>
  <c r="K171" i="77"/>
  <c r="L180" i="77" l="1"/>
  <c r="M180" i="77" s="1"/>
  <c r="N180" i="77" s="1"/>
  <c r="O180" i="77" s="1"/>
  <c r="P180" i="77" s="1"/>
  <c r="Q180" i="77" s="1"/>
  <c r="R180" i="77" s="1"/>
  <c r="S180" i="77" s="1"/>
  <c r="T180" i="77" s="1"/>
  <c r="U180" i="77" s="1"/>
  <c r="V180" i="77" s="1"/>
  <c r="W180" i="77" s="1"/>
  <c r="X180" i="77" s="1"/>
  <c r="AA180" i="77"/>
  <c r="C7" i="76"/>
  <c r="D7" i="76"/>
  <c r="E5" i="76" s="1"/>
  <c r="D8" i="69"/>
  <c r="E6" i="69" s="1"/>
  <c r="C8" i="69"/>
  <c r="D9" i="81"/>
  <c r="E8" i="81" s="1"/>
  <c r="K16" i="85"/>
  <c r="K17" i="85"/>
  <c r="K18" i="85"/>
  <c r="K19" i="85"/>
  <c r="K20" i="85"/>
  <c r="K21" i="85"/>
  <c r="K22" i="85"/>
  <c r="K23" i="85"/>
  <c r="K24" i="85"/>
  <c r="K25" i="85"/>
  <c r="K26" i="85"/>
  <c r="K30" i="85"/>
  <c r="K15" i="85"/>
  <c r="B50" i="85"/>
  <c r="B49" i="85"/>
  <c r="B48" i="85"/>
  <c r="B47" i="85"/>
  <c r="B46" i="85"/>
  <c r="E42" i="85"/>
  <c r="E36" i="85"/>
  <c r="E35" i="85"/>
  <c r="G29" i="85"/>
  <c r="H26" i="85"/>
  <c r="H25" i="85"/>
  <c r="F24" i="85"/>
  <c r="H24" i="85" s="1"/>
  <c r="F23" i="85"/>
  <c r="H23" i="85" s="1"/>
  <c r="G22" i="85"/>
  <c r="H22" i="85" s="1"/>
  <c r="F21" i="85"/>
  <c r="F20" i="85"/>
  <c r="F19" i="85"/>
  <c r="G18" i="85"/>
  <c r="F18" i="85"/>
  <c r="F17" i="85"/>
  <c r="H17" i="85" s="1"/>
  <c r="F16" i="85"/>
  <c r="H16" i="85" s="1"/>
  <c r="F15" i="85"/>
  <c r="H15" i="85" s="1"/>
  <c r="H8" i="85"/>
  <c r="E8" i="85"/>
  <c r="E5" i="69" l="1"/>
  <c r="E8" i="69"/>
  <c r="E7" i="69"/>
  <c r="E7" i="81"/>
  <c r="E4" i="76"/>
  <c r="E7" i="76"/>
  <c r="E6" i="76"/>
  <c r="E6" i="81"/>
  <c r="H18" i="85"/>
  <c r="G19" i="85"/>
  <c r="X25" i="77"/>
  <c r="X26" i="77"/>
  <c r="X27" i="77"/>
  <c r="X28" i="77"/>
  <c r="X29" i="77"/>
  <c r="X30" i="77"/>
  <c r="X31" i="77"/>
  <c r="X32" i="77"/>
  <c r="X33" i="77"/>
  <c r="X34" i="77"/>
  <c r="X35" i="77"/>
  <c r="X36" i="77"/>
  <c r="X37" i="77"/>
  <c r="X38" i="77"/>
  <c r="X39" i="77"/>
  <c r="X40" i="77"/>
  <c r="X41" i="77"/>
  <c r="X42" i="77"/>
  <c r="X43" i="77"/>
  <c r="X44" i="77"/>
  <c r="X45" i="77"/>
  <c r="X46" i="77"/>
  <c r="X47" i="77"/>
  <c r="X48" i="77"/>
  <c r="X49" i="77"/>
  <c r="X50" i="77"/>
  <c r="X51" i="77"/>
  <c r="X52" i="77"/>
  <c r="X53" i="77"/>
  <c r="X54" i="77"/>
  <c r="X55" i="77"/>
  <c r="X56" i="77"/>
  <c r="X57" i="77"/>
  <c r="X58" i="77"/>
  <c r="X59" i="77"/>
  <c r="X60" i="77"/>
  <c r="X61" i="77"/>
  <c r="X62" i="77"/>
  <c r="X63" i="77"/>
  <c r="X64" i="77"/>
  <c r="X65" i="77"/>
  <c r="X66" i="77"/>
  <c r="X67" i="77"/>
  <c r="X68" i="77"/>
  <c r="X69" i="77"/>
  <c r="X70" i="77"/>
  <c r="X71" i="77"/>
  <c r="X72" i="77"/>
  <c r="X73" i="77"/>
  <c r="X74" i="77"/>
  <c r="X75" i="77"/>
  <c r="X76" i="77"/>
  <c r="X77" i="77"/>
  <c r="X78" i="77"/>
  <c r="X79" i="77"/>
  <c r="X80" i="77"/>
  <c r="X81" i="77"/>
  <c r="X82" i="77"/>
  <c r="X83" i="77"/>
  <c r="X84" i="77"/>
  <c r="X85" i="77"/>
  <c r="X86" i="77"/>
  <c r="X87" i="77"/>
  <c r="X88" i="77"/>
  <c r="X89" i="77"/>
  <c r="X90" i="77"/>
  <c r="X91" i="77"/>
  <c r="X92" i="77"/>
  <c r="X93" i="77"/>
  <c r="X94" i="77"/>
  <c r="X95" i="77"/>
  <c r="X96" i="77"/>
  <c r="X97" i="77"/>
  <c r="X98" i="77"/>
  <c r="X99" i="77"/>
  <c r="X100" i="77"/>
  <c r="X101" i="77"/>
  <c r="X102" i="77"/>
  <c r="X103" i="77"/>
  <c r="X104" i="77"/>
  <c r="X105" i="77"/>
  <c r="X106" i="77"/>
  <c r="X107" i="77"/>
  <c r="X108" i="77"/>
  <c r="X109" i="77"/>
  <c r="X110" i="77"/>
  <c r="X111" i="77"/>
  <c r="X112" i="77"/>
  <c r="X113" i="77"/>
  <c r="X114" i="77"/>
  <c r="X115" i="77"/>
  <c r="X116" i="77"/>
  <c r="X117" i="77"/>
  <c r="X118" i="77"/>
  <c r="X119" i="77"/>
  <c r="X120" i="77"/>
  <c r="X24" i="77"/>
  <c r="Z13" i="78"/>
  <c r="Z14" i="78"/>
  <c r="Z15" i="78"/>
  <c r="Z16" i="78"/>
  <c r="Z17" i="78"/>
  <c r="Z18" i="78"/>
  <c r="Z19" i="78"/>
  <c r="Z20" i="78"/>
  <c r="Z21" i="78"/>
  <c r="Z22" i="78"/>
  <c r="Z23" i="78"/>
  <c r="Z24" i="78"/>
  <c r="Z25" i="78"/>
  <c r="Z26" i="78"/>
  <c r="Z27" i="78"/>
  <c r="Z28" i="78"/>
  <c r="Z29" i="78"/>
  <c r="Z30" i="78"/>
  <c r="Z31" i="78"/>
  <c r="Z32" i="78"/>
  <c r="Z33" i="78"/>
  <c r="Z34" i="78"/>
  <c r="Z35" i="78"/>
  <c r="Z36" i="78"/>
  <c r="Z37" i="78"/>
  <c r="Z38" i="78"/>
  <c r="Z39" i="78"/>
  <c r="Z40" i="78"/>
  <c r="Z41" i="78"/>
  <c r="Z42" i="78"/>
  <c r="Z43" i="78"/>
  <c r="Z44" i="78"/>
  <c r="Z45" i="78"/>
  <c r="Z46" i="78"/>
  <c r="Z47" i="78"/>
  <c r="Z48" i="78"/>
  <c r="Z49" i="78"/>
  <c r="Z50" i="78"/>
  <c r="Z51" i="78"/>
  <c r="Z52" i="78"/>
  <c r="Z53" i="78"/>
  <c r="Z54" i="78"/>
  <c r="Z55" i="78"/>
  <c r="Z56" i="78"/>
  <c r="Z57" i="78"/>
  <c r="Z58" i="78"/>
  <c r="Z59" i="78"/>
  <c r="Z60" i="78"/>
  <c r="Z61" i="78"/>
  <c r="Z62" i="78"/>
  <c r="G150" i="80"/>
  <c r="K150" i="80" s="1"/>
  <c r="G149" i="80"/>
  <c r="K149" i="80" s="1"/>
  <c r="G148" i="80"/>
  <c r="K148" i="80" s="1"/>
  <c r="K145" i="80"/>
  <c r="K144" i="80"/>
  <c r="K143" i="80"/>
  <c r="K142" i="80"/>
  <c r="K141" i="80"/>
  <c r="K140" i="80" s="1"/>
  <c r="E138" i="80"/>
  <c r="G138" i="80" s="1"/>
  <c r="J138" i="80" s="1"/>
  <c r="E137" i="80"/>
  <c r="G137" i="80" s="1"/>
  <c r="E136" i="80"/>
  <c r="G136" i="80" s="1"/>
  <c r="J136" i="80" s="1"/>
  <c r="E135" i="80"/>
  <c r="G135" i="80" s="1"/>
  <c r="J135" i="80" s="1"/>
  <c r="E134" i="80"/>
  <c r="G134" i="80" s="1"/>
  <c r="J134" i="80" s="1"/>
  <c r="E133" i="80"/>
  <c r="G133" i="80" s="1"/>
  <c r="H133" i="80" s="1"/>
  <c r="K130" i="80"/>
  <c r="E126" i="80"/>
  <c r="G126" i="80" s="1"/>
  <c r="J126" i="80" s="1"/>
  <c r="E125" i="80"/>
  <c r="G125" i="80" s="1"/>
  <c r="E124" i="80"/>
  <c r="G124" i="80" s="1"/>
  <c r="J124" i="80" s="1"/>
  <c r="E123" i="80"/>
  <c r="G123" i="80" s="1"/>
  <c r="J123" i="80" s="1"/>
  <c r="E122" i="80"/>
  <c r="G122" i="80" s="1"/>
  <c r="J122" i="80" s="1"/>
  <c r="E121" i="80"/>
  <c r="G121" i="80" s="1"/>
  <c r="E120" i="80"/>
  <c r="G120" i="80" s="1"/>
  <c r="E117" i="80"/>
  <c r="G117" i="80" s="1"/>
  <c r="J117" i="80" s="1"/>
  <c r="E116" i="80"/>
  <c r="G116" i="80" s="1"/>
  <c r="J116" i="80" s="1"/>
  <c r="E115" i="80"/>
  <c r="G115" i="80" s="1"/>
  <c r="J115" i="80" s="1"/>
  <c r="E114" i="80"/>
  <c r="G114" i="80" s="1"/>
  <c r="E113" i="80"/>
  <c r="G113" i="80" s="1"/>
  <c r="E110" i="80"/>
  <c r="G110" i="80" s="1"/>
  <c r="J110" i="80" s="1"/>
  <c r="E109" i="80"/>
  <c r="G109" i="80" s="1"/>
  <c r="E104" i="80"/>
  <c r="G104" i="80" s="1"/>
  <c r="E103" i="80"/>
  <c r="G103" i="80" s="1"/>
  <c r="E102" i="80"/>
  <c r="G102" i="80" s="1"/>
  <c r="I102" i="80" s="1"/>
  <c r="E101" i="80"/>
  <c r="G101" i="80" s="1"/>
  <c r="E98" i="80"/>
  <c r="G98" i="80" s="1"/>
  <c r="J98" i="80" s="1"/>
  <c r="G97" i="80"/>
  <c r="J97" i="80" s="1"/>
  <c r="E97" i="80"/>
  <c r="E96" i="80"/>
  <c r="G96" i="80" s="1"/>
  <c r="J96" i="80" s="1"/>
  <c r="E95" i="80"/>
  <c r="G95" i="80" s="1"/>
  <c r="E94" i="80"/>
  <c r="G94" i="80" s="1"/>
  <c r="M59" i="80"/>
  <c r="M58" i="80"/>
  <c r="G58" i="80"/>
  <c r="M57" i="80"/>
  <c r="G57" i="80"/>
  <c r="M56" i="80"/>
  <c r="G56" i="80"/>
  <c r="M55" i="80"/>
  <c r="G55" i="80"/>
  <c r="M54" i="80"/>
  <c r="M53" i="80"/>
  <c r="M52" i="80"/>
  <c r="E52" i="80"/>
  <c r="G52" i="80" s="1"/>
  <c r="M51" i="80"/>
  <c r="E51" i="80"/>
  <c r="G51" i="80" s="1"/>
  <c r="M50" i="80"/>
  <c r="M49" i="80"/>
  <c r="M48" i="80"/>
  <c r="M47" i="80"/>
  <c r="E47" i="80"/>
  <c r="G47" i="80" s="1"/>
  <c r="M46" i="80"/>
  <c r="E46" i="80"/>
  <c r="G46" i="80" s="1"/>
  <c r="M45" i="80"/>
  <c r="E45" i="80"/>
  <c r="G45" i="80" s="1"/>
  <c r="I45" i="80" s="1"/>
  <c r="M44" i="80"/>
  <c r="E44" i="80"/>
  <c r="G44" i="80" s="1"/>
  <c r="M43" i="80"/>
  <c r="E43" i="80"/>
  <c r="G43" i="80" s="1"/>
  <c r="M42" i="80"/>
  <c r="M41" i="80"/>
  <c r="M40" i="80"/>
  <c r="E40" i="80"/>
  <c r="G40" i="80" s="1"/>
  <c r="J40" i="80" s="1"/>
  <c r="M39" i="80"/>
  <c r="E39" i="80"/>
  <c r="G39" i="80" s="1"/>
  <c r="M38" i="80"/>
  <c r="M37" i="80"/>
  <c r="M36" i="80"/>
  <c r="M35" i="80"/>
  <c r="M34" i="80"/>
  <c r="E34" i="80"/>
  <c r="G34" i="80" s="1"/>
  <c r="M33" i="80"/>
  <c r="E33" i="80"/>
  <c r="G33" i="80" s="1"/>
  <c r="H33" i="80" s="1"/>
  <c r="M32" i="80"/>
  <c r="E32" i="80"/>
  <c r="G32" i="80" s="1"/>
  <c r="J32" i="80" s="1"/>
  <c r="M31" i="80"/>
  <c r="E31" i="80"/>
  <c r="G31" i="80" s="1"/>
  <c r="H31" i="80" s="1"/>
  <c r="M30" i="80"/>
  <c r="M29" i="80"/>
  <c r="M28" i="80"/>
  <c r="E28" i="80"/>
  <c r="G28" i="80" s="1"/>
  <c r="M27" i="80"/>
  <c r="E27" i="80"/>
  <c r="G27" i="80" s="1"/>
  <c r="H27" i="80" s="1"/>
  <c r="M26" i="80"/>
  <c r="E26" i="80"/>
  <c r="G26" i="80" s="1"/>
  <c r="J26" i="80" s="1"/>
  <c r="M25" i="80"/>
  <c r="E25" i="80"/>
  <c r="G25" i="80" s="1"/>
  <c r="M24" i="80"/>
  <c r="E24" i="80"/>
  <c r="G24" i="80" s="1"/>
  <c r="J24" i="80" s="1"/>
  <c r="M23" i="80"/>
  <c r="J23" i="80"/>
  <c r="E23" i="80"/>
  <c r="G23" i="80" s="1"/>
  <c r="H23" i="80" s="1"/>
  <c r="M22" i="80"/>
  <c r="E22" i="80"/>
  <c r="G22" i="80" s="1"/>
  <c r="J22" i="80" s="1"/>
  <c r="M21" i="80"/>
  <c r="E21" i="80"/>
  <c r="G21" i="80" s="1"/>
  <c r="H21" i="80" s="1"/>
  <c r="M20" i="80"/>
  <c r="M19" i="80"/>
  <c r="M18" i="80"/>
  <c r="E18" i="80"/>
  <c r="G18" i="80" s="1"/>
  <c r="M17" i="80"/>
  <c r="E17" i="80"/>
  <c r="G17" i="80" s="1"/>
  <c r="H17" i="80" s="1"/>
  <c r="M16" i="80"/>
  <c r="E16" i="80"/>
  <c r="G16" i="80" s="1"/>
  <c r="J16" i="80" s="1"/>
  <c r="M15" i="80"/>
  <c r="E15" i="80"/>
  <c r="G15" i="80" s="1"/>
  <c r="M14" i="80"/>
  <c r="M13" i="80"/>
  <c r="M12" i="80"/>
  <c r="G60" i="78"/>
  <c r="I60" i="78" s="1"/>
  <c r="S60" i="78" s="1"/>
  <c r="G59" i="78"/>
  <c r="I59" i="78" s="1"/>
  <c r="T59" i="78" s="1"/>
  <c r="G58" i="78"/>
  <c r="I58" i="78" s="1"/>
  <c r="G57" i="78"/>
  <c r="I57" i="78" s="1"/>
  <c r="G56" i="78"/>
  <c r="I56" i="78" s="1"/>
  <c r="S56" i="78" s="1"/>
  <c r="G55" i="78"/>
  <c r="I55" i="78" s="1"/>
  <c r="L55" i="78" s="1"/>
  <c r="E52" i="78"/>
  <c r="E51" i="78"/>
  <c r="G51" i="78" s="1"/>
  <c r="I51" i="78" s="1"/>
  <c r="M51" i="78" s="1"/>
  <c r="E46" i="78"/>
  <c r="G46" i="78" s="1"/>
  <c r="G45" i="78"/>
  <c r="I45" i="78" s="1"/>
  <c r="T45" i="78" s="1"/>
  <c r="G44" i="78"/>
  <c r="I44" i="78" s="1"/>
  <c r="U44" i="78" s="1"/>
  <c r="G43" i="78"/>
  <c r="I43" i="78" s="1"/>
  <c r="G42" i="78"/>
  <c r="I42" i="78" s="1"/>
  <c r="S42" i="78" s="1"/>
  <c r="G41" i="78"/>
  <c r="I41" i="78" s="1"/>
  <c r="G40" i="78"/>
  <c r="I40" i="78" s="1"/>
  <c r="M40" i="78" s="1"/>
  <c r="E37" i="78"/>
  <c r="G37" i="78" s="1"/>
  <c r="E36" i="78"/>
  <c r="E35" i="78"/>
  <c r="G35" i="78" s="1"/>
  <c r="E34" i="78"/>
  <c r="E33" i="78"/>
  <c r="G33" i="78" s="1"/>
  <c r="G30" i="78"/>
  <c r="I30" i="78" s="1"/>
  <c r="G29" i="78"/>
  <c r="I29" i="78" s="1"/>
  <c r="E24" i="78"/>
  <c r="G23" i="78"/>
  <c r="I23" i="78" s="1"/>
  <c r="T23" i="78" s="1"/>
  <c r="G22" i="78"/>
  <c r="I22" i="78" s="1"/>
  <c r="E21" i="78"/>
  <c r="G18" i="78"/>
  <c r="I18" i="78" s="1"/>
  <c r="G17" i="78"/>
  <c r="I17" i="78" s="1"/>
  <c r="G16" i="78"/>
  <c r="I16" i="78" s="1"/>
  <c r="U16" i="78" s="1"/>
  <c r="G118" i="77"/>
  <c r="F118" i="77"/>
  <c r="F117" i="77"/>
  <c r="G117" i="77" s="1"/>
  <c r="I117" i="77" s="1"/>
  <c r="T117" i="77" s="1"/>
  <c r="F116" i="77"/>
  <c r="G116" i="77" s="1"/>
  <c r="I116" i="77" s="1"/>
  <c r="T116" i="77" s="1"/>
  <c r="F114" i="77"/>
  <c r="G114" i="77" s="1"/>
  <c r="I114" i="77" s="1"/>
  <c r="F113" i="77"/>
  <c r="G113" i="77" s="1"/>
  <c r="I113" i="77" s="1"/>
  <c r="T113" i="77" s="1"/>
  <c r="F112" i="77"/>
  <c r="G112" i="77" s="1"/>
  <c r="I112" i="77" s="1"/>
  <c r="T112" i="77" s="1"/>
  <c r="F111" i="77"/>
  <c r="G111" i="77" s="1"/>
  <c r="G110" i="77"/>
  <c r="I110" i="77" s="1"/>
  <c r="P110" i="77" s="1"/>
  <c r="F110" i="77"/>
  <c r="N107" i="77"/>
  <c r="Q107" i="77" s="1"/>
  <c r="V107" i="77" s="1"/>
  <c r="F107" i="77"/>
  <c r="N106" i="77"/>
  <c r="Q106" i="77" s="1"/>
  <c r="V106" i="77" s="1"/>
  <c r="F106" i="77"/>
  <c r="N105" i="77"/>
  <c r="Q105" i="77" s="1"/>
  <c r="F105" i="77"/>
  <c r="F104" i="77"/>
  <c r="L104" i="77" s="1"/>
  <c r="N104" i="77" s="1"/>
  <c r="Q104" i="77" s="1"/>
  <c r="F103" i="77"/>
  <c r="L103" i="77" s="1"/>
  <c r="N103" i="77" s="1"/>
  <c r="Q103" i="77" s="1"/>
  <c r="F102" i="77"/>
  <c r="I101" i="77"/>
  <c r="I102" i="77" s="1"/>
  <c r="F101" i="77"/>
  <c r="F100" i="77"/>
  <c r="L100" i="77" s="1"/>
  <c r="N100" i="77" s="1"/>
  <c r="Q100" i="77" s="1"/>
  <c r="V100" i="77" s="1"/>
  <c r="G97" i="77"/>
  <c r="I97" i="77" s="1"/>
  <c r="T97" i="77" s="1"/>
  <c r="G96" i="77"/>
  <c r="I96" i="77" s="1"/>
  <c r="S96" i="77" s="1"/>
  <c r="G95" i="77"/>
  <c r="I95" i="77" s="1"/>
  <c r="U95" i="77" s="1"/>
  <c r="G94" i="77"/>
  <c r="I94" i="77" s="1"/>
  <c r="M94" i="77" s="1"/>
  <c r="G93" i="77"/>
  <c r="I93" i="77" s="1"/>
  <c r="T93" i="77" s="1"/>
  <c r="G92" i="77"/>
  <c r="I92" i="77" s="1"/>
  <c r="S92" i="77" s="1"/>
  <c r="G89" i="77"/>
  <c r="I89" i="77" s="1"/>
  <c r="T89" i="77" s="1"/>
  <c r="G88" i="77"/>
  <c r="I88" i="77" s="1"/>
  <c r="S88" i="77" s="1"/>
  <c r="G87" i="77"/>
  <c r="I87" i="77" s="1"/>
  <c r="G86" i="77"/>
  <c r="I86" i="77" s="1"/>
  <c r="G85" i="77"/>
  <c r="I85" i="77" s="1"/>
  <c r="G84" i="77"/>
  <c r="I84" i="77" s="1"/>
  <c r="O84" i="77" s="1"/>
  <c r="G83" i="77"/>
  <c r="I83" i="77" s="1"/>
  <c r="R83" i="77" s="1"/>
  <c r="G80" i="77"/>
  <c r="I80" i="77" s="1"/>
  <c r="T80" i="77" s="1"/>
  <c r="E79" i="77"/>
  <c r="E78" i="77"/>
  <c r="G73" i="77"/>
  <c r="I73" i="77" s="1"/>
  <c r="G72" i="77"/>
  <c r="I72" i="77" s="1"/>
  <c r="G71" i="77"/>
  <c r="I71" i="77" s="1"/>
  <c r="O71" i="77" s="1"/>
  <c r="G70" i="77"/>
  <c r="I70" i="77" s="1"/>
  <c r="N70" i="77" s="1"/>
  <c r="G69" i="77"/>
  <c r="I69" i="77" s="1"/>
  <c r="G68" i="77"/>
  <c r="I68" i="77" s="1"/>
  <c r="G67" i="77"/>
  <c r="I67" i="77" s="1"/>
  <c r="O67" i="77" s="1"/>
  <c r="G64" i="77"/>
  <c r="I64" i="77" s="1"/>
  <c r="G63" i="77"/>
  <c r="I63" i="77" s="1"/>
  <c r="O63" i="77" s="1"/>
  <c r="G62" i="77"/>
  <c r="I62" i="77" s="1"/>
  <c r="N62" i="77" s="1"/>
  <c r="G61" i="77"/>
  <c r="I61" i="77" s="1"/>
  <c r="G60" i="77"/>
  <c r="I60" i="77" s="1"/>
  <c r="P60" i="77" s="1"/>
  <c r="G57" i="77"/>
  <c r="I57" i="77" s="1"/>
  <c r="R57" i="77" s="1"/>
  <c r="G56" i="77"/>
  <c r="I56" i="77" s="1"/>
  <c r="G55" i="77"/>
  <c r="I55" i="77" s="1"/>
  <c r="S55" i="77" s="1"/>
  <c r="G54" i="77"/>
  <c r="I54" i="77" s="1"/>
  <c r="T54" i="77" s="1"/>
  <c r="G53" i="77"/>
  <c r="I53" i="77" s="1"/>
  <c r="G52" i="77"/>
  <c r="I52" i="77" s="1"/>
  <c r="G51" i="77"/>
  <c r="I51" i="77" s="1"/>
  <c r="G50" i="77"/>
  <c r="I50" i="77" s="1"/>
  <c r="T50" i="77" s="1"/>
  <c r="G49" i="77"/>
  <c r="I49" i="77" s="1"/>
  <c r="P49" i="77" s="1"/>
  <c r="G48" i="77"/>
  <c r="I48" i="77" s="1"/>
  <c r="E43" i="77"/>
  <c r="G43" i="77" s="1"/>
  <c r="I43" i="77" s="1"/>
  <c r="G42" i="77"/>
  <c r="I42" i="77" s="1"/>
  <c r="U42" i="77" s="1"/>
  <c r="G39" i="77"/>
  <c r="I39" i="77" s="1"/>
  <c r="R39" i="77" s="1"/>
  <c r="G38" i="77"/>
  <c r="I38" i="77" s="1"/>
  <c r="G37" i="77"/>
  <c r="I37" i="77" s="1"/>
  <c r="L37" i="77" s="1"/>
  <c r="G36" i="77"/>
  <c r="I36" i="77" s="1"/>
  <c r="S36" i="77" s="1"/>
  <c r="G35" i="77"/>
  <c r="I35" i="77" s="1"/>
  <c r="R35" i="77" s="1"/>
  <c r="G32" i="77"/>
  <c r="I32" i="77" s="1"/>
  <c r="G31" i="77"/>
  <c r="I31" i="77" s="1"/>
  <c r="R31" i="77" s="1"/>
  <c r="G30" i="77"/>
  <c r="I30" i="77" s="1"/>
  <c r="G29" i="77"/>
  <c r="I29" i="77" s="1"/>
  <c r="P29" i="77" s="1"/>
  <c r="G28" i="77"/>
  <c r="I28" i="77" s="1"/>
  <c r="O28" i="77" s="1"/>
  <c r="G27" i="77"/>
  <c r="I27" i="77" s="1"/>
  <c r="R27" i="77" s="1"/>
  <c r="E19" i="77"/>
  <c r="E17" i="77"/>
  <c r="F15" i="77"/>
  <c r="F14" i="77"/>
  <c r="F13" i="77"/>
  <c r="F12" i="77"/>
  <c r="K58" i="80" l="1"/>
  <c r="H58" i="80"/>
  <c r="J58" i="80"/>
  <c r="I58" i="80"/>
  <c r="K55" i="80"/>
  <c r="J55" i="80"/>
  <c r="H55" i="80"/>
  <c r="I55" i="80"/>
  <c r="K56" i="80"/>
  <c r="I56" i="80"/>
  <c r="J56" i="80"/>
  <c r="H56" i="80"/>
  <c r="K57" i="80"/>
  <c r="H57" i="80"/>
  <c r="I57" i="80"/>
  <c r="J57" i="80"/>
  <c r="V104" i="77"/>
  <c r="V105" i="77"/>
  <c r="V103" i="77"/>
  <c r="K92" i="77"/>
  <c r="P37" i="77"/>
  <c r="I23" i="80"/>
  <c r="K23" i="80" s="1"/>
  <c r="H19" i="85"/>
  <c r="G20" i="85"/>
  <c r="S28" i="77"/>
  <c r="L101" i="77"/>
  <c r="N101" i="77" s="1"/>
  <c r="Q101" i="77" s="1"/>
  <c r="J70" i="77"/>
  <c r="N83" i="77"/>
  <c r="J62" i="77"/>
  <c r="H110" i="77"/>
  <c r="M60" i="80"/>
  <c r="H116" i="80"/>
  <c r="H135" i="80"/>
  <c r="J95" i="80"/>
  <c r="H95" i="80"/>
  <c r="J121" i="80"/>
  <c r="H121" i="80"/>
  <c r="J137" i="80"/>
  <c r="H137" i="80"/>
  <c r="J114" i="80"/>
  <c r="H114" i="80"/>
  <c r="G111" i="80"/>
  <c r="H109" i="80"/>
  <c r="J125" i="80"/>
  <c r="H125" i="80"/>
  <c r="J44" i="80"/>
  <c r="H44" i="80"/>
  <c r="T63" i="77"/>
  <c r="P112" i="77"/>
  <c r="H97" i="80"/>
  <c r="H123" i="80"/>
  <c r="L102" i="77"/>
  <c r="N102" i="77" s="1"/>
  <c r="Q102" i="77" s="1"/>
  <c r="E5" i="81"/>
  <c r="E9" i="81"/>
  <c r="S67" i="77"/>
  <c r="H22" i="80"/>
  <c r="L110" i="77"/>
  <c r="I22" i="80"/>
  <c r="P64" i="77"/>
  <c r="L64" i="77"/>
  <c r="U64" i="77"/>
  <c r="M64" i="77"/>
  <c r="T64" i="77"/>
  <c r="U38" i="77"/>
  <c r="M38" i="77"/>
  <c r="Q38" i="77"/>
  <c r="N61" i="77"/>
  <c r="J61" i="77"/>
  <c r="U61" i="77"/>
  <c r="R61" i="77"/>
  <c r="M61" i="77"/>
  <c r="U60" i="77"/>
  <c r="O36" i="77"/>
  <c r="J57" i="77"/>
  <c r="L60" i="77"/>
  <c r="K62" i="77"/>
  <c r="K63" i="77"/>
  <c r="K70" i="77"/>
  <c r="K71" i="77"/>
  <c r="L89" i="77"/>
  <c r="O92" i="77"/>
  <c r="T29" i="77"/>
  <c r="N39" i="77"/>
  <c r="U57" i="77"/>
  <c r="M60" i="77"/>
  <c r="R62" i="77"/>
  <c r="L63" i="77"/>
  <c r="R70" i="77"/>
  <c r="K88" i="77"/>
  <c r="P89" i="77"/>
  <c r="T60" i="77"/>
  <c r="S62" i="77"/>
  <c r="S63" i="77"/>
  <c r="S70" i="77"/>
  <c r="O88" i="77"/>
  <c r="P93" i="77"/>
  <c r="L112" i="77"/>
  <c r="L97" i="77"/>
  <c r="N95" i="77"/>
  <c r="O96" i="77"/>
  <c r="P97" i="77"/>
  <c r="J95" i="77"/>
  <c r="K96" i="77"/>
  <c r="L93" i="77"/>
  <c r="R95" i="77"/>
  <c r="U87" i="77"/>
  <c r="J87" i="77"/>
  <c r="R87" i="77"/>
  <c r="N87" i="77"/>
  <c r="P72" i="77"/>
  <c r="M72" i="77"/>
  <c r="T72" i="77"/>
  <c r="L72" i="77"/>
  <c r="U72" i="77"/>
  <c r="N73" i="77"/>
  <c r="U73" i="77"/>
  <c r="R73" i="77"/>
  <c r="M73" i="77"/>
  <c r="J73" i="77"/>
  <c r="L71" i="77"/>
  <c r="S71" i="77"/>
  <c r="T71" i="77"/>
  <c r="P68" i="77"/>
  <c r="U68" i="77"/>
  <c r="L68" i="77"/>
  <c r="T68" i="77"/>
  <c r="M68" i="77"/>
  <c r="N69" i="77"/>
  <c r="M69" i="77"/>
  <c r="R69" i="77"/>
  <c r="J69" i="77"/>
  <c r="U69" i="77"/>
  <c r="T67" i="77"/>
  <c r="K67" i="77"/>
  <c r="L67" i="77"/>
  <c r="K55" i="77"/>
  <c r="T55" i="77"/>
  <c r="M50" i="77"/>
  <c r="L55" i="77"/>
  <c r="M57" i="77"/>
  <c r="O55" i="77"/>
  <c r="N57" i="77"/>
  <c r="U43" i="77"/>
  <c r="M43" i="77"/>
  <c r="Q43" i="77"/>
  <c r="J39" i="77"/>
  <c r="T37" i="77"/>
  <c r="U30" i="77"/>
  <c r="M30" i="77"/>
  <c r="Q30" i="77"/>
  <c r="J31" i="77"/>
  <c r="N31" i="77"/>
  <c r="L113" i="77"/>
  <c r="P113" i="77"/>
  <c r="P117" i="77"/>
  <c r="L117" i="77"/>
  <c r="P55" i="78"/>
  <c r="P59" i="78"/>
  <c r="I46" i="78"/>
  <c r="V46" i="78" s="1"/>
  <c r="U43" i="78"/>
  <c r="N43" i="78"/>
  <c r="J43" i="78"/>
  <c r="V43" i="78"/>
  <c r="R43" i="78"/>
  <c r="U57" i="78"/>
  <c r="N57" i="78"/>
  <c r="J57" i="78"/>
  <c r="V57" i="78"/>
  <c r="R57" i="78"/>
  <c r="W30" i="78"/>
  <c r="J30" i="78"/>
  <c r="N30" i="78"/>
  <c r="R30" i="78"/>
  <c r="U58" i="78"/>
  <c r="M58" i="78"/>
  <c r="Q58" i="78"/>
  <c r="M16" i="78"/>
  <c r="T55" i="78"/>
  <c r="I37" i="78"/>
  <c r="P37" i="78" s="1"/>
  <c r="K60" i="78"/>
  <c r="O56" i="78"/>
  <c r="L59" i="78"/>
  <c r="I28" i="80"/>
  <c r="H28" i="80"/>
  <c r="J28" i="80"/>
  <c r="I18" i="80"/>
  <c r="H18" i="80"/>
  <c r="J18" i="80"/>
  <c r="G19" i="80"/>
  <c r="I15" i="80"/>
  <c r="H15" i="80"/>
  <c r="J15" i="80"/>
  <c r="I34" i="80"/>
  <c r="H34" i="80"/>
  <c r="J34" i="80"/>
  <c r="J25" i="80"/>
  <c r="I25" i="80"/>
  <c r="I46" i="80"/>
  <c r="H46" i="80"/>
  <c r="J47" i="80"/>
  <c r="I47" i="80"/>
  <c r="H47" i="80"/>
  <c r="J52" i="80"/>
  <c r="I52" i="80"/>
  <c r="H52" i="80"/>
  <c r="I113" i="80"/>
  <c r="G118" i="80"/>
  <c r="H113" i="80"/>
  <c r="I120" i="80"/>
  <c r="G127" i="80"/>
  <c r="H120" i="80"/>
  <c r="H25" i="80"/>
  <c r="I16" i="80"/>
  <c r="I17" i="80"/>
  <c r="G29" i="80"/>
  <c r="J21" i="80"/>
  <c r="I21" i="80"/>
  <c r="I26" i="80"/>
  <c r="J27" i="80"/>
  <c r="H32" i="80"/>
  <c r="I33" i="80"/>
  <c r="J43" i="80"/>
  <c r="G48" i="80"/>
  <c r="I43" i="80"/>
  <c r="H43" i="80"/>
  <c r="I98" i="80"/>
  <c r="H98" i="80"/>
  <c r="J103" i="80"/>
  <c r="I103" i="80"/>
  <c r="H103" i="80"/>
  <c r="I110" i="80"/>
  <c r="H110" i="80"/>
  <c r="I117" i="80"/>
  <c r="H117" i="80"/>
  <c r="I124" i="80"/>
  <c r="H124" i="80"/>
  <c r="I136" i="80"/>
  <c r="H136" i="80"/>
  <c r="G41" i="80"/>
  <c r="H39" i="80"/>
  <c r="J39" i="80"/>
  <c r="I51" i="80"/>
  <c r="G53" i="80"/>
  <c r="H51" i="80"/>
  <c r="I94" i="80"/>
  <c r="H94" i="80"/>
  <c r="H104" i="80"/>
  <c r="J104" i="80"/>
  <c r="H16" i="80"/>
  <c r="H26" i="80"/>
  <c r="I27" i="80"/>
  <c r="K27" i="80" s="1"/>
  <c r="G35" i="80"/>
  <c r="J31" i="80"/>
  <c r="I31" i="80"/>
  <c r="I39" i="80"/>
  <c r="H45" i="80"/>
  <c r="J45" i="80"/>
  <c r="J46" i="80"/>
  <c r="J51" i="80"/>
  <c r="J94" i="80"/>
  <c r="I96" i="80"/>
  <c r="H96" i="80"/>
  <c r="G105" i="80"/>
  <c r="J101" i="80"/>
  <c r="I101" i="80"/>
  <c r="H101" i="80"/>
  <c r="I104" i="80"/>
  <c r="J113" i="80"/>
  <c r="I115" i="80"/>
  <c r="H115" i="80"/>
  <c r="J120" i="80"/>
  <c r="I122" i="80"/>
  <c r="H122" i="80"/>
  <c r="I134" i="80"/>
  <c r="H134" i="80"/>
  <c r="J17" i="80"/>
  <c r="I24" i="80"/>
  <c r="H24" i="80"/>
  <c r="I32" i="80"/>
  <c r="J33" i="80"/>
  <c r="I40" i="80"/>
  <c r="H40" i="80"/>
  <c r="G59" i="80"/>
  <c r="K59" i="80" s="1"/>
  <c r="H102" i="80"/>
  <c r="J102" i="80"/>
  <c r="I126" i="80"/>
  <c r="H126" i="80"/>
  <c r="G139" i="80"/>
  <c r="I138" i="80"/>
  <c r="H138" i="80"/>
  <c r="K147" i="80"/>
  <c r="I44" i="80"/>
  <c r="I95" i="80"/>
  <c r="I97" i="80"/>
  <c r="I109" i="80"/>
  <c r="I114" i="80"/>
  <c r="I116" i="80"/>
  <c r="I121" i="80"/>
  <c r="I123" i="80"/>
  <c r="I125" i="80"/>
  <c r="I133" i="80"/>
  <c r="I135" i="80"/>
  <c r="K135" i="80" s="1"/>
  <c r="I137" i="80"/>
  <c r="J109" i="80"/>
  <c r="J133" i="80"/>
  <c r="U17" i="78"/>
  <c r="Q17" i="78"/>
  <c r="M17" i="78"/>
  <c r="T17" i="78"/>
  <c r="P17" i="78"/>
  <c r="L17" i="78"/>
  <c r="W17" i="78"/>
  <c r="S17" i="78"/>
  <c r="O17" i="78"/>
  <c r="K17" i="78"/>
  <c r="V17" i="78"/>
  <c r="Q16" i="78"/>
  <c r="J17" i="78"/>
  <c r="U22" i="78"/>
  <c r="Q22" i="78"/>
  <c r="M22" i="78"/>
  <c r="T22" i="78"/>
  <c r="P22" i="78"/>
  <c r="L22" i="78"/>
  <c r="R22" i="78"/>
  <c r="J22" i="78"/>
  <c r="W22" i="78"/>
  <c r="S22" i="78"/>
  <c r="O22" i="78"/>
  <c r="K22" i="78"/>
  <c r="V22" i="78"/>
  <c r="N22" i="78"/>
  <c r="V29" i="78"/>
  <c r="R29" i="78"/>
  <c r="N29" i="78"/>
  <c r="J29" i="78"/>
  <c r="U29" i="78"/>
  <c r="Q29" i="78"/>
  <c r="M29" i="78"/>
  <c r="S29" i="78"/>
  <c r="K29" i="78"/>
  <c r="I31" i="78"/>
  <c r="T29" i="78"/>
  <c r="P29" i="78"/>
  <c r="L29" i="78"/>
  <c r="W29" i="78"/>
  <c r="O29" i="78"/>
  <c r="N17" i="78"/>
  <c r="T16" i="78"/>
  <c r="P16" i="78"/>
  <c r="L16" i="78"/>
  <c r="W16" i="78"/>
  <c r="S16" i="78"/>
  <c r="O16" i="78"/>
  <c r="K16" i="78"/>
  <c r="V16" i="78"/>
  <c r="R16" i="78"/>
  <c r="N16" i="78"/>
  <c r="J16" i="78"/>
  <c r="I19" i="78"/>
  <c r="R17" i="78"/>
  <c r="V18" i="78"/>
  <c r="R18" i="78"/>
  <c r="N18" i="78"/>
  <c r="J18" i="78"/>
  <c r="U18" i="78"/>
  <c r="Q18" i="78"/>
  <c r="M18" i="78"/>
  <c r="W18" i="78"/>
  <c r="S18" i="78"/>
  <c r="K18" i="78"/>
  <c r="T18" i="78"/>
  <c r="P18" i="78"/>
  <c r="L18" i="78"/>
  <c r="O18" i="78"/>
  <c r="Q23" i="78"/>
  <c r="W41" i="78"/>
  <c r="S41" i="78"/>
  <c r="O41" i="78"/>
  <c r="K41" i="78"/>
  <c r="V41" i="78"/>
  <c r="R41" i="78"/>
  <c r="N41" i="78"/>
  <c r="J41" i="78"/>
  <c r="U41" i="78"/>
  <c r="Q41" i="78"/>
  <c r="M41" i="78"/>
  <c r="G52" i="78"/>
  <c r="I52" i="78" s="1"/>
  <c r="G21" i="78"/>
  <c r="I21" i="78" s="1"/>
  <c r="J23" i="78"/>
  <c r="N23" i="78"/>
  <c r="R23" i="78"/>
  <c r="V23" i="78"/>
  <c r="G24" i="78"/>
  <c r="I24" i="78" s="1"/>
  <c r="K30" i="78"/>
  <c r="O30" i="78"/>
  <c r="S30" i="78"/>
  <c r="L41" i="78"/>
  <c r="V42" i="78"/>
  <c r="R42" i="78"/>
  <c r="N42" i="78"/>
  <c r="J42" i="78"/>
  <c r="U42" i="78"/>
  <c r="Q42" i="78"/>
  <c r="M42" i="78"/>
  <c r="T42" i="78"/>
  <c r="P42" i="78"/>
  <c r="L42" i="78"/>
  <c r="W42" i="78"/>
  <c r="T44" i="78"/>
  <c r="P44" i="78"/>
  <c r="L44" i="78"/>
  <c r="W44" i="78"/>
  <c r="S44" i="78"/>
  <c r="O44" i="78"/>
  <c r="K44" i="78"/>
  <c r="V44" i="78"/>
  <c r="R44" i="78"/>
  <c r="N44" i="78"/>
  <c r="J44" i="78"/>
  <c r="W45" i="78"/>
  <c r="S45" i="78"/>
  <c r="O45" i="78"/>
  <c r="K45" i="78"/>
  <c r="V45" i="78"/>
  <c r="R45" i="78"/>
  <c r="N45" i="78"/>
  <c r="J45" i="78"/>
  <c r="U45" i="78"/>
  <c r="Q45" i="78"/>
  <c r="M45" i="78"/>
  <c r="W55" i="78"/>
  <c r="S55" i="78"/>
  <c r="O55" i="78"/>
  <c r="K55" i="78"/>
  <c r="I61" i="78"/>
  <c r="V55" i="78"/>
  <c r="R55" i="78"/>
  <c r="N55" i="78"/>
  <c r="J55" i="78"/>
  <c r="U55" i="78"/>
  <c r="Q55" i="78"/>
  <c r="M55" i="78"/>
  <c r="O60" i="78"/>
  <c r="M23" i="78"/>
  <c r="U23" i="78"/>
  <c r="T40" i="78"/>
  <c r="P40" i="78"/>
  <c r="L40" i="78"/>
  <c r="W40" i="78"/>
  <c r="S40" i="78"/>
  <c r="O40" i="78"/>
  <c r="K40" i="78"/>
  <c r="V40" i="78"/>
  <c r="R40" i="78"/>
  <c r="N40" i="78"/>
  <c r="J40" i="78"/>
  <c r="T51" i="78"/>
  <c r="P51" i="78"/>
  <c r="L51" i="78"/>
  <c r="W51" i="78"/>
  <c r="S51" i="78"/>
  <c r="O51" i="78"/>
  <c r="K51" i="78"/>
  <c r="V51" i="78"/>
  <c r="R51" i="78"/>
  <c r="N51" i="78"/>
  <c r="J51" i="78"/>
  <c r="K23" i="78"/>
  <c r="O23" i="78"/>
  <c r="S23" i="78"/>
  <c r="W23" i="78"/>
  <c r="L30" i="78"/>
  <c r="P30" i="78"/>
  <c r="V30" i="78"/>
  <c r="I35" i="78"/>
  <c r="Q40" i="78"/>
  <c r="P41" i="78"/>
  <c r="K42" i="78"/>
  <c r="M44" i="78"/>
  <c r="L45" i="78"/>
  <c r="Q51" i="78"/>
  <c r="V56" i="78"/>
  <c r="R56" i="78"/>
  <c r="N56" i="78"/>
  <c r="J56" i="78"/>
  <c r="U56" i="78"/>
  <c r="Q56" i="78"/>
  <c r="M56" i="78"/>
  <c r="T56" i="78"/>
  <c r="P56" i="78"/>
  <c r="L56" i="78"/>
  <c r="W56" i="78"/>
  <c r="T58" i="78"/>
  <c r="P58" i="78"/>
  <c r="L58" i="78"/>
  <c r="W58" i="78"/>
  <c r="S58" i="78"/>
  <c r="O58" i="78"/>
  <c r="K58" i="78"/>
  <c r="V58" i="78"/>
  <c r="R58" i="78"/>
  <c r="N58" i="78"/>
  <c r="J58" i="78"/>
  <c r="W59" i="78"/>
  <c r="S59" i="78"/>
  <c r="O59" i="78"/>
  <c r="K59" i="78"/>
  <c r="V59" i="78"/>
  <c r="R59" i="78"/>
  <c r="N59" i="78"/>
  <c r="J59" i="78"/>
  <c r="U59" i="78"/>
  <c r="Q59" i="78"/>
  <c r="M59" i="78"/>
  <c r="L23" i="78"/>
  <c r="P23" i="78"/>
  <c r="M30" i="78"/>
  <c r="Q30" i="78"/>
  <c r="I33" i="78"/>
  <c r="U40" i="78"/>
  <c r="T41" i="78"/>
  <c r="O42" i="78"/>
  <c r="Q44" i="78"/>
  <c r="P45" i="78"/>
  <c r="U51" i="78"/>
  <c r="K56" i="78"/>
  <c r="V60" i="78"/>
  <c r="R60" i="78"/>
  <c r="N60" i="78"/>
  <c r="J60" i="78"/>
  <c r="U60" i="78"/>
  <c r="Q60" i="78"/>
  <c r="M60" i="78"/>
  <c r="T60" i="78"/>
  <c r="P60" i="78"/>
  <c r="L60" i="78"/>
  <c r="W60" i="78"/>
  <c r="K43" i="78"/>
  <c r="O43" i="78"/>
  <c r="S43" i="78"/>
  <c r="W43" i="78"/>
  <c r="K57" i="78"/>
  <c r="O57" i="78"/>
  <c r="S57" i="78"/>
  <c r="W57" i="78"/>
  <c r="G34" i="78"/>
  <c r="I34" i="78" s="1"/>
  <c r="G36" i="78"/>
  <c r="I36" i="78" s="1"/>
  <c r="L43" i="78"/>
  <c r="P43" i="78"/>
  <c r="T43" i="78"/>
  <c r="L57" i="78"/>
  <c r="P57" i="78"/>
  <c r="T57" i="78"/>
  <c r="M43" i="78"/>
  <c r="Q43" i="78"/>
  <c r="M57" i="78"/>
  <c r="Q57" i="78"/>
  <c r="R32" i="77"/>
  <c r="N32" i="77"/>
  <c r="J32" i="77"/>
  <c r="T32" i="77"/>
  <c r="L32" i="77"/>
  <c r="U32" i="77"/>
  <c r="Q32" i="77"/>
  <c r="M32" i="77"/>
  <c r="P32" i="77"/>
  <c r="I58" i="77"/>
  <c r="R48" i="77"/>
  <c r="N48" i="77"/>
  <c r="J48" i="77"/>
  <c r="P48" i="77"/>
  <c r="U48" i="77"/>
  <c r="Q48" i="77"/>
  <c r="M48" i="77"/>
  <c r="T48" i="77"/>
  <c r="L48" i="77"/>
  <c r="R52" i="77"/>
  <c r="N52" i="77"/>
  <c r="J52" i="77"/>
  <c r="P52" i="77"/>
  <c r="K52" i="77"/>
  <c r="U52" i="77"/>
  <c r="Q52" i="77"/>
  <c r="M52" i="77"/>
  <c r="T52" i="77"/>
  <c r="L52" i="77"/>
  <c r="S52" i="77"/>
  <c r="O52" i="77"/>
  <c r="U27" i="77"/>
  <c r="Q27" i="77"/>
  <c r="M27" i="77"/>
  <c r="S27" i="77"/>
  <c r="O27" i="77"/>
  <c r="T27" i="77"/>
  <c r="P27" i="77"/>
  <c r="L27" i="77"/>
  <c r="K27" i="77"/>
  <c r="U35" i="77"/>
  <c r="Q35" i="77"/>
  <c r="M35" i="77"/>
  <c r="S35" i="77"/>
  <c r="O35" i="77"/>
  <c r="K35" i="77"/>
  <c r="T35" i="77"/>
  <c r="P35" i="77"/>
  <c r="L35" i="77"/>
  <c r="I40" i="77"/>
  <c r="T42" i="77"/>
  <c r="P42" i="77"/>
  <c r="L42" i="77"/>
  <c r="R42" i="77"/>
  <c r="J42" i="77"/>
  <c r="I44" i="77"/>
  <c r="S42" i="77"/>
  <c r="O42" i="77"/>
  <c r="K42" i="77"/>
  <c r="N42" i="77"/>
  <c r="L49" i="77"/>
  <c r="J27" i="77"/>
  <c r="R28" i="77"/>
  <c r="N28" i="77"/>
  <c r="J28" i="77"/>
  <c r="T28" i="77"/>
  <c r="L28" i="77"/>
  <c r="U28" i="77"/>
  <c r="Q28" i="77"/>
  <c r="M28" i="77"/>
  <c r="P28" i="77"/>
  <c r="S29" i="77"/>
  <c r="O29" i="77"/>
  <c r="K29" i="77"/>
  <c r="U29" i="77"/>
  <c r="M29" i="77"/>
  <c r="R29" i="77"/>
  <c r="N29" i="77"/>
  <c r="J29" i="77"/>
  <c r="Q29" i="77"/>
  <c r="O32" i="77"/>
  <c r="J35" i="77"/>
  <c r="R36" i="77"/>
  <c r="N36" i="77"/>
  <c r="J36" i="77"/>
  <c r="T36" i="77"/>
  <c r="L36" i="77"/>
  <c r="U36" i="77"/>
  <c r="Q36" i="77"/>
  <c r="M36" i="77"/>
  <c r="P36" i="77"/>
  <c r="S37" i="77"/>
  <c r="O37" i="77"/>
  <c r="K37" i="77"/>
  <c r="U37" i="77"/>
  <c r="M37" i="77"/>
  <c r="R37" i="77"/>
  <c r="N37" i="77"/>
  <c r="J37" i="77"/>
  <c r="Q37" i="77"/>
  <c r="M42" i="77"/>
  <c r="O48" i="77"/>
  <c r="S56" i="77"/>
  <c r="O56" i="77"/>
  <c r="K56" i="77"/>
  <c r="R56" i="77"/>
  <c r="N56" i="77"/>
  <c r="J56" i="77"/>
  <c r="T56" i="77"/>
  <c r="L56" i="77"/>
  <c r="P56" i="77"/>
  <c r="M56" i="77"/>
  <c r="Q56" i="77"/>
  <c r="U56" i="77"/>
  <c r="I33" i="77"/>
  <c r="S49" i="77"/>
  <c r="O49" i="77"/>
  <c r="K49" i="77"/>
  <c r="Q49" i="77"/>
  <c r="R49" i="77"/>
  <c r="N49" i="77"/>
  <c r="J49" i="77"/>
  <c r="U49" i="77"/>
  <c r="M49" i="77"/>
  <c r="S85" i="77"/>
  <c r="R85" i="77"/>
  <c r="N85" i="77"/>
  <c r="J85" i="77"/>
  <c r="U85" i="77"/>
  <c r="Q85" i="77"/>
  <c r="M85" i="77"/>
  <c r="L85" i="77"/>
  <c r="T85" i="77"/>
  <c r="K85" i="77"/>
  <c r="P85" i="77"/>
  <c r="O85" i="77"/>
  <c r="K32" i="77"/>
  <c r="K48" i="77"/>
  <c r="S53" i="77"/>
  <c r="O53" i="77"/>
  <c r="K53" i="77"/>
  <c r="Q53" i="77"/>
  <c r="P53" i="77"/>
  <c r="R53" i="77"/>
  <c r="N53" i="77"/>
  <c r="J53" i="77"/>
  <c r="U53" i="77"/>
  <c r="M53" i="77"/>
  <c r="T53" i="77"/>
  <c r="L53" i="77"/>
  <c r="N27" i="77"/>
  <c r="K28" i="77"/>
  <c r="L29" i="77"/>
  <c r="T30" i="77"/>
  <c r="P30" i="77"/>
  <c r="L30" i="77"/>
  <c r="N30" i="77"/>
  <c r="S30" i="77"/>
  <c r="O30" i="77"/>
  <c r="K30" i="77"/>
  <c r="R30" i="77"/>
  <c r="J30" i="77"/>
  <c r="U31" i="77"/>
  <c r="Q31" i="77"/>
  <c r="M31" i="77"/>
  <c r="S31" i="77"/>
  <c r="O31" i="77"/>
  <c r="T31" i="77"/>
  <c r="P31" i="77"/>
  <c r="L31" i="77"/>
  <c r="K31" i="77"/>
  <c r="S32" i="77"/>
  <c r="N35" i="77"/>
  <c r="K36" i="77"/>
  <c r="T38" i="77"/>
  <c r="P38" i="77"/>
  <c r="L38" i="77"/>
  <c r="S38" i="77"/>
  <c r="O38" i="77"/>
  <c r="K38" i="77"/>
  <c r="R38" i="77"/>
  <c r="N38" i="77"/>
  <c r="J38" i="77"/>
  <c r="U39" i="77"/>
  <c r="Q39" i="77"/>
  <c r="M39" i="77"/>
  <c r="S39" i="77"/>
  <c r="O39" i="77"/>
  <c r="T39" i="77"/>
  <c r="P39" i="77"/>
  <c r="L39" i="77"/>
  <c r="K39" i="77"/>
  <c r="Q42" i="77"/>
  <c r="T43" i="77"/>
  <c r="P43" i="77"/>
  <c r="L43" i="77"/>
  <c r="R43" i="77"/>
  <c r="J43" i="77"/>
  <c r="S43" i="77"/>
  <c r="O43" i="77"/>
  <c r="K43" i="77"/>
  <c r="N43" i="77"/>
  <c r="S48" i="77"/>
  <c r="T49" i="77"/>
  <c r="U51" i="77"/>
  <c r="Q51" i="77"/>
  <c r="M51" i="77"/>
  <c r="K51" i="77"/>
  <c r="R51" i="77"/>
  <c r="J51" i="77"/>
  <c r="T51" i="77"/>
  <c r="P51" i="77"/>
  <c r="L51" i="77"/>
  <c r="S51" i="77"/>
  <c r="O51" i="77"/>
  <c r="N51" i="77"/>
  <c r="U50" i="77"/>
  <c r="M54" i="77"/>
  <c r="U54" i="77"/>
  <c r="G79" i="77"/>
  <c r="I79" i="77" s="1"/>
  <c r="P80" i="77"/>
  <c r="S114" i="77"/>
  <c r="O114" i="77"/>
  <c r="K114" i="77"/>
  <c r="R114" i="77"/>
  <c r="N114" i="77"/>
  <c r="J114" i="77"/>
  <c r="U114" i="77"/>
  <c r="Q114" i="77"/>
  <c r="M114" i="77"/>
  <c r="T114" i="77"/>
  <c r="P114" i="77"/>
  <c r="N50" i="77"/>
  <c r="N54" i="77"/>
  <c r="R54" i="77"/>
  <c r="K80" i="77"/>
  <c r="R84" i="77"/>
  <c r="N84" i="77"/>
  <c r="J84" i="77"/>
  <c r="U84" i="77"/>
  <c r="Q84" i="77"/>
  <c r="M84" i="77"/>
  <c r="T86" i="77"/>
  <c r="P86" i="77"/>
  <c r="L86" i="77"/>
  <c r="S86" i="77"/>
  <c r="O86" i="77"/>
  <c r="K86" i="77"/>
  <c r="R86" i="77"/>
  <c r="N86" i="77"/>
  <c r="J86" i="77"/>
  <c r="U86" i="77"/>
  <c r="Q86" i="77"/>
  <c r="L114" i="77"/>
  <c r="K50" i="77"/>
  <c r="O50" i="77"/>
  <c r="S50" i="77"/>
  <c r="K54" i="77"/>
  <c r="O54" i="77"/>
  <c r="S54" i="77"/>
  <c r="R55" i="77"/>
  <c r="N55" i="77"/>
  <c r="J55" i="77"/>
  <c r="U55" i="77"/>
  <c r="Q55" i="77"/>
  <c r="M55" i="77"/>
  <c r="P55" i="77"/>
  <c r="T57" i="77"/>
  <c r="P57" i="77"/>
  <c r="L57" i="77"/>
  <c r="S57" i="77"/>
  <c r="O57" i="77"/>
  <c r="K57" i="77"/>
  <c r="Q57" i="77"/>
  <c r="L80" i="77"/>
  <c r="J83" i="77"/>
  <c r="K84" i="77"/>
  <c r="S84" i="77"/>
  <c r="M86" i="77"/>
  <c r="Q50" i="77"/>
  <c r="Q54" i="77"/>
  <c r="G78" i="77"/>
  <c r="I78" i="77" s="1"/>
  <c r="R80" i="77"/>
  <c r="N80" i="77"/>
  <c r="J80" i="77"/>
  <c r="U80" i="77"/>
  <c r="Q80" i="77"/>
  <c r="M80" i="77"/>
  <c r="T94" i="77"/>
  <c r="P94" i="77"/>
  <c r="L94" i="77"/>
  <c r="S94" i="77"/>
  <c r="O94" i="77"/>
  <c r="K94" i="77"/>
  <c r="R94" i="77"/>
  <c r="N94" i="77"/>
  <c r="J94" i="77"/>
  <c r="U94" i="77"/>
  <c r="Q94" i="77"/>
  <c r="F115" i="77"/>
  <c r="G115" i="77" s="1"/>
  <c r="I115" i="77" s="1"/>
  <c r="I111" i="77"/>
  <c r="J50" i="77"/>
  <c r="R50" i="77"/>
  <c r="J54" i="77"/>
  <c r="S80" i="77"/>
  <c r="I90" i="77"/>
  <c r="U83" i="77"/>
  <c r="Q83" i="77"/>
  <c r="M83" i="77"/>
  <c r="T83" i="77"/>
  <c r="P83" i="77"/>
  <c r="L83" i="77"/>
  <c r="O83" i="77"/>
  <c r="P84" i="77"/>
  <c r="S116" i="77"/>
  <c r="O116" i="77"/>
  <c r="K116" i="77"/>
  <c r="R116" i="77"/>
  <c r="N116" i="77"/>
  <c r="J116" i="77"/>
  <c r="U116" i="77"/>
  <c r="Q116" i="77"/>
  <c r="M116" i="77"/>
  <c r="P116" i="77"/>
  <c r="L116" i="77"/>
  <c r="L50" i="77"/>
  <c r="P50" i="77"/>
  <c r="L54" i="77"/>
  <c r="P54" i="77"/>
  <c r="I65" i="77"/>
  <c r="S60" i="77"/>
  <c r="O60" i="77"/>
  <c r="K60" i="77"/>
  <c r="R60" i="77"/>
  <c r="N60" i="77"/>
  <c r="J60" i="77"/>
  <c r="Q60" i="77"/>
  <c r="T61" i="77"/>
  <c r="P61" i="77"/>
  <c r="L61" i="77"/>
  <c r="S61" i="77"/>
  <c r="O61" i="77"/>
  <c r="K61" i="77"/>
  <c r="Q61" i="77"/>
  <c r="U62" i="77"/>
  <c r="Q62" i="77"/>
  <c r="M62" i="77"/>
  <c r="T62" i="77"/>
  <c r="P62" i="77"/>
  <c r="L62" i="77"/>
  <c r="O62" i="77"/>
  <c r="R63" i="77"/>
  <c r="N63" i="77"/>
  <c r="J63" i="77"/>
  <c r="U63" i="77"/>
  <c r="Q63" i="77"/>
  <c r="M63" i="77"/>
  <c r="P63" i="77"/>
  <c r="S64" i="77"/>
  <c r="O64" i="77"/>
  <c r="K64" i="77"/>
  <c r="R64" i="77"/>
  <c r="N64" i="77"/>
  <c r="J64" i="77"/>
  <c r="Q64" i="77"/>
  <c r="R67" i="77"/>
  <c r="N67" i="77"/>
  <c r="J67" i="77"/>
  <c r="I74" i="77"/>
  <c r="U67" i="77"/>
  <c r="Q67" i="77"/>
  <c r="M67" i="77"/>
  <c r="P67" i="77"/>
  <c r="S68" i="77"/>
  <c r="O68" i="77"/>
  <c r="K68" i="77"/>
  <c r="R68" i="77"/>
  <c r="N68" i="77"/>
  <c r="J68" i="77"/>
  <c r="Q68" i="77"/>
  <c r="T69" i="77"/>
  <c r="P69" i="77"/>
  <c r="L69" i="77"/>
  <c r="S69" i="77"/>
  <c r="O69" i="77"/>
  <c r="K69" i="77"/>
  <c r="Q69" i="77"/>
  <c r="U70" i="77"/>
  <c r="Q70" i="77"/>
  <c r="M70" i="77"/>
  <c r="T70" i="77"/>
  <c r="P70" i="77"/>
  <c r="L70" i="77"/>
  <c r="O70" i="77"/>
  <c r="R71" i="77"/>
  <c r="N71" i="77"/>
  <c r="J71" i="77"/>
  <c r="U71" i="77"/>
  <c r="Q71" i="77"/>
  <c r="M71" i="77"/>
  <c r="P71" i="77"/>
  <c r="S72" i="77"/>
  <c r="O72" i="77"/>
  <c r="K72" i="77"/>
  <c r="R72" i="77"/>
  <c r="N72" i="77"/>
  <c r="J72" i="77"/>
  <c r="Q72" i="77"/>
  <c r="T73" i="77"/>
  <c r="P73" i="77"/>
  <c r="L73" i="77"/>
  <c r="S73" i="77"/>
  <c r="O73" i="77"/>
  <c r="K73" i="77"/>
  <c r="Q73" i="77"/>
  <c r="O80" i="77"/>
  <c r="K83" i="77"/>
  <c r="S83" i="77"/>
  <c r="L84" i="77"/>
  <c r="T84" i="77"/>
  <c r="R88" i="77"/>
  <c r="N88" i="77"/>
  <c r="J88" i="77"/>
  <c r="U88" i="77"/>
  <c r="Q88" i="77"/>
  <c r="M88" i="77"/>
  <c r="T88" i="77"/>
  <c r="P88" i="77"/>
  <c r="L88" i="77"/>
  <c r="S89" i="77"/>
  <c r="O89" i="77"/>
  <c r="K89" i="77"/>
  <c r="R89" i="77"/>
  <c r="N89" i="77"/>
  <c r="J89" i="77"/>
  <c r="U89" i="77"/>
  <c r="Q89" i="77"/>
  <c r="M89" i="77"/>
  <c r="R96" i="77"/>
  <c r="N96" i="77"/>
  <c r="J96" i="77"/>
  <c r="U96" i="77"/>
  <c r="Q96" i="77"/>
  <c r="M96" i="77"/>
  <c r="T96" i="77"/>
  <c r="P96" i="77"/>
  <c r="L96" i="77"/>
  <c r="S97" i="77"/>
  <c r="O97" i="77"/>
  <c r="K97" i="77"/>
  <c r="R97" i="77"/>
  <c r="N97" i="77"/>
  <c r="J97" i="77"/>
  <c r="U97" i="77"/>
  <c r="Q97" i="77"/>
  <c r="M97" i="77"/>
  <c r="S112" i="77"/>
  <c r="O112" i="77"/>
  <c r="K112" i="77"/>
  <c r="R112" i="77"/>
  <c r="N112" i="77"/>
  <c r="J112" i="77"/>
  <c r="U112" i="77"/>
  <c r="Q112" i="77"/>
  <c r="M112" i="77"/>
  <c r="S117" i="77"/>
  <c r="O117" i="77"/>
  <c r="K117" i="77"/>
  <c r="R117" i="77"/>
  <c r="N117" i="77"/>
  <c r="J117" i="77"/>
  <c r="U117" i="77"/>
  <c r="Q117" i="77"/>
  <c r="M117" i="77"/>
  <c r="I98" i="77"/>
  <c r="R92" i="77"/>
  <c r="N92" i="77"/>
  <c r="J92" i="77"/>
  <c r="U92" i="77"/>
  <c r="Q92" i="77"/>
  <c r="M92" i="77"/>
  <c r="T92" i="77"/>
  <c r="P92" i="77"/>
  <c r="L92" i="77"/>
  <c r="S93" i="77"/>
  <c r="O93" i="77"/>
  <c r="K93" i="77"/>
  <c r="R93" i="77"/>
  <c r="N93" i="77"/>
  <c r="J93" i="77"/>
  <c r="U93" i="77"/>
  <c r="Q93" i="77"/>
  <c r="M93" i="77"/>
  <c r="S110" i="77"/>
  <c r="O110" i="77"/>
  <c r="K110" i="77"/>
  <c r="R110" i="77"/>
  <c r="N110" i="77"/>
  <c r="J110" i="77"/>
  <c r="U110" i="77"/>
  <c r="Q110" i="77"/>
  <c r="M110" i="77"/>
  <c r="T110" i="77"/>
  <c r="S113" i="77"/>
  <c r="O113" i="77"/>
  <c r="K113" i="77"/>
  <c r="R113" i="77"/>
  <c r="N113" i="77"/>
  <c r="J113" i="77"/>
  <c r="U113" i="77"/>
  <c r="Q113" i="77"/>
  <c r="M113" i="77"/>
  <c r="I118" i="77"/>
  <c r="H118" i="77"/>
  <c r="K87" i="77"/>
  <c r="O87" i="77"/>
  <c r="S87" i="77"/>
  <c r="K95" i="77"/>
  <c r="O95" i="77"/>
  <c r="S95" i="77"/>
  <c r="L87" i="77"/>
  <c r="P87" i="77"/>
  <c r="T87" i="77"/>
  <c r="L95" i="77"/>
  <c r="P95" i="77"/>
  <c r="T95" i="77"/>
  <c r="M87" i="77"/>
  <c r="Q87" i="77"/>
  <c r="M95" i="77"/>
  <c r="Q95" i="77"/>
  <c r="F249" i="75"/>
  <c r="H249" i="75" s="1"/>
  <c r="C249" i="75"/>
  <c r="F247" i="75"/>
  <c r="H247" i="75" s="1"/>
  <c r="C247" i="75"/>
  <c r="C245" i="75"/>
  <c r="F243" i="75"/>
  <c r="C243" i="75"/>
  <c r="F242" i="75"/>
  <c r="H242" i="75" s="1"/>
  <c r="C242" i="75"/>
  <c r="H240" i="75"/>
  <c r="F239" i="75"/>
  <c r="H239" i="75" s="1"/>
  <c r="C239" i="75"/>
  <c r="F238" i="75"/>
  <c r="H238" i="75" s="1"/>
  <c r="C238" i="75"/>
  <c r="F237" i="75"/>
  <c r="H237" i="75" s="1"/>
  <c r="C237" i="75"/>
  <c r="F236" i="75"/>
  <c r="H236" i="75" s="1"/>
  <c r="C236" i="75"/>
  <c r="F235" i="75"/>
  <c r="H235" i="75" s="1"/>
  <c r="C235" i="75"/>
  <c r="F234" i="75"/>
  <c r="H234" i="75" s="1"/>
  <c r="C234" i="75"/>
  <c r="F233" i="75"/>
  <c r="H233" i="75" s="1"/>
  <c r="C233" i="75"/>
  <c r="H232" i="75"/>
  <c r="F231" i="75"/>
  <c r="H231" i="75" s="1"/>
  <c r="C231" i="75"/>
  <c r="F230" i="75"/>
  <c r="H230" i="75" s="1"/>
  <c r="C230" i="75"/>
  <c r="H229" i="75"/>
  <c r="F228" i="75"/>
  <c r="H228" i="75" s="1"/>
  <c r="C228" i="75"/>
  <c r="H227" i="75"/>
  <c r="F226" i="75"/>
  <c r="H226" i="75" s="1"/>
  <c r="C226" i="75"/>
  <c r="F225" i="75"/>
  <c r="H225" i="75" s="1"/>
  <c r="C225" i="75"/>
  <c r="F224" i="75"/>
  <c r="H224" i="75" s="1"/>
  <c r="C224" i="75"/>
  <c r="F223" i="75"/>
  <c r="H223" i="75" s="1"/>
  <c r="C223" i="75"/>
  <c r="F222" i="75"/>
  <c r="H222" i="75" s="1"/>
  <c r="C222" i="75"/>
  <c r="F221" i="75"/>
  <c r="H221" i="75" s="1"/>
  <c r="C221" i="75"/>
  <c r="F220" i="75"/>
  <c r="H220" i="75" s="1"/>
  <c r="C220" i="75"/>
  <c r="F219" i="75"/>
  <c r="H219" i="75" s="1"/>
  <c r="C219" i="75"/>
  <c r="F218" i="75"/>
  <c r="H218" i="75" s="1"/>
  <c r="C218" i="75"/>
  <c r="F217" i="75"/>
  <c r="H217" i="75" s="1"/>
  <c r="C217" i="75"/>
  <c r="F216" i="75"/>
  <c r="H216" i="75" s="1"/>
  <c r="C216" i="75"/>
  <c r="F215" i="75"/>
  <c r="H215" i="75" s="1"/>
  <c r="C215" i="75"/>
  <c r="F214" i="75"/>
  <c r="H214" i="75" s="1"/>
  <c r="C214" i="75"/>
  <c r="F213" i="75"/>
  <c r="H213" i="75" s="1"/>
  <c r="C213" i="75"/>
  <c r="F212" i="75"/>
  <c r="H212" i="75" s="1"/>
  <c r="C212" i="75"/>
  <c r="F211" i="75"/>
  <c r="H211" i="75" s="1"/>
  <c r="C211" i="75"/>
  <c r="F210" i="75"/>
  <c r="H210" i="75" s="1"/>
  <c r="C210" i="75"/>
  <c r="F209" i="75"/>
  <c r="H209" i="75" s="1"/>
  <c r="C209" i="75"/>
  <c r="F208" i="75"/>
  <c r="H208" i="75" s="1"/>
  <c r="C208" i="75"/>
  <c r="F207" i="75"/>
  <c r="H207" i="75" s="1"/>
  <c r="C207" i="75"/>
  <c r="F206" i="75"/>
  <c r="H206" i="75" s="1"/>
  <c r="C206" i="75"/>
  <c r="F205" i="75"/>
  <c r="H205" i="75" s="1"/>
  <c r="C205" i="75"/>
  <c r="F204" i="75"/>
  <c r="H204" i="75" s="1"/>
  <c r="C204" i="75"/>
  <c r="F203" i="75"/>
  <c r="H203" i="75" s="1"/>
  <c r="C203" i="75"/>
  <c r="F202" i="75"/>
  <c r="H202" i="75" s="1"/>
  <c r="C202" i="75"/>
  <c r="F201" i="75"/>
  <c r="H201" i="75" s="1"/>
  <c r="C201" i="75"/>
  <c r="F200" i="75"/>
  <c r="H200" i="75" s="1"/>
  <c r="C200" i="75"/>
  <c r="F199" i="75"/>
  <c r="H199" i="75" s="1"/>
  <c r="C199" i="75"/>
  <c r="F198" i="75"/>
  <c r="H198" i="75" s="1"/>
  <c r="C198" i="75"/>
  <c r="F197" i="75"/>
  <c r="H197" i="75" s="1"/>
  <c r="C197" i="75"/>
  <c r="F196" i="75"/>
  <c r="H196" i="75" s="1"/>
  <c r="C196" i="75"/>
  <c r="F195" i="75"/>
  <c r="H195" i="75" s="1"/>
  <c r="C195" i="75"/>
  <c r="F194" i="75"/>
  <c r="H194" i="75" s="1"/>
  <c r="C194" i="75"/>
  <c r="F193" i="75"/>
  <c r="H193" i="75" s="1"/>
  <c r="C193" i="75"/>
  <c r="F192" i="75"/>
  <c r="H192" i="75" s="1"/>
  <c r="C192" i="75"/>
  <c r="F191" i="75"/>
  <c r="H191" i="75" s="1"/>
  <c r="C191" i="75"/>
  <c r="F190" i="75"/>
  <c r="H190" i="75" s="1"/>
  <c r="C190" i="75"/>
  <c r="F189" i="75"/>
  <c r="H189" i="75" s="1"/>
  <c r="C189" i="75"/>
  <c r="F188" i="75"/>
  <c r="H188" i="75" s="1"/>
  <c r="C188" i="75"/>
  <c r="F187" i="75"/>
  <c r="H187" i="75" s="1"/>
  <c r="C187" i="75"/>
  <c r="F186" i="75"/>
  <c r="H186" i="75" s="1"/>
  <c r="C186" i="75"/>
  <c r="F185" i="75"/>
  <c r="H185" i="75" s="1"/>
  <c r="C185" i="75"/>
  <c r="F184" i="75"/>
  <c r="H184" i="75" s="1"/>
  <c r="C184" i="75"/>
  <c r="F183" i="75"/>
  <c r="H183" i="75" s="1"/>
  <c r="C183" i="75"/>
  <c r="F182" i="75"/>
  <c r="H182" i="75" s="1"/>
  <c r="C182" i="75"/>
  <c r="F181" i="75"/>
  <c r="C181" i="75"/>
  <c r="F180" i="75"/>
  <c r="H180" i="75" s="1"/>
  <c r="F179" i="75"/>
  <c r="H179" i="75" s="1"/>
  <c r="C179" i="75"/>
  <c r="F178" i="75"/>
  <c r="H178" i="75" s="1"/>
  <c r="C178" i="75"/>
  <c r="F177" i="75"/>
  <c r="H177" i="75" s="1"/>
  <c r="H176" i="75"/>
  <c r="G175" i="75"/>
  <c r="F174" i="75"/>
  <c r="H174" i="75" s="1"/>
  <c r="C174" i="75"/>
  <c r="F173" i="75"/>
  <c r="H173" i="75" s="1"/>
  <c r="C173" i="75"/>
  <c r="F172" i="75"/>
  <c r="H172" i="75" s="1"/>
  <c r="C172" i="75"/>
  <c r="F171" i="75"/>
  <c r="H171" i="75" s="1"/>
  <c r="C171" i="75"/>
  <c r="F170" i="75"/>
  <c r="C170" i="75"/>
  <c r="G169" i="75"/>
  <c r="G168" i="75"/>
  <c r="H168" i="75" s="1"/>
  <c r="G167" i="75"/>
  <c r="H167" i="75" s="1"/>
  <c r="F166" i="75"/>
  <c r="H166" i="75" s="1"/>
  <c r="C166" i="75"/>
  <c r="F165" i="75"/>
  <c r="H165" i="75" s="1"/>
  <c r="C165" i="75"/>
  <c r="F164" i="75"/>
  <c r="H164" i="75" s="1"/>
  <c r="C164" i="75"/>
  <c r="F163" i="75"/>
  <c r="H163" i="75" s="1"/>
  <c r="C163" i="75"/>
  <c r="F162" i="75"/>
  <c r="H162" i="75" s="1"/>
  <c r="C162" i="75"/>
  <c r="F161" i="75"/>
  <c r="H161" i="75" s="1"/>
  <c r="C161" i="75"/>
  <c r="H160" i="75"/>
  <c r="F159" i="75"/>
  <c r="H159" i="75" s="1"/>
  <c r="C159" i="75"/>
  <c r="F158" i="75"/>
  <c r="H158" i="75" s="1"/>
  <c r="C158" i="75"/>
  <c r="F157" i="75"/>
  <c r="H157" i="75" s="1"/>
  <c r="C157" i="75"/>
  <c r="F156" i="75"/>
  <c r="H156" i="75" s="1"/>
  <c r="C156" i="75"/>
  <c r="D154" i="75"/>
  <c r="G154" i="75" s="1"/>
  <c r="D153" i="75"/>
  <c r="F153" i="75" s="1"/>
  <c r="H153" i="75" s="1"/>
  <c r="C153" i="75"/>
  <c r="D152" i="75"/>
  <c r="F152" i="75" s="1"/>
  <c r="H152" i="75" s="1"/>
  <c r="C152" i="75"/>
  <c r="D151" i="75"/>
  <c r="F151" i="75" s="1"/>
  <c r="H151" i="75" s="1"/>
  <c r="C151" i="75"/>
  <c r="F150" i="75"/>
  <c r="H150" i="75" s="1"/>
  <c r="C150" i="75"/>
  <c r="F149" i="75"/>
  <c r="H149" i="75" s="1"/>
  <c r="G148" i="75"/>
  <c r="H148" i="75" s="1"/>
  <c r="G147" i="75"/>
  <c r="H147" i="75" s="1"/>
  <c r="D146" i="75"/>
  <c r="F146" i="75" s="1"/>
  <c r="H146" i="75" s="1"/>
  <c r="C146" i="75"/>
  <c r="F145" i="75"/>
  <c r="H145" i="75" s="1"/>
  <c r="C145" i="75"/>
  <c r="F144" i="75"/>
  <c r="H144" i="75" s="1"/>
  <c r="C144" i="75"/>
  <c r="F143" i="75"/>
  <c r="H143" i="75" s="1"/>
  <c r="C143" i="75"/>
  <c r="F142" i="75"/>
  <c r="H142" i="75" s="1"/>
  <c r="C142" i="75"/>
  <c r="F141" i="75"/>
  <c r="H141" i="75" s="1"/>
  <c r="C141" i="75"/>
  <c r="F140" i="75"/>
  <c r="H140" i="75" s="1"/>
  <c r="C140" i="75"/>
  <c r="G139" i="75"/>
  <c r="H139" i="75" s="1"/>
  <c r="F138" i="75"/>
  <c r="H138" i="75" s="1"/>
  <c r="C138" i="75"/>
  <c r="F137" i="75"/>
  <c r="H137" i="75" s="1"/>
  <c r="C137" i="75"/>
  <c r="F136" i="75"/>
  <c r="H136" i="75" s="1"/>
  <c r="C136" i="75"/>
  <c r="F135" i="75"/>
  <c r="H135" i="75" s="1"/>
  <c r="C135" i="75"/>
  <c r="D134" i="75"/>
  <c r="F134" i="75" s="1"/>
  <c r="H134" i="75" s="1"/>
  <c r="C134" i="75"/>
  <c r="F133" i="75"/>
  <c r="H133" i="75" s="1"/>
  <c r="C133" i="75"/>
  <c r="F132" i="75"/>
  <c r="H132" i="75" s="1"/>
  <c r="C132" i="75"/>
  <c r="F131" i="75"/>
  <c r="H131" i="75" s="1"/>
  <c r="C131" i="75"/>
  <c r="F130" i="75"/>
  <c r="H130" i="75" s="1"/>
  <c r="C130" i="75"/>
  <c r="F127" i="75"/>
  <c r="H127" i="75" s="1"/>
  <c r="C127" i="75"/>
  <c r="F126" i="75"/>
  <c r="C126" i="75"/>
  <c r="G125" i="75"/>
  <c r="F124" i="75"/>
  <c r="H124" i="75" s="1"/>
  <c r="C124" i="75"/>
  <c r="F123" i="75"/>
  <c r="H123" i="75" s="1"/>
  <c r="C123" i="75"/>
  <c r="F122" i="75"/>
  <c r="H122" i="75" s="1"/>
  <c r="C122" i="75"/>
  <c r="F121" i="75"/>
  <c r="H121" i="75" s="1"/>
  <c r="C121" i="75"/>
  <c r="F120" i="75"/>
  <c r="C120" i="75"/>
  <c r="H119" i="75"/>
  <c r="F118" i="75"/>
  <c r="H118" i="75" s="1"/>
  <c r="C118" i="75"/>
  <c r="F117" i="75"/>
  <c r="H117" i="75" s="1"/>
  <c r="C117" i="75"/>
  <c r="H116" i="75"/>
  <c r="G115" i="75"/>
  <c r="D114" i="75"/>
  <c r="F114" i="75" s="1"/>
  <c r="H114" i="75" s="1"/>
  <c r="C114" i="75"/>
  <c r="D113" i="75"/>
  <c r="F113" i="75" s="1"/>
  <c r="H113" i="75" s="1"/>
  <c r="C113" i="75"/>
  <c r="F112" i="75"/>
  <c r="H112" i="75" s="1"/>
  <c r="C112" i="75"/>
  <c r="F111" i="75"/>
  <c r="H111" i="75" s="1"/>
  <c r="C111" i="75"/>
  <c r="F110" i="75"/>
  <c r="H110" i="75" s="1"/>
  <c r="C110" i="75"/>
  <c r="F109" i="75"/>
  <c r="H109" i="75" s="1"/>
  <c r="C109" i="75"/>
  <c r="D108" i="75"/>
  <c r="F108" i="75" s="1"/>
  <c r="H108" i="75" s="1"/>
  <c r="C108" i="75"/>
  <c r="H107" i="75"/>
  <c r="F106" i="75"/>
  <c r="C106" i="75"/>
  <c r="G105" i="75"/>
  <c r="F104" i="75"/>
  <c r="H104" i="75" s="1"/>
  <c r="C104" i="75"/>
  <c r="F103" i="75"/>
  <c r="H103" i="75" s="1"/>
  <c r="C103" i="75"/>
  <c r="D102" i="75"/>
  <c r="F102" i="75" s="1"/>
  <c r="H102" i="75" s="1"/>
  <c r="C102" i="75"/>
  <c r="F101" i="75"/>
  <c r="H101" i="75" s="1"/>
  <c r="C101" i="75"/>
  <c r="F100" i="75"/>
  <c r="H100" i="75" s="1"/>
  <c r="C100" i="75"/>
  <c r="D99" i="75"/>
  <c r="F99" i="75" s="1"/>
  <c r="H99" i="75" s="1"/>
  <c r="C99" i="75"/>
  <c r="F98" i="75"/>
  <c r="H98" i="75" s="1"/>
  <c r="C98" i="75"/>
  <c r="F97" i="75"/>
  <c r="C97" i="75"/>
  <c r="G96" i="75"/>
  <c r="F95" i="75"/>
  <c r="H95" i="75" s="1"/>
  <c r="C95" i="75"/>
  <c r="F94" i="75"/>
  <c r="H94" i="75" s="1"/>
  <c r="C94" i="75"/>
  <c r="F93" i="75"/>
  <c r="H93" i="75" s="1"/>
  <c r="C93" i="75"/>
  <c r="F92" i="75"/>
  <c r="H92" i="75" s="1"/>
  <c r="C92" i="75"/>
  <c r="F91" i="75"/>
  <c r="C91" i="75"/>
  <c r="G90" i="75"/>
  <c r="F89" i="75"/>
  <c r="H89" i="75" s="1"/>
  <c r="C89" i="75"/>
  <c r="F88" i="75"/>
  <c r="H88" i="75" s="1"/>
  <c r="C88" i="75"/>
  <c r="F87" i="75"/>
  <c r="H87" i="75" s="1"/>
  <c r="C87" i="75"/>
  <c r="F86" i="75"/>
  <c r="H86" i="75" s="1"/>
  <c r="C86" i="75"/>
  <c r="D85" i="75"/>
  <c r="F85" i="75" s="1"/>
  <c r="C85" i="75"/>
  <c r="G84" i="75"/>
  <c r="F83" i="75"/>
  <c r="H83" i="75" s="1"/>
  <c r="C83" i="75"/>
  <c r="F82" i="75"/>
  <c r="C82" i="75"/>
  <c r="G81" i="75"/>
  <c r="G80" i="75"/>
  <c r="H80" i="75" s="1"/>
  <c r="G79" i="75"/>
  <c r="H79" i="75" s="1"/>
  <c r="G78" i="75"/>
  <c r="G77" i="75"/>
  <c r="H77" i="75" s="1"/>
  <c r="G76" i="75"/>
  <c r="H76" i="75" s="1"/>
  <c r="F75" i="75"/>
  <c r="H75" i="75" s="1"/>
  <c r="C75" i="75"/>
  <c r="D74" i="75"/>
  <c r="F74" i="75" s="1"/>
  <c r="H74" i="75" s="1"/>
  <c r="C74" i="75"/>
  <c r="D73" i="75"/>
  <c r="F73" i="75" s="1"/>
  <c r="H73" i="75" s="1"/>
  <c r="C73" i="75"/>
  <c r="C72" i="75"/>
  <c r="D71" i="75"/>
  <c r="F71" i="75" s="1"/>
  <c r="H71" i="75" s="1"/>
  <c r="C71" i="75"/>
  <c r="D70" i="75"/>
  <c r="D72" i="75" s="1"/>
  <c r="F72" i="75" s="1"/>
  <c r="H72" i="75" s="1"/>
  <c r="C70" i="75"/>
  <c r="E68" i="75"/>
  <c r="D68" i="75"/>
  <c r="D245" i="75" s="1"/>
  <c r="F245" i="75" s="1"/>
  <c r="F244" i="75" s="1"/>
  <c r="H244" i="75" s="1"/>
  <c r="F67" i="75"/>
  <c r="H67" i="75" s="1"/>
  <c r="C67" i="75"/>
  <c r="F66" i="75"/>
  <c r="H66" i="75" s="1"/>
  <c r="C66" i="75"/>
  <c r="F65" i="75"/>
  <c r="H65" i="75" s="1"/>
  <c r="C65" i="75"/>
  <c r="F64" i="75"/>
  <c r="H64" i="75" s="1"/>
  <c r="C64" i="75"/>
  <c r="D63" i="75"/>
  <c r="F63" i="75" s="1"/>
  <c r="H63" i="75" s="1"/>
  <c r="C63" i="75"/>
  <c r="D62" i="75"/>
  <c r="F62" i="75" s="1"/>
  <c r="H62" i="75" s="1"/>
  <c r="C62" i="75"/>
  <c r="D60" i="75"/>
  <c r="C60" i="75"/>
  <c r="F58" i="75"/>
  <c r="H58" i="75" s="1"/>
  <c r="C58" i="75"/>
  <c r="F57" i="75"/>
  <c r="H57" i="75" s="1"/>
  <c r="C57" i="75"/>
  <c r="F56" i="75"/>
  <c r="H56" i="75" s="1"/>
  <c r="C56" i="75"/>
  <c r="F55" i="75"/>
  <c r="H55" i="75" s="1"/>
  <c r="C55" i="75"/>
  <c r="D54" i="75"/>
  <c r="F54" i="75" s="1"/>
  <c r="H54" i="75" s="1"/>
  <c r="C54" i="75"/>
  <c r="D52" i="75"/>
  <c r="F52" i="75" s="1"/>
  <c r="H52" i="75" s="1"/>
  <c r="C52" i="75"/>
  <c r="D51" i="75"/>
  <c r="G51" i="75" s="1"/>
  <c r="H51" i="75" s="1"/>
  <c r="F50" i="75"/>
  <c r="H50" i="75" s="1"/>
  <c r="C50" i="75"/>
  <c r="D49" i="75"/>
  <c r="G49" i="75" s="1"/>
  <c r="F48" i="75"/>
  <c r="H48" i="75" s="1"/>
  <c r="C48" i="75"/>
  <c r="D45" i="75"/>
  <c r="F45" i="75" s="1"/>
  <c r="H45" i="75" s="1"/>
  <c r="C45" i="75"/>
  <c r="F44" i="75"/>
  <c r="H44" i="75" s="1"/>
  <c r="C44" i="75"/>
  <c r="F43" i="75"/>
  <c r="H43" i="75" s="1"/>
  <c r="C43" i="75"/>
  <c r="D42" i="75"/>
  <c r="F42" i="75" s="1"/>
  <c r="H42" i="75" s="1"/>
  <c r="C42" i="75"/>
  <c r="D41" i="75"/>
  <c r="F41" i="75" s="1"/>
  <c r="H41" i="75" s="1"/>
  <c r="C41" i="75"/>
  <c r="D40" i="75"/>
  <c r="G40" i="75" s="1"/>
  <c r="H40" i="75" s="1"/>
  <c r="F39" i="75"/>
  <c r="H39" i="75" s="1"/>
  <c r="C39" i="75"/>
  <c r="C38" i="75"/>
  <c r="D37" i="75"/>
  <c r="C37" i="75"/>
  <c r="D35" i="75"/>
  <c r="D36" i="75" s="1"/>
  <c r="G36" i="75" s="1"/>
  <c r="H36" i="75" s="1"/>
  <c r="C35" i="75"/>
  <c r="F34" i="75"/>
  <c r="H34" i="75" s="1"/>
  <c r="C34" i="75"/>
  <c r="D32" i="75"/>
  <c r="D33" i="75" s="1"/>
  <c r="G33" i="75" s="1"/>
  <c r="H33" i="75" s="1"/>
  <c r="C32" i="75"/>
  <c r="F31" i="75"/>
  <c r="H31" i="75" s="1"/>
  <c r="G29" i="75"/>
  <c r="H29" i="75" s="1"/>
  <c r="G28" i="75"/>
  <c r="H28" i="75" s="1"/>
  <c r="D27" i="75"/>
  <c r="F27" i="75" s="1"/>
  <c r="H27" i="75" s="1"/>
  <c r="C27" i="75"/>
  <c r="F26" i="75"/>
  <c r="H26" i="75" s="1"/>
  <c r="C26" i="75"/>
  <c r="F25" i="75"/>
  <c r="H25" i="75" s="1"/>
  <c r="C25" i="75"/>
  <c r="F24" i="75"/>
  <c r="H24" i="75" s="1"/>
  <c r="C24" i="75"/>
  <c r="F23" i="75"/>
  <c r="H23" i="75" s="1"/>
  <c r="C23" i="75"/>
  <c r="F22" i="75"/>
  <c r="H22" i="75" s="1"/>
  <c r="C22" i="75"/>
  <c r="D21" i="75"/>
  <c r="G21" i="75" s="1"/>
  <c r="C21" i="75"/>
  <c r="F20" i="75"/>
  <c r="H20" i="75" s="1"/>
  <c r="C20" i="75"/>
  <c r="F19" i="75"/>
  <c r="H19" i="75" s="1"/>
  <c r="C19" i="75"/>
  <c r="F18" i="75"/>
  <c r="H18" i="75" s="1"/>
  <c r="C18" i="75"/>
  <c r="F17" i="75"/>
  <c r="H17" i="75" s="1"/>
  <c r="F16" i="75"/>
  <c r="H16" i="75" s="1"/>
  <c r="C16" i="75"/>
  <c r="F15" i="75"/>
  <c r="H15" i="75" s="1"/>
  <c r="C15" i="75"/>
  <c r="F14" i="75"/>
  <c r="H14" i="75" s="1"/>
  <c r="C14" i="75"/>
  <c r="F13" i="75"/>
  <c r="H13" i="75" s="1"/>
  <c r="C13" i="75"/>
  <c r="F12" i="75"/>
  <c r="C12" i="75"/>
  <c r="G10" i="75"/>
  <c r="G3" i="75" s="1"/>
  <c r="F9" i="75"/>
  <c r="H9" i="75" s="1"/>
  <c r="C9" i="75"/>
  <c r="F8" i="75"/>
  <c r="H8" i="75" s="1"/>
  <c r="C8" i="75"/>
  <c r="F7" i="75"/>
  <c r="H7" i="75" s="1"/>
  <c r="C7" i="75"/>
  <c r="F6" i="75"/>
  <c r="H6" i="75" s="1"/>
  <c r="C6" i="75"/>
  <c r="F5" i="75"/>
  <c r="H5" i="75" s="1"/>
  <c r="C5" i="75"/>
  <c r="C4" i="75"/>
  <c r="H74" i="74"/>
  <c r="H73" i="74"/>
  <c r="H72" i="74"/>
  <c r="H71" i="74"/>
  <c r="H70" i="74"/>
  <c r="H69" i="74"/>
  <c r="H68" i="74"/>
  <c r="H67" i="74"/>
  <c r="H66" i="74"/>
  <c r="H65" i="74"/>
  <c r="H64" i="74"/>
  <c r="H63" i="74"/>
  <c r="H62" i="74"/>
  <c r="H61" i="74"/>
  <c r="H60" i="74"/>
  <c r="H58" i="74"/>
  <c r="H57" i="74"/>
  <c r="H56" i="74"/>
  <c r="H55" i="74"/>
  <c r="H54" i="74"/>
  <c r="H53" i="74"/>
  <c r="H52" i="74"/>
  <c r="H51" i="74"/>
  <c r="H50" i="74"/>
  <c r="F49" i="74"/>
  <c r="H49" i="74" s="1"/>
  <c r="H48" i="74"/>
  <c r="H46" i="74"/>
  <c r="H45" i="74"/>
  <c r="H44" i="74"/>
  <c r="H43" i="74"/>
  <c r="H42" i="74"/>
  <c r="H41" i="74"/>
  <c r="H40" i="74"/>
  <c r="H39" i="74"/>
  <c r="H38" i="74"/>
  <c r="H37" i="74"/>
  <c r="H36" i="74"/>
  <c r="H35" i="74"/>
  <c r="H34" i="74"/>
  <c r="H33" i="74"/>
  <c r="H32" i="74"/>
  <c r="H31" i="74"/>
  <c r="H30" i="74"/>
  <c r="H28" i="74"/>
  <c r="H27" i="74"/>
  <c r="F26" i="74"/>
  <c r="H26" i="74" s="1"/>
  <c r="E26" i="74"/>
  <c r="F25" i="74"/>
  <c r="H25" i="74" s="1"/>
  <c r="E25" i="74"/>
  <c r="H23" i="74"/>
  <c r="H22" i="74"/>
  <c r="H20" i="74"/>
  <c r="H19" i="74"/>
  <c r="H18" i="74"/>
  <c r="H17" i="74"/>
  <c r="F16" i="74"/>
  <c r="H16" i="74" s="1"/>
  <c r="H14" i="74"/>
  <c r="H13" i="74"/>
  <c r="F12" i="74"/>
  <c r="H12" i="74" s="1"/>
  <c r="H11" i="74"/>
  <c r="H9" i="74"/>
  <c r="H8" i="74"/>
  <c r="H7" i="74"/>
  <c r="F6" i="74"/>
  <c r="H6" i="74" s="1"/>
  <c r="F5" i="74"/>
  <c r="H5" i="74" s="1"/>
  <c r="G101" i="73"/>
  <c r="G100" i="73"/>
  <c r="G99" i="73"/>
  <c r="G96" i="73"/>
  <c r="G95" i="73"/>
  <c r="G94" i="73"/>
  <c r="G91" i="73"/>
  <c r="G90" i="73"/>
  <c r="G88" i="73"/>
  <c r="G87" i="73"/>
  <c r="G86" i="73"/>
  <c r="G85" i="73"/>
  <c r="G84" i="73"/>
  <c r="G83" i="73"/>
  <c r="G81" i="73"/>
  <c r="G80" i="73"/>
  <c r="G79" i="73"/>
  <c r="G78" i="73"/>
  <c r="G77" i="73"/>
  <c r="G76" i="73"/>
  <c r="G75" i="73"/>
  <c r="G74" i="73"/>
  <c r="G73" i="73"/>
  <c r="G72" i="73"/>
  <c r="G71" i="73"/>
  <c r="G70" i="73"/>
  <c r="G69" i="73"/>
  <c r="G68" i="73"/>
  <c r="G67" i="73"/>
  <c r="G66" i="73"/>
  <c r="G65" i="73"/>
  <c r="G64" i="73"/>
  <c r="G63" i="73"/>
  <c r="G61" i="73"/>
  <c r="G60" i="73"/>
  <c r="G59" i="73"/>
  <c r="G58" i="73"/>
  <c r="G57" i="73"/>
  <c r="F56" i="73"/>
  <c r="G56" i="73" s="1"/>
  <c r="F55" i="73"/>
  <c r="G55" i="73" s="1"/>
  <c r="G53" i="73"/>
  <c r="G52" i="73"/>
  <c r="G51" i="73"/>
  <c r="G50" i="73"/>
  <c r="G48" i="73"/>
  <c r="G47" i="73"/>
  <c r="G46" i="73"/>
  <c r="G45" i="73"/>
  <c r="G44" i="73"/>
  <c r="G42" i="73"/>
  <c r="G41" i="73"/>
  <c r="G40" i="73"/>
  <c r="G39" i="73"/>
  <c r="G38" i="73"/>
  <c r="G37" i="73"/>
  <c r="G36" i="73"/>
  <c r="G35" i="73"/>
  <c r="G34" i="73"/>
  <c r="G33" i="73"/>
  <c r="G32" i="73"/>
  <c r="G31" i="73"/>
  <c r="G30" i="73"/>
  <c r="G29" i="73"/>
  <c r="G28" i="73"/>
  <c r="G26" i="73"/>
  <c r="G25" i="73"/>
  <c r="G24" i="73"/>
  <c r="G23" i="73"/>
  <c r="G22" i="73"/>
  <c r="G21" i="73"/>
  <c r="G19" i="73"/>
  <c r="G18" i="73"/>
  <c r="G17" i="73"/>
  <c r="E16" i="73"/>
  <c r="G16" i="73" s="1"/>
  <c r="G15" i="73"/>
  <c r="G14" i="73"/>
  <c r="G13" i="73"/>
  <c r="G12" i="73"/>
  <c r="G11" i="73"/>
  <c r="G10" i="73"/>
  <c r="G9" i="73"/>
  <c r="G7" i="73"/>
  <c r="G6" i="73"/>
  <c r="G5" i="73"/>
  <c r="G4" i="73"/>
  <c r="K54" i="80" l="1"/>
  <c r="K96" i="80"/>
  <c r="K44" i="80"/>
  <c r="K116" i="80"/>
  <c r="S46" i="78"/>
  <c r="M46" i="78"/>
  <c r="O46" i="78"/>
  <c r="K31" i="80"/>
  <c r="H21" i="74"/>
  <c r="K124" i="80"/>
  <c r="F81" i="75"/>
  <c r="J46" i="78"/>
  <c r="P46" i="78"/>
  <c r="Q46" i="78"/>
  <c r="L46" i="78"/>
  <c r="V101" i="77"/>
  <c r="V102" i="77"/>
  <c r="K133" i="80"/>
  <c r="K97" i="80"/>
  <c r="F246" i="75"/>
  <c r="H246" i="75" s="1"/>
  <c r="K125" i="80"/>
  <c r="K22" i="80"/>
  <c r="H47" i="74"/>
  <c r="K95" i="80"/>
  <c r="G49" i="73"/>
  <c r="H81" i="75"/>
  <c r="K123" i="80"/>
  <c r="N46" i="78"/>
  <c r="K121" i="80"/>
  <c r="F241" i="75"/>
  <c r="H241" i="75" s="1"/>
  <c r="G21" i="85"/>
  <c r="H21" i="85" s="1"/>
  <c r="H20" i="85"/>
  <c r="G69" i="75"/>
  <c r="F125" i="75"/>
  <c r="H125" i="75" s="1"/>
  <c r="D155" i="75"/>
  <c r="G155" i="75" s="1"/>
  <c r="H155" i="75" s="1"/>
  <c r="F70" i="75"/>
  <c r="H70" i="75" s="1"/>
  <c r="F115" i="75"/>
  <c r="H115" i="75" s="1"/>
  <c r="F248" i="75"/>
  <c r="H248" i="75" s="1"/>
  <c r="K17" i="80"/>
  <c r="H243" i="75"/>
  <c r="K40" i="80"/>
  <c r="K114" i="80"/>
  <c r="F11" i="75"/>
  <c r="F35" i="75"/>
  <c r="H35" i="75" s="1"/>
  <c r="G98" i="73"/>
  <c r="H78" i="75"/>
  <c r="H82" i="75"/>
  <c r="H120" i="75"/>
  <c r="H126" i="75"/>
  <c r="K110" i="80"/>
  <c r="K21" i="80"/>
  <c r="K138" i="80"/>
  <c r="K136" i="80"/>
  <c r="G82" i="73"/>
  <c r="V38" i="77"/>
  <c r="H29" i="74"/>
  <c r="G68" i="75"/>
  <c r="H68" i="75" s="1"/>
  <c r="G43" i="73"/>
  <c r="G62" i="73"/>
  <c r="H59" i="74"/>
  <c r="D4" i="75"/>
  <c r="F4" i="75" s="1"/>
  <c r="H4" i="75" s="1"/>
  <c r="F105" i="75"/>
  <c r="H105" i="75" s="1"/>
  <c r="K51" i="80"/>
  <c r="K32" i="80"/>
  <c r="H4" i="74"/>
  <c r="V62" i="77"/>
  <c r="D61" i="75"/>
  <c r="G61" i="75" s="1"/>
  <c r="H106" i="75"/>
  <c r="V69" i="77"/>
  <c r="K137" i="80"/>
  <c r="K109" i="80"/>
  <c r="K126" i="80"/>
  <c r="K33" i="80"/>
  <c r="K26" i="80"/>
  <c r="K98" i="80"/>
  <c r="K52" i="80"/>
  <c r="V63" i="77"/>
  <c r="V70" i="77"/>
  <c r="V61" i="77"/>
  <c r="V93" i="77"/>
  <c r="V92" i="77"/>
  <c r="V73" i="77"/>
  <c r="V39" i="77"/>
  <c r="V31" i="77"/>
  <c r="V112" i="77"/>
  <c r="N37" i="78"/>
  <c r="K46" i="78"/>
  <c r="R46" i="78"/>
  <c r="U46" i="78"/>
  <c r="T46" i="78"/>
  <c r="W46" i="78"/>
  <c r="I47" i="78"/>
  <c r="O37" i="78"/>
  <c r="M37" i="78"/>
  <c r="X56" i="78"/>
  <c r="Q37" i="78"/>
  <c r="R37" i="78"/>
  <c r="S37" i="78"/>
  <c r="L37" i="78"/>
  <c r="U37" i="78"/>
  <c r="V37" i="78"/>
  <c r="W37" i="78"/>
  <c r="T37" i="78"/>
  <c r="J37" i="78"/>
  <c r="K37" i="78"/>
  <c r="X42" i="78"/>
  <c r="X29" i="78"/>
  <c r="X30" i="78"/>
  <c r="X57" i="78"/>
  <c r="X43" i="78"/>
  <c r="X16" i="78"/>
  <c r="K39" i="80"/>
  <c r="H48" i="80"/>
  <c r="J48" i="80"/>
  <c r="I48" i="80"/>
  <c r="K24" i="80"/>
  <c r="K122" i="80"/>
  <c r="K115" i="80"/>
  <c r="K45" i="80"/>
  <c r="K16" i="80"/>
  <c r="K104" i="80"/>
  <c r="H53" i="80"/>
  <c r="J53" i="80"/>
  <c r="I53" i="80"/>
  <c r="J41" i="80"/>
  <c r="I41" i="80"/>
  <c r="H41" i="80"/>
  <c r="K117" i="80"/>
  <c r="K103" i="80"/>
  <c r="K25" i="80"/>
  <c r="K46" i="80"/>
  <c r="K15" i="80"/>
  <c r="K28" i="80"/>
  <c r="K113" i="80"/>
  <c r="K50" i="80"/>
  <c r="K120" i="80"/>
  <c r="K102" i="80"/>
  <c r="K134" i="80"/>
  <c r="K101" i="80"/>
  <c r="H35" i="80"/>
  <c r="J35" i="80"/>
  <c r="I35" i="80"/>
  <c r="K94" i="80"/>
  <c r="K43" i="80"/>
  <c r="K47" i="80"/>
  <c r="K34" i="80"/>
  <c r="K18" i="80"/>
  <c r="U36" i="78"/>
  <c r="Q36" i="78"/>
  <c r="M36" i="78"/>
  <c r="T36" i="78"/>
  <c r="P36" i="78"/>
  <c r="L36" i="78"/>
  <c r="W36" i="78"/>
  <c r="S36" i="78"/>
  <c r="O36" i="78"/>
  <c r="K36" i="78"/>
  <c r="R36" i="78"/>
  <c r="N36" i="78"/>
  <c r="V36" i="78"/>
  <c r="J36" i="78"/>
  <c r="U34" i="78"/>
  <c r="Q34" i="78"/>
  <c r="M34" i="78"/>
  <c r="T34" i="78"/>
  <c r="P34" i="78"/>
  <c r="L34" i="78"/>
  <c r="W34" i="78"/>
  <c r="S34" i="78"/>
  <c r="O34" i="78"/>
  <c r="K34" i="78"/>
  <c r="N34" i="78"/>
  <c r="J34" i="78"/>
  <c r="R34" i="78"/>
  <c r="V34" i="78"/>
  <c r="V21" i="78"/>
  <c r="R21" i="78"/>
  <c r="N21" i="78"/>
  <c r="J21" i="78"/>
  <c r="I25" i="78"/>
  <c r="U21" i="78"/>
  <c r="Q21" i="78"/>
  <c r="M21" i="78"/>
  <c r="S21" i="78"/>
  <c r="K21" i="78"/>
  <c r="T21" i="78"/>
  <c r="P21" i="78"/>
  <c r="L21" i="78"/>
  <c r="W21" i="78"/>
  <c r="O21" i="78"/>
  <c r="X55" i="78"/>
  <c r="X23" i="78"/>
  <c r="X41" i="78"/>
  <c r="X18" i="78"/>
  <c r="V52" i="78"/>
  <c r="R52" i="78"/>
  <c r="N52" i="78"/>
  <c r="J52" i="78"/>
  <c r="U52" i="78"/>
  <c r="Q52" i="78"/>
  <c r="M52" i="78"/>
  <c r="T52" i="78"/>
  <c r="P52" i="78"/>
  <c r="L52" i="78"/>
  <c r="S52" i="78"/>
  <c r="O52" i="78"/>
  <c r="W52" i="78"/>
  <c r="K52" i="78"/>
  <c r="X60" i="78"/>
  <c r="W33" i="78"/>
  <c r="S33" i="78"/>
  <c r="O33" i="78"/>
  <c r="K33" i="78"/>
  <c r="V33" i="78"/>
  <c r="R33" i="78"/>
  <c r="N33" i="78"/>
  <c r="J33" i="78"/>
  <c r="I38" i="78"/>
  <c r="U33" i="78"/>
  <c r="Q33" i="78"/>
  <c r="M33" i="78"/>
  <c r="T33" i="78"/>
  <c r="P33" i="78"/>
  <c r="L33" i="78"/>
  <c r="X59" i="78"/>
  <c r="X58" i="78"/>
  <c r="W35" i="78"/>
  <c r="S35" i="78"/>
  <c r="O35" i="78"/>
  <c r="K35" i="78"/>
  <c r="V35" i="78"/>
  <c r="R35" i="78"/>
  <c r="N35" i="78"/>
  <c r="J35" i="78"/>
  <c r="U35" i="78"/>
  <c r="Q35" i="78"/>
  <c r="M35" i="78"/>
  <c r="T35" i="78"/>
  <c r="L35" i="78"/>
  <c r="P35" i="78"/>
  <c r="X51" i="78"/>
  <c r="I53" i="78"/>
  <c r="X40" i="78"/>
  <c r="X45" i="78"/>
  <c r="X44" i="78"/>
  <c r="X22" i="78"/>
  <c r="X17" i="78"/>
  <c r="V24" i="78"/>
  <c r="R24" i="78"/>
  <c r="N24" i="78"/>
  <c r="J24" i="78"/>
  <c r="U24" i="78"/>
  <c r="Q24" i="78"/>
  <c r="M24" i="78"/>
  <c r="W24" i="78"/>
  <c r="S24" i="78"/>
  <c r="K24" i="78"/>
  <c r="T24" i="78"/>
  <c r="P24" i="78"/>
  <c r="L24" i="78"/>
  <c r="O24" i="78"/>
  <c r="U79" i="77"/>
  <c r="Q79" i="77"/>
  <c r="M79" i="77"/>
  <c r="T79" i="77"/>
  <c r="P79" i="77"/>
  <c r="L79" i="77"/>
  <c r="N79" i="77"/>
  <c r="R79" i="77"/>
  <c r="S79" i="77"/>
  <c r="K79" i="77"/>
  <c r="J79" i="77"/>
  <c r="O79" i="77"/>
  <c r="U78" i="77"/>
  <c r="Q78" i="77"/>
  <c r="M78" i="77"/>
  <c r="T78" i="77"/>
  <c r="P78" i="77"/>
  <c r="L78" i="77"/>
  <c r="I81" i="77"/>
  <c r="N78" i="77"/>
  <c r="R78" i="77"/>
  <c r="S78" i="77"/>
  <c r="K78" i="77"/>
  <c r="J78" i="77"/>
  <c r="O78" i="77"/>
  <c r="R118" i="77"/>
  <c r="N118" i="77"/>
  <c r="J118" i="77"/>
  <c r="U118" i="77"/>
  <c r="Q118" i="77"/>
  <c r="M118" i="77"/>
  <c r="T118" i="77"/>
  <c r="P118" i="77"/>
  <c r="L118" i="77"/>
  <c r="S118" i="77"/>
  <c r="O118" i="77"/>
  <c r="K118" i="77"/>
  <c r="V113" i="77"/>
  <c r="V97" i="77"/>
  <c r="V96" i="77"/>
  <c r="V71" i="77"/>
  <c r="V50" i="77"/>
  <c r="V55" i="77"/>
  <c r="V86" i="77"/>
  <c r="V84" i="77"/>
  <c r="V114" i="77"/>
  <c r="V51" i="77"/>
  <c r="V43" i="77"/>
  <c r="V30" i="77"/>
  <c r="V56" i="77"/>
  <c r="V48" i="77"/>
  <c r="V83" i="77"/>
  <c r="V87" i="77"/>
  <c r="V67" i="77"/>
  <c r="V64" i="77"/>
  <c r="V60" i="77"/>
  <c r="V116" i="77"/>
  <c r="S111" i="77"/>
  <c r="O111" i="77"/>
  <c r="K111" i="77"/>
  <c r="R111" i="77"/>
  <c r="N111" i="77"/>
  <c r="J111" i="77"/>
  <c r="U111" i="77"/>
  <c r="Q111" i="77"/>
  <c r="M111" i="77"/>
  <c r="P111" i="77"/>
  <c r="L111" i="77"/>
  <c r="T111" i="77"/>
  <c r="V94" i="77"/>
  <c r="V80" i="77"/>
  <c r="V53" i="77"/>
  <c r="V49" i="77"/>
  <c r="V37" i="77"/>
  <c r="V29" i="77"/>
  <c r="V42" i="77"/>
  <c r="V85" i="77"/>
  <c r="V36" i="77"/>
  <c r="V28" i="77"/>
  <c r="V52" i="77"/>
  <c r="V95" i="77"/>
  <c r="I119" i="77"/>
  <c r="V110" i="77"/>
  <c r="V117" i="77"/>
  <c r="V89" i="77"/>
  <c r="V88" i="77"/>
  <c r="V72" i="77"/>
  <c r="V68" i="77"/>
  <c r="V54" i="77"/>
  <c r="S115" i="77"/>
  <c r="O115" i="77"/>
  <c r="K115" i="77"/>
  <c r="R115" i="77"/>
  <c r="N115" i="77"/>
  <c r="J115" i="77"/>
  <c r="U115" i="77"/>
  <c r="Q115" i="77"/>
  <c r="M115" i="77"/>
  <c r="T115" i="77"/>
  <c r="P115" i="77"/>
  <c r="L115" i="77"/>
  <c r="V57" i="77"/>
  <c r="V35" i="77"/>
  <c r="V27" i="77"/>
  <c r="V32" i="77"/>
  <c r="H21" i="75"/>
  <c r="G11" i="75"/>
  <c r="F96" i="75"/>
  <c r="H96" i="75" s="1"/>
  <c r="H97" i="75"/>
  <c r="H10" i="75"/>
  <c r="H12" i="75"/>
  <c r="F47" i="75"/>
  <c r="F175" i="75"/>
  <c r="H175" i="75" s="1"/>
  <c r="H181" i="75"/>
  <c r="F84" i="75"/>
  <c r="H84" i="75" s="1"/>
  <c r="H85" i="75"/>
  <c r="F169" i="75"/>
  <c r="H169" i="75" s="1"/>
  <c r="H170" i="75"/>
  <c r="F37" i="75"/>
  <c r="H37" i="75" s="1"/>
  <c r="D38" i="75"/>
  <c r="G38" i="75" s="1"/>
  <c r="H38" i="75" s="1"/>
  <c r="F60" i="75"/>
  <c r="F69" i="75"/>
  <c r="F90" i="75"/>
  <c r="H90" i="75" s="1"/>
  <c r="H91" i="75"/>
  <c r="F129" i="75"/>
  <c r="H245" i="75"/>
  <c r="F32" i="75"/>
  <c r="H49" i="75"/>
  <c r="H154" i="75"/>
  <c r="D53" i="75"/>
  <c r="G53" i="75" s="1"/>
  <c r="H53" i="75" s="1"/>
  <c r="H15" i="74"/>
  <c r="H24" i="74"/>
  <c r="H10" i="74"/>
  <c r="G27" i="73"/>
  <c r="G93" i="73"/>
  <c r="G20" i="73"/>
  <c r="G89" i="73"/>
  <c r="G54" i="73"/>
  <c r="G8" i="73"/>
  <c r="G3" i="73"/>
  <c r="H69" i="75" l="1"/>
  <c r="M81" i="78"/>
  <c r="S81" i="78"/>
  <c r="H82" i="80"/>
  <c r="H83" i="80" s="1"/>
  <c r="U81" i="78"/>
  <c r="T81" i="78"/>
  <c r="K81" i="78"/>
  <c r="R81" i="78"/>
  <c r="P81" i="78"/>
  <c r="V81" i="78"/>
  <c r="O81" i="78"/>
  <c r="I82" i="80"/>
  <c r="I83" i="80" s="1"/>
  <c r="N81" i="78"/>
  <c r="Q81" i="78"/>
  <c r="W81" i="78"/>
  <c r="J82" i="80"/>
  <c r="J81" i="78"/>
  <c r="J82" i="78" s="1"/>
  <c r="L81" i="78"/>
  <c r="F3" i="75"/>
  <c r="H3" i="75" s="1"/>
  <c r="V99" i="77"/>
  <c r="U142" i="77" s="1"/>
  <c r="I108" i="77"/>
  <c r="S142" i="77"/>
  <c r="O142" i="77"/>
  <c r="R142" i="77"/>
  <c r="P142" i="77"/>
  <c r="Q142" i="77"/>
  <c r="J142" i="77"/>
  <c r="J143" i="77" s="1"/>
  <c r="T142" i="77"/>
  <c r="L142" i="77"/>
  <c r="K142" i="77"/>
  <c r="M142" i="77"/>
  <c r="N142" i="77"/>
  <c r="H28" i="85"/>
  <c r="H29" i="85" s="1"/>
  <c r="H30" i="85" s="1"/>
  <c r="K38" i="80"/>
  <c r="K100" i="80"/>
  <c r="G59" i="75"/>
  <c r="G129" i="75"/>
  <c r="G128" i="75" s="1"/>
  <c r="H11" i="75"/>
  <c r="K119" i="80"/>
  <c r="K30" i="80"/>
  <c r="V41" i="77"/>
  <c r="K132" i="80"/>
  <c r="K128" i="80" s="1"/>
  <c r="H61" i="75"/>
  <c r="K48" i="80"/>
  <c r="X46" i="78"/>
  <c r="X39" i="78" s="1"/>
  <c r="K93" i="80"/>
  <c r="K108" i="80"/>
  <c r="K42" i="80"/>
  <c r="K35" i="80"/>
  <c r="K20" i="80"/>
  <c r="V91" i="77"/>
  <c r="V59" i="77"/>
  <c r="V82" i="77"/>
  <c r="V78" i="77"/>
  <c r="V34" i="77"/>
  <c r="X28" i="78"/>
  <c r="X37" i="78"/>
  <c r="X54" i="78"/>
  <c r="X24" i="78"/>
  <c r="K112" i="80"/>
  <c r="K41" i="80"/>
  <c r="K14" i="80"/>
  <c r="K53" i="80"/>
  <c r="K49" i="80" s="1"/>
  <c r="X21" i="78"/>
  <c r="X52" i="78"/>
  <c r="X50" i="78" s="1"/>
  <c r="X15" i="78"/>
  <c r="X35" i="78"/>
  <c r="X34" i="78"/>
  <c r="X36" i="78"/>
  <c r="X33" i="78"/>
  <c r="V111" i="77"/>
  <c r="V47" i="77"/>
  <c r="V79" i="77"/>
  <c r="V115" i="77"/>
  <c r="V118" i="77"/>
  <c r="V66" i="77"/>
  <c r="V26" i="77"/>
  <c r="F128" i="75"/>
  <c r="G30" i="75"/>
  <c r="G47" i="75"/>
  <c r="F30" i="75"/>
  <c r="H32" i="75"/>
  <c r="F59" i="75"/>
  <c r="H60" i="75"/>
  <c r="H75" i="74"/>
  <c r="I15" i="74" s="1"/>
  <c r="G102" i="73"/>
  <c r="H62" i="73" s="1"/>
  <c r="H128" i="75" l="1"/>
  <c r="H59" i="75"/>
  <c r="K82" i="78"/>
  <c r="L82" i="78" s="1"/>
  <c r="M82" i="78" s="1"/>
  <c r="N82" i="78" s="1"/>
  <c r="O82" i="78" s="1"/>
  <c r="P82" i="78" s="1"/>
  <c r="Q82" i="78" s="1"/>
  <c r="R82" i="78" s="1"/>
  <c r="S82" i="78" s="1"/>
  <c r="T82" i="78" s="1"/>
  <c r="U82" i="78" s="1"/>
  <c r="V82" i="78" s="1"/>
  <c r="W82" i="78" s="1"/>
  <c r="J83" i="80"/>
  <c r="X48" i="78"/>
  <c r="K91" i="80"/>
  <c r="V109" i="77"/>
  <c r="K143" i="77"/>
  <c r="L143" i="77" s="1"/>
  <c r="M143" i="77" s="1"/>
  <c r="N143" i="77" s="1"/>
  <c r="O143" i="77" s="1"/>
  <c r="P143" i="77" s="1"/>
  <c r="Q143" i="77" s="1"/>
  <c r="R143" i="77" s="1"/>
  <c r="S143" i="77" s="1"/>
  <c r="T143" i="77" s="1"/>
  <c r="U143" i="77" s="1"/>
  <c r="H129" i="75"/>
  <c r="G46" i="75"/>
  <c r="G250" i="75" s="1"/>
  <c r="V24" i="77"/>
  <c r="H43" i="73"/>
  <c r="H47" i="75"/>
  <c r="H89" i="73"/>
  <c r="H30" i="75"/>
  <c r="H54" i="73"/>
  <c r="K36" i="80"/>
  <c r="H93" i="73"/>
  <c r="K106" i="80"/>
  <c r="H27" i="73"/>
  <c r="V77" i="77"/>
  <c r="H26" i="73"/>
  <c r="H28" i="73"/>
  <c r="H46" i="73"/>
  <c r="H87" i="73"/>
  <c r="H97" i="73"/>
  <c r="H66" i="73"/>
  <c r="H60" i="73"/>
  <c r="H78" i="73"/>
  <c r="H15" i="73"/>
  <c r="H55" i="73"/>
  <c r="H79" i="73"/>
  <c r="H74" i="73"/>
  <c r="H12" i="73"/>
  <c r="H36" i="73"/>
  <c r="H92" i="73"/>
  <c r="H38" i="73"/>
  <c r="H70" i="73"/>
  <c r="H23" i="73"/>
  <c r="H47" i="73"/>
  <c r="H63" i="73"/>
  <c r="H95" i="73"/>
  <c r="H44" i="73"/>
  <c r="H30" i="73"/>
  <c r="H86" i="73"/>
  <c r="H94" i="73"/>
  <c r="H71" i="73"/>
  <c r="H57" i="73"/>
  <c r="H69" i="73"/>
  <c r="H14" i="73"/>
  <c r="H88" i="73"/>
  <c r="H22" i="73"/>
  <c r="H45" i="73"/>
  <c r="H37" i="73"/>
  <c r="H76" i="73"/>
  <c r="H13" i="73"/>
  <c r="H58" i="73"/>
  <c r="H16" i="73"/>
  <c r="H40" i="73"/>
  <c r="H39" i="73"/>
  <c r="H48" i="73"/>
  <c r="H64" i="73"/>
  <c r="H56" i="73"/>
  <c r="H9" i="73"/>
  <c r="H83" i="73"/>
  <c r="H29" i="73"/>
  <c r="H65" i="73"/>
  <c r="H31" i="73"/>
  <c r="H25" i="73"/>
  <c r="H59" i="73"/>
  <c r="H67" i="73"/>
  <c r="H84" i="73"/>
  <c r="H72" i="73"/>
  <c r="H73" i="73"/>
  <c r="H50" i="73"/>
  <c r="H32" i="73"/>
  <c r="H24" i="73"/>
  <c r="H75" i="73"/>
  <c r="H34" i="73"/>
  <c r="H85" i="73"/>
  <c r="H49" i="73"/>
  <c r="H33" i="73"/>
  <c r="H80" i="73"/>
  <c r="H81" i="73"/>
  <c r="H42" i="73"/>
  <c r="H51" i="73"/>
  <c r="H90" i="73"/>
  <c r="H91" i="73"/>
  <c r="H18" i="73"/>
  <c r="H68" i="73"/>
  <c r="H52" i="73"/>
  <c r="H17" i="73"/>
  <c r="H41" i="73"/>
  <c r="H77" i="73"/>
  <c r="H11" i="73"/>
  <c r="H96" i="73"/>
  <c r="H61" i="73"/>
  <c r="H35" i="73"/>
  <c r="H21" i="73"/>
  <c r="H10" i="73"/>
  <c r="H19" i="73"/>
  <c r="H53" i="73"/>
  <c r="H82" i="73"/>
  <c r="K12" i="80"/>
  <c r="F46" i="75"/>
  <c r="H20" i="73"/>
  <c r="H98" i="73"/>
  <c r="X20" i="78"/>
  <c r="X13" i="78" s="1"/>
  <c r="X32" i="78"/>
  <c r="X26" i="78" s="1"/>
  <c r="V45" i="77"/>
  <c r="H76" i="74"/>
  <c r="H77" i="74" s="1"/>
  <c r="I48" i="74"/>
  <c r="I44" i="74"/>
  <c r="I40" i="74"/>
  <c r="I36" i="74"/>
  <c r="I32" i="74"/>
  <c r="I28" i="74"/>
  <c r="I22" i="74"/>
  <c r="I18" i="74"/>
  <c r="I11" i="74"/>
  <c r="I7" i="74"/>
  <c r="I13" i="74"/>
  <c r="I45" i="74"/>
  <c r="I41" i="74"/>
  <c r="I19" i="74"/>
  <c r="I37" i="74"/>
  <c r="I3" i="74"/>
  <c r="I8" i="74"/>
  <c r="I58" i="74"/>
  <c r="I54" i="74"/>
  <c r="I50" i="74"/>
  <c r="I23" i="74"/>
  <c r="I33" i="74"/>
  <c r="I9" i="74"/>
  <c r="I43" i="74"/>
  <c r="I39" i="74"/>
  <c r="I56" i="74"/>
  <c r="I49" i="74"/>
  <c r="I51" i="74"/>
  <c r="I30" i="74"/>
  <c r="I29" i="74"/>
  <c r="I12" i="74"/>
  <c r="I4" i="74"/>
  <c r="I17" i="74"/>
  <c r="I46" i="74"/>
  <c r="I25" i="74"/>
  <c r="I26" i="74"/>
  <c r="I52" i="74"/>
  <c r="I31" i="74"/>
  <c r="I34" i="74"/>
  <c r="I21" i="74"/>
  <c r="I55" i="74"/>
  <c r="I35" i="74"/>
  <c r="I59" i="74"/>
  <c r="I5" i="74"/>
  <c r="I42" i="74"/>
  <c r="I20" i="74"/>
  <c r="I27" i="74"/>
  <c r="I53" i="74"/>
  <c r="I57" i="74"/>
  <c r="I38" i="74"/>
  <c r="I14" i="74"/>
  <c r="I6" i="74"/>
  <c r="I47" i="74"/>
  <c r="I16" i="74"/>
  <c r="I10" i="74"/>
  <c r="I24" i="74"/>
  <c r="H4" i="73"/>
  <c r="H100" i="73"/>
  <c r="H5" i="73"/>
  <c r="H101" i="73"/>
  <c r="H6" i="73"/>
  <c r="H3" i="73"/>
  <c r="H7" i="73"/>
  <c r="H99" i="73"/>
  <c r="G103" i="73"/>
  <c r="G104" i="73" s="1"/>
  <c r="K89" i="80" l="1"/>
  <c r="H46" i="75"/>
  <c r="K152" i="80"/>
  <c r="F250" i="75"/>
  <c r="F251" i="75" s="1"/>
  <c r="V75" i="77"/>
  <c r="V120" i="77" s="1"/>
  <c r="K60" i="80"/>
  <c r="K64" i="80" s="1"/>
  <c r="K11" i="80"/>
  <c r="C5" i="81" s="1"/>
  <c r="H8" i="73"/>
  <c r="X11" i="78"/>
  <c r="X62" i="78"/>
  <c r="F252" i="75" l="1"/>
  <c r="H252" i="75" s="1"/>
  <c r="H251" i="75"/>
  <c r="I103" i="75" s="1"/>
  <c r="K62" i="80"/>
  <c r="K85" i="80"/>
  <c r="V124" i="77"/>
  <c r="V22" i="77"/>
  <c r="C7" i="81" s="1"/>
  <c r="E9" i="78"/>
  <c r="C6" i="81"/>
  <c r="I179" i="75"/>
  <c r="I177" i="75"/>
  <c r="I117" i="75"/>
  <c r="I111" i="75"/>
  <c r="I109" i="75"/>
  <c r="I101" i="75"/>
  <c r="I118" i="75"/>
  <c r="I112" i="75"/>
  <c r="I110" i="75"/>
  <c r="I100" i="75"/>
  <c r="I232" i="75"/>
  <c r="I176" i="75"/>
  <c r="I15" i="75"/>
  <c r="I13" i="75"/>
  <c r="I161" i="75"/>
  <c r="I48" i="75"/>
  <c r="I234" i="75"/>
  <c r="I227" i="75"/>
  <c r="I163" i="75"/>
  <c r="I40" i="75"/>
  <c r="I165" i="75"/>
  <c r="I106" i="75"/>
  <c r="I67" i="75"/>
  <c r="I65" i="75"/>
  <c r="I63" i="75"/>
  <c r="I247" i="75"/>
  <c r="I236" i="75"/>
  <c r="I78" i="75"/>
  <c r="I50" i="75"/>
  <c r="I238" i="75"/>
  <c r="I151" i="75"/>
  <c r="I102" i="75"/>
  <c r="I77" i="75"/>
  <c r="I66" i="75"/>
  <c r="I64" i="75"/>
  <c r="I9" i="75"/>
  <c r="I7" i="75"/>
  <c r="I5" i="75"/>
  <c r="I41" i="75"/>
  <c r="I76" i="75"/>
  <c r="I8" i="75"/>
  <c r="I20" i="75"/>
  <c r="I68" i="75"/>
  <c r="I167" i="75"/>
  <c r="I229" i="75"/>
  <c r="I203" i="75"/>
  <c r="I105" i="75"/>
  <c r="I144" i="75"/>
  <c r="I98" i="75"/>
  <c r="I156" i="75"/>
  <c r="I239" i="75"/>
  <c r="I145" i="75"/>
  <c r="I217" i="75"/>
  <c r="I135" i="75"/>
  <c r="I214" i="75"/>
  <c r="I83" i="75"/>
  <c r="I171" i="75"/>
  <c r="I108" i="75"/>
  <c r="I158" i="75"/>
  <c r="I228" i="75"/>
  <c r="I166" i="75"/>
  <c r="I150" i="75"/>
  <c r="I183" i="75"/>
  <c r="I51" i="75"/>
  <c r="I57" i="75"/>
  <c r="I143" i="75"/>
  <c r="I198" i="75"/>
  <c r="I80" i="75"/>
  <c r="I24" i="75"/>
  <c r="I22" i="75"/>
  <c r="I19" i="75"/>
  <c r="I16" i="75"/>
  <c r="I33" i="75"/>
  <c r="I81" i="75"/>
  <c r="I172" i="75"/>
  <c r="I74" i="75"/>
  <c r="I206" i="75"/>
  <c r="I121" i="75"/>
  <c r="I184" i="75"/>
  <c r="I168" i="75"/>
  <c r="I114" i="75"/>
  <c r="I178" i="75"/>
  <c r="I219" i="75"/>
  <c r="I220" i="75"/>
  <c r="I244" i="75"/>
  <c r="I139" i="75"/>
  <c r="I231" i="75"/>
  <c r="I189" i="75"/>
  <c r="I35" i="75"/>
  <c r="I120" i="75"/>
  <c r="I235" i="75"/>
  <c r="I237" i="75"/>
  <c r="I192" i="75"/>
  <c r="I137" i="75"/>
  <c r="I130" i="75"/>
  <c r="I194" i="75"/>
  <c r="I159" i="75"/>
  <c r="I136" i="75"/>
  <c r="I199" i="75"/>
  <c r="I221" i="75"/>
  <c r="I45" i="75"/>
  <c r="I223" i="75"/>
  <c r="I146" i="75"/>
  <c r="I215" i="75"/>
  <c r="I153" i="75"/>
  <c r="I27" i="75"/>
  <c r="I25" i="75"/>
  <c r="I31" i="75"/>
  <c r="I23" i="75"/>
  <c r="I58" i="75"/>
  <c r="I92" i="75"/>
  <c r="I180" i="75"/>
  <c r="I222" i="75"/>
  <c r="I131" i="75"/>
  <c r="I197" i="75"/>
  <c r="I56" i="75"/>
  <c r="I124" i="75"/>
  <c r="I191" i="75"/>
  <c r="I44" i="75"/>
  <c r="I240" i="75"/>
  <c r="I246" i="75"/>
  <c r="I157" i="75"/>
  <c r="I205" i="75"/>
  <c r="I186" i="75"/>
  <c r="I29" i="75"/>
  <c r="I201" i="75"/>
  <c r="I224" i="75"/>
  <c r="I87" i="75"/>
  <c r="I72" i="75"/>
  <c r="I39" i="75"/>
  <c r="I36" i="75"/>
  <c r="I28" i="75"/>
  <c r="I242" i="75"/>
  <c r="I123" i="75"/>
  <c r="I193" i="75"/>
  <c r="I141" i="75"/>
  <c r="I200" i="75"/>
  <c r="I75" i="75"/>
  <c r="I127" i="75"/>
  <c r="I174" i="75"/>
  <c r="I243" i="75"/>
  <c r="I95" i="75"/>
  <c r="I147" i="75"/>
  <c r="I149" i="75"/>
  <c r="I122" i="75"/>
  <c r="I71" i="75"/>
  <c r="I241" i="75"/>
  <c r="I26" i="75"/>
  <c r="I126" i="75"/>
  <c r="I196" i="75"/>
  <c r="I155" i="75"/>
  <c r="I148" i="75"/>
  <c r="I213" i="75"/>
  <c r="I82" i="75"/>
  <c r="I134" i="75"/>
  <c r="I207" i="75"/>
  <c r="I79" i="75"/>
  <c r="I185" i="75"/>
  <c r="I248" i="75"/>
  <c r="I86" i="75"/>
  <c r="I182" i="75"/>
  <c r="I34" i="75"/>
  <c r="I115" i="75"/>
  <c r="I208" i="75"/>
  <c r="I140" i="75"/>
  <c r="I202" i="75"/>
  <c r="I125" i="75"/>
  <c r="I187" i="75"/>
  <c r="I173" i="75"/>
  <c r="I230" i="75"/>
  <c r="I119" i="75"/>
  <c r="I218" i="75"/>
  <c r="I54" i="75"/>
  <c r="I18" i="75"/>
  <c r="I42" i="75"/>
  <c r="I133" i="75"/>
  <c r="I209" i="75"/>
  <c r="I162" i="75"/>
  <c r="I43" i="75"/>
  <c r="I160" i="75"/>
  <c r="I216" i="75"/>
  <c r="I138" i="75"/>
  <c r="I210" i="75"/>
  <c r="I94" i="75"/>
  <c r="I188" i="75"/>
  <c r="I233" i="75"/>
  <c r="I99" i="75"/>
  <c r="I195" i="75"/>
  <c r="I55" i="75"/>
  <c r="I212" i="75"/>
  <c r="I73" i="75"/>
  <c r="I52" i="75"/>
  <c r="I14" i="75"/>
  <c r="I17" i="75"/>
  <c r="I62" i="75"/>
  <c r="I164" i="75"/>
  <c r="I225" i="75"/>
  <c r="I190" i="75"/>
  <c r="I93" i="75"/>
  <c r="I88" i="75"/>
  <c r="I89" i="75"/>
  <c r="I152" i="75"/>
  <c r="I226" i="75"/>
  <c r="I142" i="75"/>
  <c r="I204" i="75"/>
  <c r="I132" i="75"/>
  <c r="I211" i="75"/>
  <c r="I11" i="75"/>
  <c r="I21" i="75"/>
  <c r="I91" i="75"/>
  <c r="I90" i="75"/>
  <c r="I10" i="75"/>
  <c r="I49" i="75"/>
  <c r="I61" i="75"/>
  <c r="I38" i="75"/>
  <c r="I53" i="75"/>
  <c r="I245" i="75"/>
  <c r="I37" i="75"/>
  <c r="I12" i="75"/>
  <c r="I170" i="75"/>
  <c r="I175" i="75"/>
  <c r="I84" i="75"/>
  <c r="I169" i="75"/>
  <c r="I85" i="75"/>
  <c r="I4" i="75"/>
  <c r="I97" i="75"/>
  <c r="I181" i="75"/>
  <c r="I69" i="75"/>
  <c r="I96" i="75"/>
  <c r="I154" i="75"/>
  <c r="I70" i="75"/>
  <c r="I32" i="75"/>
  <c r="I59" i="75"/>
  <c r="I3" i="75"/>
  <c r="I60" i="75"/>
  <c r="I46" i="75"/>
  <c r="I30" i="75"/>
  <c r="I128" i="75"/>
  <c r="I129" i="75"/>
  <c r="I47" i="75"/>
  <c r="I6" i="75" l="1"/>
  <c r="I116" i="75"/>
  <c r="F253" i="75"/>
  <c r="H253" i="75"/>
  <c r="I104" i="75"/>
  <c r="I107" i="75"/>
  <c r="I113" i="75"/>
  <c r="E14" i="77"/>
  <c r="E15" i="77" s="1"/>
  <c r="E11" i="77" s="1"/>
  <c r="C9" i="81"/>
  <c r="D27" i="72"/>
  <c r="D28" i="72" s="1"/>
  <c r="D29" i="72" s="1"/>
  <c r="D30" i="72" s="1"/>
  <c r="D31" i="72" s="1"/>
  <c r="E16" i="77" l="1"/>
  <c r="V122" i="77"/>
  <c r="F5" i="72"/>
  <c r="F6" i="72"/>
  <c r="F7" i="72"/>
  <c r="F8" i="72"/>
  <c r="F4" i="72"/>
  <c r="F9" i="72" l="1"/>
  <c r="D14" i="72" l="1"/>
  <c r="D16" i="72" s="1"/>
</calcChain>
</file>

<file path=xl/sharedStrings.xml><?xml version="1.0" encoding="utf-8"?>
<sst xmlns="http://schemas.openxmlformats.org/spreadsheetml/2006/main" count="4103" uniqueCount="2001">
  <si>
    <t>Nº</t>
  </si>
  <si>
    <t>x</t>
  </si>
  <si>
    <t>Versión:</t>
  </si>
  <si>
    <t xml:space="preserve">Fecha última modificación: </t>
  </si>
  <si>
    <t xml:space="preserve">Elaborado por: </t>
  </si>
  <si>
    <t xml:space="preserve">Revisado por: </t>
  </si>
  <si>
    <t>Aprobado Por:</t>
  </si>
  <si>
    <t>Control de Versiones</t>
  </si>
  <si>
    <t>Autor:</t>
  </si>
  <si>
    <t>Historial de versiones</t>
  </si>
  <si>
    <t>Versión</t>
  </si>
  <si>
    <t>Presentado por</t>
  </si>
  <si>
    <t>Fecha</t>
  </si>
  <si>
    <t>V 1.0.0</t>
  </si>
  <si>
    <t>AD</t>
  </si>
  <si>
    <t>XC</t>
  </si>
  <si>
    <t>HC</t>
  </si>
  <si>
    <t>1. Información  General del Proyecto</t>
  </si>
  <si>
    <t>Nombre del Proyecto:</t>
  </si>
  <si>
    <t>Dirección del Proyecto:</t>
  </si>
  <si>
    <t>Ciudad:</t>
  </si>
  <si>
    <t>Tipo de Proyecto:</t>
  </si>
  <si>
    <t>Patrocinador:</t>
  </si>
  <si>
    <t>Fecha de Presentación:</t>
  </si>
  <si>
    <t>Autorizado por propietario del Proyecto:</t>
  </si>
  <si>
    <t>Conjunto residencial Sierra del Bosque</t>
  </si>
  <si>
    <t>Calle. Jose Raygada y Alonso de Torres, frente al Colegio Intisana, Sector El Bosque</t>
  </si>
  <si>
    <t>Quito</t>
  </si>
  <si>
    <t>Privado</t>
  </si>
  <si>
    <t>Ing. Fernando Velandia</t>
  </si>
  <si>
    <t>2. Información del Contrato</t>
  </si>
  <si>
    <t>Nº de Contrato:</t>
  </si>
  <si>
    <t>Fecha de Adjudicación de Contrato:</t>
  </si>
  <si>
    <t>Plazo de Ejecución:</t>
  </si>
  <si>
    <t>A partir de:</t>
  </si>
  <si>
    <t>Fecha Tentativa de Finalización del Proyecto:</t>
  </si>
  <si>
    <t>Valor de Contrato:</t>
  </si>
  <si>
    <t>Forma de Pago:</t>
  </si>
  <si>
    <t xml:space="preserve">28.40% Anticipo , 71.6% Planillas mesuales </t>
  </si>
  <si>
    <t>365 dias</t>
  </si>
  <si>
    <t>Adjudicación del contrato</t>
  </si>
  <si>
    <t>3. Información de los Responsables del Proyecto</t>
  </si>
  <si>
    <t>Nombre del Administrador del Contrato:</t>
  </si>
  <si>
    <t>Nombre del Constructor:</t>
  </si>
  <si>
    <t>Horus Constructores Cia. Ltda</t>
  </si>
  <si>
    <t>Nombre del Fiscalizador:</t>
  </si>
  <si>
    <t>Nombre del Residente de Obra:</t>
  </si>
  <si>
    <t>Ing. Carlos Mauricio Flores Montenegro</t>
  </si>
  <si>
    <t xml:space="preserve">Procurador Común (Apoderado Legal): </t>
  </si>
  <si>
    <t>4. Justificación del Proyecto</t>
  </si>
  <si>
    <t>El proyecto Inmobiliario Sierra del Bosque comprende la construcción de 5 Edificos de departamentos, cumpliendo las normativas vigentes para diseño (aci 318-14, Nec 2015).</t>
  </si>
  <si>
    <t>5. Descripción del Proyecto</t>
  </si>
  <si>
    <t>6. Requisitos que Satisfacen las Necesidades y Expectativas del Cliente y Demas Interesados.</t>
  </si>
  <si>
    <t>1. Constitución del Ecuador</t>
  </si>
  <si>
    <t>2. Contrato</t>
  </si>
  <si>
    <t xml:space="preserve">1. Especificaciones Técnicas </t>
  </si>
  <si>
    <t>2. Planos aprobados por el Municipio</t>
  </si>
  <si>
    <t>3. Normativa técnica aplicada al diseño y construcción de las edificaciones</t>
  </si>
  <si>
    <t xml:space="preserve">3.1. NEC- SE-CG (Cargas no Sísmicas)  </t>
  </si>
  <si>
    <t>3.2. NEC - SE-DS (Peligro Sísmico)</t>
  </si>
  <si>
    <t>3.3. NEC - SE - HM (Estructuras de Hormigon Armado)</t>
  </si>
  <si>
    <t>3.5. ACI 318-2014  (Requisitos de reglamento para concreto estructural y comentario)</t>
  </si>
  <si>
    <t>3.4. NEC - SE -GC ( Geotécnia y Cimentaciones)</t>
  </si>
  <si>
    <t>4. Contrato de Construcción de obra gris</t>
  </si>
  <si>
    <t>1. Cronograma Valorado</t>
  </si>
  <si>
    <t>2. Presupuesto</t>
  </si>
  <si>
    <t>3. Financiamiento privado</t>
  </si>
  <si>
    <t xml:space="preserve">4. Contrato </t>
  </si>
  <si>
    <t>1. Cronograma de Actividades</t>
  </si>
  <si>
    <t>Requisitos en plazo del proyecto</t>
  </si>
  <si>
    <t>Requisitos Económicos del Proyecto</t>
  </si>
  <si>
    <t>Requisitos Técnicos del Producto</t>
  </si>
  <si>
    <t>Requisitos Contractuales del Proyecto</t>
  </si>
  <si>
    <t>7. Criterios de Aceptación</t>
  </si>
  <si>
    <t>Hito del Proyecto</t>
  </si>
  <si>
    <t>Plazo (Fecha)</t>
  </si>
  <si>
    <t>Observaciones</t>
  </si>
  <si>
    <t>Fecha de Adjudicación del contrato</t>
  </si>
  <si>
    <t xml:space="preserve">Deposito del Anticipo </t>
  </si>
  <si>
    <t>Inicio de los trabajos</t>
  </si>
  <si>
    <t>1. Planilla</t>
  </si>
  <si>
    <t xml:space="preserve">2. Planilla </t>
  </si>
  <si>
    <t xml:space="preserve">3. Planilla </t>
  </si>
  <si>
    <t>4. Planilla</t>
  </si>
  <si>
    <t>5. Planilla</t>
  </si>
  <si>
    <t>6. Planilla</t>
  </si>
  <si>
    <t>7. Planilla</t>
  </si>
  <si>
    <t>n. Planilla</t>
  </si>
  <si>
    <t>Fin de Trabajos</t>
  </si>
  <si>
    <t xml:space="preserve">Inspecciones de Calidad </t>
  </si>
  <si>
    <t>Firma de Acta de Entrega</t>
  </si>
  <si>
    <t>8. Autoridad del Proyecto</t>
  </si>
  <si>
    <t>El Fideicomiso Mercantil Inmobiliario Sierra del Bosque da autorización al gerente del proyecto Arq. Cesar Lopez Naranjo para iniciar los trabajos de las actividades propuestas en los cronogramas establecidos en el acta de cosntitución, ademas de la adquisicón de los recursos que serán necesarios para completar con exito el proyecto.</t>
  </si>
  <si>
    <t>Dará fiel cumplimiento de las normas técnicas, cronograma de actividades, supervisión de los avances de las actividades, controlará los tiempos establecidos para cada actividad, controlará la normativa de seguridad aplicada al proyecto.</t>
  </si>
  <si>
    <t>9. Alcance del Proyecto</t>
  </si>
  <si>
    <t>10. Objetivos del Proyecto</t>
  </si>
  <si>
    <t>11.Cronograma de Hitos del Proyecto</t>
  </si>
  <si>
    <t>12. Presupuesto Preliminar del Proyecto</t>
  </si>
  <si>
    <t>13. Principales Riesgos del Proyecto</t>
  </si>
  <si>
    <t>1. Paralización de la obra por incumplimiento de las especificaciones técnicas</t>
  </si>
  <si>
    <t>2. Paralización de trabajo en obra por falta de vestimenta y equipos de seguridad</t>
  </si>
  <si>
    <t>3. Materiales de Construcción de mala calidad</t>
  </si>
  <si>
    <t>4. Mal diseño de elemento estructurales</t>
  </si>
  <si>
    <t>5. Planos sin la información adecauda de cada trabajo</t>
  </si>
  <si>
    <t>6. Mala realización del cronograma de actividades</t>
  </si>
  <si>
    <t>14. Roles y Responsabilidades del Proyecto</t>
  </si>
  <si>
    <t>Arq. Cesar Lopez Naranjo, Gerente General Empresa Horus Constructores</t>
  </si>
  <si>
    <t>Ing. Juan Vela Witt, Especialista en Ingeniería de Costos.</t>
  </si>
  <si>
    <t>Ing. Alexis Muela , Ingeniero Estructural</t>
  </si>
  <si>
    <t>Ing. Fernando Velandia, Ingeniero Estructural</t>
  </si>
  <si>
    <t xml:space="preserve">Arq. Josue  Nuñez, Diseñador Arquitectónico </t>
  </si>
  <si>
    <t>Ing. Juan Valverde, Ingeniero Geotécnico</t>
  </si>
  <si>
    <t>Ing. Karla Tapia MSc., Especialista en Seguridad Industrial y Salud Ocupacional.</t>
  </si>
  <si>
    <t>Ing. Marcelo Cañar, Jefe de Operaciones de laboratorio de Hormigones y Suelos (Hormisuelos Cia. Ltda)</t>
  </si>
  <si>
    <t>Ing. Jaime Chicaiza, Fiscalizador de Obra</t>
  </si>
  <si>
    <t>Arq. Ruth Arboleda, Residente de Obra</t>
  </si>
  <si>
    <t>15. Observaciones:</t>
  </si>
  <si>
    <t xml:space="preserve">El contrato de construcción de obra gris menciona en la clausula quinta que el precio del contrato es a precio unitario fijo, sin embargo las unidades de obra pueden ser variables, para lo cual al final del proyecto se hará una liquidación de unidades y valores a  fin de cancelar en la ultima planilla el valor real ejecutado. </t>
  </si>
  <si>
    <t>16. Firmas de Responsables:</t>
  </si>
  <si>
    <t>ACTA DE CONSTITUCIÓN DEL PROYECTO</t>
  </si>
  <si>
    <t xml:space="preserve">     8.1. Autorización</t>
  </si>
  <si>
    <t xml:space="preserve">     8.2. Gerente del Proyecto</t>
  </si>
  <si>
    <t>HC001</t>
  </si>
  <si>
    <t>Arq. Ruth Arboleda</t>
  </si>
  <si>
    <t>Ing. Jaime Chicaiza</t>
  </si>
  <si>
    <t>1. Ejecutar, terminar y entregar la construcción de 5 edificaciones residenciales con la calidad esperada.                                                                                     2. Definir la línea base para la medición del desempeño y control de los procesos que intervengan durante la construcción.                                                          3. Desarrollar y confirmar un entendimiento mutuo entre cliente y equipo de proyecto para cumplir con los plazos.                                                                   4. Asegurar que el proyecto incluya todas las actividades requeridas para terminar el proyecto con exito.                                                                                5. Gestionar equipos para dividir las responsabilidades de cada actividad.</t>
  </si>
  <si>
    <t>Fecha de Elaboración del acta:</t>
  </si>
  <si>
    <t>GESTIÓN DEL ALCANCE</t>
  </si>
  <si>
    <t>Control de versiones</t>
  </si>
  <si>
    <t>Fecha de elaboración:</t>
  </si>
  <si>
    <t>Fecha de modificación:</t>
  </si>
  <si>
    <t>Elaborado por:</t>
  </si>
  <si>
    <t>Revisado por:</t>
  </si>
  <si>
    <t>Aprobado por:</t>
  </si>
  <si>
    <t>DA</t>
  </si>
  <si>
    <t>Presentado por:</t>
  </si>
  <si>
    <t>Fecha:</t>
  </si>
  <si>
    <t>1. Información general del proyecto</t>
  </si>
  <si>
    <t>FACTORES AMBIENTALES DE LA EMPRESA</t>
  </si>
  <si>
    <t>2. Factores Ambientales del Proyecto</t>
  </si>
  <si>
    <t>Estandares Gubernamentales, de la industria o reglamentos.</t>
  </si>
  <si>
    <t>Tipo</t>
  </si>
  <si>
    <t>Incidencia en el alcance</t>
  </si>
  <si>
    <t>Baja</t>
  </si>
  <si>
    <t>Intermedia</t>
  </si>
  <si>
    <t>Alta</t>
  </si>
  <si>
    <t>Contrato</t>
  </si>
  <si>
    <t>Ley de Seguridad Social</t>
  </si>
  <si>
    <t>Ley Contra el Lavado de Activos</t>
  </si>
  <si>
    <t>Código del Trabajo</t>
  </si>
  <si>
    <t>Especificaciones Técnicas</t>
  </si>
  <si>
    <t xml:space="preserve">Reglamento de higiene y seguridad </t>
  </si>
  <si>
    <t>Normas de arqutectura y urbanismo</t>
  </si>
  <si>
    <t>INEN</t>
  </si>
  <si>
    <t>ASTM</t>
  </si>
  <si>
    <t>NEC_SE_AC (Estructura de acero)</t>
  </si>
  <si>
    <t>NEC_SE_DS (Peligro Sísmico)</t>
  </si>
  <si>
    <t>NEC_SE_CG (Cargas No Sismicas)</t>
  </si>
  <si>
    <t>NEC_SE_GC (Geotecnia y Cimentaciones)</t>
  </si>
  <si>
    <t>NEC_SE_HM (Hormigón Armado)</t>
  </si>
  <si>
    <t>ACI 318-14 (Requisitos de Reglamento para Concreto Estructural)</t>
  </si>
  <si>
    <t>Administrativa</t>
  </si>
  <si>
    <t>Técnico - Administrativa</t>
  </si>
  <si>
    <t>Técnica</t>
  </si>
  <si>
    <t>X</t>
  </si>
  <si>
    <t>Estructura de la organización</t>
  </si>
  <si>
    <t>Función</t>
  </si>
  <si>
    <t>Ing. Juan Vela Witt</t>
  </si>
  <si>
    <t>Arq. Cesar Lopez Naranjo</t>
  </si>
  <si>
    <t>Ing. Alexis Muela</t>
  </si>
  <si>
    <t>Arq. Josue  Nuñez</t>
  </si>
  <si>
    <t>Ing. Juan Valverde</t>
  </si>
  <si>
    <t>Ing. Karla Tapia MSc.</t>
  </si>
  <si>
    <t>Ing. Marcelo Cañar</t>
  </si>
  <si>
    <t>Ingeniero Estructural</t>
  </si>
  <si>
    <t>Especialista en Ingeniería de Costos</t>
  </si>
  <si>
    <t>Ingeniero Estructural / Gerente de Fideicomiso</t>
  </si>
  <si>
    <t>Gerente Horus Constructores</t>
  </si>
  <si>
    <t>Residente de Obra</t>
  </si>
  <si>
    <t>Diseñador Arquitectónico</t>
  </si>
  <si>
    <t>Ingeniero Geotécnico</t>
  </si>
  <si>
    <t>Fiscalizador de Obra</t>
  </si>
  <si>
    <t>Especialista en Seguridad Industrial y Salud Ocupacional</t>
  </si>
  <si>
    <t>Jefe de Operaciones de laboratorio de Hormigones y Suelos (Hormisuelos Cia. Ltda)</t>
  </si>
  <si>
    <t>Project Manager</t>
  </si>
  <si>
    <t>3. Observaciones</t>
  </si>
  <si>
    <t>4. Firmas de Responsabilidad</t>
  </si>
  <si>
    <t>CI: 1720983608</t>
  </si>
  <si>
    <t>CI:</t>
  </si>
  <si>
    <t>ORDEN CRONOLÓGICO</t>
  </si>
  <si>
    <t>Descripción</t>
  </si>
  <si>
    <t>Participantes</t>
  </si>
  <si>
    <t>Encargado</t>
  </si>
  <si>
    <t>Actividad / Herramienta</t>
  </si>
  <si>
    <t>Con la información del alcance el equipo e interesados del proyecto revisan cuidadosamente  que esten presentes todos los trabajos a realizarse en el informe preliminar del alcance dado que dicho informe sera la base del proyecto.</t>
  </si>
  <si>
    <t>1. Definición del Enunciado  Etapa Preliminar / Reunión</t>
  </si>
  <si>
    <t>Equipo del proyecto, Miembros Fideicomiso y fiscalizador</t>
  </si>
  <si>
    <t>2. Definición del Enunciado  Etapa Definitiva / Análisis de alternativas</t>
  </si>
  <si>
    <t>1. Identificacion de los entregables Principales del Proyecto / Reunión</t>
  </si>
  <si>
    <t>2. Descomposición de los entregables del Proyecto / Reunión</t>
  </si>
  <si>
    <t>3. Elaboración del EDT / WBS / Reunión</t>
  </si>
  <si>
    <t>En base a la documentación definida por el equipo de proyecto, se analizará la linea base del proyecto: el acta de constitución del proyecto, el plan para el desarrollo del proyecto y los factores ambientales de la empresa, para analizar y comprobar que dentro de está documentación esten todas las actividades que tendrá el proyecto.</t>
  </si>
  <si>
    <t>Gerente / Project Manager / Fiscalizador de Obra / Especialista Financiero</t>
  </si>
  <si>
    <t>Identificación de las fases del proyecto</t>
  </si>
  <si>
    <t>Conocer e identificar el trabjo a realizarse que se necuentran dentro de los entregables del proyecto para descomponer hasta los paquetes de trabajo que son las mínimas unidades del EDT.</t>
  </si>
  <si>
    <t>Mediente la herramienta  de Software WBS Chart Pro, se elabora el EDT</t>
  </si>
  <si>
    <t xml:space="preserve">1. Aprobación de la EDT / WBS / Reunión </t>
  </si>
  <si>
    <t>Análisis detallado del EDT y proceso para la aprobación del mismo.</t>
  </si>
  <si>
    <t>2. Identificación de características de cada paquete de trabjo / reunión</t>
  </si>
  <si>
    <t>3. Elaboración del Diccionario de la EDT / Reunión</t>
  </si>
  <si>
    <t>1. Presentación a Fiscalización y Administración del Contrato / Reunión</t>
  </si>
  <si>
    <t xml:space="preserve"> 1. Comparación de la EDT con el avance del proyecto en un punto especifico de la linea de tiempo / Juicio de Expertos</t>
  </si>
  <si>
    <t>Detalle del objetivo del paquete de trabajo. Descripción breve del paquete de trabajo Descripción del trabajo a realizarse para la elaboración de cada entregabloe Asignación de responsabilidad de cada paquete de trabajo Fechas de Inicio y Fin de cada paquete de trabajo Describir los criterios de aceptación de cada paquete de trabajo</t>
  </si>
  <si>
    <t>Realización de planilla a partir de la información obtenida en los dos procesos anteriormente definidos</t>
  </si>
  <si>
    <t>Entrega de información documentada a fiscalizador de obra y Grupo administrativo para revision y emisión de observaciones</t>
  </si>
  <si>
    <t>Se realiza el análisis comparativo entre los paquetes de trabajo que se establerecieron durante el desarrollo de la EDT con las actividades en los frentes de trabjo en un tiempo especifico.</t>
  </si>
  <si>
    <t>1. Análisis de la necesidad de cambio de la EDT o el enunciado del alcance del proyecto</t>
  </si>
  <si>
    <t>Se verifica y documenta las diferentes alternativas técnicas y financieras para la posibilidad de un cambio en el alcance del proyecto.</t>
  </si>
  <si>
    <t>2. Establecer un plan de control integrado de cambios al alcacnce del proyecto</t>
  </si>
  <si>
    <t>Elaborar una planilla de control de cambios al alcance del proyecto donde se documente el impacto que tienen los cambios que se realizan.</t>
  </si>
  <si>
    <t>3. Aprobación de cambio</t>
  </si>
  <si>
    <t>Se genera una orden de trabajo a tráves de la aprobación de la misma luego de haber sido verificada.</t>
  </si>
  <si>
    <t>Procurador Común</t>
  </si>
  <si>
    <t>Representante de Fideicomiso / Gerente / Project Manager / Fiscalizador de Obra / Administrador de Contrato</t>
  </si>
  <si>
    <t>Procurador Común / Gerente / Project Manager / Fiscalizador de Obra / Equipo Financiero / Especialista Técnico en el área de cambio</t>
  </si>
  <si>
    <t>Gerente / Project Manager</t>
  </si>
  <si>
    <t xml:space="preserve">Procurador Común / Project Manager / Fiscalizador de Obra / Equipo Financiero / Administrador de Contrato </t>
  </si>
  <si>
    <t>PLAN DE LA GESTION DEL ALCANCE DEL PROYECTO</t>
  </si>
  <si>
    <t>PLAN DE DIRECCIÓN DEL PROYECTO</t>
  </si>
  <si>
    <t>Código de Documento:</t>
  </si>
  <si>
    <t>2. Actividades del Proyecto</t>
  </si>
  <si>
    <t>Fase</t>
  </si>
  <si>
    <t>Actividad</t>
  </si>
  <si>
    <t xml:space="preserve">Inicio </t>
  </si>
  <si>
    <t>Final</t>
  </si>
  <si>
    <t>En Espera</t>
  </si>
  <si>
    <t>En Proceso</t>
  </si>
  <si>
    <t>Completado</t>
  </si>
  <si>
    <t>Estado del Proceso</t>
  </si>
  <si>
    <t>Responsable</t>
  </si>
  <si>
    <t>Anteproyecto</t>
  </si>
  <si>
    <t xml:space="preserve">1. Adjudicación del Contrato de Construcción </t>
  </si>
  <si>
    <t>1. Elaboración de Acta de Constitución de Proyecto</t>
  </si>
  <si>
    <t>1. Planificar la Gestión del Alcance</t>
  </si>
  <si>
    <t>1.2. Elaboración de Plan para la Dirección de Proyecto</t>
  </si>
  <si>
    <t>1.3. Análisis de Factores Ambientales</t>
  </si>
  <si>
    <t>1.4. Análisis de Activos de los procesos</t>
  </si>
  <si>
    <t>2. Recopilar Requisitos</t>
  </si>
  <si>
    <t>3. Definir el Alcance</t>
  </si>
  <si>
    <t>4. Crear la EDT</t>
  </si>
  <si>
    <t>5. Validar el Alcance</t>
  </si>
  <si>
    <t>6. Controlar el Alcance</t>
  </si>
  <si>
    <t>1. Notificación de depósito de Anticipo</t>
  </si>
  <si>
    <t>2. Inicio de trabajos</t>
  </si>
  <si>
    <t>3. Primera Planilla</t>
  </si>
  <si>
    <t>4. Segunda Planilla</t>
  </si>
  <si>
    <t>5. Tercera Planilla</t>
  </si>
  <si>
    <t>6. Cuarta Planilla</t>
  </si>
  <si>
    <t>7. Quinta Planilla</t>
  </si>
  <si>
    <t>8. Sexta Planilla</t>
  </si>
  <si>
    <t>9. Septima Planilla</t>
  </si>
  <si>
    <t>10. Octava Planilla</t>
  </si>
  <si>
    <t>11. Novena Planilla</t>
  </si>
  <si>
    <t>12. Décima Planilla</t>
  </si>
  <si>
    <t>13. Décimo Primera Planilla</t>
  </si>
  <si>
    <t>14. Décimo Segunda Planilla</t>
  </si>
  <si>
    <t>15. Décimo Tercera Planilla</t>
  </si>
  <si>
    <t>16. Fin de Trabajos</t>
  </si>
  <si>
    <t>17. Pruebas Técnicas</t>
  </si>
  <si>
    <t xml:space="preserve">18. Firma de Acta de Entrega </t>
  </si>
  <si>
    <t>3. Observaciones a los procesos Administrativos y/o Técnicos con Impacto en Costo y Plazo (ALCANCE DEL PROYECTO)</t>
  </si>
  <si>
    <t>Ejecución</t>
  </si>
  <si>
    <t>Código del Documento:</t>
  </si>
  <si>
    <t>n.  Planillas Restantes para los trabajos a realizarse</t>
  </si>
  <si>
    <t>A definirse</t>
  </si>
  <si>
    <t>Project Manager / Directorio</t>
  </si>
  <si>
    <t>Fiscalizador de Obra / Fideicomiso</t>
  </si>
  <si>
    <t>Fiscalizador de Obra / Gerente</t>
  </si>
  <si>
    <t>Fideicomiso / Constructora</t>
  </si>
  <si>
    <t>Debido al crecimiento de la población, las personas buscan un lugar donde vivir, por este motivo las empresas constructoras tratan de cumplir la demanda de viviendas y aumentar el desarrollo de las ciudades. El proyecto de construcción Sierra del Bosque mediante la construcción de 5 edificos pretende cumplir la demanda de viviendas para las personas de clase media-baja.</t>
  </si>
  <si>
    <t>CIMSIB-GINT-001-1</t>
  </si>
  <si>
    <t>SOLICITUD DE CAMBIO / ORDEN DE TRABAJO</t>
  </si>
  <si>
    <t>2. Descripción de la Solicitud de Cambio</t>
  </si>
  <si>
    <t>3. Tipo de Cambio Requerido</t>
  </si>
  <si>
    <t>Acción Preventiva</t>
  </si>
  <si>
    <t>Acción Correctiva</t>
  </si>
  <si>
    <t>Reparación por Defecto</t>
  </si>
  <si>
    <t>Cambio en el Proyecto</t>
  </si>
  <si>
    <t>Fecha de Revisión:</t>
  </si>
  <si>
    <t>Resultados de Revisión:</t>
  </si>
  <si>
    <t>Aprobado</t>
  </si>
  <si>
    <t>Rechazado</t>
  </si>
  <si>
    <t>Responsable de Aplicar el cambio e informar:</t>
  </si>
  <si>
    <t>Impacto</t>
  </si>
  <si>
    <t xml:space="preserve">Área de Impacto </t>
  </si>
  <si>
    <t>4. Qué Sucedería si el Cambio no se Realiza</t>
  </si>
  <si>
    <t>5. Efectos del Cambio en el Proyecto</t>
  </si>
  <si>
    <t xml:space="preserve">                                         5.1. En términos de Costo:</t>
  </si>
  <si>
    <t xml:space="preserve">                                         5.2. En términos de Plazo:</t>
  </si>
  <si>
    <t xml:space="preserve">                                        5.3. En términos del Alcance:</t>
  </si>
  <si>
    <t xml:space="preserve">                                        5.4. En términos de Calidad:</t>
  </si>
  <si>
    <t xml:space="preserve">                                         5.5. Implicaciones para los Interesados:</t>
  </si>
  <si>
    <t xml:space="preserve">                                         5.6. Implicaciones en los Entregables del Proyecto:</t>
  </si>
  <si>
    <t>6. Modificaciones o Nuevos Riesgos por el Cambio Realizado</t>
  </si>
  <si>
    <t>7. Solicitantes del Cambio</t>
  </si>
  <si>
    <t>8. Revisión del Comité de Control de Cambios</t>
  </si>
  <si>
    <t>9. Descripción del Impacto</t>
  </si>
  <si>
    <t>10. Firmas de Responsabilidad</t>
  </si>
  <si>
    <t>1.4.1</t>
  </si>
  <si>
    <t>Poder</t>
  </si>
  <si>
    <t>Interes</t>
  </si>
  <si>
    <t>Procurador Comun</t>
  </si>
  <si>
    <t>Maestro Mayor</t>
  </si>
  <si>
    <t>Administrador de contrato</t>
  </si>
  <si>
    <t>Subcontratistas</t>
  </si>
  <si>
    <t>Ingeniería de Costos</t>
  </si>
  <si>
    <t>Seguridad Industrial y Salud Ocupacional</t>
  </si>
  <si>
    <t xml:space="preserve">Laboratorio de Hormigones </t>
  </si>
  <si>
    <t>Nombre del Representante</t>
  </si>
  <si>
    <t>Cargo en la Empresa Representada</t>
  </si>
  <si>
    <t>Registro de Riesgos</t>
  </si>
  <si>
    <t>2. Registro de Riesgos Principales</t>
  </si>
  <si>
    <t>1. Paralización parcial o total del proyecto</t>
  </si>
  <si>
    <t>1.2. Por falta de permisos municipales</t>
  </si>
  <si>
    <t>3. Demoras en compra de materiales para las actividades.,</t>
  </si>
  <si>
    <t>4.  Aumento del costro del proyecto por encarecimineto de los materiales a utilizarse no previstos en el estudio de costos.</t>
  </si>
  <si>
    <t>5. Retraso en el cronograma por problemas entre personal técnico y mano de obra.</t>
  </si>
  <si>
    <t>6. Retraso en el cronograma por falta de recursos.</t>
  </si>
  <si>
    <t>7. Materiales usados para los elementos estructurales no cumplan con las especificaciones tecnicas.</t>
  </si>
  <si>
    <t>9. Discrepancias entre los interesados del proyecto.</t>
  </si>
  <si>
    <t>10. Falta de financiamiento.</t>
  </si>
  <si>
    <t>1.3. Mal diseño de elementos estructurales</t>
  </si>
  <si>
    <t>1. Información General del Proyecto</t>
  </si>
  <si>
    <t>ENUNCIADO DEL ALCANCE</t>
  </si>
  <si>
    <t>2. Cumplimiento de los requisitos y características del proyecto</t>
  </si>
  <si>
    <t>2.2. Cumplimiento de las especificaciones técnicas del proyecto</t>
  </si>
  <si>
    <t>2.4. Cumplimiento de las normas de seguridad industrial y salud ocupacional.</t>
  </si>
  <si>
    <t>2.5. Cumplimiento de los requisitos financieros del proyecto.</t>
  </si>
  <si>
    <t xml:space="preserve">2.6. Cumplimiento de las normas ambientales </t>
  </si>
  <si>
    <t>3. Objetivo del Contrato</t>
  </si>
  <si>
    <t>4. Límites del Proyecto</t>
  </si>
  <si>
    <t>1.2. No sobrepasar el presupuesto estipulado en el contrato de construcción de obra gris.</t>
  </si>
  <si>
    <t>Contractuales:</t>
  </si>
  <si>
    <t>3. Documentos del Contrato</t>
  </si>
  <si>
    <t>3.4. RUC de HORUS CONSTRUCTORES Cia. Ltda.</t>
  </si>
  <si>
    <t>3.5. Especificaciones Técnicas presentadas por el contratista</t>
  </si>
  <si>
    <t>4.1. Pliegos incluyendo los términos de referencia para cada actividad</t>
  </si>
  <si>
    <t>Técnicos:</t>
  </si>
  <si>
    <t>1. Planos aprobados por la CAE-P Y ECP</t>
  </si>
  <si>
    <t>2. Normativa técnica aplicada al diseño y construcción de las edificaciones</t>
  </si>
  <si>
    <t xml:space="preserve">            2.1. NEC- SE-CG (Cargas no Sísmicas)  </t>
  </si>
  <si>
    <t xml:space="preserve">            2.2. NEC - SE-DS (Peligro Sísmico)</t>
  </si>
  <si>
    <t xml:space="preserve">            2.5. ACI 318-2014  (Requisitos de reglamento para concreto estructural y comentario)</t>
  </si>
  <si>
    <t>4. Documentos del contrato</t>
  </si>
  <si>
    <t>5. Requisitos del Proyecto</t>
  </si>
  <si>
    <t>6. Entregables del Proyecto</t>
  </si>
  <si>
    <t>1. Planillas Mensuales</t>
  </si>
  <si>
    <t>2. Entregables Administrativos</t>
  </si>
  <si>
    <t>GRUPO DE PROCESOS DE LA GESTIÓN DE COSTOS</t>
  </si>
  <si>
    <t>2.1. Planificación de Costos</t>
  </si>
  <si>
    <t>Modelo de Gerencia Tradicional</t>
  </si>
  <si>
    <t>Propuesta de Gerencia PMI</t>
  </si>
  <si>
    <t>No existe Información</t>
  </si>
  <si>
    <t>Plan de Gestión de Costos</t>
  </si>
  <si>
    <t>2.2. Estimación de Costos</t>
  </si>
  <si>
    <t>Estimación de Costos Cuantitativa</t>
  </si>
  <si>
    <t>Análisis de Precios Unitarios Utilizando Proexcel</t>
  </si>
  <si>
    <t>2.3. Determinar el Presupuesto</t>
  </si>
  <si>
    <t>Presupuesto Referencial</t>
  </si>
  <si>
    <t>Planillas de Avance de Obra</t>
  </si>
  <si>
    <t>2.4. Monitorear y Controlar</t>
  </si>
  <si>
    <t>1. Línea Base de Costos               2. Requisitos de Financiamiento de Proyecto</t>
  </si>
  <si>
    <t>1. Información de Desempeño y rendimiento de trabajo                      2. Pronóstico de Costos usando el Método del Valor Ganado             3. Solicitudes de Cambio</t>
  </si>
  <si>
    <t>GESTIÓN DE COSTOS</t>
  </si>
  <si>
    <t>PLAN DE LA GESTION DE COSTOS DEL PROYECTO</t>
  </si>
  <si>
    <t>2. Procesos para la definición de la línea Base de la Gestión de los Costos del Proyecto</t>
  </si>
  <si>
    <t>1. Estimar los Costos</t>
  </si>
  <si>
    <t>El equipo de expertos conformado para el proyecto revisará el presupuesto y el análisis de precios un itarios proporcionado por el contratista.</t>
  </si>
  <si>
    <t>2. Determinar los Costos</t>
  </si>
  <si>
    <t>En base a la información del alcance del proyecto definido por el equipo encargado, se analiza la información de la estimación de los costos, ademas se adiganrá recursos para contener los inprevisto que pueda tener el proyecto.</t>
  </si>
  <si>
    <t>3. Procesos para la elaboración del Presupuesto</t>
  </si>
  <si>
    <t>1. Asignación de Recursos para las actividades del proyecto</t>
  </si>
  <si>
    <t>A partir de la estimación de los costos de las actividades que tiene el proyecto y que se detallan en el EDT se asigna los recursos adecuados para los imprevistos que tengan.</t>
  </si>
  <si>
    <t>2. Asignación de Recursos para Imprevistos de las Actividades</t>
  </si>
  <si>
    <t>Mediante el paso previo se obtiene la estimación de costos de cada actividad que tiene el proyecto y en el paso dos se asignan los recursos necesarios para las actividades de mayor participación en el proyecto considerando conjuntamente con la gestion de riesgos y verificando que actividad tiene una mayor probabilidad de riesgo y la cual necesitara mas recursos.</t>
  </si>
  <si>
    <t xml:space="preserve">3. Asignación de reservas de gestión del Proyecto a la línea base de los costos </t>
  </si>
  <si>
    <t>Los pasos previos generamos la línea base de los costos del proyecto que es la sumatoria de los costos de cada actividad presentada en el cronograma. Sin embargo el paso 3 se encarga de asignar las reservasd e gestion a la línea base es decir, son cantidades específicas del presupuesto del Proyecto que se retienen por razones de control de gestión del Proyecto. Se reservan para cubrir trabajo no previsto dentro del alcance del Proyecto.</t>
  </si>
  <si>
    <t>Gerente del Proyecto / Project Manager / Fiscalizador de Obra / Especialista Financiero</t>
  </si>
  <si>
    <t>4. Procesos para el Control de los Costos</t>
  </si>
  <si>
    <t>1. Adquirir el Cronograma Valorado del Proyecto</t>
  </si>
  <si>
    <t>Consecuente a la elaboración del presupuesto, y haciendo uso de la linea base podemos asignar los recursos para las actividades que tiene mayor aporte dentro del proyecto y elaboramos un cronograma detallado con las cantidades de ingreso y egresos para el constrol de obra, este control se realiza mediante planillas de avance de obra y adicionalmente se controla el porcentaje de avance que lleva cada actividad.</t>
  </si>
  <si>
    <t>2. Desarrollar planillas de Avance de Obra</t>
  </si>
  <si>
    <t>En función de los avances y acorde con el cronograma, se realizan las planillas de avance de obra de las actividades finalizadas que justifican la realización de las cantidades de trabajo realizadas, para justificar se adjunta a cada planilla las facturas de los materiales adquiridos, roles de pago de mano de obra y facturas de equipos adquiridos o arrendados.</t>
  </si>
  <si>
    <t>5. Procesos para la Validación del Presupuesto Gelobal del Proyecto</t>
  </si>
  <si>
    <t>1. Oferta presupuesto preliminar del Proyecto Sierra del Bosque</t>
  </si>
  <si>
    <t xml:space="preserve">Procurador Común / Gerente / Project Manager / Fiscalizador de Obra / Equipo Financiero / Administrador de Contrato </t>
  </si>
  <si>
    <t>1. Comparativa de la Línea base de los Costos versus el avance del Proyecto</t>
  </si>
  <si>
    <t>En caso de cualquier `proyecto de construccion se debe realizar un analisis de precios unitarios, ademas de realizar un presupuesto total de las actividades y acabados que tendrá. Con el presupuesto realizado se observa la factibilidad del proyecto, cabe destacar que el presupuesto es referencial por ende existiran nuevos rubros o las cantidades variaran acorde al proyecto (imprevistos). en casod e existir rubros nuevos, estos deben ser notificados por escrito al fiscalizador de obra y se analizaran cuales son los motivos del aumento de los rubros y mediante una orden de trabajo aprobada y debidamente justificada en la planilla de avance de obra se dara paso a la realizacion de la misma y proceder el cobro del trabajo realizado..</t>
  </si>
  <si>
    <t>Se realiza el analisis mediante metodos predictivos el cual se denomina metodo del valor ganado (EVM).</t>
  </si>
  <si>
    <t>6. Procesos para el Control de la Línea Base de los Costos</t>
  </si>
  <si>
    <t>7. Procesos para ela Gestión de Cambios en la Línea base de Costos del Proyecto</t>
  </si>
  <si>
    <t>1. Análisis del motivo de Cambio de la Linea base de los costos del proyecto</t>
  </si>
  <si>
    <t>Se verifica y documenta las alternativas propuestas para los cambios que se van a realizar en las activiades, ademas de su viabilidad financiera y las opciones tecnicas para generar el nuevo rubro, orden de trabajo o contrato complementario.</t>
  </si>
  <si>
    <t>2. Establecer un plan de control integrado de Cambios a la Linea Base de los Costos del Proyecto</t>
  </si>
  <si>
    <t>Elaborar una planilla de control de cambios de los costos del proyecto donde se documente el impacto que tienen los cambios que se realizan.</t>
  </si>
  <si>
    <t>Se genera un documento donde se establece la aprobación de la orden de trabajo para la realización del cambio propuesto luego de ser verificada y aprobada por los interesados del proyecto.</t>
  </si>
  <si>
    <t>Equipo Especialista del Proyecto en Costos</t>
  </si>
  <si>
    <t>GESTIÓN DE RIESGOS</t>
  </si>
  <si>
    <t>2. Estrategia de Riesgos</t>
  </si>
  <si>
    <t>3. Metodología</t>
  </si>
  <si>
    <t>4. Roles y Responsabilidades</t>
  </si>
  <si>
    <t>6. Firmas de Responsabilidad</t>
  </si>
  <si>
    <t>PLAN DE LA GESTION DE RIESGOS DEL PROYECTO</t>
  </si>
  <si>
    <t>5. Estructura de Desglose de Riesgos (RBS)</t>
  </si>
  <si>
    <t>Arq. Cesar López Naranjo</t>
  </si>
  <si>
    <t>Gerente y Administrador de Contrato</t>
  </si>
  <si>
    <t>cln.arquitectura@gmail.com</t>
  </si>
  <si>
    <t>Planificación y Costos</t>
  </si>
  <si>
    <t>Horus Constructores</t>
  </si>
  <si>
    <t>Constructor</t>
  </si>
  <si>
    <t>Coordinador</t>
  </si>
  <si>
    <t>ToHogar</t>
  </si>
  <si>
    <t>Profesional de seguridad Industrial y Salud Ocupacional</t>
  </si>
  <si>
    <t>Soluciones Globales de Ingeniería SGI-ALRAK</t>
  </si>
  <si>
    <t>dalquinga391@gmail.com</t>
  </si>
  <si>
    <t>Nombre de la Empresa</t>
  </si>
  <si>
    <t>Contacto / Correo Electrónico</t>
  </si>
  <si>
    <t>fervela61@gmail.com</t>
  </si>
  <si>
    <t>jvelawitt@gmail.com</t>
  </si>
  <si>
    <t>R1</t>
  </si>
  <si>
    <t>R2</t>
  </si>
  <si>
    <t>R3</t>
  </si>
  <si>
    <t>R4</t>
  </si>
  <si>
    <t>R5</t>
  </si>
  <si>
    <t>R6</t>
  </si>
  <si>
    <t>R7</t>
  </si>
  <si>
    <t>R8</t>
  </si>
  <si>
    <t>R9</t>
  </si>
  <si>
    <t>R10</t>
  </si>
  <si>
    <t>R11</t>
  </si>
  <si>
    <t>R12</t>
  </si>
  <si>
    <t>R13</t>
  </si>
  <si>
    <t>R14</t>
  </si>
  <si>
    <t>R15</t>
  </si>
  <si>
    <t>R16</t>
  </si>
  <si>
    <t>R17</t>
  </si>
  <si>
    <t>R18</t>
  </si>
  <si>
    <t>R19</t>
  </si>
  <si>
    <t>R20</t>
  </si>
  <si>
    <t>R21</t>
  </si>
  <si>
    <t>R22</t>
  </si>
  <si>
    <t>R23</t>
  </si>
  <si>
    <t>R24</t>
  </si>
  <si>
    <t>R25</t>
  </si>
  <si>
    <t>R26</t>
  </si>
  <si>
    <t>R27</t>
  </si>
  <si>
    <t>R28</t>
  </si>
  <si>
    <t>R29</t>
  </si>
  <si>
    <t>R30</t>
  </si>
  <si>
    <t>R31</t>
  </si>
  <si>
    <t>R32</t>
  </si>
  <si>
    <t>R33</t>
  </si>
  <si>
    <t>R34</t>
  </si>
  <si>
    <t>R35</t>
  </si>
  <si>
    <t>R36</t>
  </si>
  <si>
    <t>R37</t>
  </si>
  <si>
    <t>R38</t>
  </si>
  <si>
    <t>R39</t>
  </si>
  <si>
    <t>R40</t>
  </si>
  <si>
    <t>R41</t>
  </si>
  <si>
    <t>R42</t>
  </si>
  <si>
    <t>Probabilidad</t>
  </si>
  <si>
    <t>Muy alto</t>
  </si>
  <si>
    <t>Moderado</t>
  </si>
  <si>
    <t>Alto</t>
  </si>
  <si>
    <t>Bajo</t>
  </si>
  <si>
    <t>Muy bajo</t>
  </si>
  <si>
    <t>PLANIFICACIÓN DE LA RESPUESTA A LOS RIESGOS</t>
  </si>
  <si>
    <t>GESTIÓN DE LOS RIESGOS DEL PROYECTO</t>
  </si>
  <si>
    <t>Reducir la probabilidad</t>
  </si>
  <si>
    <t>Reducir el impacto</t>
  </si>
  <si>
    <t>Transferir el riesgo</t>
  </si>
  <si>
    <t>Evitar el riesgo</t>
  </si>
  <si>
    <t>PLANIFICAR LA GESTIÓN DE LAS ADQUISICIONES DEL PROYECTO</t>
  </si>
  <si>
    <t>GESTIÓN DE LAS ADQUISICIONES DEL PROYECTO</t>
  </si>
  <si>
    <t>4. Cantidad a adquirir y unidad de medida</t>
  </si>
  <si>
    <t>5. Información del contratista y contratante</t>
  </si>
  <si>
    <t>6. Precio del contrato por compra o prestación de servicios</t>
  </si>
  <si>
    <t>7. Plazo del contrato y lugar de adquisición</t>
  </si>
  <si>
    <t>2. Alcance de la Adquisición</t>
  </si>
  <si>
    <t>Dentro del contrato se establecera la informacion de las dos partes involucradas.</t>
  </si>
  <si>
    <t>El contrato tendra el precio total de la adquisición ademas del plazo de uso de los equipos adquiridos. Este contrato puede cambiar en caso de ser necesario, por extención del tiempo de prestamo o devolución del equipo por mal funcionamiento. La empresa prestadora de los servicio de adquisición dará equipos y maquinaria funcionables y tendra un seguro o anticipo en caso de perdida, daño o robo.</t>
  </si>
  <si>
    <t>El plazo del contrato dependerá del numero de dias a usarse y de la cantidad de activiades a ejecutarse.</t>
  </si>
  <si>
    <t>Actualizaciones</t>
  </si>
  <si>
    <t>7. Firmas de Responsabilidad</t>
  </si>
  <si>
    <t xml:space="preserve"> Dario Alejandro Alquinga PMP-PMI</t>
  </si>
  <si>
    <t>Dario Alejandro Alquinga</t>
  </si>
  <si>
    <t>Detalle</t>
  </si>
  <si>
    <t>Dario  Alejandro Alquinga</t>
  </si>
  <si>
    <t>Incidencia (%)</t>
  </si>
  <si>
    <t>Terreno</t>
  </si>
  <si>
    <t>Costos Indirectos</t>
  </si>
  <si>
    <t>Costos Directos</t>
  </si>
  <si>
    <t>Total</t>
  </si>
  <si>
    <t>Incidencia</t>
  </si>
  <si>
    <t>Método de Mercado</t>
  </si>
  <si>
    <t>Área (m2)</t>
  </si>
  <si>
    <t>Precio</t>
  </si>
  <si>
    <t>Precio/m2</t>
  </si>
  <si>
    <t>Ubicación</t>
  </si>
  <si>
    <t>Av. Brasil y Edmundo Carvajal</t>
  </si>
  <si>
    <t>Sector el Bosque, Frente a Bateria Ecuador en la Av. Occidental</t>
  </si>
  <si>
    <t>Sector, Unión Nacional, Sector El Bosque</t>
  </si>
  <si>
    <t>Cochapamba, el Bosque, Quito</t>
  </si>
  <si>
    <t>Sector Quito Tenis, El Bosque</t>
  </si>
  <si>
    <t>Promedio Precio / m2</t>
  </si>
  <si>
    <t>Precio venta de terreno en la zona / m2</t>
  </si>
  <si>
    <t>Área Total del Terreno</t>
  </si>
  <si>
    <t>Precio de Venta</t>
  </si>
  <si>
    <t>Valor</t>
  </si>
  <si>
    <t>Área total terreno (m2)</t>
  </si>
  <si>
    <t>COS PB (%)</t>
  </si>
  <si>
    <r>
      <t>Incidencia terreno (</t>
    </r>
    <r>
      <rPr>
        <sz val="11"/>
        <color theme="1"/>
        <rFont val="Calibri"/>
        <family val="2"/>
      </rPr>
      <t>α)</t>
    </r>
  </si>
  <si>
    <t>COS total</t>
  </si>
  <si>
    <t>Coeficiente Área útil Proyectada (k)</t>
  </si>
  <si>
    <t>Metodo residual</t>
  </si>
  <si>
    <t>Precio venta en la zona ($/m2)</t>
  </si>
  <si>
    <t>Cálculos costo del terreno</t>
  </si>
  <si>
    <t>Área construible (m2)</t>
  </si>
  <si>
    <t>Área util vendible (m2)</t>
  </si>
  <si>
    <t>Valor de venta ($)</t>
  </si>
  <si>
    <t>Precio  ($/m2)</t>
  </si>
  <si>
    <t>Precio Total del terreno ($)</t>
  </si>
  <si>
    <t>PRESUPUESTO OBRA GRIS</t>
  </si>
  <si>
    <t>ITEN</t>
  </si>
  <si>
    <t>DETALLE</t>
  </si>
  <si>
    <t>P. TOTAL</t>
  </si>
  <si>
    <t>P. RUBROS NO PREVISOS</t>
  </si>
  <si>
    <t>P. Total</t>
  </si>
  <si>
    <t>1.1</t>
  </si>
  <si>
    <t>PRELIMINARES</t>
  </si>
  <si>
    <t xml:space="preserve"> </t>
  </si>
  <si>
    <t>1.1.1</t>
  </si>
  <si>
    <t>LOCALIZACION Y REPLANTEO ESTRUCTURA</t>
  </si>
  <si>
    <t>1.1.2</t>
  </si>
  <si>
    <t>replanteo y nivelacion sobre terreno</t>
  </si>
  <si>
    <t>1.1.3</t>
  </si>
  <si>
    <t>EXC CARGUE Y RETIRO</t>
  </si>
  <si>
    <t>1.1.4</t>
  </si>
  <si>
    <t>INSTALACION ELECTRICA PROVISIONAL</t>
  </si>
  <si>
    <t>1.1.5</t>
  </si>
  <si>
    <t>REVISION TOPOGRAFICA DEL PROYECTO</t>
  </si>
  <si>
    <t>1.1.6</t>
  </si>
  <si>
    <t>mejoramiento de suelo con sub-base</t>
  </si>
  <si>
    <t>1.1.7</t>
  </si>
  <si>
    <t xml:space="preserve">Sistema camaras devigilancia </t>
  </si>
  <si>
    <t>Gl</t>
  </si>
  <si>
    <t>1.2</t>
  </si>
  <si>
    <t xml:space="preserve">CIMENTACION </t>
  </si>
  <si>
    <t>1,2,1</t>
  </si>
  <si>
    <t>Excavacion mecanica de cimientos plintos y cisterna</t>
  </si>
  <si>
    <t>1,2,2</t>
  </si>
  <si>
    <t>Excavacion manual de cimientos plintos y cisterna</t>
  </si>
  <si>
    <t>1,2,3</t>
  </si>
  <si>
    <t>perfilado de taludes cimentacion</t>
  </si>
  <si>
    <t>1,2,4</t>
  </si>
  <si>
    <t>entibado y proteccion de taludes</t>
  </si>
  <si>
    <t>1,2,5</t>
  </si>
  <si>
    <t>hormigon y replantillos 140Kg/cm2</t>
  </si>
  <si>
    <t>1,2,6</t>
  </si>
  <si>
    <t>plastico 7 micras en pisos y muros</t>
  </si>
  <si>
    <t>m2</t>
  </si>
  <si>
    <t>1,2,7</t>
  </si>
  <si>
    <t>CONCRETO DE VIGAS DE CIMENTACIÓN (incluye encofrados)</t>
  </si>
  <si>
    <t>1,2,8</t>
  </si>
  <si>
    <t>PLACA DE CONTRAPISO</t>
  </si>
  <si>
    <t>1,2,9</t>
  </si>
  <si>
    <t>COLUMNAS (incluye encofrados)</t>
  </si>
  <si>
    <t>1,2,9,1</t>
  </si>
  <si>
    <t xml:space="preserve">Equipo de columnas </t>
  </si>
  <si>
    <t>1,2,10</t>
  </si>
  <si>
    <t>MUROS DE CONTENCIÓN (anclados y/o cableteados)</t>
  </si>
  <si>
    <t>1,2,11</t>
  </si>
  <si>
    <t>ANCLAJE MURO EN SUB-SUELO</t>
  </si>
  <si>
    <t>1,2,12</t>
  </si>
  <si>
    <t>MUROS DE ASCENSOR Y ESCALERAS (diafragma)</t>
  </si>
  <si>
    <t>1,2,13</t>
  </si>
  <si>
    <t>ACERO DE REFUERZO (f´y=4200)</t>
  </si>
  <si>
    <t>1,2,14</t>
  </si>
  <si>
    <t>MALLA ELECTROSOLDADA (e= 6,5 mm, 15*15)</t>
  </si>
  <si>
    <t>1,2,15</t>
  </si>
  <si>
    <t>alisado de pisos de parqueo con enduresador</t>
  </si>
  <si>
    <t>1,2,16</t>
  </si>
  <si>
    <t>Corte y sellado de junta en contrapisos</t>
  </si>
  <si>
    <t>M</t>
  </si>
  <si>
    <t>1,2,17</t>
  </si>
  <si>
    <t>Relleno compactado con material de sitio</t>
  </si>
  <si>
    <t>M3</t>
  </si>
  <si>
    <t>PLACA DE PARQUEADEROS Y ZONAS COMUNES N+4,00 - N+8,00</t>
  </si>
  <si>
    <t>1,3,1</t>
  </si>
  <si>
    <t>VIGAS N+4,00 (incluye encofrados)</t>
  </si>
  <si>
    <t>1,3,2</t>
  </si>
  <si>
    <t>VIGAS N+8,00 (incluye encofrados)</t>
  </si>
  <si>
    <t>1,3,2,1</t>
  </si>
  <si>
    <t>Equipo de encofrado de vigas N+4.00 N+8.00</t>
  </si>
  <si>
    <t>1,3,3</t>
  </si>
  <si>
    <t>MUROS PARQUEADERO (incluye encofrados)</t>
  </si>
  <si>
    <t>1,3,4</t>
  </si>
  <si>
    <t>PLACA (incluye encofrados)</t>
  </si>
  <si>
    <t>1,3,4,1</t>
  </si>
  <si>
    <t>Equipo de encofrado de PLACA N+4.00 N+8.00</t>
  </si>
  <si>
    <t>1,3,5</t>
  </si>
  <si>
    <t>1,3,5,1</t>
  </si>
  <si>
    <t>1,3,6</t>
  </si>
  <si>
    <t>PLACAS RAMPAS (incluye encofrados)</t>
  </si>
  <si>
    <t>1,3,6,1</t>
  </si>
  <si>
    <t xml:space="preserve">Euipo de PLACAS RAMPA </t>
  </si>
  <si>
    <t>1,3,7</t>
  </si>
  <si>
    <t>ACERO VIGAS Y PLACAS (f´y=4200)</t>
  </si>
  <si>
    <t>1,3,8</t>
  </si>
  <si>
    <t>MALLA PLACA (e=6,5 mm, 15*15)</t>
  </si>
  <si>
    <t>1,3,9</t>
  </si>
  <si>
    <t>separadores plasticos para malla electrosoldada</t>
  </si>
  <si>
    <t>1,3,10</t>
  </si>
  <si>
    <t>Perforaciones de estructura para instalaciones</t>
  </si>
  <si>
    <t>1,3,11</t>
  </si>
  <si>
    <t xml:space="preserve">ESTRUCTURA EDIFICIO HORMIGON ARMADO </t>
  </si>
  <si>
    <t>1,4,1</t>
  </si>
  <si>
    <t xml:space="preserve">PLACAS DE TRANSICIÓN </t>
  </si>
  <si>
    <t>1,4,1,1</t>
  </si>
  <si>
    <t>CONCRETO FOSO ASCENSOR Y ESCALERA (incluye encofrados)</t>
  </si>
  <si>
    <t>1,4,1,1,1</t>
  </si>
  <si>
    <t>Equipo de diafragmas ascensor y escalera</t>
  </si>
  <si>
    <t>1,4,1,2</t>
  </si>
  <si>
    <t>VIGA y VIGUETAS ENTREPISO ZONAS COMUNALES (SIN ACERO)</t>
  </si>
  <si>
    <t>1,4,1,2,1</t>
  </si>
  <si>
    <t>Equipo de encofrado VIGA Y VIGUETAS</t>
  </si>
  <si>
    <t>1,4,1,3</t>
  </si>
  <si>
    <t xml:space="preserve">PLACA DE TRANSICIÓN  (SIN ACERO inc. encofrados) </t>
  </si>
  <si>
    <t>1,4,1,3,1</t>
  </si>
  <si>
    <t>Euipo de PLACA DE TRANSICION</t>
  </si>
  <si>
    <t>1,4,1,4</t>
  </si>
  <si>
    <t>MALLA PLACA DE TRANSCICIÓN (e=6,5 mm, 15*15)</t>
  </si>
  <si>
    <t>1,4,1,5</t>
  </si>
  <si>
    <t>ACERO PLACA DE TRANSCICIÓN (f´y=4200)</t>
  </si>
  <si>
    <t>1,4,1,6</t>
  </si>
  <si>
    <t>1,4,1,7</t>
  </si>
  <si>
    <t>1,4,1,8</t>
  </si>
  <si>
    <t>Alisado de pisos de parqueo con enduresador</t>
  </si>
  <si>
    <t>1,4,2</t>
  </si>
  <si>
    <t>ESTRUCTURA</t>
  </si>
  <si>
    <t>1,4,2,1</t>
  </si>
  <si>
    <t>MURO OUTINORD e=0,10(no incluye hierro,mallas)</t>
  </si>
  <si>
    <t>1,4,2,1,1</t>
  </si>
  <si>
    <t>Hormigon especial diferencia de aditivo</t>
  </si>
  <si>
    <t>1,4,2,2</t>
  </si>
  <si>
    <t>PLACA DE ENTREPISO E = 0.1 M(no inc hierro ,malla)</t>
  </si>
  <si>
    <t>1,4,2,3</t>
  </si>
  <si>
    <t>MALLAS ELECTROSOLDADAS (MURO Y PLACA INC. BASTONES) (e=6,5 mm, 15*15)</t>
  </si>
  <si>
    <t>1,4,2,4</t>
  </si>
  <si>
    <t>ACERO ESCALERAS Y ASCENSOR (f´y=4200)</t>
  </si>
  <si>
    <t>1,4,2,5</t>
  </si>
  <si>
    <t>ALQUILER FORMALETA Y ELEVADOR</t>
  </si>
  <si>
    <t>1,4,2,6</t>
  </si>
  <si>
    <t>1,4,2,7</t>
  </si>
  <si>
    <t>1,4,2,8</t>
  </si>
  <si>
    <t xml:space="preserve">Alisado de pisos </t>
  </si>
  <si>
    <t>M2</t>
  </si>
  <si>
    <t>MAMPOSTERIA , PAÑETES Y DUCTOS</t>
  </si>
  <si>
    <t>1,5,1</t>
  </si>
  <si>
    <t>MUROS ZONAS COMUNALES</t>
  </si>
  <si>
    <t>1,5,2</t>
  </si>
  <si>
    <t>GYPSUM</t>
  </si>
  <si>
    <t>1,5,3</t>
  </si>
  <si>
    <t>PAÑETE  MUROS INC. FILOS Y DILATACIONES</t>
  </si>
  <si>
    <t>1,5,4</t>
  </si>
  <si>
    <t>FACHALETA</t>
  </si>
  <si>
    <t>1,5,5</t>
  </si>
  <si>
    <t>DUCTO PAÑETADO 0.20 X 0.20 A : 2.3 MTS</t>
  </si>
  <si>
    <t>1,5,6</t>
  </si>
  <si>
    <t>PAÑETE CINTAS A=10cm</t>
  </si>
  <si>
    <t>1,5,7</t>
  </si>
  <si>
    <t>Dinteles de hormigon</t>
  </si>
  <si>
    <t>m</t>
  </si>
  <si>
    <t>1,5,8</t>
  </si>
  <si>
    <t>Alfeizar en vanos al exterior</t>
  </si>
  <si>
    <t>1,5,9</t>
  </si>
  <si>
    <t xml:space="preserve">Corta gotas en vanos </t>
  </si>
  <si>
    <t>1,5,10</t>
  </si>
  <si>
    <t xml:space="preserve">Bordillos de duchas y balcones 5cm de alto </t>
  </si>
  <si>
    <t>1,5,10,1</t>
  </si>
  <si>
    <t>Resane de muros y losas</t>
  </si>
  <si>
    <t>PISOS/BASES, POLLOS Y MESONES</t>
  </si>
  <si>
    <t>1,6,1</t>
  </si>
  <si>
    <t>MESON GRANITO PULIDO A= 0.50 M, INCLUYE MOCHETA</t>
  </si>
  <si>
    <t>1,6,2</t>
  </si>
  <si>
    <t>SALPICADERO</t>
  </si>
  <si>
    <t>CARPINTERIA METALICA,ALUMINIO</t>
  </si>
  <si>
    <t>1,7,1</t>
  </si>
  <si>
    <t>VENTANAS EN ALUMINIO INCLUYE VIDRIO,instalacion</t>
  </si>
  <si>
    <t>1,7,2</t>
  </si>
  <si>
    <t>BARANDA ESCALERA-  H = 1,20  ZONA COMUNAL</t>
  </si>
  <si>
    <t>1,7,3</t>
  </si>
  <si>
    <t>POLICARBONATO DE PROTEC  BALCONES Y BARANDA</t>
  </si>
  <si>
    <t>1,7,4</t>
  </si>
  <si>
    <t>PUERTAS METALICAS DE BODEGAS INC. INST</t>
  </si>
  <si>
    <t>1,7,5</t>
  </si>
  <si>
    <t>PUERTAS CONTRA INCENDIOS INC. INST</t>
  </si>
  <si>
    <t>CARPINTERIA DE MADERA Y CLOSETS</t>
  </si>
  <si>
    <t>1,8,1</t>
  </si>
  <si>
    <t>MARCO Y PUERTA PPAL 1.0M*2.35M</t>
  </si>
  <si>
    <t>1,8,2</t>
  </si>
  <si>
    <t>PUERTA 0.70 M*2.35M INC CERRD,MARCO BAÑOS</t>
  </si>
  <si>
    <t>1,8,3</t>
  </si>
  <si>
    <t>PUERTA 0.8 M*2.35M INCL CERRD MARCO ALCOBAS</t>
  </si>
  <si>
    <t>1,8,4</t>
  </si>
  <si>
    <t>PUERTA PLEGABLE LAVANDERIA</t>
  </si>
  <si>
    <t>1,8,5</t>
  </si>
  <si>
    <t>CLOSETS</t>
  </si>
  <si>
    <t>PISOS/ACABADOS Y ENCHAPES</t>
  </si>
  <si>
    <t>1,9,1</t>
  </si>
  <si>
    <t xml:space="preserve">ENCHAPE CERAMICA PARED DE 30 X 30 BAÑOS,COCINA </t>
  </si>
  <si>
    <t>1,9,2</t>
  </si>
  <si>
    <t>ENCHAPE PISO TABLETA  CERAMICA AREA BANOS , COCINA  Y LABORES</t>
  </si>
  <si>
    <t>1,9,3</t>
  </si>
  <si>
    <t>ENCHAPE PASILLOS Y ZONAS COMUNES</t>
  </si>
  <si>
    <t>1,9,4</t>
  </si>
  <si>
    <t>FLOTANTE DEPTOS (Incluye barrederas perf,alcob,estud,circu)</t>
  </si>
  <si>
    <t>1,9,5</t>
  </si>
  <si>
    <t>FLOTANTE ZONAS COMUNALES (incluye barrederas)</t>
  </si>
  <si>
    <t>1,9,6</t>
  </si>
  <si>
    <t>PISOS CANCHA SQUASH</t>
  </si>
  <si>
    <t>1,9,7</t>
  </si>
  <si>
    <t>BALCONES</t>
  </si>
  <si>
    <t>1,9,8</t>
  </si>
  <si>
    <t>ENCHAPE PAREDES GYPSUM( muro sala)</t>
  </si>
  <si>
    <t>PINTURAS PARQUEADEROS Y APARTAMENTOS</t>
  </si>
  <si>
    <t>1,10,1</t>
  </si>
  <si>
    <t>ESMALTE PINTURA</t>
  </si>
  <si>
    <t>1,10,2</t>
  </si>
  <si>
    <t>ESMALTE MUROS DE BOD. Y PARQ Y AREAS COMUNALES</t>
  </si>
  <si>
    <t>1,10,3</t>
  </si>
  <si>
    <t>GRAFIADO EXTERIOR ESTUCO PLASTICO FACHADA</t>
  </si>
  <si>
    <t>1,10,4</t>
  </si>
  <si>
    <t>EMPASTE Y PINTURA TECHOS DEPTOS.</t>
  </si>
  <si>
    <t>1,10,5</t>
  </si>
  <si>
    <t>PINTURA TECHOS AREAS COMUNALES</t>
  </si>
  <si>
    <t>1,10,6</t>
  </si>
  <si>
    <t>VINILO CINTAS  EXTERIORES A = 0.10 M</t>
  </si>
  <si>
    <t>1,10,7</t>
  </si>
  <si>
    <t>EMPASTE Y PINTURA MUROS APTOS INCLUYE ESTUCO</t>
  </si>
  <si>
    <t>1,10,8</t>
  </si>
  <si>
    <t>pintura alto trafico reflectivo parqueadero</t>
  </si>
  <si>
    <t>1,10,9</t>
  </si>
  <si>
    <t>pintura altotrafico en gradas</t>
  </si>
  <si>
    <t>APARATOS , ACCESORIOS MUEBLES COCINA</t>
  </si>
  <si>
    <t>1,11,1,1</t>
  </si>
  <si>
    <t>JUEGO COMPLETO BAÑO  E INCRUT,GRIFER, AUXILIAR</t>
  </si>
  <si>
    <t>1,11,1,2</t>
  </si>
  <si>
    <t xml:space="preserve">JUEGO COMPLETO BAÑO  E INCRUT,GRIFERI, ALCOBAS </t>
  </si>
  <si>
    <t>1,11,2</t>
  </si>
  <si>
    <t>DUCHAS</t>
  </si>
  <si>
    <t>1,11,3,1</t>
  </si>
  <si>
    <t>REJILLA SIFON DE PISO 2"</t>
  </si>
  <si>
    <t>1,11,3,4</t>
  </si>
  <si>
    <t>REJILLA SIFON DE PISO 3"</t>
  </si>
  <si>
    <t>1,11,4</t>
  </si>
  <si>
    <t>extractor de olores</t>
  </si>
  <si>
    <t>1,11,5</t>
  </si>
  <si>
    <t>LAVADERO FIBRA. 0.8M*0.6M CON LLAVE</t>
  </si>
  <si>
    <t>1,11,6</t>
  </si>
  <si>
    <t>ESTUFA HORNO Y EXTRACTOR</t>
  </si>
  <si>
    <t>1,11,7</t>
  </si>
  <si>
    <t>MUEBLES COCINA ALTOS Y BAJOS</t>
  </si>
  <si>
    <t>MUEBLES BAÑOS Y ESPEJOS</t>
  </si>
  <si>
    <t>1,12,1</t>
  </si>
  <si>
    <t>ESPEJOS</t>
  </si>
  <si>
    <t>1,12,2</t>
  </si>
  <si>
    <t>MUEBLES BAÑOS</t>
  </si>
  <si>
    <t>INST. HIDRAULICAS Y SANITARIAS</t>
  </si>
  <si>
    <t>1,13,1</t>
  </si>
  <si>
    <t>PUNTOS HIDRAULICOS</t>
  </si>
  <si>
    <t>1,13,2</t>
  </si>
  <si>
    <t>PUNTO HIDRAULICO LAVAMANOS (agua fria y caliente)</t>
  </si>
  <si>
    <t>1,13,3</t>
  </si>
  <si>
    <t>PUNTO HIDRAULICO SANITARIO</t>
  </si>
  <si>
    <t>1,13,4</t>
  </si>
  <si>
    <t>PUNTO HIDRAULICO LAVAPLATOS (agua fria y caliente)</t>
  </si>
  <si>
    <t>1,13,5</t>
  </si>
  <si>
    <t>PUNTO HIDRAULICO DUCHAS (agua fria y caliente)</t>
  </si>
  <si>
    <t>1,13,6</t>
  </si>
  <si>
    <t>PUNTO HIDRAULICO LAVADERO Y NEVERA</t>
  </si>
  <si>
    <t>1,13,7</t>
  </si>
  <si>
    <t>PUNTO HIDRAULICO LAVADORA AGUA FRIA Y CALIENTE</t>
  </si>
  <si>
    <t>1,13,8</t>
  </si>
  <si>
    <t>TUBERIA HIDRAULICA CPVC-P 1/2" (agua caliente)</t>
  </si>
  <si>
    <t>1,13,9</t>
  </si>
  <si>
    <t>TUBERIA HIDRAULICA PVC-P 1/2"</t>
  </si>
  <si>
    <t>1,13,10</t>
  </si>
  <si>
    <t>TUBERIA HIDRAULICA PVC-P 3/4"</t>
  </si>
  <si>
    <t>1,13,10,1</t>
  </si>
  <si>
    <t>Montante de agua potable PVC 3"</t>
  </si>
  <si>
    <t>1,13,11</t>
  </si>
  <si>
    <t>SALIDA SANITARIA LAVAMANOS</t>
  </si>
  <si>
    <t>1,13,12</t>
  </si>
  <si>
    <t>SALIDA SANITARIA SANITARIOS</t>
  </si>
  <si>
    <t>1,13,13</t>
  </si>
  <si>
    <t>SALIDA SANITARIA LAVAPLATOS</t>
  </si>
  <si>
    <t>1,13,14</t>
  </si>
  <si>
    <t>SALIDA SANITARIA DUCHAS</t>
  </si>
  <si>
    <t>1,13,15</t>
  </si>
  <si>
    <t>SALIDA SANITARIA LAVADERO Y LAVADORA</t>
  </si>
  <si>
    <t>1,13,16</t>
  </si>
  <si>
    <t>SALIDA SANITARIA SIFONES DE PATIO Y BALCONES</t>
  </si>
  <si>
    <t>1,13,17</t>
  </si>
  <si>
    <t>SALIDA VENTILACION</t>
  </si>
  <si>
    <t>1,13,17,1</t>
  </si>
  <si>
    <t>SALIDA VENTILACION 75mm para ventilacion mecanica</t>
  </si>
  <si>
    <t>UN</t>
  </si>
  <si>
    <t>1,13,17,2</t>
  </si>
  <si>
    <t>SALIDA VENTILACION 110mm para ventilacion para secadoras</t>
  </si>
  <si>
    <t>1,13,18</t>
  </si>
  <si>
    <t>DESAGUES Y BAJANTES</t>
  </si>
  <si>
    <t>1,13,19</t>
  </si>
  <si>
    <t xml:space="preserve">TUB CON ACCESORIOS  PVC-P 4"  DESAGUE AN </t>
  </si>
  <si>
    <t>1,13,20</t>
  </si>
  <si>
    <t>BAJANTE PVC 4" AN</t>
  </si>
  <si>
    <t>1,13,21</t>
  </si>
  <si>
    <t>BAJANTE PVC 4" ALL</t>
  </si>
  <si>
    <t>1,13,22</t>
  </si>
  <si>
    <t>BAJANTE PVC 2" VENTILACION</t>
  </si>
  <si>
    <t>1,13,22,1</t>
  </si>
  <si>
    <t>Tuberia de VENTILACION 75mm para ventilacion mecanica</t>
  </si>
  <si>
    <t>Ml</t>
  </si>
  <si>
    <t>1,13,22,2</t>
  </si>
  <si>
    <t>Tuberia de VENTILACION 110 mm para ventilacion secadoras</t>
  </si>
  <si>
    <t>1,13,23</t>
  </si>
  <si>
    <t>BAJANTE PVC 1-1/2" VENTILACION</t>
  </si>
  <si>
    <t>1,13,24</t>
  </si>
  <si>
    <t>1,13,25</t>
  </si>
  <si>
    <t>LLAVE MANGUERA DE 1/2"</t>
  </si>
  <si>
    <t>1,13,26</t>
  </si>
  <si>
    <t>MONTAJE APARATOS ( INC. GRIFERIA )</t>
  </si>
  <si>
    <t>1,13,27</t>
  </si>
  <si>
    <t xml:space="preserve">MONTAJE LAVAMANOS </t>
  </si>
  <si>
    <t>1,13,28</t>
  </si>
  <si>
    <t xml:space="preserve">MONTAJE SANITARIOS </t>
  </si>
  <si>
    <t>1,13,29</t>
  </si>
  <si>
    <t xml:space="preserve">GRIFERIA  LAVAPLATOS </t>
  </si>
  <si>
    <t>1,13,30</t>
  </si>
  <si>
    <t xml:space="preserve">MONTAJE DUCHAS </t>
  </si>
  <si>
    <t>1,13,31</t>
  </si>
  <si>
    <t>CISTERNA PROY ENTERRADO 60 M3 (incluye encofrados)</t>
  </si>
  <si>
    <t>1,13,32</t>
  </si>
  <si>
    <t>BOMBA HIDROFLOW Y SISTEMA DE BOMBAS</t>
  </si>
  <si>
    <t>1,13,33</t>
  </si>
  <si>
    <t>MEDIDORES DE AGUA</t>
  </si>
  <si>
    <t>1,13,33,1</t>
  </si>
  <si>
    <t>Anclaje de tuberias tipo 1 (cinta)</t>
  </si>
  <si>
    <t>1,13,33,2</t>
  </si>
  <si>
    <t>Anclaje de tuberias tipo 2 (perfil chanel)</t>
  </si>
  <si>
    <t>OTROS</t>
  </si>
  <si>
    <t>1,14,1</t>
  </si>
  <si>
    <t>CALENTADOR ELECTRICO</t>
  </si>
  <si>
    <t>1,14,2</t>
  </si>
  <si>
    <t xml:space="preserve"> RED DE INCENDIOS (incluye gabinete  equi y requerimientos)</t>
  </si>
  <si>
    <t>1,14,3</t>
  </si>
  <si>
    <t>PUERTA CAMARA DE TRANSFORMACION</t>
  </si>
  <si>
    <t>1,14,4</t>
  </si>
  <si>
    <t>MALLA GENERADOR DE EMERGENCIA</t>
  </si>
  <si>
    <t>1,14,5</t>
  </si>
  <si>
    <t>PUERTAS PARA CUARTO DE BOMBAS</t>
  </si>
  <si>
    <t>INSTALACIONES ELECTRICAS</t>
  </si>
  <si>
    <t>1,15,1</t>
  </si>
  <si>
    <t>SALIDAS  ZONAS COMUNES</t>
  </si>
  <si>
    <t>1,15,2</t>
  </si>
  <si>
    <t>SALIDAS APARTAMENTOS</t>
  </si>
  <si>
    <t>1,15,3</t>
  </si>
  <si>
    <t xml:space="preserve">SALIDA ALUMBRADO LAMPARA INCANDECENTE </t>
  </si>
  <si>
    <t>1,15,4</t>
  </si>
  <si>
    <t xml:space="preserve">SALIDA CONMUTABLE </t>
  </si>
  <si>
    <t>1,15,5</t>
  </si>
  <si>
    <t>SALIDA TOMA DOBLE MONOFASICA</t>
  </si>
  <si>
    <t>1,15,6</t>
  </si>
  <si>
    <t>TUBERIA PVC CONDUIT DE 1/2"ALUMBRADO</t>
  </si>
  <si>
    <t>1,15,7</t>
  </si>
  <si>
    <t>TUBERIA PVC CONDUIT DE 3/4" ALUMBRADO</t>
  </si>
  <si>
    <t>1,15,8</t>
  </si>
  <si>
    <t>TUBERIA PVC CONDUIT DE 1/2" TOMAS</t>
  </si>
  <si>
    <t>1,15,9</t>
  </si>
  <si>
    <t>TUBERIA PVC CONDUIT DE 3/4" TOMAS</t>
  </si>
  <si>
    <t>1,15,10</t>
  </si>
  <si>
    <t>BAJANTE PVC CONDUIT DE 1"</t>
  </si>
  <si>
    <t>1,15,11</t>
  </si>
  <si>
    <t>ABRAZADERAS DOBLE ALA PARA TUB PVC CONDUIT DE 1/2</t>
  </si>
  <si>
    <t>1,15,12</t>
  </si>
  <si>
    <t>ABRAZADERAS DOBLE ALA PARA TUB PVC CONDUIT DE 3/4</t>
  </si>
  <si>
    <t>1,15,13</t>
  </si>
  <si>
    <t>SALIDA PARA BALA INCANDECENTE TIPO LED 12W * pieza</t>
  </si>
  <si>
    <t>1,15,14</t>
  </si>
  <si>
    <t>SALIDA PARA ROSETA (incluye roseta) *pieza</t>
  </si>
  <si>
    <t>1,15,15</t>
  </si>
  <si>
    <t>SALIDA PARA INTERRUPTOR SENCILLO *pieza</t>
  </si>
  <si>
    <t>1,15,16</t>
  </si>
  <si>
    <t>SALIDA PARA INTERRUPTOR DOBLE *pieza</t>
  </si>
  <si>
    <t>1,15,17</t>
  </si>
  <si>
    <t>SALIDA PARA INTERRUPTOR CONMUTABLE *pieza</t>
  </si>
  <si>
    <t>1,15,18</t>
  </si>
  <si>
    <t>SALIDA PARA INTERRUPTOR CONMUTABLE DOBLE *pieza</t>
  </si>
  <si>
    <t>1,15,19</t>
  </si>
  <si>
    <t>SALIDA TOMACORRIENTE DOBLE NORMAL CON POLO A TIERRA *pieza</t>
  </si>
  <si>
    <t>1,15,20</t>
  </si>
  <si>
    <t>SALIDA TOMACORRIENTE DOBLE NORMAL GFCI *pieza</t>
  </si>
  <si>
    <t>1,15,21</t>
  </si>
  <si>
    <t>SALIDA TOMACORRIENTE TRIFASICA (ESTUFA) *pieza</t>
  </si>
  <si>
    <t>1,15,22</t>
  </si>
  <si>
    <t>SALIDA EXTRACTOR COCINA *pieza</t>
  </si>
  <si>
    <t>1,15,23</t>
  </si>
  <si>
    <t>SALIDA TOMA LAVADORA * pieza</t>
  </si>
  <si>
    <t>1,15,24</t>
  </si>
  <si>
    <t>SALIDA PARA CAMPANA TIMBRE</t>
  </si>
  <si>
    <t>1,15,25</t>
  </si>
  <si>
    <t>ZUMBADOR * pieza timbre</t>
  </si>
  <si>
    <t>1,15,26</t>
  </si>
  <si>
    <t>ALIMENTADORES ELECTRICOS</t>
  </si>
  <si>
    <t>1,15,27</t>
  </si>
  <si>
    <t>ALIMENTADOR EN CABLE 3#12(1F+1N+1T) CTO NORMAL TOMA CORRIENTE *CABLEADO</t>
  </si>
  <si>
    <t>1,15,28</t>
  </si>
  <si>
    <t>ALIMENTADOR EN CABLE 2#12(1F+1N) CTO NORMAL ALUMBRADO *CABLEADO</t>
  </si>
  <si>
    <t>1,15,29</t>
  </si>
  <si>
    <t>TABLEROS Y CELDAS</t>
  </si>
  <si>
    <t>1,15,30</t>
  </si>
  <si>
    <t>TABLERO DE 30 CTOS TIPO PESADO CON PUERTA Y CHAPA</t>
  </si>
  <si>
    <t>1,15,31</t>
  </si>
  <si>
    <t>CAJA DE 8 CTOS DEPTO.</t>
  </si>
  <si>
    <t>1,15,32</t>
  </si>
  <si>
    <t>CELDA DE ENTRADA Y SALIDA MT</t>
  </si>
  <si>
    <t>1,15,33</t>
  </si>
  <si>
    <t>CELDA DE PROTECCION</t>
  </si>
  <si>
    <t>1,15,34</t>
  </si>
  <si>
    <t>TERMINAL PREMOLDEADO USO INTERIOR</t>
  </si>
  <si>
    <t>1,15,35</t>
  </si>
  <si>
    <t>TABLERO GENERAL ACOMETIDAS - TGA</t>
  </si>
  <si>
    <t>1,15,36</t>
  </si>
  <si>
    <t>INTERRUPTORES AUTOMATICOS</t>
  </si>
  <si>
    <t>1,15,37</t>
  </si>
  <si>
    <t xml:space="preserve">INTERRUPTOR AUTOMATICO IND. DE 3X150 A 240VAC *Breaker </t>
  </si>
  <si>
    <t>1,15,38</t>
  </si>
  <si>
    <t xml:space="preserve">INTERRUPTOR AUTOMATICO IND. DE 3X20 A 240VAC *Breaker </t>
  </si>
  <si>
    <t>1,15,39</t>
  </si>
  <si>
    <t xml:space="preserve">INTERRUPTOR AUTOMATICO IND. DE 3X750 A 240VAC *Breaker </t>
  </si>
  <si>
    <t>1,15,40</t>
  </si>
  <si>
    <t xml:space="preserve">INTERRUPTOR AUTOMATICO DE 1X20 ENCHUFABLE *Breaker </t>
  </si>
  <si>
    <t>1,15,41</t>
  </si>
  <si>
    <t xml:space="preserve">INTERRUPTOR 3X800 A 20Kv *Breaker </t>
  </si>
  <si>
    <t>1,15,42</t>
  </si>
  <si>
    <t>PUESTA A TIERRA Y APANTALLAMIENTO</t>
  </si>
  <si>
    <t>1,15,43</t>
  </si>
  <si>
    <t xml:space="preserve">MALLA DE PUESTA A TIERRA SUBESTACION </t>
  </si>
  <si>
    <t>1,15,44</t>
  </si>
  <si>
    <t>VARILLA DE COBRE COOPER WELL 5/8" A 2,40m</t>
  </si>
  <si>
    <t>1,15,45</t>
  </si>
  <si>
    <t>PUNTA FRANKLIN 60 cm CON BASE</t>
  </si>
  <si>
    <t>1,15,46</t>
  </si>
  <si>
    <t>CABLE AL 2/0 APANTALLAMIENTO</t>
  </si>
  <si>
    <t>1,15,47</t>
  </si>
  <si>
    <t>CABLE 2/0 DESNUDO Cu</t>
  </si>
  <si>
    <t>1,15,48</t>
  </si>
  <si>
    <t>ACOMETIDAS</t>
  </si>
  <si>
    <t>1,15,49</t>
  </si>
  <si>
    <t>ALIMENTADOR EN 3#8+1#8+1#10T DESDE TGA A TAB. DEPTOS</t>
  </si>
  <si>
    <t>1,15,50</t>
  </si>
  <si>
    <t>ALIMENTADOR CON 3#250MCM+1#4/0+1N#2/0T-1X3" PVC DESDE TABLERO DE ALIMENTADOR CON</t>
  </si>
  <si>
    <t>1,15,51</t>
  </si>
  <si>
    <t xml:space="preserve"> 9#300MCM+3#3/0+1#2/0T-3X3"PVC DESDE SUBESTACION 225KVA</t>
  </si>
  <si>
    <t>1,15,54</t>
  </si>
  <si>
    <t>TELEFONOS</t>
  </si>
  <si>
    <t>1,15,55</t>
  </si>
  <si>
    <t xml:space="preserve">SALIDA PARA TELEFONOS </t>
  </si>
  <si>
    <t>1,15,59</t>
  </si>
  <si>
    <t>CITOFONOS</t>
  </si>
  <si>
    <t>1,15,60</t>
  </si>
  <si>
    <t xml:space="preserve">SALIDA PARA CITOFONOS </t>
  </si>
  <si>
    <t>1,15,61</t>
  </si>
  <si>
    <t>ALIMENTACION VERTICAL</t>
  </si>
  <si>
    <t>1,15,62</t>
  </si>
  <si>
    <t>SALIDA TV</t>
  </si>
  <si>
    <t>1,15,63</t>
  </si>
  <si>
    <t>1,15,64</t>
  </si>
  <si>
    <t xml:space="preserve">ALIMENTACION VERTICAL </t>
  </si>
  <si>
    <t>1,15,67</t>
  </si>
  <si>
    <t>ARMARIO MEDIDORES</t>
  </si>
  <si>
    <t>1,15,68</t>
  </si>
  <si>
    <t>ARMARIO DE MEDIDORES 24 CTAS</t>
  </si>
  <si>
    <t>1,15,69</t>
  </si>
  <si>
    <t>PLANTA ELECTRICA DE EMERGENCIA</t>
  </si>
  <si>
    <t>1,15,70</t>
  </si>
  <si>
    <t>CONTADORES DE LUZ</t>
  </si>
  <si>
    <t>1,15,71</t>
  </si>
  <si>
    <t>TRANSFORMADOR</t>
  </si>
  <si>
    <t>1,15,72</t>
  </si>
  <si>
    <t>SISTEMA CONTRAINCENDIOS</t>
  </si>
  <si>
    <t>ASEO Y VARIOS</t>
  </si>
  <si>
    <t>1,16,1</t>
  </si>
  <si>
    <t xml:space="preserve">LAVADA  CON ACIDO </t>
  </si>
  <si>
    <t>1,16,2</t>
  </si>
  <si>
    <t xml:space="preserve">ASEO FINAL APTO </t>
  </si>
  <si>
    <t xml:space="preserve">CUBIERTA </t>
  </si>
  <si>
    <t>1,17,1</t>
  </si>
  <si>
    <t>masillado losa de cubierta espesor prom. 3cm con impermeabilizante</t>
  </si>
  <si>
    <t>OBRAS EXTERIORES Y ZONA SOCIAL</t>
  </si>
  <si>
    <t>1,18,1</t>
  </si>
  <si>
    <t>CERRAMIENTO,LOBBY,AMOBL URB,ZONAS SOCIAL OTROS</t>
  </si>
  <si>
    <t>ASCENSOR</t>
  </si>
  <si>
    <t>1,19,1</t>
  </si>
  <si>
    <t>ASCENSOR(8PERSONAS,8 PARADAS)</t>
  </si>
  <si>
    <t>TOTAL MAS IVA OBRA GRIS</t>
  </si>
  <si>
    <t>TOTAL SIN IVA CON RUBROS NO PREVISTOS</t>
  </si>
  <si>
    <t>PRESUPUESTO ACABADOS</t>
  </si>
  <si>
    <t>No.</t>
  </si>
  <si>
    <t>UNIDAD</t>
  </si>
  <si>
    <t>CANTIDAD</t>
  </si>
  <si>
    <t>PRECIO UNITARIO</t>
  </si>
  <si>
    <t>PRECIO TOTAL</t>
  </si>
  <si>
    <t>MAMPOSTERIAS Y ENLUCIDOS</t>
  </si>
  <si>
    <t>Enlucido Vertical Interior</t>
  </si>
  <si>
    <t>REVESTIMIENTOS</t>
  </si>
  <si>
    <t>Ceramica nacional en paredes de baños y cocinas formato 30x30</t>
  </si>
  <si>
    <t>Ceramica nacional en pisos de baños y cocinas formato 30x30</t>
  </si>
  <si>
    <t xml:space="preserve">Porcelanato en pisos de areas comunales </t>
  </si>
  <si>
    <t>Ceramica en pisos de balcones</t>
  </si>
  <si>
    <t>Piso flotante Ac 8mm</t>
  </si>
  <si>
    <t>Barredera de madera mdf 8cm</t>
  </si>
  <si>
    <t xml:space="preserve">Barredera de porcelanato de 10 cm </t>
  </si>
  <si>
    <t>Piso de media duela machihembrada de eucalipto en cancha de squash</t>
  </si>
  <si>
    <t>Recubrimiento de pared con gypsum</t>
  </si>
  <si>
    <t xml:space="preserve">Recubrimiento de Gypsum plano Regular </t>
  </si>
  <si>
    <t xml:space="preserve">Corniza decorativa  </t>
  </si>
  <si>
    <t>ml</t>
  </si>
  <si>
    <t>ESTUCADO Y PINTURA</t>
  </si>
  <si>
    <t>Pintura para lineas de parquedero y gradas de alto trafico reflectivo</t>
  </si>
  <si>
    <t xml:space="preserve">Grafiado exterior </t>
  </si>
  <si>
    <t xml:space="preserve">Pintura latex Interior </t>
  </si>
  <si>
    <t>Pintura en esmalte sobre metal</t>
  </si>
  <si>
    <t>Estucado vertical</t>
  </si>
  <si>
    <t>Estucado horizontal</t>
  </si>
  <si>
    <t>CARPINTERÍA METÁLICA</t>
  </si>
  <si>
    <t>Pasamano tipo 1 en escaleras</t>
  </si>
  <si>
    <t>Pasamano tipo 2 en balcones</t>
  </si>
  <si>
    <t>Puerta corta fuego con barra antipanico 1x2,15</t>
  </si>
  <si>
    <t>u</t>
  </si>
  <si>
    <t>Puerta de Bodega 0,80x2,10</t>
  </si>
  <si>
    <t>Puerta cuarto de transformador 0,80x2,10</t>
  </si>
  <si>
    <t>Ventanas de malla cuarto de transformacion y generador</t>
  </si>
  <si>
    <t>Puerta de generador de Emergencia2,10x2,10</t>
  </si>
  <si>
    <t>Puerta  P13 (ductos 0.60x0.60)</t>
  </si>
  <si>
    <t>Puerta  P14 Puerta metálica garage con motor 3x2,54</t>
  </si>
  <si>
    <t>Puerta cuarto de basuras 0,90x2,10</t>
  </si>
  <si>
    <t>Puerta  cuarto de mopas 0,80x2,10</t>
  </si>
  <si>
    <t>Puerta cuarto de cisterna  0,80x2,10</t>
  </si>
  <si>
    <t>Tapa de cisterna 0,80x0,80</t>
  </si>
  <si>
    <t>Proteccion de esquinas de columnas de caucho</t>
  </si>
  <si>
    <t>Topes de llantas en parqueos</t>
  </si>
  <si>
    <t>Par</t>
  </si>
  <si>
    <t>PUERTAS DE MADERA/CERRADURAS</t>
  </si>
  <si>
    <t>Puerta  P2 baño Solida MDF Lacada</t>
  </si>
  <si>
    <t>U</t>
  </si>
  <si>
    <t xml:space="preserve">Puerta  P3 Dormitorio Solida MDF </t>
  </si>
  <si>
    <t xml:space="preserve">Cerradura de baño  </t>
  </si>
  <si>
    <t>Cerradura de Dormitorio</t>
  </si>
  <si>
    <t>107,1</t>
  </si>
  <si>
    <t>Cerradura Puerta Pincipal</t>
  </si>
  <si>
    <t>ALUMINO Y VIDRIO</t>
  </si>
  <si>
    <t>PUERTA ACCESO PB VIDRIO TEMPLADO CON CERRADURA MAGNETICA 1,2x3,0</t>
  </si>
  <si>
    <t>Puerta VIDRIO TEMPLADO CON 0.70 x 1.80 CANCHA SQUASH</t>
  </si>
  <si>
    <t>PARED DE VIDRIO TEMPLADO CANCHA DE SQUASH</t>
  </si>
  <si>
    <t>Baranda 0.90 en balcones de vidrio claro laminado + Al bronce</t>
  </si>
  <si>
    <t>MUEBLES INCORPORADOS</t>
  </si>
  <si>
    <t>Mueble bajo de Cocina No incluye Meson</t>
  </si>
  <si>
    <t>Mueble Alto de cocina</t>
  </si>
  <si>
    <t xml:space="preserve">Mueble de baño No incluye meson </t>
  </si>
  <si>
    <t>Closet Ropero Completo</t>
  </si>
  <si>
    <t>Closet Escobero o Lavadora</t>
  </si>
  <si>
    <t>Espejo Claro en baño Inc Marco MDF</t>
  </si>
  <si>
    <t>Meson de Granito en mueble de Cocina y baño 0,60 ancho</t>
  </si>
  <si>
    <t>PIEZAS SANITARIAS</t>
  </si>
  <si>
    <t>Rejilla de aluminio 50mm</t>
  </si>
  <si>
    <t>Rejilla de 75mm</t>
  </si>
  <si>
    <t>Rejillas de Sombrero 110mm</t>
  </si>
  <si>
    <t>Inodoro EDESA  Tanque bajo</t>
  </si>
  <si>
    <t>Lavamanos EDESA</t>
  </si>
  <si>
    <t>Grifería para lavamanos EDESA Livorno Monomando</t>
  </si>
  <si>
    <t>Fregadero de Platos EDESA en Acero Inox</t>
  </si>
  <si>
    <t xml:space="preserve">Griferia para fregadero de Platos EDESA VITTORIA MONOMANDO </t>
  </si>
  <si>
    <t xml:space="preserve">Mezcladora para Ducha EDESA VITTORIA MONOMANDO </t>
  </si>
  <si>
    <t>Cocina de Induccion de 4 quemadores</t>
  </si>
  <si>
    <t>136,1</t>
  </si>
  <si>
    <t>Horno de cocina</t>
  </si>
  <si>
    <t>Extractor de olores de Cocina</t>
  </si>
  <si>
    <t>Extractor de olores en baños</t>
  </si>
  <si>
    <t>Urinario Servicios Comunales EDESA</t>
  </si>
  <si>
    <t>Griferia lavabos de servicios Comunales EDESA</t>
  </si>
  <si>
    <t>Inodoro Servicios Comunales EDESA</t>
  </si>
  <si>
    <t>Lavamanos Servicios Comunales EDESA</t>
  </si>
  <si>
    <t xml:space="preserve">FREGADERO DE ROPA SIMPLE EDESA </t>
  </si>
  <si>
    <t>Griferia Fregadero de Ropa</t>
  </si>
  <si>
    <t>VEGETACIÓN / JARDINERÍA Y VARIOS</t>
  </si>
  <si>
    <t>Perforaciones en losas</t>
  </si>
  <si>
    <t>Arbol en jardinera</t>
  </si>
  <si>
    <t>Jardineria en accesos</t>
  </si>
  <si>
    <t>Tierra vegetal en Jardies</t>
  </si>
  <si>
    <t>m3</t>
  </si>
  <si>
    <t>Cesped en chambas</t>
  </si>
  <si>
    <t>Limpieza General de obra</t>
  </si>
  <si>
    <t>EQUIPAMIENTO</t>
  </si>
  <si>
    <t xml:space="preserve">Gimnasio </t>
  </si>
  <si>
    <t>glb</t>
  </si>
  <si>
    <t>Mobiliario TEATRO</t>
  </si>
  <si>
    <t>INSTALACIONES HIDROSANITARIAS</t>
  </si>
  <si>
    <t>AGUA POTABLE</t>
  </si>
  <si>
    <t>SISTEMA DE BOMBEO PRINCIPAL</t>
  </si>
  <si>
    <t>VARIADOR DE FRECUENCIAS</t>
  </si>
  <si>
    <t>CALENTADOR ELÉCTRICO</t>
  </si>
  <si>
    <t>AGUAS SERVIDAS</t>
  </si>
  <si>
    <t>AGUA CONTRA INCENDIOS</t>
  </si>
  <si>
    <t>BOMBA PRINCIPAL</t>
  </si>
  <si>
    <t>BOMBA JOCKEY</t>
  </si>
  <si>
    <t>TABLERO DE CONTROL</t>
  </si>
  <si>
    <t xml:space="preserve">TOTAL MAS IVA </t>
  </si>
  <si>
    <t>IVA 12%</t>
  </si>
  <si>
    <t>PRECIO TOTAL DE LA OFERTA (DE LOS RUBROS OFERTADOS)</t>
  </si>
  <si>
    <t>TOTAL INC IVA</t>
  </si>
  <si>
    <t>CUATROCIENTOS CINCUENTA Y TRES MIL DOCIENTOS SETENTA CON DOCE /100 US DOLARES</t>
  </si>
  <si>
    <t>CONTRATISTA</t>
  </si>
  <si>
    <t>FIDEICOMISO MERCANTIL SIERRA DEL BOSQUE</t>
  </si>
  <si>
    <t xml:space="preserve"> HORUS CONSTRUCTORES CIA LTDA</t>
  </si>
  <si>
    <t>GERENTE DE PROYECTO</t>
  </si>
  <si>
    <t>ARQ. CESAR LOPEZ</t>
  </si>
  <si>
    <t>ING. JUAN VELA WITT</t>
  </si>
  <si>
    <t>ING. AULI FERNANDO VELANDIA MEDINA</t>
  </si>
  <si>
    <t>PRESUPUESTO ELECTRICO</t>
  </si>
  <si>
    <t xml:space="preserve">P. U. </t>
  </si>
  <si>
    <t>ILUMINACION</t>
  </si>
  <si>
    <t>1,15,1,1</t>
  </si>
  <si>
    <t>Pto</t>
  </si>
  <si>
    <t>1,15,1,2</t>
  </si>
  <si>
    <t>1,15,1,3</t>
  </si>
  <si>
    <t>SALIDA PARA SENSOR DE MOVIMIENTO 360 GRADOS</t>
  </si>
  <si>
    <t>1,15,1,4</t>
  </si>
  <si>
    <t>SALIDA PARA SENSOR DE MOVIMIENTO 180 GRADOS</t>
  </si>
  <si>
    <t>1,15,1,5</t>
  </si>
  <si>
    <t>SALIDA TIMBRE</t>
  </si>
  <si>
    <t>FUERZA</t>
  </si>
  <si>
    <t>1,15,2,1</t>
  </si>
  <si>
    <t>1,15,2,2</t>
  </si>
  <si>
    <t>SALIDA TOMACORRIENTE TRIFASICA COCINA, HORNO, CALENTADOR DE AGUA</t>
  </si>
  <si>
    <t>1,15,2,3</t>
  </si>
  <si>
    <t>SALIDA TOMA CORRIENTE DE LAVADORA Y SECADORA</t>
  </si>
  <si>
    <t>1,15,2,4</t>
  </si>
  <si>
    <t>SALIDA PUNTO VENTILACION MECANICA</t>
  </si>
  <si>
    <t>1,15,3,1</t>
  </si>
  <si>
    <t>1,15,3,2</t>
  </si>
  <si>
    <t>Canaleta de 30x10cm.</t>
  </si>
  <si>
    <t>1,15,3,3</t>
  </si>
  <si>
    <t>Canaleta de 20x10cm.</t>
  </si>
  <si>
    <t>1,15,3,4</t>
  </si>
  <si>
    <t>CAJA DE DISTRIBUCION TELEFONICA 40 x 40</t>
  </si>
  <si>
    <t>1,15,3,5</t>
  </si>
  <si>
    <t>SALIDA DE VOZ Y DATOS, INCLUYE PIEZA ELECTRICA</t>
  </si>
  <si>
    <t>1,15,4,1</t>
  </si>
  <si>
    <t>1,15,4,2</t>
  </si>
  <si>
    <t>1,15,5,1</t>
  </si>
  <si>
    <t>1,15,5,2</t>
  </si>
  <si>
    <r>
      <t xml:space="preserve">ALIMENTACION VERTICAL </t>
    </r>
    <r>
      <rPr>
        <b/>
        <sz val="11"/>
        <rFont val="Calibri"/>
        <family val="2"/>
        <scheme val="minor"/>
      </rPr>
      <t xml:space="preserve"> </t>
    </r>
  </si>
  <si>
    <t>1,15,5,3</t>
  </si>
  <si>
    <t>CAJA DE DISTRIBUCIÓN PARA TV CABLE 30x30cm</t>
  </si>
  <si>
    <t>1,15,5,4</t>
  </si>
  <si>
    <t>CAJA DE DISTRIBUCIÓN PARA PORTEROS 20x20cm</t>
  </si>
  <si>
    <t>1,15,6,1</t>
  </si>
  <si>
    <t>ROTULO DE SALIDA</t>
  </si>
  <si>
    <t>1,15,6,2</t>
  </si>
  <si>
    <t>SALIDA PARA ROTULO CON SEÑAL DE "SALIDA"</t>
  </si>
  <si>
    <t>1,15,6,3</t>
  </si>
  <si>
    <t>SALIDA PUNTO LUMINARIA EMERGENCIA</t>
  </si>
  <si>
    <t>1,15,6,4</t>
  </si>
  <si>
    <t>LAMPARA DE EMERGENCIA</t>
  </si>
  <si>
    <t>1,15,6,5</t>
  </si>
  <si>
    <t>PANEL DSC MAXXYS: 16 A 128 ZONAS INC: TJTA + TCDO ALFANÚM + CAJA - INCENDIO</t>
  </si>
  <si>
    <t>1,15,6,6</t>
  </si>
  <si>
    <t>SALIDA PARA PANEL DSC MAXXYS</t>
  </si>
  <si>
    <t>1,15,6,7</t>
  </si>
  <si>
    <t>BATERIA 7 AMPERIOS REKOSER</t>
  </si>
  <si>
    <t>1,15,6,8</t>
  </si>
  <si>
    <t>SENSOR DE HUMO FOTOELECTRICO 4 HILOS +BASE MIRCOM</t>
  </si>
  <si>
    <t>1,15,6,9</t>
  </si>
  <si>
    <t>SALIDA PARA SENSOR DE HUMO FOTOELECTRICO 4 HILOS</t>
  </si>
  <si>
    <t>1,15,6,10</t>
  </si>
  <si>
    <t>ESTACION MANUAL DE INCENDIO SIMPLE MIRCOM</t>
  </si>
  <si>
    <t>1,15,6,11</t>
  </si>
  <si>
    <t>SALIDA PARA ESTACION MANUAL DE INCENDIO SIMPLE MIRCOM</t>
  </si>
  <si>
    <t>1,15,6,12</t>
  </si>
  <si>
    <t>SIRENA CON LUZ ESTROBOSCOPICA ASYS</t>
  </si>
  <si>
    <t>1,15,6,13</t>
  </si>
  <si>
    <t>SALIDA PARA SIRENA CON LUZ ESTROBOSCÓPICA</t>
  </si>
  <si>
    <t>1,15,6,14</t>
  </si>
  <si>
    <t>EXPANSOR DE 8 ZONAS PARA PANEL MAXSYS DSC</t>
  </si>
  <si>
    <t>1,15,6,15</t>
  </si>
  <si>
    <t>FUENTES DE PODER 3 AMPERIOS ENFORCER</t>
  </si>
  <si>
    <t>1,15,6,16</t>
  </si>
  <si>
    <t>TRANSFORMADOR 16.5V 40 VA HONEYWELL</t>
  </si>
  <si>
    <t>1,15,6,17</t>
  </si>
  <si>
    <t>INSTALACION</t>
  </si>
  <si>
    <t>1,15,7,1</t>
  </si>
  <si>
    <t>ALIMENTADOR 2X10(1X10)+1X12 THHN</t>
  </si>
  <si>
    <t>1,15,7,2</t>
  </si>
  <si>
    <t>ALIMENTADOR 2X6(1X6)+1X8 THHN</t>
  </si>
  <si>
    <t>1,15,7,3</t>
  </si>
  <si>
    <t>ALIMENTADOR 3X6(1X8)+1X10 THHN</t>
  </si>
  <si>
    <t>1,15,7,4</t>
  </si>
  <si>
    <t>ALIMENTADOR 3X2(1X4)+1X6 THHN</t>
  </si>
  <si>
    <t>1,15,7,5</t>
  </si>
  <si>
    <t>ALIMENTADOR 3X4(1X6)+1X8 THHN</t>
  </si>
  <si>
    <t>1,15,7,6</t>
  </si>
  <si>
    <t>ALIMENTADOR 3X1/0(1X2)+1X4 THHN</t>
  </si>
  <si>
    <t>1,15,7,7</t>
  </si>
  <si>
    <t>ACOMETIDA TELEFÓNICA MANGUERA 2"</t>
  </si>
  <si>
    <t>1,15,7,8</t>
  </si>
  <si>
    <t>ACOMETIDA TV CABLE MANGUERA 2"</t>
  </si>
  <si>
    <t>1,15,7,9</t>
  </si>
  <si>
    <t>ACOMETIDA PORTERO ELECTRICO MANGUERA 2"</t>
  </si>
  <si>
    <t>1,15,7,10</t>
  </si>
  <si>
    <t>CANALETA TIPO RANURADA DE 30X10 cm</t>
  </si>
  <si>
    <t>1,15,7,11</t>
  </si>
  <si>
    <t>CANALETA TIPO ESCALERRILLA DE 30X10 cm</t>
  </si>
  <si>
    <t>TABLEROS DE DISTRIBUCION, BREAKERS Y MALLAS A TIERRA</t>
  </si>
  <si>
    <t>1,15,8,1</t>
  </si>
  <si>
    <t>TABLERO GENERAL DE MEDIDORES 40 ESPACIOS</t>
  </si>
  <si>
    <t>1,15,8,2</t>
  </si>
  <si>
    <t>TABLERO CENTRO DE CARGA BIFASICO 16 ESPACIOS</t>
  </si>
  <si>
    <t>1,15,8,3</t>
  </si>
  <si>
    <t>TABLERO CENTRO DE CARGA BIFASICO 12 ESPACIOS</t>
  </si>
  <si>
    <t>1,15,8,4</t>
  </si>
  <si>
    <t>TABLERO CENTRO DE CARGA TRIFÁSICO 20 ESPACIOS</t>
  </si>
  <si>
    <t>1,15,8,5</t>
  </si>
  <si>
    <t>TABLERO CENTRO DE CARGA TRIFÁSICO 42 ESPACIOS</t>
  </si>
  <si>
    <t>1,15,8,6</t>
  </si>
  <si>
    <t>BREAKER MONOPOLAR 20 A</t>
  </si>
  <si>
    <t>1,15,8,7</t>
  </si>
  <si>
    <t>BREAKER BIPOLAR 32 A</t>
  </si>
  <si>
    <t>1,15,8,8</t>
  </si>
  <si>
    <t>BREAKER TRIPOLAR 50 A</t>
  </si>
  <si>
    <t>1,15,8,9</t>
  </si>
  <si>
    <t>BREAKER TRIPOLAR 60 A 80 A</t>
  </si>
  <si>
    <t>1,15,8,10</t>
  </si>
  <si>
    <t>MALLA A TIERRA PARA PARARRAYO</t>
  </si>
  <si>
    <t>1,15,8,11</t>
  </si>
  <si>
    <t>MALLA A TIERRA PARA EDIFICIO</t>
  </si>
  <si>
    <t>1,15,8,12</t>
  </si>
  <si>
    <t>ACOMETIDA CABLE DESNUDO 2/0</t>
  </si>
  <si>
    <t>1,15,8,13</t>
  </si>
  <si>
    <t>MASTIL PARA UBICACIÓN DEL PARARRAYOS</t>
  </si>
  <si>
    <t>1,15,8,14</t>
  </si>
  <si>
    <t>PARARRAYOS IONIZANTE</t>
  </si>
  <si>
    <t>1,15,8,15</t>
  </si>
  <si>
    <t>BARRA PARA TIERRA 300A</t>
  </si>
  <si>
    <t>INCLUYE IVA</t>
  </si>
  <si>
    <t>CIENTO VEINTE Y SEIS MIL QUINIENTOS QUINCE CON SESENTA Y TRES /100 US DOLARES</t>
  </si>
  <si>
    <t>TOTAL</t>
  </si>
  <si>
    <t>UN MILLON TRECIENTOS CINCUENTA Y SIETE MIL OCHOCIENTOS NOVENTA Y TRES CON  VEINTE Y DOS /100 US DOLARES</t>
  </si>
  <si>
    <t xml:space="preserve">ANALISIS DE DISTRIBUCION  DE COSTOS INDIRECTOS DE OPERACIÓN </t>
  </si>
  <si>
    <t>PROYECTO:</t>
  </si>
  <si>
    <t xml:space="preserve">CONJUNTO HABITACIONAL SIERRA DEL BOSQUE </t>
  </si>
  <si>
    <t>PROPONENTE:</t>
  </si>
  <si>
    <t>HORUS CONSTRUCTORES Cia. Ltda.</t>
  </si>
  <si>
    <t>FECHA DE ACTUALZACION:</t>
  </si>
  <si>
    <t>abril de 2019</t>
  </si>
  <si>
    <t>AREA BRUTA DE CONSTRUCCION:</t>
  </si>
  <si>
    <t>AREA HABITABLE:</t>
  </si>
  <si>
    <r>
      <t xml:space="preserve">COSTO UNITARIO DIRECTO </t>
    </r>
    <r>
      <rPr>
        <b/>
        <i/>
        <sz val="8"/>
        <color indexed="8"/>
        <rFont val="Arial"/>
        <family val="2"/>
      </rPr>
      <t>ESTIMADO</t>
    </r>
    <r>
      <rPr>
        <b/>
        <sz val="8"/>
        <color indexed="8"/>
        <rFont val="Arial"/>
        <family val="2"/>
      </rPr>
      <t xml:space="preserve"> ($/m2):</t>
    </r>
  </si>
  <si>
    <t>/m2</t>
  </si>
  <si>
    <t>COSTO REFERENCIAL BRUTO:</t>
  </si>
  <si>
    <t>COSTO DIRECTO CALCULADO (APU):</t>
  </si>
  <si>
    <t>COSTO INDIRECTO CALCULADO:</t>
  </si>
  <si>
    <t>VALOR TOTAL OFERTADO INC IND</t>
  </si>
  <si>
    <t>COSTO INDIRECTO ESTIMADO OP:</t>
  </si>
  <si>
    <t>PRECIO OFERTADO:</t>
  </si>
  <si>
    <t>ANTICIPO:</t>
  </si>
  <si>
    <t>PLAZO OFERTADO:</t>
  </si>
  <si>
    <t>MESES</t>
  </si>
  <si>
    <t>INVERSION  (MENSUAL)</t>
  </si>
  <si>
    <t>VALOR TOTAL</t>
  </si>
  <si>
    <t>DETALLE DE COSTOS</t>
  </si>
  <si>
    <t>A - REMUNERACIONES</t>
  </si>
  <si>
    <t>VALOR BASICO</t>
  </si>
  <si>
    <t xml:space="preserve">PARTICIP % </t>
  </si>
  <si>
    <t>IVA</t>
  </si>
  <si>
    <t>IR</t>
  </si>
  <si>
    <t>V. MENSUAL</t>
  </si>
  <si>
    <t>JEFE DE OBRA</t>
  </si>
  <si>
    <t>INGENIERO CIVIL RESIDENTE 1</t>
  </si>
  <si>
    <t>ARQUITECTO RESIDENTE 2</t>
  </si>
  <si>
    <t>INGENIERO ELECTRICO</t>
  </si>
  <si>
    <t>INGENIERO ESTRUCTURALISTA</t>
  </si>
  <si>
    <t>INGENIERO HIDROSANITARIO</t>
  </si>
  <si>
    <t>A 2.- AREA DE APOYO</t>
  </si>
  <si>
    <t>BODEGUERO</t>
  </si>
  <si>
    <t>JEFE DE CALIDAD</t>
  </si>
  <si>
    <t>DIBUJANTE</t>
  </si>
  <si>
    <t>ASISTENTE SEGUIMIENTO Y CONTROL</t>
  </si>
  <si>
    <t>TOPOGRAFO</t>
  </si>
  <si>
    <t>A 3.- AREA LEGAL Y RR HH</t>
  </si>
  <si>
    <t>ABOGADO EXTERNO</t>
  </si>
  <si>
    <t>ASISTENTE TRAMITES MUNICIPALES</t>
  </si>
  <si>
    <t>B - OPERACION</t>
  </si>
  <si>
    <t>B - 1.- LOCALIZACION</t>
  </si>
  <si>
    <t>BASICO</t>
  </si>
  <si>
    <t>PARTICIP %</t>
  </si>
  <si>
    <t>ARRENDAMIENTO DE LOCALES</t>
  </si>
  <si>
    <t>CONDOMINIOS</t>
  </si>
  <si>
    <t>BODEGAS DE OBRA</t>
  </si>
  <si>
    <t>OFICINA DE OBRA</t>
  </si>
  <si>
    <t>CAMPAMENTOS</t>
  </si>
  <si>
    <t>MOVILIZACION DE OBRA</t>
  </si>
  <si>
    <t>ALIMENTACION P TECNICO</t>
  </si>
  <si>
    <t>ALOJAMIENTO P TECNICO</t>
  </si>
  <si>
    <t>MOVILIZACION DE EQUIPO</t>
  </si>
  <si>
    <t>MOVILIZACION INTERNA</t>
  </si>
  <si>
    <t>B - 2.- IMPLEMENTACION</t>
  </si>
  <si>
    <t>VALOR</t>
  </si>
  <si>
    <t>DEPRECIACION</t>
  </si>
  <si>
    <t>EQUIPOS DE OFICINA</t>
  </si>
  <si>
    <t>MUEBLES OFICINA</t>
  </si>
  <si>
    <t>SUMINISTROS DE OFICINA</t>
  </si>
  <si>
    <t>ARTICULOS DE LIMPIEZA</t>
  </si>
  <si>
    <t>CAFETERIA</t>
  </si>
  <si>
    <t>B - 3.- SERVICIOS</t>
  </si>
  <si>
    <t>ENERGIA ELECTRICA</t>
  </si>
  <si>
    <t>TELEFONIA FIJA</t>
  </si>
  <si>
    <t>TELEFONIA CELULAR</t>
  </si>
  <si>
    <t>RADIOCOMUNICACION</t>
  </si>
  <si>
    <t>SERVICIOS DE INTERNET</t>
  </si>
  <si>
    <t>ALARMA Y MONITOREO</t>
  </si>
  <si>
    <t>C - VARIOS</t>
  </si>
  <si>
    <t>C - 1.- SEGUROS</t>
  </si>
  <si>
    <t>SEGURO BUEN USO DE ANTICIPO</t>
  </si>
  <si>
    <t>SEGURO FIEL CUMPLIMIENTO DE CONTRATO</t>
  </si>
  <si>
    <t>PERITO AVALUADOR GARANTIA FISCA</t>
  </si>
  <si>
    <t>C - 2.- IMPLEMENTACION</t>
  </si>
  <si>
    <t>OFICINAS DE OBRA</t>
  </si>
  <si>
    <t>OFICINAS DE FISCALIZACION</t>
  </si>
  <si>
    <t>SERVICIOS HIGIENICOS OBRA</t>
  </si>
  <si>
    <t>IMPLEMENTACION DE VIAS DE ACCESO</t>
  </si>
  <si>
    <t>EQUIPO DE PROTECCION PERSONAL EPP</t>
  </si>
  <si>
    <t>ADQUISICION DE SOFTWARE</t>
  </si>
  <si>
    <t>MANTENIMIENTO DE SOFTWARE</t>
  </si>
  <si>
    <t>C - 3.- CONTRIBUCIONES</t>
  </si>
  <si>
    <t>COLEGIOS PROFESIONALES</t>
  </si>
  <si>
    <t>CAMARA DE LA CONSTRUCCION</t>
  </si>
  <si>
    <t>CAMARA DE COMERCIO</t>
  </si>
  <si>
    <t>PATENTES MUNICIPALES</t>
  </si>
  <si>
    <t>MINISTERIO DE TRABAJO</t>
  </si>
  <si>
    <t>SUPERINTENDENCIA DE COMPAÑIAS</t>
  </si>
  <si>
    <t>C - 4.- COSTOS PREPACION OFERTA</t>
  </si>
  <si>
    <t>MONTO SOLIC.</t>
  </si>
  <si>
    <t>% SOLICITADO</t>
  </si>
  <si>
    <t>PLAZO SOLIC.</t>
  </si>
  <si>
    <t>TAZA ANNUAL</t>
  </si>
  <si>
    <t>COSTO POLIZA</t>
  </si>
  <si>
    <t>SERIEDAD OFERTA</t>
  </si>
  <si>
    <t>FIEL CUMPLIMIENTO CONTRATO</t>
  </si>
  <si>
    <t>BUEN USO DE ANTICIPO</t>
  </si>
  <si>
    <t>DEBIDA EJEC. Y BUENA CALIDAD MAT.</t>
  </si>
  <si>
    <t>COSTOS DE PREPARACION DE OFERTA</t>
  </si>
  <si>
    <t>VIAJE INSPECCION</t>
  </si>
  <si>
    <t xml:space="preserve">PAPELERIA </t>
  </si>
  <si>
    <t>C - 5.- IMPUESTOS, CONTRIBUCIONES Y UTILIDADES</t>
  </si>
  <si>
    <t>MONTO</t>
  </si>
  <si>
    <t>ANUAL</t>
  </si>
  <si>
    <t>COSTOS DE OPERACIÓN OFICINA CENTRAL</t>
  </si>
  <si>
    <t>UTILIDAD SOBRE COSTOS DIRECTOS</t>
  </si>
  <si>
    <t>GASTOS CONTRACTUALES</t>
  </si>
  <si>
    <t>COSTOS FINANCIEROS</t>
  </si>
  <si>
    <t>ANTICIPO IR (2% /FACTURACION)</t>
  </si>
  <si>
    <t>CONTRIBUCION ESTADO Y TRABAJADORES</t>
  </si>
  <si>
    <t>COSTOS IMPREVISTOS (SOBRE C.DIRECTOS)</t>
  </si>
  <si>
    <t>GESTION EXTERNA</t>
  </si>
  <si>
    <t>CONSULTORIA BIM</t>
  </si>
  <si>
    <t>SUMATORIA TOTAL INDIRECTOS (A + B + C)</t>
  </si>
  <si>
    <t>SUMATORIA TOTAL % INDIRECTOS:</t>
  </si>
  <si>
    <t>VALOR MENSUAL ESTIMADO POR COSTOS INDIRECTOS DE CONTRUCCION:</t>
  </si>
  <si>
    <t>Atentamente</t>
  </si>
  <si>
    <t>HORUS CONSTRUCTORES Cia. Ltda:</t>
  </si>
  <si>
    <t>GERENTE GENERAL</t>
  </si>
  <si>
    <t>DIRECTOR TECNICO</t>
  </si>
  <si>
    <t>*</t>
  </si>
  <si>
    <t>Presupuesto que depende de la determinacion de cantidades finales de obra y de los analisis de precios unitarios a partir de especificaciones tecnicas</t>
  </si>
  <si>
    <t>FRANCESCO BORROMINI E 6 - 149 Y FLORENCIA</t>
  </si>
  <si>
    <t>URBANIZACION LA PRIMAVERA - CUMBAYA</t>
  </si>
  <si>
    <t>TELEFONOS: 02 6012225 / 09 83 45 11 59 / 09 99 03 52 42</t>
  </si>
  <si>
    <t>email:  cln.arquitectura@gmail.com / jvelawitt@gmail.com</t>
  </si>
  <si>
    <t>PROYECTO DE OBRAS:</t>
  </si>
  <si>
    <t>febrero de 2019</t>
  </si>
  <si>
    <t>COSTO MENSUAL ADMINISTRACION:</t>
  </si>
  <si>
    <t>COSTOS  (MENSUAL)</t>
  </si>
  <si>
    <t>COSTO ANUAL TOTAL:</t>
  </si>
  <si>
    <t>A 1.- AREA ADMINISTRATIVA</t>
  </si>
  <si>
    <t>COSTO ANUAL:</t>
  </si>
  <si>
    <t>ASISTENTE DE GERENCIA</t>
  </si>
  <si>
    <t>PRESIDENTE</t>
  </si>
  <si>
    <t>GERENTE FINANCIERO</t>
  </si>
  <si>
    <t>GERENTE TECNICO</t>
  </si>
  <si>
    <t xml:space="preserve">ASISTENTE RRHH </t>
  </si>
  <si>
    <t>ASISTENTE CONTABLE</t>
  </si>
  <si>
    <t>CONTADOR GENERAL</t>
  </si>
  <si>
    <t>MENSAJERO</t>
  </si>
  <si>
    <t>ARRIENDO OFICINA</t>
  </si>
  <si>
    <t>B - 2.- CONSUMIBLES</t>
  </si>
  <si>
    <t>SEGUROS DE SALUD</t>
  </si>
  <si>
    <t>SEGUROS DE VIDA Y JUBILACION</t>
  </si>
  <si>
    <t>C - 2.- CONTRIBUCIONES</t>
  </si>
  <si>
    <t>SUMATORIA TOTAL COSTOS (A + B + C)</t>
  </si>
  <si>
    <t>COSTOS DE OPERACIÓNEN CONSULTORIAS</t>
  </si>
  <si>
    <t>A 1.- AREA TECNICA CONSULTORIA</t>
  </si>
  <si>
    <t>ASISTENTE ESTRUCTURAL/DIBUJANTE</t>
  </si>
  <si>
    <t>ASISTENTE HIDROSANITARIO/DIBUJANTE</t>
  </si>
  <si>
    <t>ASISTENTE ARQUIT. URBAN./DIBUJANTE</t>
  </si>
  <si>
    <t>ASISTENTE ELECTRICO/DIBUJANTE</t>
  </si>
  <si>
    <t>ASISTENTE TOPOGRAFIA/DIBUJANTE</t>
  </si>
  <si>
    <t xml:space="preserve">ASISTENTE FINANCIERO </t>
  </si>
  <si>
    <t>ASISTENTE LEGAL</t>
  </si>
  <si>
    <t xml:space="preserve">MOVILIZACION </t>
  </si>
  <si>
    <t>C - 4.- PREPACION OFERTAS</t>
  </si>
  <si>
    <t>COSTOS INDIRECTOS CONSULTORIAS</t>
  </si>
  <si>
    <t>C - 1.- IMPLEMENTACION</t>
  </si>
  <si>
    <t>C - 2.- IMPUESTOS, CONTRIBUCIONES Y UTILIDADES</t>
  </si>
  <si>
    <t>Costos indirectos Oficina Administrativa</t>
  </si>
  <si>
    <t>INCIDENCIA</t>
  </si>
  <si>
    <t>COSTOS INDIRECTOS OBRAS</t>
  </si>
  <si>
    <t>TOTAL COSTOS INDIRECTOS</t>
  </si>
  <si>
    <t>Indirectos Consultorias</t>
  </si>
  <si>
    <t>Indirectos Administrativo</t>
  </si>
  <si>
    <t>Indirectos Obras</t>
  </si>
  <si>
    <t>Riesgo Técnico</t>
  </si>
  <si>
    <t>Riesgo de Gestión</t>
  </si>
  <si>
    <t>Riesgo Comercial</t>
  </si>
  <si>
    <t>Riesgo Externo</t>
  </si>
  <si>
    <t>Responsables</t>
  </si>
  <si>
    <t>Consultor de Planificación y Costos</t>
  </si>
  <si>
    <t>RIESGOS SEGÚN PRIORIDAD</t>
  </si>
  <si>
    <t>Categorizacion de riesgos Principales del Proyecto</t>
  </si>
  <si>
    <t>Riesgos Técnicos</t>
  </si>
  <si>
    <t xml:space="preserve">Riesgos de Gestión </t>
  </si>
  <si>
    <t>Riesgos Externos</t>
  </si>
  <si>
    <t>Origen del Riesgo</t>
  </si>
  <si>
    <t>1. Paralización de Obra</t>
  </si>
  <si>
    <t>2. Incrementos de los costos</t>
  </si>
  <si>
    <t>3. Incremento del tiempo de proyecto</t>
  </si>
  <si>
    <t>4. Multas contractuales</t>
  </si>
  <si>
    <t>5. Laboral</t>
  </si>
  <si>
    <t>6. Diseños Estructurales Ineficientes</t>
  </si>
  <si>
    <t>7. Proveedores</t>
  </si>
  <si>
    <t>Todas las fuentes de riesgo del proyecto</t>
  </si>
  <si>
    <t xml:space="preserve">Categoria del riesgo </t>
  </si>
  <si>
    <t>Id. Riesgo</t>
  </si>
  <si>
    <t>Riesgo</t>
  </si>
  <si>
    <t>Causa</t>
  </si>
  <si>
    <t>1. Riesgo Técnico</t>
  </si>
  <si>
    <t>Diseños estructurales, arquitectónicos deficientes y mal realizados</t>
  </si>
  <si>
    <t>Paralización de obra</t>
  </si>
  <si>
    <t>Accidente de grúa por sobrecargas al elevar cargas</t>
  </si>
  <si>
    <t>Materiales de pésima calidad</t>
  </si>
  <si>
    <t>Ensayos de laboratorio alterados de materiales utilizados</t>
  </si>
  <si>
    <t>Especificaciones técnicas obsoletas</t>
  </si>
  <si>
    <t>Incremento de los costos del proyecto</t>
  </si>
  <si>
    <t>Rubros no considerados</t>
  </si>
  <si>
    <t>Análisis de precios unitarios más realizados</t>
  </si>
  <si>
    <t>Bajos rendimientos de Mano de obra</t>
  </si>
  <si>
    <t>Falta de recursos</t>
  </si>
  <si>
    <t>Retraso en el cronograma de obra</t>
  </si>
  <si>
    <t>Materiales de baja calidad</t>
  </si>
  <si>
    <t>Actividades mal ejecutadas</t>
  </si>
  <si>
    <t>Falla en las dimensiones de construcción</t>
  </si>
  <si>
    <t>Laboral</t>
  </si>
  <si>
    <t>Accidentes laborales</t>
  </si>
  <si>
    <t>Caídas de altura al realizar actividades</t>
  </si>
  <si>
    <t>Volcamiento de grúa de carga</t>
  </si>
  <si>
    <t>Uso indebido de equipo de seguridad</t>
  </si>
  <si>
    <t>2. Riesgo de gestión</t>
  </si>
  <si>
    <t xml:space="preserve">Incumplimiento de las obligaciones </t>
  </si>
  <si>
    <t>Planilla de avance de obra adulteradas</t>
  </si>
  <si>
    <t>Falta de control del residente de obra</t>
  </si>
  <si>
    <t>Multas Contractuales</t>
  </si>
  <si>
    <t>Retrasos en el desarrollo de las actividades</t>
  </si>
  <si>
    <t>Presupuesto total mal considerado</t>
  </si>
  <si>
    <t>Proveedores incumplidos</t>
  </si>
  <si>
    <t>Retraso en ejecución de subcontratos para actividades externas</t>
  </si>
  <si>
    <t>Obras sin supervisión y control</t>
  </si>
  <si>
    <t>Retrasos en pagos y afiliación de los trabajadores</t>
  </si>
  <si>
    <t>Planillas de obra mal justificadas</t>
  </si>
  <si>
    <t>Retraso en la entrega de planos de obra</t>
  </si>
  <si>
    <t>Contrato y subcontratos mal hechos</t>
  </si>
  <si>
    <t>Mala comunicación y discrepancias entre fiscalizador, residente de obra y gerente de la empresa</t>
  </si>
  <si>
    <t>Cronograma valorado mal realizado</t>
  </si>
  <si>
    <t>Definición del alcance del contrato mal hecho sin consideración de los rubros no considerados</t>
  </si>
  <si>
    <t>Falta de supervisión para el uso de seguridad</t>
  </si>
  <si>
    <t>Falta de limpieza en la zona de construcción</t>
  </si>
  <si>
    <t>Falta de reglamentación para la supervisión</t>
  </si>
  <si>
    <t>Diseños</t>
  </si>
  <si>
    <t>Diseño de elementos estructurales sin la consideración de la normativa vigente</t>
  </si>
  <si>
    <t>Mal dimensionamiento de elementos estructurales</t>
  </si>
  <si>
    <t>Uso indebido de software para el diseño de elementos</t>
  </si>
  <si>
    <t>Complejidad de los paquetes de trabajo</t>
  </si>
  <si>
    <t>R43</t>
  </si>
  <si>
    <t>R44</t>
  </si>
  <si>
    <t>R45</t>
  </si>
  <si>
    <t>R46</t>
  </si>
  <si>
    <t>Baja supervisión de diseños</t>
  </si>
  <si>
    <t>Aprobación de planos sin una segunda supervisión profesional</t>
  </si>
  <si>
    <t>Proveedores</t>
  </si>
  <si>
    <t>Mala gestión de subcontratos</t>
  </si>
  <si>
    <t>Mala gestión de envió de material a la obra</t>
  </si>
  <si>
    <t>Equipos con mal funcionamiento durante la operación</t>
  </si>
  <si>
    <t>3. Riesgo Comercial</t>
  </si>
  <si>
    <t>Aumento del costo por incremento en el precio unitario de los materiales</t>
  </si>
  <si>
    <t>Mala organización con los proveedores de material y equipos</t>
  </si>
  <si>
    <t>Desfinanciamiento de los interesados</t>
  </si>
  <si>
    <t>Pago de planillas de avance de obra a destiempo</t>
  </si>
  <si>
    <t>Desembolso del anticipo para la construcción de obra gris a destiempo</t>
  </si>
  <si>
    <t>Aumento del costo de los materiales</t>
  </si>
  <si>
    <t>Material escaso</t>
  </si>
  <si>
    <t>4. Riesgo Externos</t>
  </si>
  <si>
    <t>R47</t>
  </si>
  <si>
    <t>R48</t>
  </si>
  <si>
    <t>R49</t>
  </si>
  <si>
    <t>R50</t>
  </si>
  <si>
    <t>R51</t>
  </si>
  <si>
    <t>R52</t>
  </si>
  <si>
    <t>R53</t>
  </si>
  <si>
    <t>R54</t>
  </si>
  <si>
    <t>R55</t>
  </si>
  <si>
    <t>R56</t>
  </si>
  <si>
    <t>R57</t>
  </si>
  <si>
    <t>R58</t>
  </si>
  <si>
    <t>Falta de financiamiento</t>
  </si>
  <si>
    <t>Cambios en las leyes municipales</t>
  </si>
  <si>
    <t>Falta de aprobaciones municipales y medio ambientales</t>
  </si>
  <si>
    <t>Condiciones climáticas extremas</t>
  </si>
  <si>
    <t>Mala calibración de programas y equipos</t>
  </si>
  <si>
    <t>Cambio de normativa vigente</t>
  </si>
  <si>
    <t>2. Lista de riesgos del proyecto</t>
  </si>
  <si>
    <t>Problemas con la toma de datos topográficos</t>
  </si>
  <si>
    <t>La metodología en la gestión de riesgos es de forma iterativa, al ser iterativa busca planificar, identificar, mitigar y tomar decisiones para reducir el impacto y la probabilidad del riesgo.</t>
  </si>
  <si>
    <t>xxxxxxxxxxxxxxxxxxxxxxxxxxxxxx</t>
  </si>
  <si>
    <r>
      <t xml:space="preserve">El proyecto manejara un control de riesgos proactivo, es decir que desde el inicio del proyecto se administrara y controlara en cada fase del proyecto los riesgos que existieran al realizar cada actividad. Para gestionar los riesgos se agrupa en 4 acciones las cuales son las siguientes: </t>
    </r>
    <r>
      <rPr>
        <b/>
        <sz val="8"/>
        <color theme="1"/>
        <rFont val="Calibri"/>
        <family val="2"/>
        <scheme val="minor"/>
      </rPr>
      <t>1. Evitar:</t>
    </r>
    <r>
      <rPr>
        <sz val="8"/>
        <color theme="1"/>
        <rFont val="Calibri"/>
        <family val="2"/>
        <scheme val="minor"/>
      </rPr>
      <t xml:space="preserve"> Se evitara todos los riesgos mediante el uso de dispositivos de alerta temprana.</t>
    </r>
    <r>
      <rPr>
        <b/>
        <sz val="8"/>
        <color theme="1"/>
        <rFont val="Calibri"/>
        <family val="2"/>
        <scheme val="minor"/>
      </rPr>
      <t xml:space="preserve">  2. Transferir</t>
    </r>
    <r>
      <rPr>
        <sz val="8"/>
        <color theme="1"/>
        <rFont val="Calibri"/>
        <family val="2"/>
        <scheme val="minor"/>
      </rPr>
      <t xml:space="preserve">: Transferir la gestión de riesgos a profesionales que lleven de manera mas delicada cada proceso y mitiguen de mejor manera los riesgos. </t>
    </r>
    <r>
      <rPr>
        <b/>
        <sz val="8"/>
        <color theme="1"/>
        <rFont val="Calibri"/>
        <family val="2"/>
        <scheme val="minor"/>
      </rPr>
      <t xml:space="preserve"> 3. Mitigar:</t>
    </r>
    <r>
      <rPr>
        <sz val="8"/>
        <color theme="1"/>
        <rFont val="Calibri"/>
        <family val="2"/>
        <scheme val="minor"/>
      </rPr>
      <t xml:space="preserve"> Mitigar los riesgos se refiere a ejecutar acciones que reduzcan el impacto de los riesgos presentes en las actividades. para mitigar los riesgos tenemos dos tipos de acciones que son las siguientes:</t>
    </r>
    <r>
      <rPr>
        <b/>
        <sz val="8"/>
        <color theme="1"/>
        <rFont val="Calibri"/>
        <family val="2"/>
        <scheme val="minor"/>
      </rPr>
      <t xml:space="preserve">  3.1. Acciones Preventivas:</t>
    </r>
    <r>
      <rPr>
        <sz val="8"/>
        <color theme="1"/>
        <rFont val="Calibri"/>
        <family val="2"/>
        <scheme val="minor"/>
      </rPr>
      <t xml:space="preserve"> Se tomaran en cuenta dentro de la estructura de desglose de trabajo y en la gestión de costos del proyecto, para que el impacto sea menor al esperado.</t>
    </r>
    <r>
      <rPr>
        <b/>
        <sz val="8"/>
        <color theme="1"/>
        <rFont val="Calibri"/>
        <family val="2"/>
        <scheme val="minor"/>
      </rPr>
      <t xml:space="preserve"> 3.2. Acciones Correctivas</t>
    </r>
    <r>
      <rPr>
        <sz val="8"/>
        <color theme="1"/>
        <rFont val="Calibri"/>
        <family val="2"/>
        <scheme val="minor"/>
      </rPr>
      <t>: El objetivo de las acciones correctivas es llegar nuevamente a la línea base del proyecto es decir que no haya ninguna alteración en el alcance del proyecto y que su costo no aumente por los riesgos presentados, por tal motivo dentro de las acciones preventivas se considera todos las posibilidades de ocurrencia de un riesgo.</t>
    </r>
    <r>
      <rPr>
        <b/>
        <sz val="8"/>
        <color theme="1"/>
        <rFont val="Calibri"/>
        <family val="2"/>
        <scheme val="minor"/>
      </rPr>
      <t xml:space="preserve"> 4. Aceptar: </t>
    </r>
    <r>
      <rPr>
        <sz val="8"/>
        <color theme="1"/>
        <rFont val="Calibri"/>
        <family val="2"/>
        <scheme val="minor"/>
      </rPr>
      <t>Se gestión los riesgos con mayor ocurrencia e impacto dentro del proyecto y que los cambios que realizaron al proyecto estén dentro del margen de contingencias del proyecto previstos en la gestión del alcance.</t>
    </r>
  </si>
  <si>
    <t>Ing. Karla Tapia MSc</t>
  </si>
  <si>
    <t>Por definir</t>
  </si>
  <si>
    <t>1.  Procesos para la definición del Enunciado del Alcance del Proyecto</t>
  </si>
  <si>
    <t>2. Procesos para la elaboracion del EDT / WBS</t>
  </si>
  <si>
    <t>3. Procesos para la elaboración del Diccionario del EDT /WBS</t>
  </si>
  <si>
    <t>4. Procesos para la Validación del Alcance</t>
  </si>
  <si>
    <t>5. Procesos para el Control del Alcance</t>
  </si>
  <si>
    <t>6. Procesos para la Gestión de Cambios en el alcance del Proyecto</t>
  </si>
  <si>
    <t>Cambio de tipo de cimentación de la torre E edificio Sierra del Bosque</t>
  </si>
  <si>
    <t>Incremento en el presupuesto por cambio de cimentación, es decir si la cimentación crece se incrementa la cantidad de materiales utilizados.</t>
  </si>
  <si>
    <t>Incremento en el cronograma por ser obras que implementan mucho tiempo por ser elementos primordiales para la superestructura.</t>
  </si>
  <si>
    <t>Existe la probabilidad que con la nueva cimentación se necesite de mayores estudios de suelos para el cambio.</t>
  </si>
  <si>
    <t>Darío Alejandro Alquinga</t>
  </si>
  <si>
    <t>Si el cambio no se realiza las cargas que existen por el cambio de tipo de habitabilidad en ciertos pisos aumenta considerablemente, perjudicando al tipo de zapata utilizada en la planificación. Lo que conllevaría a un incremento en el costo, aumento en el cronograma de obra y en el alcance del proyecto.</t>
  </si>
  <si>
    <t>Aumento de nuevas condiciones y consideraciones en el alcance del  proyecto, es decir, se necesita evaluar que nuevos riesgos existiría al cambiar el tipo de cimentación.</t>
  </si>
  <si>
    <t>Mejorar el control de los materiales a utilizar por ser elementos estructurales de mayores dimensiones y fundamentales para la superestructura.</t>
  </si>
  <si>
    <t>Los interesados evalúan el incremento en el costo para decidir si es viable y beneficioso el cambio en el proyecto.</t>
  </si>
  <si>
    <t>Cambio en los planos estructurales, arquitectónicos, eléctricos e hidrosanitarios, por cambiar la ubicación y las dimensiones.</t>
  </si>
  <si>
    <t>Ing. Fernando Velandia, Gerente y promotor del proyecto</t>
  </si>
  <si>
    <t>Justificación de la Aprobación o rechazo del cambio:</t>
  </si>
  <si>
    <t xml:space="preserve"> Código Interno de la Empresa </t>
  </si>
  <si>
    <t> Manual de Seguridad Industrial y Salud Ocupacional</t>
  </si>
  <si>
    <t>Calle. José Raygada y Alonso de Torres, frente al Colegio Intisana, Sector El Bosque</t>
  </si>
  <si>
    <t>2.1. Cumplimiento de los términos de referencia estipulados en el contrato de construcción.</t>
  </si>
  <si>
    <t>2.3. Cumplimiento de los estándares de calidad</t>
  </si>
  <si>
    <t>El contratista se obliga a ejecutar, terminar y entregar a entera satisfacción " la construcción del proyecto habitacional Sierra del Bosque", con la entrega de los distintos entregables planos, especificaciones técnicas, anexos, condiciones generales de contratos, solicitudes de cambio y además documentos contractuales.</t>
  </si>
  <si>
    <t>1. Las limitaciones dentro de la ejecución del proyecto son:</t>
  </si>
  <si>
    <t>1.1. Se dispondrá de un plazo de trecientos sesenta y cinco días (365) para la finalización de los trabajos para el primer bloque de departamentos.</t>
  </si>
  <si>
    <t>1. Plazo de ejecución: 365 días desde el desembolso del anticipo.</t>
  </si>
  <si>
    <t>2. Garantías:</t>
  </si>
  <si>
    <t>2.3. Garantías técnicas</t>
  </si>
  <si>
    <t>3.1. Garantía de fiel cumplimiento del contrato</t>
  </si>
  <si>
    <t>3.2. Garantía del buen uso del anticipo</t>
  </si>
  <si>
    <t>3.3. Garantía técnica</t>
  </si>
  <si>
    <t xml:space="preserve">            2.3. NEC - SE - HM (Estructuras de Hormigón Armado)</t>
  </si>
  <si>
    <t xml:space="preserve">            2.4. NEC - SE -GC ( Geotecnia y Cimentaciones)</t>
  </si>
  <si>
    <t>1.1. Informes de avance del Proyecto con su respectiva planilla de avance de obra</t>
  </si>
  <si>
    <t>2.1. Informe de cumplimiento del plan de dirección del proyecto</t>
  </si>
  <si>
    <t>2.2. Solicitudes de cambio a la línea base del alcance</t>
  </si>
  <si>
    <t>2.3. Solicitudes de cambio a la línea base de costos</t>
  </si>
  <si>
    <t>2.4. Solicitudes de cambio a la línea base del Cronograma</t>
  </si>
  <si>
    <t xml:space="preserve">3. Informes mensuales de conformidad por parte de fiscalización </t>
  </si>
  <si>
    <t>2. Generación de ambientes toxicos, invasivos y/o perjudiaciales para los obreros como: polvo, excesivo ruido, mal uso de productos nocivos, ect.</t>
  </si>
  <si>
    <t>EDIFICIO RUBICON</t>
  </si>
  <si>
    <t>No. 2019-09</t>
  </si>
  <si>
    <t>PARA:</t>
  </si>
  <si>
    <t>Dr. Fernando Salazar</t>
  </si>
  <si>
    <t>Enero 19 de 2019</t>
  </si>
  <si>
    <t>SOLICITADO POR:</t>
  </si>
  <si>
    <t>Sr. Fernando Páez</t>
  </si>
  <si>
    <t>Cel.: 09 99 49 70 28</t>
  </si>
  <si>
    <t>Referencia:</t>
  </si>
  <si>
    <t>TUMBACO - LOS AROMITOS</t>
  </si>
  <si>
    <t>PREPARADO POR:</t>
  </si>
  <si>
    <t>ELABORACION:                                                   CRLN</t>
  </si>
  <si>
    <t>APROBACION:                               JVW</t>
  </si>
  <si>
    <t>APROBACION 2:                    CLIENTE</t>
  </si>
  <si>
    <t>OK No.</t>
  </si>
  <si>
    <t>P. UNITARO</t>
  </si>
  <si>
    <t>Factor</t>
  </si>
  <si>
    <t>EDIFICIOS</t>
  </si>
  <si>
    <t>GRAN TOTAL:</t>
  </si>
  <si>
    <t>IVA:</t>
  </si>
  <si>
    <t xml:space="preserve">Son: </t>
  </si>
  <si>
    <t>CUARENTA Y CUATRO MIL SETECIENTOS CUARETNE Y TRES US Dolares 42/100</t>
  </si>
  <si>
    <t>P. total</t>
  </si>
  <si>
    <t>Total Estudios</t>
  </si>
  <si>
    <t>Presupuesto de Estudios</t>
  </si>
  <si>
    <t>Indirectos Estudios</t>
  </si>
  <si>
    <t>consultorias</t>
  </si>
  <si>
    <t>Administrativo</t>
  </si>
  <si>
    <t>Obras</t>
  </si>
  <si>
    <t>Estudios</t>
  </si>
  <si>
    <t>Resumen Total de costos Indirectos</t>
  </si>
  <si>
    <t>Costos ($)</t>
  </si>
  <si>
    <t>Resumen Costos Proyecto</t>
  </si>
  <si>
    <t>Análisis Global Costos Directos</t>
  </si>
  <si>
    <t>Obra Gris</t>
  </si>
  <si>
    <t>Eléctricos</t>
  </si>
  <si>
    <t>Acabados</t>
  </si>
  <si>
    <t>INCIDENCIA (%)</t>
  </si>
  <si>
    <t>Área Técnica</t>
  </si>
  <si>
    <t>Localización</t>
  </si>
  <si>
    <t>Varios</t>
  </si>
  <si>
    <t>Desarrollo de construcción digital 3d</t>
  </si>
  <si>
    <t>Desarrollo de ingeniería estructural</t>
  </si>
  <si>
    <t>Desarrollo de ingeniería eléctrica datos tv internet porteros etc.</t>
  </si>
  <si>
    <t>Desarrollo de ingeniería hidráulica ap./incendios</t>
  </si>
  <si>
    <t>Desarrollo de ingeniería sanitaria/pluvial</t>
  </si>
  <si>
    <t>Desarrollo de ingeniería domótica</t>
  </si>
  <si>
    <t>Determinación de volúmenes de construcción</t>
  </si>
  <si>
    <t>Análisis de precios unitarios y presupuesto</t>
  </si>
  <si>
    <t>Cronogramas de inversiones</t>
  </si>
  <si>
    <t>Estudio factibilidad legal</t>
  </si>
  <si>
    <t>Estudio factibilidad financiera</t>
  </si>
  <si>
    <t>CRONOGRAMA VALORADO DE TRABAJOS</t>
  </si>
  <si>
    <t>OBRA: SIERRA DEL BOSQUE</t>
  </si>
  <si>
    <t>CODIGO</t>
  </si>
  <si>
    <t>DESCRIPCION</t>
  </si>
  <si>
    <t>P.UNITARIO</t>
  </si>
  <si>
    <t>Mes  1</t>
  </si>
  <si>
    <t>Mes  2</t>
  </si>
  <si>
    <t>Mes  3</t>
  </si>
  <si>
    <t>Mes  4</t>
  </si>
  <si>
    <t>Mes  5</t>
  </si>
  <si>
    <t>Mes  6</t>
  </si>
  <si>
    <t>Mes  7</t>
  </si>
  <si>
    <t>Mes  8</t>
  </si>
  <si>
    <t>Mes  9</t>
  </si>
  <si>
    <t>Mes  10</t>
  </si>
  <si>
    <t>Mes  11</t>
  </si>
  <si>
    <t>Mes  12</t>
  </si>
  <si>
    <t>Mes  13</t>
  </si>
  <si>
    <t>Mes  14</t>
  </si>
  <si>
    <t>Mes  15</t>
  </si>
  <si>
    <t>OBRAS PRELIMINARES</t>
  </si>
  <si>
    <t>Cerramiento provisional</t>
  </si>
  <si>
    <t>Construcción de Bodegas</t>
  </si>
  <si>
    <t>Construcción de Guardianía</t>
  </si>
  <si>
    <t>Construcción Vestidores trabajadores</t>
  </si>
  <si>
    <t>Adecuación de Oficina personal Técnico</t>
  </si>
  <si>
    <t xml:space="preserve">Construcción de Servicio Higienicos </t>
  </si>
  <si>
    <t>Instalacion de sistema de alarma y camaras de seguridad</t>
  </si>
  <si>
    <t>Guardiania 24/7 durante el tiempo de ejcucion 2200 $ mes</t>
  </si>
  <si>
    <t>mes</t>
  </si>
  <si>
    <t>Microproyecto Electrico trifasico</t>
  </si>
  <si>
    <t>Alimentación de agua potable</t>
  </si>
  <si>
    <t>Consumo Telefónico</t>
  </si>
  <si>
    <t>Consumo Energia electrica</t>
  </si>
  <si>
    <t>Consumo de agua potable</t>
  </si>
  <si>
    <t>Montaje y desmontaje de torre grua</t>
  </si>
  <si>
    <t>Arrendamiento de Torre Grua</t>
  </si>
  <si>
    <t>Rotulación y Señalización</t>
  </si>
  <si>
    <t>Capacitaciones de Seguridad Industrial general, manual y plan de seguridad.</t>
  </si>
  <si>
    <t>Protecciones Colectivas y Seguridad General</t>
  </si>
  <si>
    <t>Equipo de Emergencia y Botiquin</t>
  </si>
  <si>
    <t>MOVIMIENTO DE TIERRAS</t>
  </si>
  <si>
    <t>Replanteo y nivelación sobre el terreno</t>
  </si>
  <si>
    <t>Replanteo y nivelación interiores</t>
  </si>
  <si>
    <t>Excavación a máquina</t>
  </si>
  <si>
    <t>Derrocamiento estructura existente a maquina</t>
  </si>
  <si>
    <t>gl</t>
  </si>
  <si>
    <t>Derrocamiento estructura existente a mano</t>
  </si>
  <si>
    <t>Conformacion de Subrasante a mano</t>
  </si>
  <si>
    <t>Mejoramiento de suelo subbase clase 3 e=0.20m SUBSUELO INC NIVELACION</t>
  </si>
  <si>
    <t>Excavación manual de cimientos, plintos y cisterna</t>
  </si>
  <si>
    <t>Perfilado de Taludes a mano</t>
  </si>
  <si>
    <t>Desalojo de escombros y tierra</t>
  </si>
  <si>
    <t>Entibado y proteccion de taludes</t>
  </si>
  <si>
    <t>ESTRUCTURA EN HORMIGON</t>
  </si>
  <si>
    <t>Hormigon Replantillo f`c = 140 Kg/cm2 e = 5 cm</t>
  </si>
  <si>
    <t>Plástico reprocesado 7 micras en cimentacion, contraPiso, Muros</t>
  </si>
  <si>
    <t>Relleno compactado con material de excavacion</t>
  </si>
  <si>
    <t>Hormigón Proyectado en muros ancladosf'c=280kgcm2 9.5mm-6cm28d</t>
  </si>
  <si>
    <t xml:space="preserve">Acero de refuerzo en muros  Fy = 4200 Kg/cm2 </t>
  </si>
  <si>
    <t>kg</t>
  </si>
  <si>
    <t>Anclaje p/muros claveteados Inc perforacion manual, varilla 25mm, mortero expansivo</t>
  </si>
  <si>
    <t>Encofrado / Desencofrado laterales de vigas y cadenas de cimentacion</t>
  </si>
  <si>
    <t>Acero de refuerzo en cimentacion Fy = 4200 Kg/cm2</t>
  </si>
  <si>
    <t>Hormigón en vigas de cimentacion y cadenas f'c=280kgcm2 N-1.40</t>
  </si>
  <si>
    <t xml:space="preserve">Acero de refuerzo en columnas y diafragmas Fy = 4200 Kg/cm2 </t>
  </si>
  <si>
    <t>Encofrado / Desencofrado columnas y diafragmas</t>
  </si>
  <si>
    <t xml:space="preserve">Hormigón  de columnas y diafragmas f'c=280kgcm2 </t>
  </si>
  <si>
    <t>Encofrado / Desencofrado  de losa</t>
  </si>
  <si>
    <t>Acero de refuerzo en losa Fy = 4200 Kg/cm2</t>
  </si>
  <si>
    <t xml:space="preserve">Hormigón en losa f'c=280kgcm2 </t>
  </si>
  <si>
    <t>Malla Electrooldada 8.15 Losas Inferiores ( FI 8C/.15) Fy= 5000 Kg/cm2</t>
  </si>
  <si>
    <t>Kg</t>
  </si>
  <si>
    <t>Malla Electrooldada 6.15 Losas Apart ( FI 6C/.15) Fy= 5000 Kg/cm2</t>
  </si>
  <si>
    <t>Separadores de  malla electrosoldada</t>
  </si>
  <si>
    <t>Malla Electrooldada 6.15 Muros Portantes ( FI 6C/.15) Fy= 5000 Kg/cm2</t>
  </si>
  <si>
    <t>Acero de Refuerzo en Paredes portantes</t>
  </si>
  <si>
    <t>Encofrado / Desencofrado Paredes hormigon</t>
  </si>
  <si>
    <t xml:space="preserve">Hormigon f´c = 280 Kg/cm2 en paredes Portantes </t>
  </si>
  <si>
    <t>Hormigon f´c = 210 Kg/cm2 en Contrapisos</t>
  </si>
  <si>
    <t>Malla electrosoldada en Contrapisos 15.6mm</t>
  </si>
  <si>
    <t>PISOS Y ENTREPISOS</t>
  </si>
  <si>
    <t>Alisado de pisos  con endurecedor 3 Kg/m2</t>
  </si>
  <si>
    <t>Masillado de pisos e prom. =3.0 cm losas y pavimentos</t>
  </si>
  <si>
    <t xml:space="preserve">Masillado losas de cubierta e prom. = 3.0 cm con impermeabilizante </t>
  </si>
  <si>
    <t>Mampostería bloque vibroprensado 0,10</t>
  </si>
  <si>
    <t>Mampostería bloque vibroprensado 0,15</t>
  </si>
  <si>
    <t>Mampostería bloque vibroprensado 0,20</t>
  </si>
  <si>
    <t xml:space="preserve">Medias cañas filos y fajas </t>
  </si>
  <si>
    <t xml:space="preserve">Enlucido vertical exterior </t>
  </si>
  <si>
    <t>Piso flotante Con Barredera</t>
  </si>
  <si>
    <t>Fachaleta de Gress tipo colombiana</t>
  </si>
  <si>
    <t>Puerta  P1 principal Solida MDF Lacada</t>
  </si>
  <si>
    <t xml:space="preserve">Cerradura puerta principal electronica  </t>
  </si>
  <si>
    <t>Puerta P8 Al + VIDRIO 6 mm salida a Patios / Balcones</t>
  </si>
  <si>
    <t>Mampara Corrediza en Salidas a Balcones A-B</t>
  </si>
  <si>
    <t xml:space="preserve">Ventana tipo 9 Corrediza p/Dormitorio </t>
  </si>
  <si>
    <t xml:space="preserve">Ventanas tipo 1-2 Fija / Proyectable A-B </t>
  </si>
  <si>
    <t>Ventana tipo 3 Baño Corrediza</t>
  </si>
  <si>
    <t>Ventana tipo 4 Cocina Corrediza</t>
  </si>
  <si>
    <t>Ventana tipo 5 Lavanderia Fija / Corrediza</t>
  </si>
  <si>
    <t>Ventana tipo 10 Corredor Fija Esmerilada</t>
  </si>
  <si>
    <t>Ascensores 8 personas</t>
  </si>
  <si>
    <t>SALIDA LUMINARIA AREAS COMUNALES</t>
  </si>
  <si>
    <t>SALIDA LUMINARIA DEPARTAMENTOS</t>
  </si>
  <si>
    <t>SALIDA PULSADOR DE TIMBRE</t>
  </si>
  <si>
    <t>SALIDA PUNTO TOMACORRIENTE PARQUEOS</t>
  </si>
  <si>
    <t>SALIDA PUNTO TOMACORRIENTE NORMAL DEPARTAMENTOS</t>
  </si>
  <si>
    <t>SALIDA PUNTO EXTRACTOR OLORES COCINA</t>
  </si>
  <si>
    <t>SALIDA PUNTO LAVADORA</t>
  </si>
  <si>
    <t>SALIDA PUNTO SECADORA</t>
  </si>
  <si>
    <t>SALIDA PUNTO TANQUE CALENTADOR</t>
  </si>
  <si>
    <t>SALIDA PUNTO HORNO</t>
  </si>
  <si>
    <t>SALIDA PUNTO COCINA INDUCCIÓN</t>
  </si>
  <si>
    <t>TELEFONIA</t>
  </si>
  <si>
    <t>PORTEROS-TVCABLE</t>
  </si>
  <si>
    <t>SALIDA PARA PORTERO ELECTRICO</t>
  </si>
  <si>
    <t>SALIDA PARA CONEXIÓN TV CABLE</t>
  </si>
  <si>
    <t>CAMARA DE TRANSFORMACION</t>
  </si>
  <si>
    <t xml:space="preserve">OBRA CIVIL PARA TRANSFORMADOR / GENERADOR </t>
  </si>
  <si>
    <t>Partida a Transformador 125 KVA 6300/220/127 - INATRA</t>
  </si>
  <si>
    <t>C/U</t>
  </si>
  <si>
    <t>PARTIDA B EQUIPOS DE PROTECCION Y SECCIONAMIENTO</t>
  </si>
  <si>
    <t>PARTIDA C CONDUCTORES DESNUDOS</t>
  </si>
  <si>
    <t>PARTIDA D CONDUCTORES AISLADOS Y ACCESORIOS</t>
  </si>
  <si>
    <t>PARTIDA E MATERIALES DE PUESTA A TIERRA</t>
  </si>
  <si>
    <t>PARTIDA F HERRAJES Y ANCLAJES METALICOS</t>
  </si>
  <si>
    <t>PARTIDA G ACOMETIDA TRIFASICA DE B.T. A TGM</t>
  </si>
  <si>
    <t>PARTIDA H MATERIALES DE AISLAMIENTO, PUNTAS Y CINTAS</t>
  </si>
  <si>
    <t>PARTIDA MISCELANEOS</t>
  </si>
  <si>
    <t>TOTAL MANO DE OBRA</t>
  </si>
  <si>
    <t>ALQUILER DE GRUA Y TRANSPORTE</t>
  </si>
  <si>
    <t>TRAMITE PARA APROBACION Y RECEPCION E INDIRECTOS</t>
  </si>
  <si>
    <t>GENERADOR 125 KVA</t>
  </si>
  <si>
    <t>Generador Trifasico 125 KVA / transferencia automatica, baterias, precalentador, Tubo de escape y conductores aislados</t>
  </si>
  <si>
    <t>PUNTO AGUA POTABLE 1/2" Cu</t>
  </si>
  <si>
    <t>PUNTO AGUA POTABLE 1/2" PVC R</t>
  </si>
  <si>
    <t>PUNTO AGUA POTABLE PVC R 3/4"</t>
  </si>
  <si>
    <t>TUBERÍA  AGUA POTABLE 1/2" Cu</t>
  </si>
  <si>
    <t>TUBERÍA  AGUA POTABLE 1/2" PVC R</t>
  </si>
  <si>
    <t>TUBERÍA  AGUA POTABLE PVC R 3/4"</t>
  </si>
  <si>
    <t>TUBERÍA  PVC Roscable 1"</t>
  </si>
  <si>
    <t>TUBERÍA  PVC Roscable 2"</t>
  </si>
  <si>
    <t>TUBERÍA  PVC Roscable 3"</t>
  </si>
  <si>
    <t>VÁLVULA  PASO 1/2"</t>
  </si>
  <si>
    <t>VÁLVULA  PASO 3/4"</t>
  </si>
  <si>
    <t>VÁLVULA  PASO 1"</t>
  </si>
  <si>
    <t>VÁLVULA  PASO 2.1/2"</t>
  </si>
  <si>
    <t>VÁLVULA  CHECK 1/2"</t>
  </si>
  <si>
    <t>VÁLVULA  CHECK 3/4"</t>
  </si>
  <si>
    <t>VÁLVULA  CHECK 2.1/2"</t>
  </si>
  <si>
    <t>MEDIDOR ELECTROMAGNETICO 2"</t>
  </si>
  <si>
    <t>BYPASS 2""</t>
  </si>
  <si>
    <t>VÁLVULA DE FLOTADOR 1.1/2"</t>
  </si>
  <si>
    <t>LLAVES DE MANGUERA 1/2"</t>
  </si>
  <si>
    <t>SOPORTE ANGULO DE ACERO CALENTADOR</t>
  </si>
  <si>
    <t>SOPORTE PARA TUBERIA PVC</t>
  </si>
  <si>
    <t>PUNTO PVCD 50 mm</t>
  </si>
  <si>
    <t>PUNTO PVCD 75 mm</t>
  </si>
  <si>
    <t>PUNTO PVCD 110 mm</t>
  </si>
  <si>
    <t>TUBERÍA PVCD 50 mm</t>
  </si>
  <si>
    <t>TUBERÍA PVCD 75 mm</t>
  </si>
  <si>
    <t>TUBERÍA PVCD 110 mm</t>
  </si>
  <si>
    <t>TUBERÍA PVCD 160 mm</t>
  </si>
  <si>
    <t>TAPÓN REGISTRO PVCD 75 mm</t>
  </si>
  <si>
    <t>TAPÓN REGISTRO PVCD 110 mm</t>
  </si>
  <si>
    <t>TAPÓN REGISTRO PVCD 160 mm</t>
  </si>
  <si>
    <t>PUNTO PVCV 50 mm</t>
  </si>
  <si>
    <t>PUNTO PVCV 75 mm</t>
  </si>
  <si>
    <t>TUBERÍA PVCV 50 mm</t>
  </si>
  <si>
    <t>TUBERÍA PVCV 75 mm</t>
  </si>
  <si>
    <t>TUBERÍA PVCV 110 mm</t>
  </si>
  <si>
    <t>CAJAS DE REVISION CON TAPA</t>
  </si>
  <si>
    <t>TUBERÍA  1"</t>
  </si>
  <si>
    <t>TUBERÍA  1.1/4"</t>
  </si>
  <si>
    <t>TUBERÍA  1.1/2"</t>
  </si>
  <si>
    <t>TUBERÍA  2"</t>
  </si>
  <si>
    <t>TUBERÍA  2.1/2"</t>
  </si>
  <si>
    <t>TUBERÍA  3"</t>
  </si>
  <si>
    <t>TUBERÍA  4"</t>
  </si>
  <si>
    <t>VÁLVULA INDICADORA DE FLUJO 3"</t>
  </si>
  <si>
    <t>SENSOR DE FLUJO 3"</t>
  </si>
  <si>
    <t>TOMA SIAMESA</t>
  </si>
  <si>
    <t>ROCIADORES</t>
  </si>
  <si>
    <t>GABINETE CONTRA INCENDIOS</t>
  </si>
  <si>
    <t>BANCO DE DRENAJE</t>
  </si>
  <si>
    <t>SOPORTE PARA TUBERIA HG</t>
  </si>
  <si>
    <t>MONTO PARCIAL</t>
  </si>
  <si>
    <t>PORCENTAJE PARCIAL</t>
  </si>
  <si>
    <t>MONTO ACUMULADO</t>
  </si>
  <si>
    <t>PORCENTAJE ACUMULADO</t>
  </si>
  <si>
    <t>CRONOGRAMA DE EJECUCIÓN  DE TRABAJOS DEL PROYECTO SIERRA DEL BOSQUE</t>
  </si>
  <si>
    <t>Mes  0</t>
  </si>
  <si>
    <t>CONSULTORIAS</t>
  </si>
  <si>
    <t>ADMINISTRATIVO</t>
  </si>
  <si>
    <t>TERRENO</t>
  </si>
  <si>
    <t>Parcial</t>
  </si>
  <si>
    <t>Acumulado</t>
  </si>
  <si>
    <t>IND OBRAS</t>
  </si>
  <si>
    <t>ESTUDIOS</t>
  </si>
  <si>
    <t>PARCIAL</t>
  </si>
  <si>
    <t>administrativas</t>
  </si>
  <si>
    <t>total indirectos</t>
  </si>
  <si>
    <t>Indirectos Parcial</t>
  </si>
  <si>
    <t xml:space="preserve">Mes 0 </t>
  </si>
  <si>
    <t>Mes 1</t>
  </si>
  <si>
    <t>Mes 2</t>
  </si>
  <si>
    <t>Mes 3</t>
  </si>
  <si>
    <t>Mes 4</t>
  </si>
  <si>
    <t>Mes 5</t>
  </si>
  <si>
    <t>Mes 6</t>
  </si>
  <si>
    <t>Mes 7</t>
  </si>
  <si>
    <t>Mes 8</t>
  </si>
  <si>
    <t>Mes 9</t>
  </si>
  <si>
    <t>Mes 10</t>
  </si>
  <si>
    <t>Mes 11</t>
  </si>
  <si>
    <t>Mes 12</t>
  </si>
  <si>
    <t>Mes 13</t>
  </si>
  <si>
    <t>Mes 14</t>
  </si>
  <si>
    <t>Mes 15</t>
  </si>
  <si>
    <t>Mes 0</t>
  </si>
  <si>
    <t xml:space="preserve">Impacto </t>
  </si>
  <si>
    <t>Calificación Probabilidad</t>
  </si>
  <si>
    <t>Calificación Impacto</t>
  </si>
  <si>
    <t>Calificación de Riesgo</t>
  </si>
  <si>
    <t>Muy baja</t>
  </si>
  <si>
    <t>Mediana</t>
  </si>
  <si>
    <t>Análisis de precios unitarios mal realizados</t>
  </si>
  <si>
    <t xml:space="preserve">Mediana </t>
  </si>
  <si>
    <t>Materiales no adecuados para la cosntrucción</t>
  </si>
  <si>
    <t>Lesiones de los trabajadores por volcamiento de grúa de carga</t>
  </si>
  <si>
    <t>Muy Bajo</t>
  </si>
  <si>
    <t xml:space="preserve">Bajo </t>
  </si>
  <si>
    <t>Incumplimiento de las obligaciones contractuales</t>
  </si>
  <si>
    <t xml:space="preserve"> Moderado</t>
  </si>
  <si>
    <t>bajo</t>
  </si>
  <si>
    <t>Mala gestión de subcontratos de materiales</t>
  </si>
  <si>
    <t xml:space="preserve"> Muy bajo</t>
  </si>
  <si>
    <t>Evitar</t>
  </si>
  <si>
    <t>Transferir</t>
  </si>
  <si>
    <t>Mitigar</t>
  </si>
  <si>
    <t>Acción - Respuesta</t>
  </si>
  <si>
    <t>Aceptar el riesgo</t>
  </si>
  <si>
    <t>2. Tipo de Cambio Requerido para la acción requerida</t>
  </si>
  <si>
    <t>3. Acciones de mitigación requeridas (antes de su materialización)</t>
  </si>
  <si>
    <t>4. Acciones de contingencia requeridas (después de su materialización)</t>
  </si>
  <si>
    <t>5. Modificaciones o Nuevos Riesgos por el Cambio Realizado</t>
  </si>
  <si>
    <t>6. Solicitantes del Cambio</t>
  </si>
  <si>
    <t>7. Revisión del Comité de Control de Cambios</t>
  </si>
  <si>
    <t>8. Firmas de Responsabilidad</t>
  </si>
  <si>
    <t>Colocar arriostramientos en la grúa a la mitad de su altura, para evitar el volcamiento al momento de izar carga.</t>
  </si>
  <si>
    <t>Tomar acciones correspondientes después de haber acontecido el desastre, actuar con la planificación adecuada prevista en la planificación.</t>
  </si>
  <si>
    <t>Fiscalización solicita la colocación de arriostramientos en la grúa para evitar nuevamente la caída de la grúa.</t>
  </si>
  <si>
    <t>Tipo de contrato:</t>
  </si>
  <si>
    <t>Fecha de Adquisición:</t>
  </si>
  <si>
    <t>Nombre del Proveedor o empresa:</t>
  </si>
  <si>
    <t>1. Información general del proveedor o empresa</t>
  </si>
  <si>
    <t xml:space="preserve">La adquisición de recursos para el proyecto se realiza antes de la planificación del alcance del proyecto. Dentro del alcance de la adquisición tenemos la cantidad de unidades o materiales que serán necesarias para completar las actividades del proyecto. un ejemplo que se puede decir en el proyecto es la subcontratación de bombas para hormigón además de la adquisición de vibradores de hormigón, el proyecto presenta una gran cantidad de hormigón para realizar la cimentación es decir que si no se tiene los suficientes equipo el rendimiento y el tiempo empleado serán mayores y tendrán un efecto significativo dentro del proyecto. </t>
  </si>
  <si>
    <t xml:space="preserve">3. Prescripciones y técnicas que debe cumplir </t>
  </si>
  <si>
    <t>La empresa constructora que adquiere los equipos o maquinaria debe regirse a un contrato de prestación de servicios o subcontratación y cumplir con el tiempo establecido dentro del contrato. Además los contratos son de distintos tipos es decir que cambiaran acorde a la empresa.</t>
  </si>
  <si>
    <t>La cantidad a adquirir depende de la necesidad que tenga al momento de realizar las actividades además el personal a cargo de las adquisiciones debe tener en cuenta el cronograma de obra para que los contratos de adquisicion sean de un tiempo acorde al tiempo de la actividad a relaizarse es decir que si no se planifica el costo por la adquisicion tendra un efecto significativo en el proyecto porque al adquirir un equipo hay tiempos muertos donde el equipo no se utiliza pero el costo diario del equipo seguira siendo el mismo.</t>
  </si>
  <si>
    <t>EFECTUAR LAS ADQUISICIONES: SALIDAS</t>
  </si>
  <si>
    <t>2. Vendedores seleccionados</t>
  </si>
  <si>
    <t>3. Tipo de Contrato</t>
  </si>
  <si>
    <t>Contrato precio fijo</t>
  </si>
  <si>
    <t>Contrato costos reembolsables</t>
  </si>
  <si>
    <t>Contrato por tiempo y materiales</t>
  </si>
  <si>
    <t>Actualizaciones del contrato</t>
  </si>
  <si>
    <t>4. Acuerdos</t>
  </si>
  <si>
    <t>Contrato de servicios de seguridad industrial e higiene por un año</t>
  </si>
  <si>
    <t>5. Revisión del Comité de Control de las adquisiciones</t>
  </si>
  <si>
    <t>1. Bagant Construyendo Soluciones   2. Ing. Christian Meneses    3. SGI-ALRAK S.A. Soluciones globales de ingeniería</t>
  </si>
  <si>
    <t>Contrato de préstamo de grúa de carga por el plazo de un año</t>
  </si>
  <si>
    <t>Contrato de préstamo de servicios para realizar el sistema eléctrico del proyecto</t>
  </si>
  <si>
    <t>9. Responsables de la adquisición</t>
  </si>
  <si>
    <t>Identificación</t>
  </si>
  <si>
    <t>Justificación de la Aprobación o rechazo de la adquisición:</t>
  </si>
  <si>
    <t>Responsable de la adquisición:</t>
  </si>
  <si>
    <t>SOLICITUD DE CAMBIO O ACTUALIZACIÓN DE CONTRATO</t>
  </si>
  <si>
    <t>Finiquito Contrato</t>
  </si>
  <si>
    <t>Nuevo Contrato</t>
  </si>
  <si>
    <t xml:space="preserve">1. Descripción de la Solicitud </t>
  </si>
  <si>
    <t>2. Tipo de Cambio Requerido</t>
  </si>
  <si>
    <t>4. Instrucciones proporcionadas por el contratista para realizar las actualizaciones correspondientes</t>
  </si>
  <si>
    <t>5. Revisión del Comité de Control de Cambios</t>
  </si>
  <si>
    <t>La presente solicitud tiene como objetivo el cambio del presente contrato para extensión del periodo de entrega del sistema eléctrico, por paralización del proyecto sierra del bosque y evitar multas establecidas dentro del contrato.</t>
  </si>
  <si>
    <t>3. Qué Sucedería si el Cambio o actualización no se Realiza</t>
  </si>
  <si>
    <t>En el caso de no actualizarse el periodo de entrega de la actividad a realizarse, de acuerdo al contrato el contratante tiene la potestad de multar al contratista por exceder el periodo de entrega de la actividad.</t>
  </si>
  <si>
    <t>Riesgo 1</t>
  </si>
  <si>
    <t>Riesgo 2</t>
  </si>
  <si>
    <t>Riesgo 3</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</si>
  <si>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</si>
  <si>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</si>
  <si>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</si>
  <si>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</si>
  <si>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</si>
  <si>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</si>
  <si>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</si>
  <si>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</si>
  <si>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</si>
  <si>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</si>
  <si>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</si>
  <si>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</si>
  <si>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</si>
  <si>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</si>
  <si>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</si>
  <si>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</si>
  <si>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</si>
  <si>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</si>
  <si>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</si>
  <si>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</si>
  <si>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</si>
  <si>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</si>
  <si>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</si>
  <si>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</si>
  <si>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</si>
  <si>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</si>
  <si>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</si>
  <si>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Riesgo 31</t>
  </si>
  <si>
    <t>Riesgo 32</t>
  </si>
  <si>
    <t>Riesgo 33</t>
  </si>
  <si>
    <t>Riesgo 34</t>
  </si>
  <si>
    <t>Riesgo 35</t>
  </si>
  <si>
    <t>Riesgo 36</t>
  </si>
  <si>
    <t>Riesgo 37</t>
  </si>
  <si>
    <t>Riesgo 38</t>
  </si>
  <si>
    <t>Riesgo 39</t>
  </si>
  <si>
    <t>Riesgo 40</t>
  </si>
  <si>
    <t>Riesgo 41</t>
  </si>
  <si>
    <t>Riesgo 42</t>
  </si>
  <si>
    <t>Riesgo 43</t>
  </si>
  <si>
    <t>Riesgo 44</t>
  </si>
  <si>
    <t>Riesgo 45</t>
  </si>
  <si>
    <t>Riesgo 46</t>
  </si>
  <si>
    <t>Riesgo 47</t>
  </si>
  <si>
    <t>Riesgo 48</t>
  </si>
  <si>
    <t>Riesgo 49</t>
  </si>
  <si>
    <t>Riesgo 50</t>
  </si>
  <si>
    <t>Riesgo 51</t>
  </si>
  <si>
    <t>Riesgo 52</t>
  </si>
  <si>
    <t>Riesgo 53</t>
  </si>
  <si>
    <t>Riesgo 54</t>
  </si>
  <si>
    <t>Riesgo 55</t>
  </si>
  <si>
    <t>Riesgo 56</t>
  </si>
  <si>
    <t>Riesgo 57</t>
  </si>
  <si>
    <t>Riesgo 58</t>
  </si>
  <si>
    <r>
      <rPr>
        <b/>
        <sz val="8"/>
        <color theme="1"/>
        <rFont val="Times New Roman"/>
        <family val="1"/>
      </rPr>
      <t>Gerente del Proyecto:</t>
    </r>
    <r>
      <rPr>
        <sz val="8"/>
        <color theme="1"/>
        <rFont val="Times New Roman"/>
        <family val="1"/>
      </rPr>
      <t xml:space="preserve"> Arq. Cesar Lopez Naranjo y representante legal de la compañía Horus Constructores Cia. Ltda.</t>
    </r>
  </si>
  <si>
    <r>
      <t xml:space="preserve">Ver tabla de Rubros Principales del contrato </t>
    </r>
    <r>
      <rPr>
        <sz val="8"/>
        <color rgb="FFFF0000"/>
        <rFont val="Times New Roman"/>
        <family val="1"/>
      </rPr>
      <t>ANEXO</t>
    </r>
  </si>
  <si>
    <r>
      <rPr>
        <b/>
        <sz val="8"/>
        <color theme="1"/>
        <rFont val="Calibri"/>
        <family val="2"/>
        <scheme val="minor"/>
      </rPr>
      <t>2.1. Garantía de fiel cumplimiento del contrato:</t>
    </r>
    <r>
      <rPr>
        <sz val="8"/>
        <color theme="1"/>
        <rFont val="Calibri"/>
        <family val="2"/>
        <scheme val="minor"/>
      </rPr>
      <t xml:space="preserve"> Póliza por el valor de 5% del valor del contrato = USD 51.542,95.</t>
    </r>
  </si>
  <si>
    <r>
      <rPr>
        <b/>
        <sz val="8"/>
        <color theme="1"/>
        <rFont val="Calibri"/>
        <family val="2"/>
        <scheme val="minor"/>
      </rPr>
      <t xml:space="preserve">2.2. Garantía de buen uso del anticipo:  </t>
    </r>
    <r>
      <rPr>
        <sz val="8"/>
        <color theme="1"/>
        <rFont val="Calibri"/>
        <family val="2"/>
        <scheme val="minor"/>
      </rPr>
      <t>Compra de acero a Comercial Puruha por un monto de USD 192.865,14 y un valor en efectivo por el monto de USD 100.000,00 para el pago de cada planilla de obra.</t>
    </r>
  </si>
  <si>
    <r>
      <rPr>
        <b/>
        <sz val="8"/>
        <color theme="1"/>
        <rFont val="Calibri"/>
        <family val="2"/>
        <scheme val="minor"/>
      </rPr>
      <t>2.3.1.  Garantía de buena calidad de materiales:</t>
    </r>
    <r>
      <rPr>
        <sz val="8"/>
        <color theme="1"/>
        <rFont val="Calibri"/>
        <family val="2"/>
        <scheme val="minor"/>
      </rPr>
      <t xml:space="preserve"> El contratista deberá entregar al FIDEICOMISO el acta de entrega recepción provisional de las obras, que consistirá en el uso de buenos materiales para la construcción de las distintas actividades.</t>
    </r>
  </si>
  <si>
    <r>
      <rPr>
        <b/>
        <sz val="8"/>
        <color theme="1"/>
        <rFont val="Calibri"/>
        <family val="2"/>
        <scheme val="minor"/>
      </rPr>
      <t xml:space="preserve">2.4. Seguro todo Riesgo para Contratistas: </t>
    </r>
    <r>
      <rPr>
        <sz val="8"/>
        <color theme="1"/>
        <rFont val="Calibri"/>
        <family val="2"/>
        <scheme val="minor"/>
      </rPr>
      <t>Póliza estará a cargo de el Constructor y cubrirá todo daño o perdida que pueda producirse en la obra por el 100 % del monto del contrato.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</si>
</sst>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 &quot;$&quot;* #,##0.00_ ;_ &quot;$&quot;* \-#,##0.00_ ;_ &quot;$&quot;* &quot;-&quot;??_ ;_ @_ "/>
    <numFmt numFmtId="43" formatCode="_ * #,##0.00_ ;_ * \-#,##0.00_ ;_ * &quot;-&quot;??_ ;_ @_ "/>
    <numFmt numFmtId="164" formatCode="&quot;$&quot;#,##0.00"/>
    <numFmt numFmtId="165" formatCode="_-* #,##0.00\ _€_-;\-* #,##0.00\ _€_-;_-* &quot;-&quot;??\ _€_-;_-@_-"/>
    <numFmt numFmtId="166" formatCode="_(* #,##0.00_);_(* \(#,##0.00\);_(* &quot;-&quot;??_);_(@_)"/>
    <numFmt numFmtId="167" formatCode="0.0%"/>
    <numFmt numFmtId="168" formatCode="_ &quot;$&quot;\ * #,##0.00_ ;_ &quot;$&quot;\ * \-#,##0.00_ ;_ &quot;$&quot;\ * &quot;-&quot;??_ ;_ @_ "/>
    <numFmt numFmtId="169" formatCode="_ * #,##0.000_ ;_ * \-#,##0.000_ ;_ * &quot;-&quot;??_ ;_ @_ "/>
    <numFmt numFmtId="170" formatCode="_ * #,##0.0_ ;_ * \-#,##0.0_ ;_ * &quot;-&quot;??_ ;_ @_ "/>
    <numFmt numFmtId="171" formatCode="_(&quot;$&quot;\ * #,##0.00_);_(&quot;$&quot;\ * \(#,##0.00\);_(&quot;$&quot;\ * &quot;-&quot;??_);_(@_)"/>
    <numFmt numFmtId="172" formatCode="0.000%"/>
    <numFmt numFmtId="173" formatCode="0.0"/>
    <numFmt numFmtId="174" formatCode="&quot;$&quot;#,##0"/>
    <numFmt numFmtId="175" formatCode="_ &quot;$&quot;* #,##0_ ;_ &quot;$&quot;* \-#,##0_ ;_ &quot;$&quot;* &quot;-&quot;??_ ;_ @_ "/>
    <numFmt numFmtId="176" formatCode="_-* #,##0.0\ _€_-;\-* #,##0.0\ _€_-;_-* &quot;-&quot;??\ _€_-;_-@_-"/>
    <numFmt numFmtId="177" formatCode="###,##0.00"/>
    <numFmt numFmtId="178" formatCode="_ * #,##0_ ;_ * \-#,##0_ ;_ * &quot;-&quot;??_ ;_ @_ "/>
  </numFmts>
  <fonts count="64" x14ac:knownFonts="1">
    <font>
      <sz val="11"/>
      <color theme="1"/>
      <name val="Calibri"/>
      <family val="2"/>
      <scheme val="minor"/>
    </font>
    <font>
      <b/>
      <sz val="11"/>
      <color theme="1"/>
      <name val="Calibri"/>
      <family val="2"/>
      <scheme val="minor"/>
    </font>
    <font>
      <sz val="10"/>
      <color theme="1"/>
      <name val="Times New Roman"/>
      <family val="1"/>
    </font>
    <font>
      <b/>
      <sz val="10"/>
      <color theme="1"/>
      <name val="Times New Roman"/>
      <family val="1"/>
    </font>
    <font>
      <sz val="12"/>
      <color theme="1"/>
      <name val="Times New Roman"/>
      <family val="1"/>
    </font>
    <font>
      <b/>
      <sz val="12"/>
      <color theme="1"/>
      <name val="Times New Roman"/>
      <family val="1"/>
    </font>
    <font>
      <b/>
      <sz val="12"/>
      <color theme="0"/>
      <name val="Times New Roman"/>
      <family val="1"/>
    </font>
    <font>
      <b/>
      <i/>
      <sz val="12"/>
      <color theme="1"/>
      <name val="Times New Roman"/>
      <family val="1"/>
    </font>
    <font>
      <sz val="11"/>
      <color theme="1"/>
      <name val="Times New Roman"/>
      <family val="1"/>
    </font>
    <font>
      <u/>
      <sz val="11"/>
      <color theme="10"/>
      <name val="Calibri"/>
      <family val="2"/>
      <scheme val="minor"/>
    </font>
    <font>
      <b/>
      <sz val="12"/>
      <color theme="1"/>
      <name val="Calibri"/>
      <family val="2"/>
      <scheme val="minor"/>
    </font>
    <font>
      <sz val="9"/>
      <color theme="1"/>
      <name val="Times New Roman"/>
      <family val="1"/>
    </font>
    <font>
      <sz val="10"/>
      <color theme="1"/>
      <name val="Calibri"/>
      <family val="2"/>
      <scheme val="minor"/>
    </font>
    <font>
      <b/>
      <sz val="36"/>
      <color theme="1"/>
      <name val="Times New Roman"/>
      <family val="1"/>
    </font>
    <font>
      <b/>
      <sz val="10"/>
      <color theme="0"/>
      <name val="Times New Roman"/>
      <family val="1"/>
    </font>
    <font>
      <sz val="10"/>
      <color theme="1"/>
      <name val="Swis721 Ex BT"/>
      <family val="2"/>
    </font>
    <font>
      <sz val="8"/>
      <name val="Calibri"/>
      <family val="2"/>
      <scheme val="minor"/>
    </font>
    <font>
      <b/>
      <sz val="9"/>
      <color theme="1"/>
      <name val="Times New Roman"/>
      <family val="1"/>
    </font>
    <font>
      <sz val="8"/>
      <color theme="1"/>
      <name val="Times New Roman"/>
      <family val="1"/>
    </font>
    <font>
      <b/>
      <sz val="8"/>
      <color theme="1"/>
      <name val="Times New Roman"/>
      <family val="1"/>
    </font>
    <font>
      <b/>
      <sz val="8"/>
      <color theme="0"/>
      <name val="Times New Roman"/>
      <family val="1"/>
    </font>
    <font>
      <sz val="8"/>
      <color theme="1"/>
      <name val="Calibri"/>
      <family val="2"/>
      <scheme val="minor"/>
    </font>
    <font>
      <b/>
      <sz val="8"/>
      <color theme="1"/>
      <name val="Calibri"/>
      <family val="2"/>
      <scheme val="minor"/>
    </font>
    <font>
      <sz val="11"/>
      <color theme="1"/>
      <name val="Calibri"/>
      <family val="2"/>
      <scheme val="minor"/>
    </font>
    <font>
      <b/>
      <sz val="11"/>
      <color theme="0"/>
      <name val="Calibri"/>
      <family val="2"/>
      <scheme val="minor"/>
    </font>
    <font>
      <sz val="11"/>
      <color rgb="FF000000"/>
      <name val="Open Sans"/>
      <family val="2"/>
    </font>
    <font>
      <sz val="11"/>
      <color theme="1"/>
      <name val="Calibri"/>
      <family val="2"/>
    </font>
    <font>
      <b/>
      <sz val="14"/>
      <color theme="0"/>
      <name val="Calibri"/>
      <family val="2"/>
      <scheme val="minor"/>
    </font>
    <font>
      <sz val="11"/>
      <name val="Calibri"/>
      <family val="2"/>
      <scheme val="minor"/>
    </font>
    <font>
      <sz val="11"/>
      <name val="Century Gothic"/>
      <family val="2"/>
    </font>
    <font>
      <b/>
      <sz val="11"/>
      <name val="Calibri"/>
      <family val="2"/>
      <scheme val="minor"/>
    </font>
    <font>
      <b/>
      <sz val="18"/>
      <color theme="0"/>
      <name val="Calibri"/>
      <family val="2"/>
      <scheme val="minor"/>
    </font>
    <font>
      <b/>
      <sz val="20"/>
      <color theme="1"/>
      <name val="Calibri"/>
      <family val="2"/>
      <scheme val="minor"/>
    </font>
    <font>
      <b/>
      <sz val="16"/>
      <color theme="0"/>
      <name val="Calibri"/>
      <family val="2"/>
      <scheme val="minor"/>
    </font>
    <font>
      <b/>
      <sz val="22"/>
      <color theme="1"/>
      <name val="Calibri"/>
      <family val="2"/>
      <scheme val="minor"/>
    </font>
    <font>
      <sz val="10"/>
      <name val="Arial"/>
      <family val="2"/>
    </font>
    <font>
      <sz val="8"/>
      <color indexed="8"/>
      <name val="Arial"/>
      <family val="2"/>
    </font>
    <font>
      <sz val="16"/>
      <name val="Arial"/>
      <family val="2"/>
    </font>
    <font>
      <b/>
      <sz val="8"/>
      <name val="Arial"/>
      <family val="2"/>
    </font>
    <font>
      <b/>
      <sz val="8"/>
      <color indexed="8"/>
      <name val="Arial"/>
      <family val="2"/>
    </font>
    <font>
      <b/>
      <i/>
      <sz val="8"/>
      <color indexed="8"/>
      <name val="Arial"/>
      <family val="2"/>
    </font>
    <font>
      <b/>
      <sz val="8"/>
      <color theme="1"/>
      <name val="Arial"/>
      <family val="2"/>
    </font>
    <font>
      <b/>
      <sz val="9"/>
      <color indexed="8"/>
      <name val="Arial"/>
      <family val="2"/>
    </font>
    <font>
      <b/>
      <sz val="9"/>
      <name val="Arial"/>
      <family val="2"/>
    </font>
    <font>
      <b/>
      <sz val="9"/>
      <color theme="1"/>
      <name val="Arial"/>
      <family val="2"/>
    </font>
    <font>
      <sz val="8"/>
      <name val="Arial"/>
      <family val="2"/>
    </font>
    <font>
      <sz val="6"/>
      <color indexed="8"/>
      <name val="Arial"/>
      <family val="2"/>
    </font>
    <font>
      <b/>
      <sz val="10"/>
      <name val="Arial"/>
      <family val="2"/>
    </font>
    <font>
      <b/>
      <sz val="11"/>
      <name val="Arial"/>
      <family val="2"/>
    </font>
    <font>
      <b/>
      <sz val="11"/>
      <color theme="1"/>
      <name val="Times New Roman"/>
      <family val="1"/>
    </font>
    <font>
      <b/>
      <i/>
      <sz val="11"/>
      <color theme="1"/>
      <name val="Times New Roman"/>
      <family val="1"/>
    </font>
    <font>
      <sz val="14"/>
      <color theme="1"/>
      <name val="Times New Roman"/>
      <family val="1"/>
    </font>
    <font>
      <b/>
      <sz val="8"/>
      <name val="Times New Roman"/>
      <family val="1"/>
    </font>
    <font>
      <sz val="8"/>
      <color rgb="FF000000"/>
      <name val="Calibri"/>
      <family val="2"/>
    </font>
    <font>
      <u/>
      <sz val="8"/>
      <color theme="10"/>
      <name val="Calibri"/>
      <family val="2"/>
      <scheme val="minor"/>
    </font>
    <font>
      <u/>
      <sz val="8"/>
      <name val="Calibri"/>
      <family val="2"/>
      <scheme val="minor"/>
    </font>
    <font>
      <sz val="11"/>
      <color theme="0"/>
      <name val="Calibri"/>
      <family val="2"/>
      <scheme val="minor"/>
    </font>
    <font>
      <b/>
      <sz val="9"/>
      <color theme="0"/>
      <name val="Times New Roman"/>
      <family val="1"/>
    </font>
    <font>
      <b/>
      <sz val="9"/>
      <color theme="1"/>
      <name val="Calibri"/>
      <family val="2"/>
      <scheme val="minor"/>
    </font>
    <font>
      <sz val="9"/>
      <color theme="1"/>
      <name val="Calibri"/>
      <family val="2"/>
      <scheme val="minor"/>
    </font>
    <font>
      <sz val="10"/>
      <color rgb="FF000000"/>
      <name val="Times New Roman"/>
      <family val="1"/>
    </font>
    <font>
      <sz val="11"/>
      <color rgb="FF000000"/>
      <name val="Calibri"/>
      <family val="2"/>
      <scheme val="minor"/>
    </font>
    <font>
      <b/>
      <i/>
      <sz val="8"/>
      <color theme="1"/>
      <name val="Times New Roman"/>
      <family val="1"/>
    </font>
    <font>
      <sz val="8"/>
      <color rgb="FFFF0000"/>
      <name val="Times New Roman"/>
      <family val="1"/>
    </font>
  </fonts>
  <fills count="44">
    <fill>
      <patternFill patternType="none"/>
    </fill>
    <fill>
      <patternFill patternType="gray125"/>
    </fill>
    <fill>
      <patternFill patternType="solid">
        <fgColor theme="8" tint="0.79998168889431442"/>
        <bgColor indexed="64"/>
      </patternFill>
    </fill>
    <fill>
      <patternFill patternType="solid">
        <fgColor theme="3" tint="0.39997558519241921"/>
        <bgColor indexed="64"/>
      </patternFill>
    </fill>
    <fill>
      <patternFill patternType="solid">
        <fgColor rgb="FF002060"/>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4" tint="0.39997558519241921"/>
        <bgColor rgb="FF000000"/>
      </patternFill>
    </fill>
    <fill>
      <patternFill patternType="solid">
        <fgColor rgb="FF92D050"/>
        <bgColor indexed="64"/>
      </patternFill>
    </fill>
    <fill>
      <patternFill patternType="solid">
        <fgColor theme="9" tint="0.39997558519241921"/>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theme="4" tint="0.39997558519241921"/>
        <bgColor indexed="64"/>
      </patternFill>
    </fill>
    <fill>
      <patternFill patternType="solid">
        <fgColor theme="4"/>
        <bgColor rgb="FF000000"/>
      </patternFill>
    </fill>
    <fill>
      <patternFill patternType="solid">
        <fgColor rgb="FF92D050"/>
        <bgColor theme="6" tint="0.59999389629810485"/>
      </patternFill>
    </fill>
    <fill>
      <patternFill patternType="solid">
        <fgColor theme="0"/>
        <bgColor rgb="FF000000"/>
      </patternFill>
    </fill>
    <fill>
      <patternFill patternType="solid">
        <fgColor indexed="22"/>
        <bgColor indexed="64"/>
      </patternFill>
    </fill>
    <fill>
      <patternFill patternType="solid">
        <fgColor indexed="13"/>
        <bgColor indexed="64"/>
      </patternFill>
    </fill>
    <fill>
      <patternFill patternType="solid">
        <fgColor indexed="10"/>
        <bgColor indexed="64"/>
      </patternFill>
    </fill>
    <fill>
      <patternFill patternType="solid">
        <fgColor indexed="46"/>
        <bgColor indexed="64"/>
      </patternFill>
    </fill>
    <fill>
      <patternFill patternType="solid">
        <fgColor theme="2" tint="-0.499984740745262"/>
        <bgColor indexed="64"/>
      </patternFill>
    </fill>
    <fill>
      <patternFill patternType="solid">
        <fgColor indexed="44"/>
        <bgColor indexed="64"/>
      </patternFill>
    </fill>
    <fill>
      <patternFill patternType="solid">
        <fgColor indexed="53"/>
        <bgColor indexed="64"/>
      </patternFill>
    </fill>
    <fill>
      <patternFill patternType="solid">
        <fgColor theme="4" tint="-0.249977111117893"/>
        <bgColor indexed="64"/>
      </patternFill>
    </fill>
    <fill>
      <patternFill patternType="solid">
        <fgColor rgb="FFFF5050"/>
        <bgColor indexed="64"/>
      </patternFill>
    </fill>
    <fill>
      <patternFill patternType="solid">
        <fgColor rgb="FFCC0000"/>
        <bgColor indexed="64"/>
      </patternFill>
    </fill>
    <fill>
      <patternFill patternType="solid">
        <fgColor rgb="FFFF7C80"/>
        <bgColor indexed="64"/>
      </patternFill>
    </fill>
    <fill>
      <patternFill patternType="solid">
        <fgColor rgb="FFFF9999"/>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bgColor indexed="64"/>
      </patternFill>
    </fill>
    <fill>
      <patternFill patternType="solid">
        <fgColor theme="3" tint="0.79998168889431442"/>
        <bgColor indexed="64"/>
      </patternFill>
    </fill>
    <fill>
      <patternFill patternType="solid">
        <fgColor rgb="FF90EE90"/>
        <bgColor indexed="64"/>
      </patternFill>
    </fill>
    <fill>
      <patternFill patternType="solid">
        <fgColor theme="7" tint="0.59999389629810485"/>
        <bgColor indexed="64"/>
      </patternFill>
    </fill>
    <fill>
      <patternFill patternType="solid">
        <fgColor rgb="FF00B0F0"/>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diagonal/>
    </border>
    <border>
      <left style="thin">
        <color theme="1" tint="0.500015259254738"/>
      </left>
      <right style="thin">
        <color theme="1" tint="0.500015259254738"/>
      </right>
      <top style="thin">
        <color theme="1" tint="0.500015259254738"/>
      </top>
      <bottom style="thin">
        <color theme="1" tint="0.500015259254738"/>
      </bottom>
      <diagonal/>
    </border>
    <border>
      <left style="thin">
        <color theme="1" tint="0.500015259254738"/>
      </left>
      <right/>
      <top style="thin">
        <color theme="1" tint="0.500015259254738"/>
      </top>
      <bottom style="thin">
        <color theme="1" tint="0.500015259254738"/>
      </bottom>
      <diagonal/>
    </border>
    <border>
      <left/>
      <right style="thin">
        <color theme="1" tint="0.500015259254738"/>
      </right>
      <top style="thin">
        <color theme="1" tint="0.500015259254738"/>
      </top>
      <bottom style="thin">
        <color theme="1" tint="0.500015259254738"/>
      </bottom>
      <diagonal/>
    </border>
    <border>
      <left/>
      <right style="thin">
        <color rgb="FF000000"/>
      </right>
      <top style="thin">
        <color theme="1" tint="0.500015259254738"/>
      </top>
      <bottom style="thin">
        <color theme="1" tint="0.500015259254738"/>
      </bottom>
      <diagonal/>
    </border>
    <border>
      <left/>
      <right/>
      <top style="thin">
        <color theme="1" tint="0.500015259254738"/>
      </top>
      <bottom style="thin">
        <color theme="1" tint="0.500015259254738"/>
      </bottom>
      <diagonal/>
    </border>
    <border>
      <left style="thin">
        <color theme="1" tint="0.500015259254738"/>
      </left>
      <right style="thin">
        <color theme="1" tint="0.500015259254738"/>
      </right>
      <top style="thin">
        <color theme="1" tint="0.500015259254738"/>
      </top>
      <bottom/>
      <diagonal/>
    </border>
    <border>
      <left style="thin">
        <color theme="1" tint="0.500015259254738"/>
      </left>
      <right style="thin">
        <color indexed="64"/>
      </right>
      <top style="thin">
        <color theme="1" tint="0.500015259254738"/>
      </top>
      <bottom/>
      <diagonal/>
    </border>
    <border>
      <left style="thin">
        <color theme="1" tint="0.500015259254738"/>
      </left>
      <right style="thin">
        <color theme="1" tint="0.500015259254738"/>
      </right>
      <top/>
      <bottom/>
      <diagonal/>
    </border>
    <border>
      <left style="double">
        <color auto="1"/>
      </left>
      <right/>
      <top/>
      <bottom/>
      <diagonal/>
    </border>
    <border>
      <left style="double">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diagonal/>
    </border>
    <border>
      <left/>
      <right style="double">
        <color indexed="64"/>
      </right>
      <top style="medium">
        <color indexed="64"/>
      </top>
      <bottom/>
      <diagonal/>
    </border>
    <border>
      <left/>
      <right style="double">
        <color indexed="64"/>
      </right>
      <top/>
      <bottom/>
      <diagonal/>
    </border>
    <border>
      <left/>
      <right style="double">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right style="double">
        <color indexed="64"/>
      </right>
      <top style="thin">
        <color indexed="64"/>
      </top>
      <bottom style="medium">
        <color indexed="64"/>
      </bottom>
      <diagonal/>
    </border>
    <border>
      <left style="medium">
        <color indexed="64"/>
      </left>
      <right style="double">
        <color indexed="64"/>
      </right>
      <top/>
      <bottom style="thin">
        <color indexed="64"/>
      </bottom>
      <diagonal/>
    </border>
    <border>
      <left style="double">
        <color indexed="64"/>
      </left>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right style="double">
        <color indexed="64"/>
      </right>
      <top/>
      <bottom style="medium">
        <color indexed="64"/>
      </bottom>
      <diagonal/>
    </border>
    <border>
      <left style="medium">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double">
        <color indexed="64"/>
      </right>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style="medium">
        <color indexed="64"/>
      </right>
      <top/>
      <bottom style="medium">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indexed="64"/>
      </left>
      <right/>
      <top style="medium">
        <color indexed="64"/>
      </top>
      <bottom/>
      <diagonal/>
    </border>
  </borders>
  <cellStyleXfs count="11">
    <xf numFmtId="0" fontId="0" fillId="0" borderId="0"/>
    <xf numFmtId="0" fontId="9" fillId="0" borderId="0" applyNumberForma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166" fontId="23" fillId="0" borderId="0" applyFont="0" applyFill="0" applyBorder="0" applyAlignment="0" applyProtection="0"/>
    <xf numFmtId="165" fontId="23" fillId="0" borderId="0" applyFont="0" applyFill="0" applyBorder="0" applyAlignment="0" applyProtection="0"/>
    <xf numFmtId="0" fontId="35" fillId="0" borderId="0"/>
    <xf numFmtId="43" fontId="35" fillId="0" borderId="0" applyFont="0" applyFill="0" applyBorder="0" applyAlignment="0" applyProtection="0"/>
    <xf numFmtId="168" fontId="35" fillId="0" borderId="0" applyFont="0" applyFill="0" applyBorder="0" applyAlignment="0" applyProtection="0"/>
    <xf numFmtId="9" fontId="35" fillId="0" borderId="0" applyFont="0" applyFill="0" applyBorder="0" applyAlignment="0" applyProtection="0"/>
    <xf numFmtId="0" fontId="23" fillId="0" borderId="0"/>
  </cellStyleXfs>
  <cellXfs count="1566">
    <xf numFmtId="0" fontId="0" fillId="0" borderId="0" xfId="0"/>
    <xf numFmtId="0" fontId="0" fillId="0" borderId="1" xfId="0" applyBorder="1"/>
    <xf numFmtId="0" fontId="4" fillId="0" borderId="0" xfId="0" applyFont="1"/>
    <xf numFmtId="0" fontId="4" fillId="0" borderId="0" xfId="0" applyFont="1" applyAlignment="1">
      <alignment vertical="center"/>
    </xf>
    <xf numFmtId="0" fontId="4" fillId="0" borderId="0" xfId="0" applyFont="1" applyBorder="1"/>
    <xf numFmtId="0" fontId="4" fillId="0" borderId="0" xfId="0" applyFont="1" applyBorder="1" applyAlignment="1">
      <alignment vertical="center" wrapText="1"/>
    </xf>
    <xf numFmtId="14" fontId="4" fillId="0" borderId="0" xfId="0" applyNumberFormat="1" applyFont="1" applyBorder="1" applyAlignment="1">
      <alignment vertical="center" wrapText="1"/>
    </xf>
    <xf numFmtId="0" fontId="4" fillId="0" borderId="13" xfId="0" applyFont="1" applyBorder="1"/>
    <xf numFmtId="0" fontId="4" fillId="0" borderId="30" xfId="0" applyFont="1" applyBorder="1"/>
    <xf numFmtId="0" fontId="4" fillId="0" borderId="22" xfId="0" applyFont="1" applyBorder="1"/>
    <xf numFmtId="0" fontId="4" fillId="0" borderId="32" xfId="0" applyFont="1" applyBorder="1"/>
    <xf numFmtId="0" fontId="4" fillId="0" borderId="33" xfId="0" applyFont="1" applyBorder="1"/>
    <xf numFmtId="0" fontId="4" fillId="0" borderId="34" xfId="0" applyFont="1" applyBorder="1"/>
    <xf numFmtId="0" fontId="4" fillId="5" borderId="5" xfId="0" applyFont="1" applyFill="1" applyBorder="1"/>
    <xf numFmtId="0" fontId="4" fillId="0" borderId="0" xfId="0" applyFont="1" applyAlignment="1"/>
    <xf numFmtId="0" fontId="9" fillId="0" borderId="0" xfId="1"/>
    <xf numFmtId="0" fontId="10" fillId="5" borderId="5" xfId="0" applyFont="1" applyFill="1" applyBorder="1" applyAlignment="1">
      <alignment horizontal="center" vertical="center" wrapText="1"/>
    </xf>
    <xf numFmtId="0" fontId="10" fillId="5" borderId="6" xfId="0" applyFont="1" applyFill="1" applyBorder="1" applyAlignment="1">
      <alignment horizontal="center" vertical="center"/>
    </xf>
    <xf numFmtId="0" fontId="0" fillId="0" borderId="5" xfId="0" applyBorder="1" applyAlignment="1">
      <alignment horizontal="center" vertical="center" wrapText="1"/>
    </xf>
    <xf numFmtId="0" fontId="0" fillId="0" borderId="6" xfId="0" applyBorder="1" applyAlignment="1">
      <alignment horizontal="center" vertical="center"/>
    </xf>
    <xf numFmtId="0" fontId="0" fillId="0" borderId="5" xfId="0" applyBorder="1" applyAlignment="1">
      <alignment vertical="center" wrapText="1"/>
    </xf>
    <xf numFmtId="0" fontId="0" fillId="0" borderId="6" xfId="0" applyBorder="1" applyAlignment="1">
      <alignment horizontal="center" vertical="center" wrapText="1"/>
    </xf>
    <xf numFmtId="0" fontId="13" fillId="0" borderId="63" xfId="0" applyFont="1" applyBorder="1" applyAlignment="1">
      <alignment horizontal="center" vertical="center"/>
    </xf>
    <xf numFmtId="0" fontId="15" fillId="0" borderId="1" xfId="0" applyFont="1" applyBorder="1" applyAlignment="1">
      <alignment horizontal="center" vertical="center"/>
    </xf>
    <xf numFmtId="0" fontId="15" fillId="0" borderId="6" xfId="0" applyFont="1" applyBorder="1" applyAlignment="1">
      <alignment horizontal="center" vertical="center"/>
    </xf>
    <xf numFmtId="0" fontId="1" fillId="0" borderId="1" xfId="0" applyFont="1" applyBorder="1"/>
    <xf numFmtId="0" fontId="1" fillId="0" borderId="1" xfId="0" applyFont="1" applyBorder="1" applyAlignment="1">
      <alignment vertical="center"/>
    </xf>
    <xf numFmtId="14" fontId="4" fillId="0" borderId="1" xfId="0" applyNumberFormat="1" applyFont="1" applyBorder="1" applyAlignment="1">
      <alignment horizontal="center" vertical="center"/>
    </xf>
    <xf numFmtId="0" fontId="4" fillId="0" borderId="1" xfId="0" applyFont="1" applyBorder="1" applyAlignment="1">
      <alignment horizontal="center"/>
    </xf>
    <xf numFmtId="0" fontId="4" fillId="0" borderId="1" xfId="0" applyFont="1" applyFill="1" applyBorder="1" applyAlignment="1">
      <alignment horizontal="center"/>
    </xf>
    <xf numFmtId="0" fontId="8" fillId="0" borderId="0" xfId="0" applyFont="1" applyBorder="1" applyAlignment="1">
      <alignment horizontal="center"/>
    </xf>
    <xf numFmtId="0" fontId="4" fillId="0" borderId="1" xfId="0" applyFont="1" applyBorder="1" applyAlignment="1">
      <alignment vertical="center"/>
    </xf>
    <xf numFmtId="0" fontId="4" fillId="0" borderId="1" xfId="0" applyFont="1" applyBorder="1" applyAlignment="1">
      <alignment vertical="center" wrapText="1"/>
    </xf>
    <xf numFmtId="0" fontId="7" fillId="0" borderId="1" xfId="0" applyFont="1" applyBorder="1" applyAlignment="1">
      <alignment vertical="center"/>
    </xf>
    <xf numFmtId="0" fontId="1" fillId="0" borderId="0" xfId="0" applyFont="1" applyAlignment="1">
      <alignment horizontal="center" vertical="center"/>
    </xf>
    <xf numFmtId="14" fontId="18" fillId="0" borderId="1" xfId="0" applyNumberFormat="1" applyFont="1" applyBorder="1" applyAlignment="1">
      <alignment horizontal="center" vertical="center"/>
    </xf>
    <xf numFmtId="0" fontId="18" fillId="0" borderId="30" xfId="0" applyFont="1" applyBorder="1"/>
    <xf numFmtId="0" fontId="18" fillId="0" borderId="0" xfId="0" applyFont="1" applyBorder="1"/>
    <xf numFmtId="0" fontId="18" fillId="0" borderId="22" xfId="0" applyFont="1" applyBorder="1"/>
    <xf numFmtId="0" fontId="18" fillId="0" borderId="32" xfId="0" applyFont="1" applyBorder="1"/>
    <xf numFmtId="0" fontId="18" fillId="0" borderId="33" xfId="0" applyFont="1" applyBorder="1"/>
    <xf numFmtId="0" fontId="18" fillId="0" borderId="34" xfId="0" applyFont="1" applyBorder="1"/>
    <xf numFmtId="0" fontId="22" fillId="0" borderId="1" xfId="0" applyFont="1" applyBorder="1" applyAlignment="1">
      <alignment vertical="center"/>
    </xf>
    <xf numFmtId="0" fontId="1" fillId="0" borderId="0" xfId="0" applyFont="1"/>
    <xf numFmtId="164" fontId="0" fillId="0" borderId="0" xfId="0" applyNumberFormat="1"/>
    <xf numFmtId="10" fontId="0" fillId="0" borderId="0" xfId="0" applyNumberFormat="1"/>
    <xf numFmtId="0" fontId="0" fillId="0" borderId="1" xfId="0" applyBorder="1" applyAlignment="1">
      <alignment horizontal="center"/>
    </xf>
    <xf numFmtId="0" fontId="0" fillId="0" borderId="1" xfId="0" applyBorder="1" applyAlignment="1">
      <alignment horizontal="center" vertical="center"/>
    </xf>
    <xf numFmtId="0" fontId="0" fillId="0" borderId="30" xfId="0" applyBorder="1" applyAlignment="1">
      <alignment horizontal="center"/>
    </xf>
    <xf numFmtId="0" fontId="0" fillId="0" borderId="0" xfId="0" applyAlignment="1">
      <alignment horizontal="center"/>
    </xf>
    <xf numFmtId="0" fontId="0" fillId="0" borderId="0" xfId="0" applyAlignment="1">
      <alignment wrapText="1"/>
    </xf>
    <xf numFmtId="0" fontId="1" fillId="11" borderId="1" xfId="0" applyFont="1" applyFill="1" applyBorder="1" applyAlignment="1">
      <alignment horizontal="center" vertical="center"/>
    </xf>
    <xf numFmtId="44" fontId="0" fillId="0" borderId="0" xfId="2" applyFont="1"/>
    <xf numFmtId="44" fontId="0" fillId="0" borderId="1" xfId="2" applyFont="1" applyBorder="1"/>
    <xf numFmtId="9" fontId="0" fillId="0" borderId="0" xfId="0" applyNumberFormat="1"/>
    <xf numFmtId="44" fontId="0" fillId="0" borderId="0" xfId="0" applyNumberFormat="1"/>
    <xf numFmtId="9" fontId="0" fillId="0" borderId="1" xfId="0" applyNumberFormat="1" applyBorder="1" applyAlignment="1">
      <alignment horizontal="center" vertical="center"/>
    </xf>
    <xf numFmtId="0" fontId="0" fillId="11" borderId="1" xfId="0" applyFill="1" applyBorder="1"/>
    <xf numFmtId="2" fontId="0" fillId="11" borderId="1" xfId="0" applyNumberFormat="1" applyFill="1" applyBorder="1" applyAlignment="1">
      <alignment horizontal="center" vertical="center"/>
    </xf>
    <xf numFmtId="0" fontId="0" fillId="0" borderId="0" xfId="0" applyBorder="1"/>
    <xf numFmtId="44" fontId="0" fillId="0" borderId="0" xfId="2" applyFont="1" applyBorder="1"/>
    <xf numFmtId="0" fontId="0" fillId="13" borderId="0" xfId="0" applyFill="1"/>
    <xf numFmtId="0" fontId="0" fillId="0" borderId="1" xfId="0" applyNumberFormat="1" applyBorder="1" applyAlignment="1">
      <alignment horizontal="center" vertical="center"/>
    </xf>
    <xf numFmtId="0" fontId="0" fillId="11" borderId="1" xfId="0" applyNumberFormat="1" applyFill="1" applyBorder="1" applyAlignment="1">
      <alignment horizontal="center" vertical="center"/>
    </xf>
    <xf numFmtId="0" fontId="24" fillId="14" borderId="40" xfId="0" applyFont="1" applyFill="1" applyBorder="1" applyAlignment="1">
      <alignment horizontal="center"/>
    </xf>
    <xf numFmtId="0" fontId="24" fillId="14" borderId="63" xfId="0" applyFont="1" applyFill="1" applyBorder="1" applyAlignment="1">
      <alignment horizontal="center"/>
    </xf>
    <xf numFmtId="0" fontId="24" fillId="14" borderId="41" xfId="0" applyFont="1" applyFill="1" applyBorder="1" applyAlignment="1">
      <alignment horizontal="center"/>
    </xf>
    <xf numFmtId="0" fontId="24" fillId="14" borderId="53" xfId="0" applyFont="1" applyFill="1" applyBorder="1" applyAlignment="1">
      <alignment horizontal="center"/>
    </xf>
    <xf numFmtId="0" fontId="24" fillId="15" borderId="30" xfId="0" applyFont="1" applyFill="1" applyBorder="1" applyAlignment="1">
      <alignment horizontal="center"/>
    </xf>
    <xf numFmtId="0" fontId="0" fillId="0" borderId="44" xfId="0" applyBorder="1" applyAlignment="1">
      <alignment horizontal="center" vertical="center"/>
    </xf>
    <xf numFmtId="0" fontId="24" fillId="15" borderId="5" xfId="0" applyFont="1" applyFill="1" applyBorder="1" applyAlignment="1">
      <alignment vertical="center"/>
    </xf>
    <xf numFmtId="0" fontId="24" fillId="15" borderId="44" xfId="0" applyFont="1" applyFill="1" applyBorder="1" applyAlignment="1">
      <alignment vertical="center"/>
    </xf>
    <xf numFmtId="0" fontId="24" fillId="15" borderId="12" xfId="0" applyFont="1" applyFill="1" applyBorder="1" applyAlignment="1">
      <alignment vertical="center"/>
    </xf>
    <xf numFmtId="0" fontId="28" fillId="0" borderId="44" xfId="0" applyFont="1" applyBorder="1" applyAlignment="1">
      <alignment horizontal="center"/>
    </xf>
    <xf numFmtId="4" fontId="28" fillId="0" borderId="12" xfId="0" applyNumberFormat="1" applyFont="1" applyBorder="1"/>
    <xf numFmtId="0" fontId="28" fillId="0" borderId="44" xfId="0" applyFont="1" applyBorder="1" applyAlignment="1">
      <alignment horizontal="center" vertical="center"/>
    </xf>
    <xf numFmtId="165" fontId="30" fillId="0" borderId="0" xfId="0" applyNumberFormat="1" applyFont="1"/>
    <xf numFmtId="0" fontId="0" fillId="20" borderId="56" xfId="0" applyFill="1" applyBorder="1" applyAlignment="1">
      <alignment horizontal="center"/>
    </xf>
    <xf numFmtId="0" fontId="0" fillId="20" borderId="19" xfId="0" applyFill="1" applyBorder="1"/>
    <xf numFmtId="0" fontId="0" fillId="20" borderId="20" xfId="0" applyFill="1" applyBorder="1"/>
    <xf numFmtId="166" fontId="24" fillId="14" borderId="63" xfId="4" applyFont="1" applyFill="1" applyBorder="1"/>
    <xf numFmtId="0" fontId="0" fillId="20" borderId="32" xfId="0" applyFill="1" applyBorder="1" applyAlignment="1">
      <alignment horizontal="center"/>
    </xf>
    <xf numFmtId="0" fontId="0" fillId="20" borderId="33" xfId="0" applyFill="1" applyBorder="1"/>
    <xf numFmtId="0" fontId="0" fillId="20" borderId="34" xfId="0" applyFill="1" applyBorder="1"/>
    <xf numFmtId="0" fontId="0" fillId="0" borderId="33" xfId="0" applyBorder="1"/>
    <xf numFmtId="166" fontId="23" fillId="0" borderId="33" xfId="4" applyBorder="1"/>
    <xf numFmtId="0" fontId="0" fillId="0" borderId="74" xfId="0" applyBorder="1"/>
    <xf numFmtId="0" fontId="0" fillId="0" borderId="74" xfId="0" applyBorder="1" applyAlignment="1">
      <alignment horizontal="center"/>
    </xf>
    <xf numFmtId="165" fontId="24" fillId="14" borderId="63" xfId="5" applyFont="1" applyFill="1" applyBorder="1" applyAlignment="1">
      <alignment horizontal="center"/>
    </xf>
    <xf numFmtId="0" fontId="24" fillId="15" borderId="74" xfId="0" applyFont="1" applyFill="1" applyBorder="1"/>
    <xf numFmtId="0" fontId="24" fillId="15" borderId="6" xfId="0" applyFont="1" applyFill="1" applyBorder="1" applyAlignment="1">
      <alignment vertical="center"/>
    </xf>
    <xf numFmtId="165" fontId="24" fillId="15" borderId="44" xfId="5" applyFont="1" applyFill="1" applyBorder="1" applyAlignment="1">
      <alignment vertical="center"/>
    </xf>
    <xf numFmtId="165" fontId="24" fillId="15" borderId="12" xfId="5" applyFont="1" applyFill="1" applyBorder="1" applyAlignment="1">
      <alignment vertical="center"/>
    </xf>
    <xf numFmtId="0" fontId="24" fillId="0" borderId="0" xfId="0" applyFont="1"/>
    <xf numFmtId="0" fontId="24" fillId="15" borderId="0" xfId="0" applyFont="1" applyFill="1"/>
    <xf numFmtId="0" fontId="0" fillId="23" borderId="6" xfId="0" applyFill="1" applyBorder="1" applyAlignment="1">
      <alignment horizontal="center"/>
    </xf>
    <xf numFmtId="165" fontId="0" fillId="17" borderId="12" xfId="5" applyFont="1" applyFill="1" applyBorder="1" applyAlignment="1">
      <alignment horizontal="center"/>
    </xf>
    <xf numFmtId="165" fontId="0" fillId="17" borderId="44" xfId="5" applyFont="1" applyFill="1" applyBorder="1" applyAlignment="1">
      <alignment horizontal="center"/>
    </xf>
    <xf numFmtId="4" fontId="0" fillId="0" borderId="66" xfId="0" applyNumberFormat="1" applyBorder="1"/>
    <xf numFmtId="165" fontId="0" fillId="0" borderId="44" xfId="5" applyFont="1" applyBorder="1" applyAlignment="1">
      <alignment horizontal="center"/>
    </xf>
    <xf numFmtId="165" fontId="0" fillId="0" borderId="12" xfId="5" applyFont="1" applyBorder="1" applyAlignment="1">
      <alignment horizontal="center"/>
    </xf>
    <xf numFmtId="165" fontId="28" fillId="0" borderId="44" xfId="5" applyFont="1" applyBorder="1"/>
    <xf numFmtId="165" fontId="28" fillId="0" borderId="12" xfId="5" applyFont="1" applyBorder="1" applyAlignment="1">
      <alignment horizontal="center"/>
    </xf>
    <xf numFmtId="165" fontId="28" fillId="0" borderId="44" xfId="5" applyFont="1" applyBorder="1" applyAlignment="1">
      <alignment horizontal="center"/>
    </xf>
    <xf numFmtId="0" fontId="0" fillId="20" borderId="0" xfId="0" applyFill="1" applyAlignment="1">
      <alignment horizontal="center"/>
    </xf>
    <xf numFmtId="0" fontId="0" fillId="20" borderId="0" xfId="0" applyFill="1"/>
    <xf numFmtId="165" fontId="31" fillId="15" borderId="63" xfId="5" applyFont="1" applyFill="1" applyBorder="1" applyAlignment="1">
      <alignment vertical="center"/>
    </xf>
    <xf numFmtId="165" fontId="0" fillId="0" borderId="0" xfId="5" applyFont="1"/>
    <xf numFmtId="43" fontId="30" fillId="0" borderId="0" xfId="0" applyNumberFormat="1" applyFont="1"/>
    <xf numFmtId="0" fontId="24" fillId="14" borderId="1" xfId="0" applyFont="1" applyFill="1" applyBorder="1" applyAlignment="1">
      <alignment horizontal="center"/>
    </xf>
    <xf numFmtId="0" fontId="24" fillId="14" borderId="1" xfId="0" applyFont="1" applyFill="1" applyBorder="1"/>
    <xf numFmtId="165" fontId="24" fillId="14" borderId="1" xfId="5" applyFont="1" applyFill="1" applyBorder="1" applyAlignment="1">
      <alignment horizontal="center"/>
    </xf>
    <xf numFmtId="0" fontId="24" fillId="15" borderId="1" xfId="0" applyFont="1" applyFill="1" applyBorder="1" applyAlignment="1">
      <alignment horizontal="center"/>
    </xf>
    <xf numFmtId="0" fontId="24" fillId="15" borderId="1" xfId="0" applyFont="1" applyFill="1" applyBorder="1" applyAlignment="1">
      <alignment vertical="center"/>
    </xf>
    <xf numFmtId="0" fontId="24" fillId="15" borderId="1" xfId="0" applyFont="1" applyFill="1" applyBorder="1" applyAlignment="1">
      <alignment horizontal="center" vertical="center"/>
    </xf>
    <xf numFmtId="165" fontId="24" fillId="15" borderId="1" xfId="5" applyFont="1" applyFill="1" applyBorder="1" applyAlignment="1">
      <alignment horizontal="center"/>
    </xf>
    <xf numFmtId="165" fontId="24" fillId="15" borderId="1" xfId="5" applyFont="1" applyFill="1" applyBorder="1"/>
    <xf numFmtId="0" fontId="0" fillId="17" borderId="1" xfId="0" applyFill="1" applyBorder="1" applyAlignment="1">
      <alignment vertical="center"/>
    </xf>
    <xf numFmtId="165" fontId="0" fillId="0" borderId="1" xfId="5" applyFont="1" applyBorder="1" applyAlignment="1">
      <alignment horizontal="center"/>
    </xf>
    <xf numFmtId="165" fontId="0" fillId="0" borderId="1" xfId="5" applyFont="1" applyBorder="1"/>
    <xf numFmtId="0" fontId="0" fillId="17" borderId="1" xfId="0" applyFill="1" applyBorder="1"/>
    <xf numFmtId="0" fontId="0" fillId="0" borderId="1" xfId="0" applyBorder="1" applyAlignment="1">
      <alignment vertical="center"/>
    </xf>
    <xf numFmtId="165" fontId="28" fillId="18" borderId="1" xfId="5" applyFont="1" applyFill="1" applyBorder="1" applyAlignment="1">
      <alignment horizontal="center"/>
    </xf>
    <xf numFmtId="165" fontId="24" fillId="15" borderId="1" xfId="5" applyFont="1" applyFill="1" applyBorder="1" applyAlignment="1">
      <alignment vertical="center"/>
    </xf>
    <xf numFmtId="0" fontId="0" fillId="17" borderId="1" xfId="0" applyFill="1" applyBorder="1" applyAlignment="1">
      <alignment horizontal="center" vertical="center"/>
    </xf>
    <xf numFmtId="165" fontId="0" fillId="17" borderId="1" xfId="5" applyFont="1" applyFill="1" applyBorder="1" applyAlignment="1">
      <alignment horizontal="center"/>
    </xf>
    <xf numFmtId="165" fontId="0" fillId="17" borderId="1" xfId="5" applyFont="1" applyFill="1" applyBorder="1"/>
    <xf numFmtId="0" fontId="0" fillId="17" borderId="1" xfId="0" applyFill="1" applyBorder="1" applyAlignment="1">
      <alignment horizontal="center"/>
    </xf>
    <xf numFmtId="0" fontId="28" fillId="17" borderId="1" xfId="0" applyFont="1" applyFill="1" applyBorder="1" applyAlignment="1">
      <alignment vertical="center"/>
    </xf>
    <xf numFmtId="0" fontId="28" fillId="17" borderId="1" xfId="0" applyFont="1" applyFill="1" applyBorder="1" applyAlignment="1">
      <alignment horizontal="center" vertical="center"/>
    </xf>
    <xf numFmtId="165" fontId="28" fillId="17" borderId="1" xfId="5" applyFont="1" applyFill="1" applyBorder="1" applyAlignment="1">
      <alignment horizontal="center"/>
    </xf>
    <xf numFmtId="165" fontId="28" fillId="17" borderId="1" xfId="5" applyFont="1" applyFill="1" applyBorder="1"/>
    <xf numFmtId="0" fontId="0" fillId="19" borderId="1" xfId="0" applyFill="1" applyBorder="1" applyAlignment="1">
      <alignment horizontal="center"/>
    </xf>
    <xf numFmtId="0" fontId="0" fillId="19" borderId="1" xfId="0" applyFill="1" applyBorder="1" applyAlignment="1">
      <alignment vertical="center"/>
    </xf>
    <xf numFmtId="0" fontId="0" fillId="19" borderId="1" xfId="0" applyFill="1" applyBorder="1" applyAlignment="1">
      <alignment horizontal="center" vertical="center"/>
    </xf>
    <xf numFmtId="165" fontId="0" fillId="19" borderId="1" xfId="5" applyFont="1" applyFill="1" applyBorder="1" applyAlignment="1">
      <alignment horizontal="center"/>
    </xf>
    <xf numFmtId="165" fontId="0" fillId="19" borderId="1" xfId="5" applyFont="1" applyFill="1" applyBorder="1"/>
    <xf numFmtId="165" fontId="28" fillId="19" borderId="1" xfId="5" applyFont="1" applyFill="1" applyBorder="1" applyAlignment="1">
      <alignment horizontal="center"/>
    </xf>
    <xf numFmtId="0" fontId="28" fillId="0" borderId="1" xfId="0" applyFont="1" applyBorder="1" applyAlignment="1">
      <alignment horizontal="center"/>
    </xf>
    <xf numFmtId="4" fontId="28" fillId="0" borderId="1" xfId="0" applyNumberFormat="1" applyFont="1" applyBorder="1"/>
    <xf numFmtId="165" fontId="28" fillId="0" borderId="1" xfId="5" applyFont="1" applyBorder="1"/>
    <xf numFmtId="0" fontId="28" fillId="0" borderId="1" xfId="0" applyFont="1" applyBorder="1" applyAlignment="1">
      <alignment horizontal="center" vertical="center"/>
    </xf>
    <xf numFmtId="165" fontId="28" fillId="0" borderId="1" xfId="5" applyFont="1" applyBorder="1" applyAlignment="1">
      <alignment horizontal="center"/>
    </xf>
    <xf numFmtId="0" fontId="0" fillId="19" borderId="1" xfId="0" applyFill="1" applyBorder="1"/>
    <xf numFmtId="43" fontId="24" fillId="15" borderId="1" xfId="0" applyNumberFormat="1" applyFont="1" applyFill="1" applyBorder="1"/>
    <xf numFmtId="165" fontId="23" fillId="17" borderId="1" xfId="5" applyFill="1" applyBorder="1"/>
    <xf numFmtId="0" fontId="29" fillId="0" borderId="1" xfId="0" applyFont="1" applyBorder="1"/>
    <xf numFmtId="2" fontId="0" fillId="17" borderId="1" xfId="0" applyNumberFormat="1" applyFill="1" applyBorder="1" applyAlignment="1">
      <alignment vertical="center"/>
    </xf>
    <xf numFmtId="0" fontId="28" fillId="0" borderId="1" xfId="0" applyFont="1" applyBorder="1" applyAlignment="1">
      <alignment horizontal="left" vertical="center" wrapText="1"/>
    </xf>
    <xf numFmtId="0" fontId="28" fillId="19" borderId="1" xfId="0" applyFont="1" applyFill="1" applyBorder="1" applyAlignment="1">
      <alignment horizontal="left" vertical="center" wrapText="1"/>
    </xf>
    <xf numFmtId="0" fontId="28" fillId="19" borderId="1" xfId="0" applyFont="1" applyFill="1" applyBorder="1" applyAlignment="1">
      <alignment horizontal="center"/>
    </xf>
    <xf numFmtId="4" fontId="28" fillId="19" borderId="1" xfId="0" applyNumberFormat="1" applyFont="1" applyFill="1" applyBorder="1"/>
    <xf numFmtId="165" fontId="28" fillId="19" borderId="1" xfId="5" applyFont="1" applyFill="1" applyBorder="1"/>
    <xf numFmtId="165" fontId="0" fillId="17" borderId="1" xfId="5" applyFont="1" applyFill="1" applyBorder="1" applyAlignment="1">
      <alignment vertical="center"/>
    </xf>
    <xf numFmtId="165" fontId="24" fillId="15" borderId="1" xfId="0" applyNumberFormat="1" applyFont="1" applyFill="1" applyBorder="1"/>
    <xf numFmtId="165" fontId="0" fillId="19" borderId="1" xfId="0" applyNumberFormat="1" applyFill="1" applyBorder="1"/>
    <xf numFmtId="0" fontId="0" fillId="17" borderId="1" xfId="0" applyFill="1" applyBorder="1" applyAlignment="1">
      <alignment horizontal="left" vertical="center"/>
    </xf>
    <xf numFmtId="0" fontId="24" fillId="15" borderId="1" xfId="0" applyFont="1" applyFill="1" applyBorder="1"/>
    <xf numFmtId="0" fontId="1" fillId="17" borderId="1" xfId="0" applyFont="1" applyFill="1" applyBorder="1" applyAlignment="1">
      <alignment horizontal="left" vertical="center"/>
    </xf>
    <xf numFmtId="0" fontId="0" fillId="0" borderId="1" xfId="0" applyBorder="1" applyAlignment="1">
      <alignment horizontal="left" vertical="center"/>
    </xf>
    <xf numFmtId="165" fontId="1" fillId="0" borderId="1" xfId="5" applyFont="1" applyBorder="1" applyAlignment="1">
      <alignment vertical="center"/>
    </xf>
    <xf numFmtId="0" fontId="30" fillId="0" borderId="1" xfId="0" applyFont="1" applyBorder="1" applyAlignment="1">
      <alignment vertical="center"/>
    </xf>
    <xf numFmtId="165" fontId="30" fillId="0" borderId="1" xfId="5" applyFont="1" applyBorder="1" applyAlignment="1">
      <alignment vertical="center"/>
    </xf>
    <xf numFmtId="0" fontId="28" fillId="0" borderId="1" xfId="0" applyFont="1" applyBorder="1" applyAlignment="1">
      <alignment horizontal="left" vertical="center"/>
    </xf>
    <xf numFmtId="0" fontId="28" fillId="0" borderId="1" xfId="0" applyFont="1" applyBorder="1" applyAlignment="1">
      <alignment vertical="center"/>
    </xf>
    <xf numFmtId="0" fontId="12" fillId="17" borderId="1" xfId="0" applyFont="1" applyFill="1" applyBorder="1" applyAlignment="1">
      <alignment vertical="center"/>
    </xf>
    <xf numFmtId="0" fontId="31" fillId="20" borderId="1" xfId="0" applyFont="1" applyFill="1" applyBorder="1" applyAlignment="1">
      <alignment vertical="center"/>
    </xf>
    <xf numFmtId="165" fontId="31" fillId="15" borderId="1" xfId="5" applyFont="1" applyFill="1" applyBorder="1" applyAlignment="1">
      <alignment vertical="center"/>
    </xf>
    <xf numFmtId="0" fontId="0" fillId="20" borderId="30" xfId="0" applyFill="1" applyBorder="1" applyAlignment="1">
      <alignment horizontal="center"/>
    </xf>
    <xf numFmtId="0" fontId="0" fillId="20" borderId="22" xfId="0" applyFill="1" applyBorder="1"/>
    <xf numFmtId="165" fontId="0" fillId="20" borderId="32" xfId="5" applyFont="1" applyFill="1" applyBorder="1"/>
    <xf numFmtId="165" fontId="0" fillId="20" borderId="34" xfId="5" applyFont="1" applyFill="1" applyBorder="1"/>
    <xf numFmtId="165" fontId="32" fillId="20" borderId="32" xfId="5" applyFont="1" applyFill="1" applyBorder="1" applyAlignment="1">
      <alignment vertical="center"/>
    </xf>
    <xf numFmtId="165" fontId="34" fillId="20" borderId="40" xfId="5" applyFont="1" applyFill="1" applyBorder="1"/>
    <xf numFmtId="165" fontId="34" fillId="20" borderId="42" xfId="5" applyFont="1" applyFill="1" applyBorder="1"/>
    <xf numFmtId="165" fontId="32" fillId="20" borderId="40" xfId="5" applyFont="1" applyFill="1" applyBorder="1" applyAlignment="1">
      <alignment vertical="center"/>
    </xf>
    <xf numFmtId="165" fontId="0" fillId="0" borderId="33" xfId="5" applyFont="1" applyBorder="1"/>
    <xf numFmtId="44" fontId="30" fillId="0" borderId="1" xfId="2" applyFont="1" applyBorder="1"/>
    <xf numFmtId="44" fontId="32" fillId="20" borderId="1" xfId="2" applyFont="1" applyFill="1" applyBorder="1" applyAlignment="1">
      <alignment vertical="center"/>
    </xf>
    <xf numFmtId="44" fontId="24" fillId="15" borderId="12" xfId="2" applyFont="1" applyFill="1" applyBorder="1" applyAlignment="1">
      <alignment vertical="center"/>
    </xf>
    <xf numFmtId="44" fontId="0" fillId="17" borderId="12" xfId="2" applyFont="1" applyFill="1" applyBorder="1"/>
    <xf numFmtId="44" fontId="0" fillId="0" borderId="12" xfId="2" applyFont="1" applyBorder="1"/>
    <xf numFmtId="44" fontId="28" fillId="0" borderId="12" xfId="2" applyFont="1" applyBorder="1"/>
    <xf numFmtId="44" fontId="31" fillId="15" borderId="41" xfId="2" applyFont="1" applyFill="1" applyBorder="1" applyAlignment="1">
      <alignment vertical="center"/>
    </xf>
    <xf numFmtId="10" fontId="0" fillId="0" borderId="0" xfId="3" applyNumberFormat="1" applyFont="1"/>
    <xf numFmtId="0" fontId="36" fillId="0" borderId="0" xfId="6" applyFont="1" applyBorder="1"/>
    <xf numFmtId="0" fontId="36" fillId="0" borderId="0" xfId="6" applyFont="1" applyAlignment="1">
      <alignment horizontal="right"/>
    </xf>
    <xf numFmtId="0" fontId="36" fillId="0" borderId="0" xfId="6" applyFont="1"/>
    <xf numFmtId="0" fontId="38" fillId="0" borderId="79" xfId="6" applyFont="1" applyFill="1" applyBorder="1" applyAlignment="1">
      <alignment horizontal="center" vertical="center"/>
    </xf>
    <xf numFmtId="0" fontId="38" fillId="0" borderId="19" xfId="6" applyFont="1" applyFill="1" applyBorder="1" applyAlignment="1">
      <alignment horizontal="right" vertical="center"/>
    </xf>
    <xf numFmtId="0" fontId="38" fillId="0" borderId="19" xfId="6" applyFont="1" applyFill="1" applyBorder="1" applyAlignment="1">
      <alignment horizontal="center" vertical="center"/>
    </xf>
    <xf numFmtId="0" fontId="38" fillId="0" borderId="80" xfId="6" applyFont="1" applyFill="1" applyBorder="1" applyAlignment="1">
      <alignment horizontal="center" vertical="center"/>
    </xf>
    <xf numFmtId="0" fontId="39" fillId="0" borderId="74" xfId="6" applyFont="1" applyBorder="1" applyAlignment="1">
      <alignment horizontal="left" vertical="center"/>
    </xf>
    <xf numFmtId="0" fontId="38" fillId="18" borderId="0" xfId="6" applyFont="1" applyFill="1" applyBorder="1" applyAlignment="1">
      <alignment vertical="center"/>
    </xf>
    <xf numFmtId="0" fontId="36" fillId="18" borderId="0" xfId="6" applyFont="1" applyFill="1" applyBorder="1" applyAlignment="1">
      <alignment vertical="center"/>
    </xf>
    <xf numFmtId="0" fontId="39" fillId="18" borderId="0" xfId="6" applyFont="1" applyFill="1" applyBorder="1" applyAlignment="1">
      <alignment horizontal="left" vertical="center"/>
    </xf>
    <xf numFmtId="0" fontId="39" fillId="0" borderId="0" xfId="6" applyFont="1" applyBorder="1" applyAlignment="1">
      <alignment horizontal="left" vertical="center"/>
    </xf>
    <xf numFmtId="43" fontId="36" fillId="0" borderId="0" xfId="7" applyNumberFormat="1" applyFont="1" applyBorder="1"/>
    <xf numFmtId="0" fontId="36" fillId="0" borderId="81" xfId="6" applyFont="1" applyBorder="1"/>
    <xf numFmtId="0" fontId="38" fillId="0" borderId="0" xfId="6" applyFont="1" applyBorder="1" applyAlignment="1">
      <alignment vertical="center"/>
    </xf>
    <xf numFmtId="0" fontId="36" fillId="0" borderId="0" xfId="6" applyFont="1" applyBorder="1" applyAlignment="1">
      <alignment vertical="center"/>
    </xf>
    <xf numFmtId="0" fontId="38" fillId="0" borderId="0" xfId="6" applyFont="1" applyFill="1" applyBorder="1" applyAlignment="1">
      <alignment horizontal="right" vertical="center"/>
    </xf>
    <xf numFmtId="0" fontId="38" fillId="0" borderId="0" xfId="6" applyFont="1" applyFill="1" applyBorder="1" applyAlignment="1">
      <alignment vertical="center"/>
    </xf>
    <xf numFmtId="43" fontId="36" fillId="0" borderId="0" xfId="7" applyNumberFormat="1" applyFont="1" applyFill="1" applyBorder="1"/>
    <xf numFmtId="43" fontId="38" fillId="0" borderId="0" xfId="7" applyFont="1" applyFill="1" applyBorder="1" applyAlignment="1">
      <alignment vertical="center"/>
    </xf>
    <xf numFmtId="0" fontId="38" fillId="0" borderId="0" xfId="6" applyFont="1" applyFill="1" applyBorder="1" applyAlignment="1">
      <alignment horizontal="left" vertical="center"/>
    </xf>
    <xf numFmtId="166" fontId="38" fillId="0" borderId="0" xfId="6" applyNumberFormat="1" applyFont="1" applyFill="1" applyBorder="1" applyAlignment="1">
      <alignment horizontal="left" vertical="center"/>
    </xf>
    <xf numFmtId="168" fontId="38" fillId="0" borderId="0" xfId="8" applyFont="1" applyFill="1" applyBorder="1" applyAlignment="1">
      <alignment horizontal="left" vertical="center"/>
    </xf>
    <xf numFmtId="10" fontId="36" fillId="0" borderId="0" xfId="9" applyNumberFormat="1" applyFont="1" applyBorder="1"/>
    <xf numFmtId="168" fontId="38" fillId="0" borderId="0" xfId="8" applyFont="1" applyFill="1" applyBorder="1" applyAlignment="1">
      <alignment horizontal="right" vertical="center"/>
    </xf>
    <xf numFmtId="43" fontId="38" fillId="0" borderId="0" xfId="7" applyFont="1" applyFill="1" applyBorder="1" applyAlignment="1">
      <alignment horizontal="left" vertical="center"/>
    </xf>
    <xf numFmtId="10" fontId="36" fillId="0" borderId="0" xfId="9" applyNumberFormat="1" applyFont="1" applyFill="1" applyBorder="1"/>
    <xf numFmtId="9" fontId="36" fillId="0" borderId="0" xfId="6" applyNumberFormat="1" applyFont="1" applyBorder="1"/>
    <xf numFmtId="2" fontId="36" fillId="0" borderId="0" xfId="6" applyNumberFormat="1" applyFont="1" applyBorder="1"/>
    <xf numFmtId="168" fontId="41" fillId="0" borderId="0" xfId="8" applyFont="1" applyFill="1" applyBorder="1" applyAlignment="1">
      <alignment horizontal="right" vertical="center"/>
    </xf>
    <xf numFmtId="168" fontId="41" fillId="0" borderId="0" xfId="6" applyNumberFormat="1" applyFont="1" applyFill="1" applyBorder="1" applyAlignment="1">
      <alignment vertical="center"/>
    </xf>
    <xf numFmtId="168" fontId="44" fillId="0" borderId="0" xfId="8" applyFont="1" applyFill="1" applyBorder="1" applyAlignment="1">
      <alignment horizontal="right" vertical="center"/>
    </xf>
    <xf numFmtId="168" fontId="44" fillId="0" borderId="0" xfId="6" applyNumberFormat="1" applyFont="1" applyFill="1" applyBorder="1" applyAlignment="1">
      <alignment vertical="center"/>
    </xf>
    <xf numFmtId="168" fontId="43" fillId="0" borderId="0" xfId="8" applyFont="1" applyFill="1" applyBorder="1" applyAlignment="1">
      <alignment horizontal="right" vertical="center"/>
    </xf>
    <xf numFmtId="43" fontId="43" fillId="0" borderId="0" xfId="7" applyFont="1" applyFill="1" applyBorder="1" applyAlignment="1">
      <alignment horizontal="left" vertical="center"/>
    </xf>
    <xf numFmtId="0" fontId="36" fillId="0" borderId="0" xfId="6" applyFont="1" applyFill="1" applyBorder="1"/>
    <xf numFmtId="0" fontId="42" fillId="0" borderId="0" xfId="6" applyFont="1" applyFill="1" applyBorder="1" applyAlignment="1">
      <alignment horizontal="left" vertical="center"/>
    </xf>
    <xf numFmtId="10" fontId="43" fillId="0" borderId="0" xfId="9" applyNumberFormat="1" applyFont="1" applyFill="1" applyBorder="1" applyAlignment="1">
      <alignment horizontal="right" vertical="center"/>
    </xf>
    <xf numFmtId="167" fontId="36" fillId="0" borderId="0" xfId="9" applyNumberFormat="1" applyFont="1" applyBorder="1"/>
    <xf numFmtId="9" fontId="38" fillId="0" borderId="0" xfId="9" applyFont="1" applyFill="1" applyBorder="1" applyAlignment="1">
      <alignment horizontal="right" vertical="center"/>
    </xf>
    <xf numFmtId="0" fontId="38" fillId="0" borderId="0" xfId="6" applyFont="1" applyBorder="1" applyAlignment="1">
      <alignment horizontal="right" vertical="center"/>
    </xf>
    <xf numFmtId="0" fontId="36" fillId="0" borderId="0" xfId="6" applyFont="1" applyBorder="1" applyAlignment="1">
      <alignment horizontal="right" vertical="center"/>
    </xf>
    <xf numFmtId="0" fontId="35" fillId="0" borderId="0" xfId="6"/>
    <xf numFmtId="0" fontId="35" fillId="0" borderId="74" xfId="6" applyBorder="1"/>
    <xf numFmtId="0" fontId="35" fillId="0" borderId="0" xfId="6" applyBorder="1" applyAlignment="1">
      <alignment horizontal="right"/>
    </xf>
    <xf numFmtId="0" fontId="35" fillId="0" borderId="0" xfId="6" applyBorder="1"/>
    <xf numFmtId="0" fontId="35" fillId="0" borderId="81" xfId="6" applyBorder="1"/>
    <xf numFmtId="0" fontId="38" fillId="0" borderId="0" xfId="6" applyFont="1" applyFill="1" applyBorder="1" applyAlignment="1">
      <alignment horizontal="left"/>
    </xf>
    <xf numFmtId="0" fontId="36" fillId="0" borderId="0" xfId="6" applyFont="1" applyFill="1" applyBorder="1" applyAlignment="1">
      <alignment horizontal="right"/>
    </xf>
    <xf numFmtId="9" fontId="36" fillId="0" borderId="0" xfId="6" applyNumberFormat="1" applyFont="1" applyFill="1" applyBorder="1" applyAlignment="1">
      <alignment horizontal="center"/>
    </xf>
    <xf numFmtId="0" fontId="38" fillId="0" borderId="0" xfId="6" applyFont="1" applyFill="1" applyBorder="1" applyAlignment="1">
      <alignment horizontal="center"/>
    </xf>
    <xf numFmtId="0" fontId="36" fillId="0" borderId="0" xfId="6" applyFont="1" applyFill="1"/>
    <xf numFmtId="0" fontId="36" fillId="0" borderId="74" xfId="6" applyFont="1" applyBorder="1"/>
    <xf numFmtId="43" fontId="36" fillId="0" borderId="0" xfId="7" applyNumberFormat="1" applyFont="1" applyFill="1" applyBorder="1" applyAlignment="1">
      <alignment horizontal="right"/>
    </xf>
    <xf numFmtId="43" fontId="45" fillId="0" borderId="0" xfId="7" applyNumberFormat="1" applyFont="1" applyFill="1" applyBorder="1" applyAlignment="1">
      <alignment horizontal="right"/>
    </xf>
    <xf numFmtId="0" fontId="36" fillId="0" borderId="74" xfId="6" applyFont="1" applyFill="1" applyBorder="1"/>
    <xf numFmtId="0" fontId="36" fillId="24" borderId="83" xfId="6" applyFont="1" applyFill="1" applyBorder="1"/>
    <xf numFmtId="0" fontId="36" fillId="24" borderId="41" xfId="6" applyFont="1" applyFill="1" applyBorder="1"/>
    <xf numFmtId="43" fontId="38" fillId="24" borderId="40" xfId="7" applyNumberFormat="1" applyFont="1" applyFill="1" applyBorder="1" applyAlignment="1">
      <alignment horizontal="right" vertical="center"/>
    </xf>
    <xf numFmtId="43" fontId="36" fillId="24" borderId="41" xfId="7" applyNumberFormat="1" applyFont="1" applyFill="1" applyBorder="1" applyAlignment="1">
      <alignment vertical="center"/>
    </xf>
    <xf numFmtId="43" fontId="47" fillId="24" borderId="82" xfId="6" applyNumberFormat="1" applyFont="1" applyFill="1" applyBorder="1" applyAlignment="1">
      <alignment horizontal="right" vertical="center"/>
    </xf>
    <xf numFmtId="0" fontId="36" fillId="0" borderId="0" xfId="6" applyFont="1" applyBorder="1" applyAlignment="1">
      <alignment horizontal="right"/>
    </xf>
    <xf numFmtId="43" fontId="36" fillId="0" borderId="81" xfId="7" applyNumberFormat="1" applyFont="1" applyBorder="1"/>
    <xf numFmtId="10" fontId="47" fillId="24" borderId="82" xfId="9" applyNumberFormat="1" applyFont="1" applyFill="1" applyBorder="1" applyAlignment="1">
      <alignment horizontal="right" vertical="center"/>
    </xf>
    <xf numFmtId="43" fontId="38" fillId="0" borderId="0" xfId="7" applyNumberFormat="1" applyFont="1" applyFill="1" applyBorder="1" applyAlignment="1">
      <alignment horizontal="right" vertical="center"/>
    </xf>
    <xf numFmtId="43" fontId="36" fillId="0" borderId="0" xfId="7" applyNumberFormat="1" applyFont="1" applyFill="1" applyBorder="1" applyAlignment="1">
      <alignment vertical="center"/>
    </xf>
    <xf numFmtId="172" fontId="38" fillId="0" borderId="81" xfId="9" applyNumberFormat="1" applyFont="1" applyFill="1" applyBorder="1" applyAlignment="1">
      <alignment horizontal="right" vertical="center"/>
    </xf>
    <xf numFmtId="0" fontId="36" fillId="0" borderId="79" xfId="6" applyFont="1" applyBorder="1"/>
    <xf numFmtId="0" fontId="36" fillId="0" borderId="19" xfId="6" applyFont="1" applyBorder="1" applyAlignment="1">
      <alignment horizontal="right"/>
    </xf>
    <xf numFmtId="0" fontId="36" fillId="0" borderId="19" xfId="6" applyFont="1" applyBorder="1"/>
    <xf numFmtId="43" fontId="36" fillId="0" borderId="19" xfId="7" applyNumberFormat="1" applyFont="1" applyBorder="1"/>
    <xf numFmtId="0" fontId="36" fillId="0" borderId="80" xfId="6" applyFont="1" applyBorder="1"/>
    <xf numFmtId="0" fontId="36" fillId="0" borderId="0" xfId="6" applyFont="1" applyBorder="1" applyAlignment="1">
      <alignment horizontal="center"/>
    </xf>
    <xf numFmtId="0" fontId="36" fillId="0" borderId="15" xfId="6" applyFont="1" applyBorder="1" applyAlignment="1">
      <alignment horizontal="right"/>
    </xf>
    <xf numFmtId="0" fontId="36" fillId="0" borderId="15" xfId="6" applyFont="1" applyBorder="1" applyAlignment="1">
      <alignment horizontal="center"/>
    </xf>
    <xf numFmtId="0" fontId="36" fillId="0" borderId="15" xfId="6" applyFont="1" applyBorder="1"/>
    <xf numFmtId="0" fontId="36" fillId="0" borderId="93" xfId="6" applyFont="1" applyBorder="1"/>
    <xf numFmtId="0" fontId="36" fillId="0" borderId="94" xfId="6" applyFont="1" applyBorder="1" applyAlignment="1">
      <alignment horizontal="right"/>
    </xf>
    <xf numFmtId="0" fontId="36" fillId="0" borderId="94" xfId="6" applyFont="1" applyBorder="1" applyAlignment="1">
      <alignment horizontal="left"/>
    </xf>
    <xf numFmtId="166" fontId="36" fillId="0" borderId="94" xfId="7" applyNumberFormat="1" applyFont="1" applyBorder="1" applyAlignment="1">
      <alignment horizontal="center"/>
    </xf>
    <xf numFmtId="0" fontId="36" fillId="0" borderId="94" xfId="6" applyFont="1" applyBorder="1"/>
    <xf numFmtId="0" fontId="36" fillId="0" borderId="95" xfId="6" applyFont="1" applyBorder="1"/>
    <xf numFmtId="0" fontId="38" fillId="0" borderId="0" xfId="6" applyFont="1" applyBorder="1" applyAlignment="1">
      <alignment horizontal="left" vertical="center"/>
    </xf>
    <xf numFmtId="166" fontId="38" fillId="0" borderId="0" xfId="6" applyNumberFormat="1" applyFont="1" applyBorder="1" applyAlignment="1">
      <alignment horizontal="right" vertical="center"/>
    </xf>
    <xf numFmtId="170" fontId="36" fillId="19" borderId="0" xfId="7" applyNumberFormat="1" applyFont="1" applyFill="1" applyBorder="1"/>
    <xf numFmtId="43" fontId="38" fillId="8" borderId="0" xfId="7" applyNumberFormat="1" applyFont="1" applyFill="1" applyBorder="1" applyAlignment="1">
      <alignment horizontal="right" vertical="center"/>
    </xf>
    <xf numFmtId="43" fontId="36" fillId="8" borderId="0" xfId="7" applyNumberFormat="1" applyFont="1" applyFill="1" applyBorder="1" applyAlignment="1">
      <alignment vertical="center"/>
    </xf>
    <xf numFmtId="0" fontId="36" fillId="24" borderId="0" xfId="6" applyFont="1" applyFill="1" applyBorder="1"/>
    <xf numFmtId="43" fontId="38" fillId="24" borderId="0" xfId="7" applyNumberFormat="1" applyFont="1" applyFill="1" applyBorder="1" applyAlignment="1">
      <alignment horizontal="right" vertical="center"/>
    </xf>
    <xf numFmtId="43" fontId="36" fillId="24" borderId="0" xfId="7" applyNumberFormat="1" applyFont="1" applyFill="1" applyBorder="1" applyAlignment="1">
      <alignment vertical="center"/>
    </xf>
    <xf numFmtId="10" fontId="47" fillId="24" borderId="0" xfId="9" applyNumberFormat="1" applyFont="1" applyFill="1" applyBorder="1" applyAlignment="1">
      <alignment horizontal="right" vertical="center"/>
    </xf>
    <xf numFmtId="172" fontId="38" fillId="0" borderId="0" xfId="9" applyNumberFormat="1" applyFont="1" applyFill="1" applyBorder="1" applyAlignment="1">
      <alignment horizontal="right" vertical="center"/>
    </xf>
    <xf numFmtId="43" fontId="47" fillId="24" borderId="0" xfId="6" applyNumberFormat="1" applyFont="1" applyFill="1" applyBorder="1" applyAlignment="1">
      <alignment horizontal="right" vertical="center"/>
    </xf>
    <xf numFmtId="44" fontId="36" fillId="0" borderId="0" xfId="2" applyFont="1" applyFill="1" applyBorder="1" applyAlignment="1">
      <alignment horizontal="right"/>
    </xf>
    <xf numFmtId="44" fontId="47" fillId="8" borderId="0" xfId="2" applyFont="1" applyFill="1" applyBorder="1" applyAlignment="1">
      <alignment horizontal="right" vertical="center"/>
    </xf>
    <xf numFmtId="0" fontId="38" fillId="11" borderId="0" xfId="6" applyFont="1" applyFill="1" applyBorder="1" applyAlignment="1">
      <alignment horizontal="right"/>
    </xf>
    <xf numFmtId="0" fontId="38" fillId="11" borderId="0" xfId="6" applyFont="1" applyFill="1" applyBorder="1" applyAlignment="1">
      <alignment horizontal="center"/>
    </xf>
    <xf numFmtId="43" fontId="36" fillId="11" borderId="0" xfId="7" applyNumberFormat="1" applyFont="1" applyFill="1" applyBorder="1" applyAlignment="1">
      <alignment horizontal="right"/>
    </xf>
    <xf numFmtId="170" fontId="36" fillId="11" borderId="0" xfId="7" applyNumberFormat="1" applyFont="1" applyFill="1" applyBorder="1"/>
    <xf numFmtId="43" fontId="36" fillId="11" borderId="0" xfId="7" applyNumberFormat="1" applyFont="1" applyFill="1" applyBorder="1"/>
    <xf numFmtId="0" fontId="39" fillId="11" borderId="0" xfId="6" applyFont="1" applyFill="1" applyBorder="1" applyAlignment="1">
      <alignment horizontal="right"/>
    </xf>
    <xf numFmtId="0" fontId="39" fillId="11" borderId="0" xfId="6" applyFont="1" applyFill="1" applyBorder="1" applyAlignment="1">
      <alignment horizontal="center"/>
    </xf>
    <xf numFmtId="0" fontId="38" fillId="0" borderId="0" xfId="6" applyFont="1" applyFill="1" applyBorder="1" applyAlignment="1">
      <alignment horizontal="right"/>
    </xf>
    <xf numFmtId="9" fontId="36" fillId="0" borderId="0" xfId="9" applyFont="1" applyFill="1" applyBorder="1" applyAlignment="1">
      <alignment horizontal="right"/>
    </xf>
    <xf numFmtId="169" fontId="36" fillId="0" borderId="0" xfId="7" applyNumberFormat="1" applyFont="1" applyFill="1" applyBorder="1"/>
    <xf numFmtId="170" fontId="36" fillId="0" borderId="0" xfId="7" applyNumberFormat="1" applyFont="1" applyFill="1" applyBorder="1"/>
    <xf numFmtId="169" fontId="36" fillId="0" borderId="0" xfId="7" applyNumberFormat="1" applyFont="1" applyFill="1" applyBorder="1" applyAlignment="1">
      <alignment horizontal="right"/>
    </xf>
    <xf numFmtId="0" fontId="39" fillId="0" borderId="0" xfId="6" applyFont="1" applyFill="1" applyBorder="1" applyAlignment="1">
      <alignment horizontal="right"/>
    </xf>
    <xf numFmtId="0" fontId="39" fillId="0" borderId="0" xfId="6" applyFont="1" applyFill="1" applyBorder="1" applyAlignment="1">
      <alignment horizontal="center"/>
    </xf>
    <xf numFmtId="43" fontId="38" fillId="0" borderId="0" xfId="7" applyNumberFormat="1" applyFont="1" applyFill="1" applyBorder="1"/>
    <xf numFmtId="43" fontId="38" fillId="0" borderId="0" xfId="7" applyFont="1" applyFill="1" applyBorder="1" applyAlignment="1">
      <alignment horizontal="center"/>
    </xf>
    <xf numFmtId="0" fontId="39" fillId="0" borderId="0" xfId="6" applyFont="1" applyFill="1" applyBorder="1"/>
    <xf numFmtId="170" fontId="39" fillId="0" borderId="0" xfId="7" applyNumberFormat="1" applyFont="1" applyFill="1" applyBorder="1"/>
    <xf numFmtId="43" fontId="38" fillId="0" borderId="0" xfId="7" applyNumberFormat="1" applyFont="1" applyFill="1" applyBorder="1" applyAlignment="1">
      <alignment horizontal="center"/>
    </xf>
    <xf numFmtId="0" fontId="35" fillId="0" borderId="0" xfId="6" applyFill="1" applyBorder="1" applyAlignment="1">
      <alignment horizontal="right"/>
    </xf>
    <xf numFmtId="0" fontId="35" fillId="0" borderId="0" xfId="6" applyFill="1" applyBorder="1"/>
    <xf numFmtId="0" fontId="39" fillId="25" borderId="19" xfId="6" applyFont="1" applyFill="1" applyBorder="1" applyAlignment="1">
      <alignment horizontal="center"/>
    </xf>
    <xf numFmtId="0" fontId="39" fillId="25" borderId="80" xfId="6" applyFont="1" applyFill="1" applyBorder="1" applyAlignment="1"/>
    <xf numFmtId="166" fontId="48" fillId="0" borderId="0" xfId="6" applyNumberFormat="1" applyFont="1" applyFill="1" applyBorder="1" applyAlignment="1">
      <alignment horizontal="center"/>
    </xf>
    <xf numFmtId="43" fontId="36" fillId="0" borderId="0" xfId="6" applyNumberFormat="1" applyFont="1"/>
    <xf numFmtId="0" fontId="37" fillId="24" borderId="0" xfId="6" applyFont="1" applyFill="1" applyBorder="1" applyAlignment="1">
      <alignment horizontal="center" vertical="center"/>
    </xf>
    <xf numFmtId="0" fontId="38" fillId="0" borderId="0" xfId="6" applyFont="1" applyFill="1" applyBorder="1" applyAlignment="1">
      <alignment horizontal="center" vertical="center"/>
    </xf>
    <xf numFmtId="0" fontId="39" fillId="25" borderId="0" xfId="6" applyFont="1" applyFill="1" applyBorder="1" applyAlignment="1"/>
    <xf numFmtId="0" fontId="38" fillId="19" borderId="0" xfId="6" applyFont="1" applyFill="1" applyBorder="1" applyAlignment="1">
      <alignment horizontal="left"/>
    </xf>
    <xf numFmtId="0" fontId="38" fillId="19" borderId="0" xfId="6" applyFont="1" applyFill="1" applyBorder="1" applyAlignment="1">
      <alignment horizontal="right"/>
    </xf>
    <xf numFmtId="0" fontId="38" fillId="19" borderId="0" xfId="6" applyFont="1" applyFill="1" applyBorder="1" applyAlignment="1">
      <alignment horizontal="center"/>
    </xf>
    <xf numFmtId="166" fontId="38" fillId="19" borderId="0" xfId="6" applyNumberFormat="1" applyFont="1" applyFill="1" applyBorder="1" applyAlignment="1">
      <alignment horizontal="center"/>
    </xf>
    <xf numFmtId="0" fontId="39" fillId="19" borderId="0" xfId="6" applyFont="1" applyFill="1" applyBorder="1"/>
    <xf numFmtId="43" fontId="36" fillId="19" borderId="0" xfId="7" applyNumberFormat="1" applyFont="1" applyFill="1" applyBorder="1" applyAlignment="1">
      <alignment horizontal="right"/>
    </xf>
    <xf numFmtId="43" fontId="36" fillId="19" borderId="0" xfId="7" applyNumberFormat="1" applyFont="1" applyFill="1" applyBorder="1"/>
    <xf numFmtId="170" fontId="39" fillId="19" borderId="0" xfId="7" applyNumberFormat="1" applyFont="1" applyFill="1" applyBorder="1" applyAlignment="1">
      <alignment horizontal="right"/>
    </xf>
    <xf numFmtId="170" fontId="39" fillId="19" borderId="0" xfId="7" applyNumberFormat="1" applyFont="1" applyFill="1" applyBorder="1"/>
    <xf numFmtId="0" fontId="39" fillId="19" borderId="0" xfId="6" applyFont="1" applyFill="1" applyBorder="1" applyAlignment="1">
      <alignment horizontal="right"/>
    </xf>
    <xf numFmtId="0" fontId="39" fillId="19" borderId="0" xfId="6" applyFont="1" applyFill="1" applyBorder="1" applyAlignment="1">
      <alignment horizontal="center"/>
    </xf>
    <xf numFmtId="43" fontId="47" fillId="19" borderId="0" xfId="6" applyNumberFormat="1" applyFont="1" applyFill="1" applyBorder="1" applyAlignment="1">
      <alignment horizontal="right" vertical="center"/>
    </xf>
    <xf numFmtId="0" fontId="36" fillId="19" borderId="0" xfId="6" applyFont="1" applyFill="1" applyBorder="1"/>
    <xf numFmtId="43" fontId="38" fillId="19" borderId="0" xfId="7" applyNumberFormat="1" applyFont="1" applyFill="1" applyBorder="1" applyAlignment="1">
      <alignment horizontal="right" vertical="center"/>
    </xf>
    <xf numFmtId="43" fontId="36" fillId="19" borderId="0" xfId="7" applyNumberFormat="1" applyFont="1" applyFill="1" applyBorder="1" applyAlignment="1">
      <alignment vertical="center"/>
    </xf>
    <xf numFmtId="0" fontId="36" fillId="24" borderId="100" xfId="6" applyFont="1" applyFill="1" applyBorder="1"/>
    <xf numFmtId="44" fontId="38" fillId="0" borderId="0" xfId="2" applyFont="1" applyFill="1" applyBorder="1" applyAlignment="1">
      <alignment horizontal="right"/>
    </xf>
    <xf numFmtId="44" fontId="36" fillId="0" borderId="0" xfId="2" applyFont="1" applyFill="1" applyBorder="1"/>
    <xf numFmtId="44" fontId="45" fillId="19" borderId="0" xfId="2" applyFont="1" applyFill="1" applyBorder="1" applyAlignment="1">
      <alignment horizontal="center"/>
    </xf>
    <xf numFmtId="44" fontId="45" fillId="0" borderId="0" xfId="2" applyFont="1" applyFill="1" applyBorder="1"/>
    <xf numFmtId="44" fontId="45" fillId="0" borderId="0" xfId="2" applyFont="1" applyFill="1" applyBorder="1" applyAlignment="1">
      <alignment horizontal="center"/>
    </xf>
    <xf numFmtId="44" fontId="45" fillId="0" borderId="0" xfId="2" applyFont="1" applyFill="1" applyBorder="1" applyAlignment="1"/>
    <xf numFmtId="44" fontId="36" fillId="19" borderId="0" xfId="2" applyFont="1" applyFill="1" applyBorder="1" applyAlignment="1">
      <alignment horizontal="center"/>
    </xf>
    <xf numFmtId="44" fontId="35" fillId="19" borderId="0" xfId="2" applyFont="1" applyFill="1" applyBorder="1" applyAlignment="1">
      <alignment horizontal="center" vertical="center"/>
    </xf>
    <xf numFmtId="168" fontId="38" fillId="18" borderId="0" xfId="8" applyFont="1" applyFill="1" applyBorder="1" applyAlignment="1">
      <alignment horizontal="right" vertical="center"/>
    </xf>
    <xf numFmtId="0" fontId="42" fillId="19" borderId="0" xfId="6" applyFont="1" applyFill="1" applyBorder="1" applyAlignment="1">
      <alignment horizontal="left" vertical="center"/>
    </xf>
    <xf numFmtId="168" fontId="43" fillId="19" borderId="0" xfId="8" applyFont="1" applyFill="1" applyBorder="1" applyAlignment="1">
      <alignment horizontal="right" vertical="center"/>
    </xf>
    <xf numFmtId="0" fontId="42" fillId="0" borderId="0" xfId="6" applyFont="1" applyBorder="1" applyAlignment="1">
      <alignment horizontal="left" vertical="center"/>
    </xf>
    <xf numFmtId="10" fontId="43" fillId="18" borderId="0" xfId="9" applyNumberFormat="1" applyFont="1" applyFill="1" applyBorder="1" applyAlignment="1">
      <alignment horizontal="right" vertical="center"/>
    </xf>
    <xf numFmtId="43" fontId="36" fillId="0" borderId="0" xfId="6" applyNumberFormat="1" applyFont="1" applyFill="1" applyBorder="1" applyAlignment="1">
      <alignment horizontal="right"/>
    </xf>
    <xf numFmtId="2" fontId="36" fillId="0" borderId="0" xfId="6" applyNumberFormat="1" applyFont="1" applyFill="1" applyAlignment="1">
      <alignment horizontal="center"/>
    </xf>
    <xf numFmtId="43" fontId="38" fillId="0" borderId="0" xfId="7" applyNumberFormat="1" applyFont="1" applyFill="1" applyBorder="1" applyAlignment="1">
      <alignment horizontal="right"/>
    </xf>
    <xf numFmtId="43" fontId="39" fillId="0" borderId="0" xfId="7" applyNumberFormat="1" applyFont="1" applyFill="1" applyBorder="1"/>
    <xf numFmtId="9" fontId="36" fillId="0" borderId="0" xfId="9" applyFont="1" applyFill="1" applyBorder="1"/>
    <xf numFmtId="168" fontId="36" fillId="0" borderId="0" xfId="8" applyFont="1" applyFill="1" applyBorder="1" applyAlignment="1">
      <alignment horizontal="right"/>
    </xf>
    <xf numFmtId="171" fontId="36" fillId="0" borderId="0" xfId="6" applyNumberFormat="1" applyFont="1" applyFill="1" applyBorder="1"/>
    <xf numFmtId="172" fontId="36" fillId="0" borderId="0" xfId="6" applyNumberFormat="1" applyFont="1" applyFill="1" applyBorder="1"/>
    <xf numFmtId="166" fontId="36" fillId="0" borderId="0" xfId="7" applyNumberFormat="1" applyFont="1" applyFill="1" applyBorder="1"/>
    <xf numFmtId="171" fontId="46" fillId="0" borderId="0" xfId="6" applyNumberFormat="1" applyFont="1" applyFill="1" applyBorder="1"/>
    <xf numFmtId="166" fontId="36" fillId="0" borderId="0" xfId="6" applyNumberFormat="1" applyFont="1" applyFill="1" applyBorder="1"/>
    <xf numFmtId="10" fontId="36" fillId="0" borderId="0" xfId="6" applyNumberFormat="1" applyFont="1" applyFill="1" applyBorder="1" applyAlignment="1">
      <alignment horizontal="right"/>
    </xf>
    <xf numFmtId="43" fontId="36" fillId="0" borderId="0" xfId="7" applyFont="1" applyFill="1" applyBorder="1"/>
    <xf numFmtId="168" fontId="36" fillId="0" borderId="0" xfId="6" applyNumberFormat="1" applyFont="1" applyFill="1" applyBorder="1" applyAlignment="1">
      <alignment horizontal="right"/>
    </xf>
    <xf numFmtId="10" fontId="36" fillId="0" borderId="0" xfId="6" applyNumberFormat="1" applyFont="1" applyFill="1" applyBorder="1"/>
    <xf numFmtId="0" fontId="38" fillId="11" borderId="0" xfId="6" applyFont="1" applyFill="1" applyBorder="1" applyAlignment="1">
      <alignment horizontal="left"/>
    </xf>
    <xf numFmtId="44" fontId="45" fillId="11" borderId="0" xfId="2" applyFont="1" applyFill="1" applyBorder="1" applyAlignment="1">
      <alignment horizontal="center"/>
    </xf>
    <xf numFmtId="2" fontId="36" fillId="11" borderId="0" xfId="6" applyNumberFormat="1" applyFont="1" applyFill="1" applyAlignment="1">
      <alignment horizontal="center"/>
    </xf>
    <xf numFmtId="0" fontId="39" fillId="11" borderId="0" xfId="6" applyFont="1" applyFill="1" applyBorder="1"/>
    <xf numFmtId="44" fontId="36" fillId="11" borderId="0" xfId="2" applyFont="1" applyFill="1" applyBorder="1"/>
    <xf numFmtId="0" fontId="39" fillId="0" borderId="1" xfId="6" applyFont="1" applyFill="1" applyBorder="1" applyAlignment="1">
      <alignment horizontal="center"/>
    </xf>
    <xf numFmtId="0" fontId="39" fillId="0" borderId="1" xfId="6" applyFont="1" applyFill="1" applyBorder="1" applyAlignment="1"/>
    <xf numFmtId="0" fontId="36" fillId="0" borderId="1" xfId="6" applyFont="1" applyFill="1" applyBorder="1"/>
    <xf numFmtId="166" fontId="38" fillId="0" borderId="1" xfId="6" applyNumberFormat="1" applyFont="1" applyFill="1" applyBorder="1" applyAlignment="1">
      <alignment horizontal="center"/>
    </xf>
    <xf numFmtId="10" fontId="36" fillId="0" borderId="0" xfId="3" applyNumberFormat="1" applyFont="1" applyFill="1" applyAlignment="1">
      <alignment horizontal="center"/>
    </xf>
    <xf numFmtId="10" fontId="36" fillId="11" borderId="0" xfId="3" applyNumberFormat="1" applyFont="1" applyFill="1" applyAlignment="1">
      <alignment horizontal="center"/>
    </xf>
    <xf numFmtId="44" fontId="39" fillId="0" borderId="0" xfId="2" applyFont="1" applyFill="1" applyBorder="1"/>
    <xf numFmtId="170" fontId="39" fillId="0" borderId="0" xfId="7" applyNumberFormat="1" applyFont="1" applyFill="1" applyBorder="1" applyAlignment="1">
      <alignment horizontal="center"/>
    </xf>
    <xf numFmtId="0" fontId="36" fillId="31" borderId="0" xfId="6" applyFont="1" applyFill="1" applyBorder="1" applyAlignment="1">
      <alignment horizontal="center" vertical="center"/>
    </xf>
    <xf numFmtId="43" fontId="38" fillId="31" borderId="0" xfId="7" applyNumberFormat="1" applyFont="1" applyFill="1" applyBorder="1" applyAlignment="1">
      <alignment horizontal="center" vertical="center"/>
    </xf>
    <xf numFmtId="43" fontId="36" fillId="31" borderId="0" xfId="7" applyNumberFormat="1" applyFont="1" applyFill="1" applyBorder="1" applyAlignment="1">
      <alignment horizontal="center" vertical="center"/>
    </xf>
    <xf numFmtId="44" fontId="35" fillId="31" borderId="0" xfId="2" applyFont="1" applyFill="1" applyBorder="1" applyAlignment="1">
      <alignment horizontal="center" vertical="center"/>
    </xf>
    <xf numFmtId="2" fontId="36" fillId="31" borderId="0" xfId="6" applyNumberFormat="1" applyFont="1" applyFill="1" applyAlignment="1">
      <alignment horizontal="center" vertical="center"/>
    </xf>
    <xf numFmtId="10" fontId="36" fillId="31" borderId="0" xfId="3" applyNumberFormat="1" applyFont="1" applyFill="1" applyAlignment="1">
      <alignment horizontal="center" vertical="center"/>
    </xf>
    <xf numFmtId="2" fontId="0" fillId="0" borderId="0" xfId="0" applyNumberFormat="1"/>
    <xf numFmtId="0" fontId="0" fillId="31" borderId="0" xfId="0" applyFill="1"/>
    <xf numFmtId="2" fontId="1" fillId="31" borderId="0" xfId="0" applyNumberFormat="1" applyFont="1" applyFill="1"/>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8" fillId="20" borderId="101" xfId="0" applyFont="1" applyFill="1" applyBorder="1" applyAlignment="1">
      <alignment vertical="center" wrapText="1"/>
    </xf>
    <xf numFmtId="0" fontId="50" fillId="11" borderId="10" xfId="0" applyFont="1" applyFill="1" applyBorder="1" applyAlignment="1">
      <alignment vertical="center" wrapText="1"/>
    </xf>
    <xf numFmtId="0" fontId="50" fillId="33" borderId="1" xfId="0" applyFont="1" applyFill="1" applyBorder="1" applyAlignment="1">
      <alignment horizontal="center" vertical="center" wrapText="1"/>
    </xf>
    <xf numFmtId="0" fontId="50" fillId="32" borderId="1" xfId="0" applyFont="1" applyFill="1" applyBorder="1" applyAlignment="1">
      <alignment horizontal="center" vertical="center" wrapText="1"/>
    </xf>
    <xf numFmtId="0" fontId="50" fillId="34" borderId="1" xfId="0" applyFont="1" applyFill="1" applyBorder="1" applyAlignment="1">
      <alignment horizontal="center" vertical="center" wrapText="1"/>
    </xf>
    <xf numFmtId="0" fontId="50" fillId="35" borderId="1" xfId="0" applyFont="1" applyFill="1" applyBorder="1" applyAlignment="1">
      <alignment horizontal="center" vertical="center" wrapText="1"/>
    </xf>
    <xf numFmtId="0" fontId="49" fillId="11" borderId="1" xfId="0" applyFont="1" applyFill="1" applyBorder="1" applyAlignment="1">
      <alignment vertical="center" wrapText="1"/>
    </xf>
    <xf numFmtId="0" fontId="5" fillId="33" borderId="1" xfId="0" applyFont="1" applyFill="1" applyBorder="1" applyAlignment="1">
      <alignment horizontal="center" vertical="center"/>
    </xf>
    <xf numFmtId="0" fontId="5" fillId="32" borderId="1" xfId="0" applyFont="1" applyFill="1" applyBorder="1" applyAlignment="1">
      <alignment horizontal="center" vertical="center"/>
    </xf>
    <xf numFmtId="0" fontId="5" fillId="34" borderId="1" xfId="0" applyFont="1" applyFill="1" applyBorder="1" applyAlignment="1">
      <alignment horizontal="center" vertical="center"/>
    </xf>
    <xf numFmtId="0" fontId="5" fillId="35" borderId="1" xfId="0" applyFont="1" applyFill="1" applyBorder="1" applyAlignment="1">
      <alignment horizontal="center" vertical="center"/>
    </xf>
    <xf numFmtId="0" fontId="18" fillId="0" borderId="1" xfId="0" applyFont="1" applyBorder="1" applyAlignment="1">
      <alignment horizontal="center"/>
    </xf>
    <xf numFmtId="0" fontId="18" fillId="0" borderId="0" xfId="0" applyFont="1" applyBorder="1" applyAlignment="1">
      <alignment horizontal="center"/>
    </xf>
    <xf numFmtId="0" fontId="21" fillId="0" borderId="1" xfId="0" applyFont="1" applyBorder="1" applyAlignment="1">
      <alignment horizontal="left" vertical="center" wrapText="1"/>
    </xf>
    <xf numFmtId="0" fontId="0" fillId="0" borderId="0" xfId="0" applyAlignment="1">
      <alignment vertical="center"/>
    </xf>
    <xf numFmtId="0" fontId="0" fillId="0" borderId="102" xfId="0" applyBorder="1"/>
    <xf numFmtId="0" fontId="1" fillId="36" borderId="1" xfId="0" applyFont="1" applyFill="1" applyBorder="1" applyAlignment="1">
      <alignment vertical="center"/>
    </xf>
    <xf numFmtId="0" fontId="1" fillId="2" borderId="1" xfId="0" applyFont="1" applyFill="1" applyBorder="1" applyAlignment="1">
      <alignment vertical="center"/>
    </xf>
    <xf numFmtId="0" fontId="1" fillId="37" borderId="1" xfId="0" applyFont="1" applyFill="1" applyBorder="1" applyAlignment="1">
      <alignment vertical="center"/>
    </xf>
    <xf numFmtId="0" fontId="1" fillId="38" borderId="1" xfId="0" applyFont="1" applyFill="1" applyBorder="1" applyAlignment="1">
      <alignment vertical="center"/>
    </xf>
    <xf numFmtId="0" fontId="1" fillId="39" borderId="1" xfId="0" applyFont="1" applyFill="1" applyBorder="1" applyAlignment="1">
      <alignment vertical="center"/>
    </xf>
    <xf numFmtId="0" fontId="1" fillId="13" borderId="1" xfId="0" applyFont="1" applyFill="1" applyBorder="1" applyAlignment="1">
      <alignment vertical="center"/>
    </xf>
    <xf numFmtId="0" fontId="1" fillId="20" borderId="1" xfId="0" applyFont="1" applyFill="1" applyBorder="1" applyAlignment="1">
      <alignment vertical="center"/>
    </xf>
    <xf numFmtId="0" fontId="0" fillId="0" borderId="1" xfId="0" applyBorder="1" applyAlignment="1">
      <alignment horizontal="center" vertical="center"/>
    </xf>
    <xf numFmtId="0" fontId="11" fillId="0" borderId="0" xfId="0" applyFont="1" applyBorder="1" applyAlignment="1">
      <alignment horizontal="center"/>
    </xf>
    <xf numFmtId="0" fontId="0" fillId="23" borderId="67" xfId="0" applyFill="1" applyBorder="1" applyAlignment="1">
      <alignment horizontal="left" vertical="center" wrapText="1"/>
    </xf>
    <xf numFmtId="0" fontId="0" fillId="23" borderId="68" xfId="0" applyFill="1" applyBorder="1" applyAlignment="1">
      <alignment horizontal="left" vertical="center" wrapText="1"/>
    </xf>
    <xf numFmtId="0" fontId="18" fillId="5" borderId="5" xfId="0" applyFont="1" applyFill="1" applyBorder="1" applyAlignment="1">
      <alignment vertical="center" wrapText="1"/>
    </xf>
    <xf numFmtId="0" fontId="18" fillId="5" borderId="5" xfId="0" applyFont="1" applyFill="1" applyBorder="1" applyAlignment="1">
      <alignment vertical="center"/>
    </xf>
    <xf numFmtId="0" fontId="18" fillId="0" borderId="1" xfId="0" applyFont="1" applyFill="1" applyBorder="1" applyAlignment="1">
      <alignment horizontal="center"/>
    </xf>
    <xf numFmtId="0" fontId="18" fillId="0" borderId="6" xfId="0" applyFont="1" applyFill="1" applyBorder="1" applyAlignment="1"/>
    <xf numFmtId="0" fontId="18" fillId="5" borderId="5" xfId="0" applyFont="1" applyFill="1" applyBorder="1"/>
    <xf numFmtId="0" fontId="19" fillId="5" borderId="5" xfId="0" applyFont="1" applyFill="1" applyBorder="1" applyAlignment="1">
      <alignment horizontal="center" vertical="center" wrapText="1"/>
    </xf>
    <xf numFmtId="0" fontId="19" fillId="5" borderId="1" xfId="0" applyFont="1" applyFill="1" applyBorder="1" applyAlignment="1">
      <alignment horizontal="center" vertical="center"/>
    </xf>
    <xf numFmtId="0" fontId="19" fillId="5" borderId="1" xfId="0" applyFont="1" applyFill="1" applyBorder="1" applyAlignment="1">
      <alignment vertical="center" wrapText="1"/>
    </xf>
    <xf numFmtId="0" fontId="18" fillId="36" borderId="1" xfId="0" applyFont="1" applyFill="1" applyBorder="1" applyAlignment="1">
      <alignment horizontal="center" vertical="center" wrapText="1"/>
    </xf>
    <xf numFmtId="0" fontId="18" fillId="11" borderId="1" xfId="0" applyFont="1" applyFill="1" applyBorder="1" applyAlignment="1">
      <alignment horizontal="center" vertical="center" wrapText="1"/>
    </xf>
    <xf numFmtId="0" fontId="18" fillId="37"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18" fillId="6" borderId="1" xfId="0" applyFont="1" applyFill="1" applyBorder="1" applyAlignment="1">
      <alignment horizontal="center" vertical="center" wrapText="1"/>
    </xf>
    <xf numFmtId="0" fontId="18" fillId="40" borderId="1" xfId="0" applyFont="1" applyFill="1" applyBorder="1" applyAlignment="1">
      <alignment horizontal="center" vertical="center" wrapText="1"/>
    </xf>
    <xf numFmtId="0" fontId="18" fillId="35" borderId="1" xfId="0" applyFont="1" applyFill="1" applyBorder="1" applyAlignment="1">
      <alignment horizontal="center" vertical="center" wrapText="1"/>
    </xf>
    <xf numFmtId="0" fontId="18" fillId="0" borderId="13" xfId="0" applyFont="1" applyBorder="1"/>
    <xf numFmtId="0" fontId="19" fillId="5" borderId="1" xfId="0" applyFont="1" applyFill="1" applyBorder="1" applyAlignment="1">
      <alignment horizontal="center" vertical="center" wrapText="1"/>
    </xf>
    <xf numFmtId="14" fontId="18" fillId="0" borderId="6" xfId="0" applyNumberFormat="1" applyFont="1" applyBorder="1" applyAlignment="1">
      <alignment horizontal="center" vertical="center"/>
    </xf>
    <xf numFmtId="0" fontId="18" fillId="0" borderId="0" xfId="0" applyFont="1"/>
    <xf numFmtId="0" fontId="18" fillId="0" borderId="0" xfId="0" applyFont="1" applyBorder="1" applyAlignment="1">
      <alignment vertical="center" wrapText="1"/>
    </xf>
    <xf numFmtId="0" fontId="21" fillId="0" borderId="0" xfId="0" applyFont="1"/>
    <xf numFmtId="0" fontId="21" fillId="0" borderId="0" xfId="0" applyFont="1" applyAlignment="1">
      <alignment horizontal="left" vertical="center" wrapText="1"/>
    </xf>
    <xf numFmtId="0" fontId="21" fillId="0" borderId="0" xfId="0" applyFont="1" applyAlignment="1">
      <alignment horizontal="left" vertical="center"/>
    </xf>
    <xf numFmtId="0" fontId="16" fillId="10" borderId="1" xfId="0" applyFont="1" applyFill="1" applyBorder="1" applyAlignment="1">
      <alignment horizontal="center" vertical="center"/>
    </xf>
    <xf numFmtId="0" fontId="21" fillId="0" borderId="1" xfId="0" applyFont="1" applyBorder="1" applyAlignment="1">
      <alignment horizontal="left" vertical="center"/>
    </xf>
    <xf numFmtId="0" fontId="18" fillId="0" borderId="58" xfId="0" applyFont="1" applyBorder="1"/>
    <xf numFmtId="14" fontId="11" fillId="0" borderId="1" xfId="0" applyNumberFormat="1" applyFont="1" applyBorder="1" applyAlignment="1">
      <alignment horizontal="center" vertical="center"/>
    </xf>
    <xf numFmtId="0" fontId="11" fillId="5" borderId="5" xfId="0" applyFont="1" applyFill="1" applyBorder="1" applyAlignment="1">
      <alignment vertical="center"/>
    </xf>
    <xf numFmtId="0" fontId="11" fillId="0" borderId="1" xfId="0" applyFont="1" applyBorder="1" applyAlignment="1">
      <alignment horizontal="center"/>
    </xf>
    <xf numFmtId="0" fontId="11" fillId="0" borderId="1" xfId="0" applyFont="1" applyFill="1" applyBorder="1" applyAlignment="1">
      <alignment horizontal="center"/>
    </xf>
    <xf numFmtId="0" fontId="11" fillId="0" borderId="30" xfId="0" applyFont="1" applyBorder="1"/>
    <xf numFmtId="0" fontId="11" fillId="0" borderId="0" xfId="0" applyFont="1" applyBorder="1"/>
    <xf numFmtId="0" fontId="11" fillId="0" borderId="22" xfId="0" applyFont="1" applyBorder="1"/>
    <xf numFmtId="0" fontId="11" fillId="0" borderId="13" xfId="0" applyFont="1" applyBorder="1"/>
    <xf numFmtId="0" fontId="11" fillId="0" borderId="32" xfId="0" applyFont="1" applyBorder="1"/>
    <xf numFmtId="0" fontId="11" fillId="0" borderId="33" xfId="0" applyFont="1" applyBorder="1"/>
    <xf numFmtId="0" fontId="11" fillId="0" borderId="34" xfId="0" applyFont="1" applyBorder="1"/>
    <xf numFmtId="0" fontId="17" fillId="0" borderId="4" xfId="0" applyFont="1" applyBorder="1" applyAlignment="1">
      <alignment horizontal="center" vertical="center"/>
    </xf>
    <xf numFmtId="0" fontId="58" fillId="0" borderId="1" xfId="0" applyFont="1" applyBorder="1" applyAlignment="1">
      <alignment vertical="center"/>
    </xf>
    <xf numFmtId="0" fontId="58" fillId="0" borderId="5" xfId="0" applyFont="1" applyBorder="1"/>
    <xf numFmtId="0" fontId="58" fillId="0" borderId="1" xfId="0" applyFont="1" applyBorder="1"/>
    <xf numFmtId="0" fontId="58" fillId="9" borderId="1" xfId="0" applyFont="1" applyFill="1" applyBorder="1"/>
    <xf numFmtId="0" fontId="58" fillId="5" borderId="5" xfId="0" applyFont="1" applyFill="1" applyBorder="1" applyAlignment="1">
      <alignment horizontal="center"/>
    </xf>
    <xf numFmtId="0" fontId="59" fillId="0" borderId="5" xfId="0" applyFont="1" applyBorder="1"/>
    <xf numFmtId="0" fontId="60" fillId="0" borderId="1" xfId="0" applyFont="1" applyBorder="1" applyAlignment="1">
      <alignment horizontal="center" vertical="center"/>
    </xf>
    <xf numFmtId="0" fontId="35" fillId="0" borderId="104" xfId="6" applyBorder="1"/>
    <xf numFmtId="0" fontId="35" fillId="0" borderId="105" xfId="6" applyBorder="1"/>
    <xf numFmtId="0" fontId="35" fillId="0" borderId="106" xfId="6" applyBorder="1"/>
    <xf numFmtId="0" fontId="1" fillId="0" borderId="63" xfId="6" applyFont="1" applyBorder="1" applyAlignment="1">
      <alignment horizontal="center" vertical="center"/>
    </xf>
    <xf numFmtId="0" fontId="1" fillId="0" borderId="63" xfId="6" applyFont="1" applyBorder="1" applyAlignment="1">
      <alignment horizontal="right" vertical="center"/>
    </xf>
    <xf numFmtId="0" fontId="1" fillId="0" borderId="40" xfId="6" applyFont="1" applyBorder="1" applyAlignment="1">
      <alignment vertical="center"/>
    </xf>
    <xf numFmtId="0" fontId="1" fillId="0" borderId="41" xfId="6" applyFont="1" applyBorder="1" applyAlignment="1">
      <alignment horizontal="center" vertical="center"/>
    </xf>
    <xf numFmtId="0" fontId="1" fillId="0" borderId="40" xfId="6" applyFont="1" applyBorder="1" applyAlignment="1">
      <alignment horizontal="left" vertical="center"/>
    </xf>
    <xf numFmtId="0" fontId="1" fillId="0" borderId="41" xfId="6" applyFont="1" applyBorder="1" applyAlignment="1">
      <alignment horizontal="left" vertical="center"/>
    </xf>
    <xf numFmtId="0" fontId="1" fillId="0" borderId="42" xfId="6" applyFont="1" applyBorder="1" applyAlignment="1">
      <alignment horizontal="left" vertical="center"/>
    </xf>
    <xf numFmtId="0" fontId="1" fillId="0" borderId="63" xfId="6" applyFont="1" applyBorder="1" applyAlignment="1">
      <alignment vertical="center"/>
    </xf>
    <xf numFmtId="0" fontId="35" fillId="0" borderId="63" xfId="6" applyBorder="1" applyAlignment="1">
      <alignment horizontal="left" vertical="center" wrapText="1"/>
    </xf>
    <xf numFmtId="0" fontId="35" fillId="0" borderId="63" xfId="6" applyBorder="1" applyAlignment="1">
      <alignment horizontal="left" vertical="center"/>
    </xf>
    <xf numFmtId="14" fontId="35" fillId="0" borderId="63" xfId="6" applyNumberFormat="1" applyBorder="1" applyAlignment="1">
      <alignment horizontal="center" vertical="center"/>
    </xf>
    <xf numFmtId="0" fontId="35" fillId="0" borderId="30" xfId="6" applyBorder="1" applyAlignment="1">
      <alignment vertical="center"/>
    </xf>
    <xf numFmtId="0" fontId="35" fillId="0" borderId="0" xfId="6" applyBorder="1" applyAlignment="1">
      <alignment horizontal="center"/>
    </xf>
    <xf numFmtId="0" fontId="35" fillId="0" borderId="22" xfId="6" applyBorder="1"/>
    <xf numFmtId="0" fontId="35" fillId="0" borderId="30" xfId="6" applyFill="1" applyBorder="1" applyAlignment="1">
      <alignment vertical="center"/>
    </xf>
    <xf numFmtId="0" fontId="47" fillId="0" borderId="0" xfId="6" applyFont="1"/>
    <xf numFmtId="0" fontId="47" fillId="0" borderId="0" xfId="6" applyFont="1" applyBorder="1" applyAlignment="1">
      <alignment horizontal="center"/>
    </xf>
    <xf numFmtId="0" fontId="47" fillId="0" borderId="0" xfId="6" applyFont="1" applyBorder="1"/>
    <xf numFmtId="0" fontId="35" fillId="0" borderId="30" xfId="6" applyFill="1" applyBorder="1" applyAlignment="1">
      <alignment horizontal="center"/>
    </xf>
    <xf numFmtId="0" fontId="35" fillId="0" borderId="30" xfId="6" applyBorder="1"/>
    <xf numFmtId="0" fontId="35" fillId="0" borderId="30" xfId="6" applyBorder="1" applyAlignment="1">
      <alignment horizontal="center"/>
    </xf>
    <xf numFmtId="0" fontId="35" fillId="0" borderId="15" xfId="6" applyBorder="1"/>
    <xf numFmtId="0" fontId="35" fillId="0" borderId="15" xfId="6" applyBorder="1" applyAlignment="1">
      <alignment horizontal="center"/>
    </xf>
    <xf numFmtId="0" fontId="35" fillId="0" borderId="0" xfId="6" applyFont="1" applyBorder="1" applyAlignment="1">
      <alignment horizontal="center"/>
    </xf>
    <xf numFmtId="0" fontId="35" fillId="0" borderId="32" xfId="6" applyBorder="1"/>
    <xf numFmtId="0" fontId="35" fillId="0" borderId="33" xfId="6" applyBorder="1"/>
    <xf numFmtId="0" fontId="35" fillId="0" borderId="34" xfId="6" applyBorder="1"/>
    <xf numFmtId="0" fontId="35" fillId="0" borderId="93" xfId="6" applyBorder="1"/>
    <xf numFmtId="0" fontId="35" fillId="0" borderId="94" xfId="6" applyBorder="1"/>
    <xf numFmtId="0" fontId="35" fillId="0" borderId="95" xfId="6" applyBorder="1"/>
    <xf numFmtId="0" fontId="35" fillId="0" borderId="0" xfId="6" applyFill="1"/>
    <xf numFmtId="43" fontId="0" fillId="0" borderId="0" xfId="7" applyFont="1"/>
    <xf numFmtId="0" fontId="35" fillId="0" borderId="0" xfId="6" applyNumberFormat="1"/>
    <xf numFmtId="0" fontId="10" fillId="0" borderId="1" xfId="6" applyFont="1" applyBorder="1" applyAlignment="1">
      <alignment horizontal="center" vertical="center" wrapText="1"/>
    </xf>
    <xf numFmtId="0" fontId="1" fillId="0" borderId="1" xfId="6" applyFont="1" applyFill="1" applyBorder="1" applyAlignment="1">
      <alignment horizontal="center" vertical="center"/>
    </xf>
    <xf numFmtId="0" fontId="35" fillId="0" borderId="1" xfId="6" applyFont="1" applyFill="1" applyBorder="1" applyAlignment="1">
      <alignment horizontal="center" vertical="center"/>
    </xf>
    <xf numFmtId="43" fontId="0" fillId="0" borderId="1" xfId="7" applyFont="1" applyFill="1" applyBorder="1" applyAlignment="1">
      <alignment horizontal="center" vertical="center"/>
    </xf>
    <xf numFmtId="0" fontId="35" fillId="0" borderId="1" xfId="6" applyFont="1" applyBorder="1" applyAlignment="1">
      <alignment vertical="center"/>
    </xf>
    <xf numFmtId="0" fontId="1" fillId="0" borderId="1" xfId="6" applyFont="1" applyBorder="1" applyAlignment="1">
      <alignment vertical="center"/>
    </xf>
    <xf numFmtId="171" fontId="1" fillId="0" borderId="1" xfId="6" applyNumberFormat="1" applyFont="1" applyBorder="1" applyAlignment="1">
      <alignment vertical="center"/>
    </xf>
    <xf numFmtId="9" fontId="1" fillId="0" borderId="1" xfId="6" applyNumberFormat="1" applyFont="1" applyBorder="1" applyAlignment="1">
      <alignment horizontal="center" vertical="center"/>
    </xf>
    <xf numFmtId="171" fontId="35" fillId="0" borderId="1" xfId="6" applyNumberFormat="1" applyFont="1" applyBorder="1" applyAlignment="1">
      <alignment vertical="center"/>
    </xf>
    <xf numFmtId="0" fontId="1" fillId="40" borderId="1" xfId="6" applyFont="1" applyFill="1" applyBorder="1" applyAlignment="1">
      <alignment horizontal="center" vertical="center"/>
    </xf>
    <xf numFmtId="0" fontId="35" fillId="0" borderId="1" xfId="6" applyBorder="1" applyAlignment="1">
      <alignment vertical="center"/>
    </xf>
    <xf numFmtId="0" fontId="56" fillId="0" borderId="1" xfId="6" applyFont="1" applyBorder="1" applyAlignment="1">
      <alignment vertical="center"/>
    </xf>
    <xf numFmtId="173" fontId="0" fillId="0" borderId="1" xfId="0" applyNumberFormat="1" applyBorder="1" applyAlignment="1">
      <alignment vertical="center"/>
    </xf>
    <xf numFmtId="0" fontId="35" fillId="0" borderId="1" xfId="6" applyNumberFormat="1" applyBorder="1" applyAlignment="1">
      <alignment vertical="center"/>
    </xf>
    <xf numFmtId="0" fontId="35" fillId="0" borderId="1" xfId="6" applyBorder="1" applyAlignment="1">
      <alignment horizontal="center" vertical="center"/>
    </xf>
    <xf numFmtId="168" fontId="1" fillId="0" borderId="1" xfId="8" applyFont="1" applyFill="1" applyBorder="1" applyAlignment="1">
      <alignment horizontal="center" vertical="center"/>
    </xf>
    <xf numFmtId="173" fontId="0" fillId="0" borderId="1" xfId="0" applyNumberFormat="1" applyBorder="1" applyAlignment="1">
      <alignment horizontal="center" vertical="center"/>
    </xf>
    <xf numFmtId="2" fontId="35" fillId="0" borderId="0" xfId="6" applyNumberFormat="1"/>
    <xf numFmtId="2" fontId="35" fillId="0" borderId="0" xfId="6" applyNumberFormat="1" applyBorder="1"/>
    <xf numFmtId="2" fontId="35" fillId="0" borderId="1" xfId="6" applyNumberFormat="1" applyBorder="1" applyAlignment="1">
      <alignment vertical="center"/>
    </xf>
    <xf numFmtId="2" fontId="1" fillId="0" borderId="1" xfId="8" applyNumberFormat="1" applyFont="1" applyFill="1" applyBorder="1" applyAlignment="1">
      <alignment horizontal="center" vertical="center"/>
    </xf>
    <xf numFmtId="2" fontId="35" fillId="0" borderId="1" xfId="6" applyNumberFormat="1" applyFont="1" applyBorder="1" applyAlignment="1">
      <alignment vertical="center"/>
    </xf>
    <xf numFmtId="2" fontId="1" fillId="0" borderId="1" xfId="6" applyNumberFormat="1" applyFont="1" applyBorder="1" applyAlignment="1">
      <alignment vertical="center"/>
    </xf>
    <xf numFmtId="0" fontId="10" fillId="0" borderId="1" xfId="6" applyNumberFormat="1" applyFont="1" applyBorder="1" applyAlignment="1">
      <alignment horizontal="center" vertical="center" wrapText="1"/>
    </xf>
    <xf numFmtId="0" fontId="0" fillId="0" borderId="1" xfId="0" applyNumberFormat="1" applyBorder="1" applyAlignment="1">
      <alignment vertical="center"/>
    </xf>
    <xf numFmtId="173" fontId="0" fillId="0" borderId="1" xfId="3" applyNumberFormat="1" applyFont="1" applyBorder="1" applyAlignment="1">
      <alignment horizontal="center" vertical="center"/>
    </xf>
    <xf numFmtId="174" fontId="0" fillId="0" borderId="1" xfId="0" applyNumberFormat="1" applyBorder="1" applyAlignment="1">
      <alignment horizontal="center" vertical="center"/>
    </xf>
    <xf numFmtId="0" fontId="0" fillId="11" borderId="1" xfId="0" applyFill="1" applyBorder="1" applyAlignment="1">
      <alignment vertical="center"/>
    </xf>
    <xf numFmtId="174"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73" fontId="0" fillId="11" borderId="1" xfId="3" applyNumberFormat="1" applyFont="1" applyFill="1" applyBorder="1" applyAlignment="1">
      <alignment horizontal="center" vertical="center"/>
    </xf>
    <xf numFmtId="175" fontId="0" fillId="0" borderId="1" xfId="2" applyNumberFormat="1" applyFont="1" applyBorder="1" applyAlignment="1">
      <alignment horizontal="center" vertical="center"/>
    </xf>
    <xf numFmtId="0" fontId="0" fillId="6" borderId="1" xfId="0" applyFill="1" applyBorder="1"/>
    <xf numFmtId="174" fontId="0" fillId="6" borderId="1" xfId="0" applyNumberFormat="1" applyFill="1" applyBorder="1" applyAlignment="1">
      <alignment horizontal="center" vertical="center"/>
    </xf>
    <xf numFmtId="175" fontId="0" fillId="6" borderId="1" xfId="2" applyNumberFormat="1" applyFont="1" applyFill="1" applyBorder="1" applyAlignment="1">
      <alignment horizontal="center"/>
    </xf>
    <xf numFmtId="0" fontId="0" fillId="6" borderId="8" xfId="0" applyFill="1" applyBorder="1"/>
    <xf numFmtId="0" fontId="25" fillId="0" borderId="1" xfId="0" applyFont="1" applyBorder="1" applyAlignment="1">
      <alignment vertical="center" wrapText="1"/>
    </xf>
    <xf numFmtId="0" fontId="0" fillId="0" borderId="1" xfId="0" applyBorder="1" applyAlignment="1">
      <alignment vertical="center" wrapText="1"/>
    </xf>
    <xf numFmtId="164" fontId="24" fillId="15" borderId="1" xfId="2" applyNumberFormat="1" applyFont="1" applyFill="1" applyBorder="1" applyAlignment="1">
      <alignment horizontal="center" vertical="center"/>
    </xf>
    <xf numFmtId="173" fontId="0" fillId="16" borderId="1" xfId="3" applyNumberFormat="1" applyFont="1" applyFill="1" applyBorder="1" applyAlignment="1">
      <alignment horizontal="center" vertical="center"/>
    </xf>
    <xf numFmtId="173" fontId="30" fillId="0" borderId="1" xfId="0" applyNumberFormat="1" applyFont="1" applyBorder="1" applyAlignment="1">
      <alignment horizontal="center" vertical="center"/>
    </xf>
    <xf numFmtId="173" fontId="30" fillId="20" borderId="1" xfId="0" applyNumberFormat="1" applyFont="1" applyFill="1" applyBorder="1" applyAlignment="1">
      <alignment horizontal="center" vertical="center"/>
    </xf>
    <xf numFmtId="0" fontId="24" fillId="15" borderId="5" xfId="0" applyFont="1" applyFill="1" applyBorder="1" applyAlignment="1"/>
    <xf numFmtId="0" fontId="24" fillId="15" borderId="6" xfId="0" applyFont="1" applyFill="1" applyBorder="1" applyAlignment="1"/>
    <xf numFmtId="0" fontId="0" fillId="17" borderId="5" xfId="0" applyFill="1" applyBorder="1" applyAlignment="1">
      <alignment horizontal="left"/>
    </xf>
    <xf numFmtId="0" fontId="0" fillId="17" borderId="5" xfId="0" applyFill="1" applyBorder="1" applyAlignment="1"/>
    <xf numFmtId="0" fontId="0" fillId="17" borderId="6" xfId="0" applyFill="1" applyBorder="1" applyAlignment="1"/>
    <xf numFmtId="0" fontId="0" fillId="0" borderId="5" xfId="0" applyBorder="1" applyAlignment="1">
      <alignment horizontal="left"/>
    </xf>
    <xf numFmtId="0" fontId="0" fillId="0" borderId="6" xfId="0" applyBorder="1" applyAlignment="1">
      <alignment horizontal="left"/>
    </xf>
    <xf numFmtId="0" fontId="28" fillId="0" borderId="5" xfId="0" applyFont="1" applyBorder="1" applyAlignment="1">
      <alignment horizontal="left"/>
    </xf>
    <xf numFmtId="0" fontId="28" fillId="0" borderId="6" xfId="0" applyFont="1" applyBorder="1" applyAlignment="1">
      <alignment horizontal="left" wrapText="1"/>
    </xf>
    <xf numFmtId="0" fontId="28" fillId="0" borderId="6" xfId="0" applyFont="1" applyBorder="1" applyAlignment="1">
      <alignment horizontal="left"/>
    </xf>
    <xf numFmtId="0" fontId="28" fillId="0" borderId="5" xfId="0" applyFont="1" applyBorder="1" applyAlignment="1"/>
    <xf numFmtId="0" fontId="28" fillId="0" borderId="6" xfId="0" applyFont="1" applyBorder="1" applyAlignment="1"/>
    <xf numFmtId="0" fontId="24" fillId="21" borderId="66" xfId="0" applyFont="1" applyFill="1" applyBorder="1" applyAlignment="1">
      <alignment horizontal="center" vertical="center"/>
    </xf>
    <xf numFmtId="0" fontId="24" fillId="21" borderId="73" xfId="0" applyFont="1" applyFill="1" applyBorder="1" applyAlignment="1">
      <alignment horizontal="center" vertical="center"/>
    </xf>
    <xf numFmtId="1" fontId="24" fillId="22" borderId="69" xfId="0" applyNumberFormat="1" applyFont="1" applyFill="1" applyBorder="1" applyAlignment="1">
      <alignment horizontal="right" vertical="center"/>
    </xf>
    <xf numFmtId="4" fontId="24" fillId="22" borderId="69" xfId="0" applyNumberFormat="1" applyFont="1" applyFill="1" applyBorder="1" applyAlignment="1">
      <alignment horizontal="right" vertical="center"/>
    </xf>
    <xf numFmtId="43" fontId="0" fillId="0" borderId="0" xfId="0" applyNumberFormat="1" applyAlignment="1">
      <alignment vertical="center"/>
    </xf>
    <xf numFmtId="0" fontId="0" fillId="23" borderId="66" xfId="0" applyFill="1" applyBorder="1" applyAlignment="1">
      <alignment horizontal="center" vertical="center"/>
    </xf>
    <xf numFmtId="4" fontId="0" fillId="23" borderId="66" xfId="0" applyNumberFormat="1" applyFill="1" applyBorder="1" applyAlignment="1">
      <alignment vertical="center"/>
    </xf>
    <xf numFmtId="4" fontId="0" fillId="23" borderId="71" xfId="0" applyNumberFormat="1" applyFill="1" applyBorder="1" applyAlignment="1">
      <alignment vertical="center"/>
    </xf>
    <xf numFmtId="4" fontId="0" fillId="23" borderId="72" xfId="0" applyNumberFormat="1" applyFill="1" applyBorder="1" applyAlignment="1">
      <alignment vertical="center"/>
    </xf>
    <xf numFmtId="44" fontId="24" fillId="22" borderId="69" xfId="2" applyFont="1" applyFill="1" applyBorder="1" applyAlignment="1">
      <alignment horizontal="right" vertical="center"/>
    </xf>
    <xf numFmtId="44" fontId="0" fillId="23" borderId="72" xfId="2" applyFont="1" applyFill="1" applyBorder="1" applyAlignment="1">
      <alignment vertical="center"/>
    </xf>
    <xf numFmtId="44" fontId="27" fillId="14" borderId="63" xfId="2" applyFont="1" applyFill="1" applyBorder="1" applyAlignment="1">
      <alignment vertical="center"/>
    </xf>
    <xf numFmtId="176" fontId="24" fillId="15" borderId="12" xfId="5" applyNumberFormat="1" applyFont="1" applyFill="1" applyBorder="1" applyAlignment="1">
      <alignment vertical="center"/>
    </xf>
    <xf numFmtId="4" fontId="24" fillId="22" borderId="69" xfId="0" applyNumberFormat="1" applyFont="1" applyFill="1" applyBorder="1" applyAlignment="1">
      <alignment horizontal="center" vertical="center"/>
    </xf>
    <xf numFmtId="43" fontId="0" fillId="0" borderId="0" xfId="0" applyNumberFormat="1" applyAlignment="1">
      <alignment horizontal="center" vertical="center"/>
    </xf>
    <xf numFmtId="2" fontId="27" fillId="14" borderId="63" xfId="4" applyNumberFormat="1" applyFont="1" applyFill="1" applyBorder="1" applyAlignment="1">
      <alignment horizontal="center" vertical="center"/>
    </xf>
    <xf numFmtId="0" fontId="38" fillId="0" borderId="0" xfId="6" applyFont="1" applyFill="1" applyBorder="1" applyAlignment="1">
      <alignment vertical="center"/>
    </xf>
    <xf numFmtId="0" fontId="39" fillId="0" borderId="74" xfId="6" applyFont="1" applyBorder="1" applyAlignment="1">
      <alignment horizontal="left" vertical="center"/>
    </xf>
    <xf numFmtId="0" fontId="39" fillId="0" borderId="0" xfId="6" applyFont="1" applyBorder="1" applyAlignment="1">
      <alignment horizontal="left" vertical="center"/>
    </xf>
    <xf numFmtId="0" fontId="39" fillId="0" borderId="1" xfId="6" applyFont="1" applyBorder="1" applyAlignment="1">
      <alignment horizontal="center" vertical="center"/>
    </xf>
    <xf numFmtId="0" fontId="0" fillId="0" borderId="0" xfId="0" applyAlignment="1">
      <alignment horizontal="center"/>
    </xf>
    <xf numFmtId="167" fontId="36" fillId="19" borderId="0" xfId="3" applyNumberFormat="1" applyFont="1" applyFill="1" applyBorder="1" applyAlignment="1">
      <alignment horizontal="center"/>
    </xf>
    <xf numFmtId="167" fontId="36" fillId="0" borderId="0" xfId="3" applyNumberFormat="1" applyFont="1" applyBorder="1" applyAlignment="1">
      <alignment horizontal="center"/>
    </xf>
    <xf numFmtId="167" fontId="36" fillId="0" borderId="0" xfId="6" applyNumberFormat="1" applyFont="1" applyAlignment="1">
      <alignment horizontal="center" vertical="center"/>
    </xf>
    <xf numFmtId="167" fontId="36" fillId="8" borderId="0" xfId="9" applyNumberFormat="1" applyFont="1" applyFill="1" applyBorder="1" applyAlignment="1">
      <alignment horizontal="center" vertical="center"/>
    </xf>
    <xf numFmtId="167" fontId="36" fillId="0" borderId="0" xfId="9" applyNumberFormat="1" applyFont="1" applyBorder="1" applyAlignment="1">
      <alignment horizontal="center" vertical="center"/>
    </xf>
    <xf numFmtId="167" fontId="36" fillId="8" borderId="0" xfId="6" applyNumberFormat="1" applyFont="1" applyFill="1" applyBorder="1" applyAlignment="1">
      <alignment horizontal="center" vertical="center"/>
    </xf>
    <xf numFmtId="167" fontId="36" fillId="0" borderId="0" xfId="6" applyNumberFormat="1" applyFont="1" applyBorder="1" applyAlignment="1">
      <alignment horizontal="center" vertical="center"/>
    </xf>
    <xf numFmtId="167" fontId="36" fillId="0" borderId="0" xfId="6" applyNumberFormat="1" applyFont="1" applyFill="1" applyBorder="1" applyAlignment="1">
      <alignment horizontal="center" vertical="center"/>
    </xf>
    <xf numFmtId="167" fontId="35" fillId="0" borderId="0" xfId="6" applyNumberFormat="1" applyAlignment="1">
      <alignment horizontal="center" vertical="center"/>
    </xf>
    <xf numFmtId="167" fontId="36" fillId="0" borderId="0" xfId="6" applyNumberFormat="1" applyFont="1" applyFill="1" applyAlignment="1">
      <alignment horizontal="center" vertical="center"/>
    </xf>
    <xf numFmtId="167" fontId="0" fillId="0" borderId="0" xfId="0" applyNumberFormat="1" applyAlignment="1">
      <alignment horizontal="center" vertical="center"/>
    </xf>
    <xf numFmtId="0" fontId="36" fillId="0" borderId="0" xfId="6" applyFont="1" applyAlignment="1">
      <alignment vertical="center"/>
    </xf>
    <xf numFmtId="0" fontId="36" fillId="24" borderId="75" xfId="6" applyFont="1" applyFill="1" applyBorder="1" applyAlignment="1">
      <alignment vertical="center"/>
    </xf>
    <xf numFmtId="43" fontId="36" fillId="0" borderId="0" xfId="7" applyNumberFormat="1" applyFont="1" applyBorder="1" applyAlignment="1">
      <alignment vertical="center"/>
    </xf>
    <xf numFmtId="0" fontId="36" fillId="0" borderId="81" xfId="6" applyFont="1" applyBorder="1" applyAlignment="1">
      <alignment vertical="center"/>
    </xf>
    <xf numFmtId="0" fontId="39" fillId="25" borderId="1" xfId="6" applyFont="1" applyFill="1" applyBorder="1" applyAlignment="1">
      <alignment vertical="center"/>
    </xf>
    <xf numFmtId="0" fontId="36" fillId="0" borderId="1" xfId="6" applyFont="1" applyBorder="1" applyAlignment="1">
      <alignment vertical="center"/>
    </xf>
    <xf numFmtId="44" fontId="38" fillId="26" borderId="1" xfId="2" applyFont="1" applyFill="1" applyBorder="1" applyAlignment="1">
      <alignment horizontal="center" vertical="center"/>
    </xf>
    <xf numFmtId="0" fontId="38" fillId="9" borderId="0" xfId="6" applyFont="1" applyFill="1" applyBorder="1" applyAlignment="1">
      <alignment horizontal="left" vertical="center"/>
    </xf>
    <xf numFmtId="0" fontId="38" fillId="9" borderId="0" xfId="6" applyFont="1" applyFill="1" applyBorder="1" applyAlignment="1">
      <alignment horizontal="right" vertical="center"/>
    </xf>
    <xf numFmtId="0" fontId="38" fillId="9" borderId="0" xfId="6" applyFont="1" applyFill="1" applyBorder="1" applyAlignment="1">
      <alignment horizontal="center" vertical="center"/>
    </xf>
    <xf numFmtId="44" fontId="38" fillId="9" borderId="0" xfId="2" applyFont="1" applyFill="1" applyBorder="1" applyAlignment="1">
      <alignment horizontal="center" vertical="center"/>
    </xf>
    <xf numFmtId="0" fontId="36" fillId="0" borderId="0" xfId="6" applyFont="1" applyFill="1" applyBorder="1" applyAlignment="1">
      <alignment horizontal="right" vertical="center"/>
    </xf>
    <xf numFmtId="9" fontId="36" fillId="0" borderId="0" xfId="6" applyNumberFormat="1" applyFont="1" applyFill="1" applyBorder="1" applyAlignment="1">
      <alignment horizontal="center" vertical="center"/>
    </xf>
    <xf numFmtId="0" fontId="36" fillId="0" borderId="0" xfId="6" applyFont="1" applyFill="1" applyBorder="1" applyAlignment="1">
      <alignment vertical="center"/>
    </xf>
    <xf numFmtId="44" fontId="38" fillId="0" borderId="0" xfId="2" applyFont="1" applyBorder="1" applyAlignment="1">
      <alignment vertical="center"/>
    </xf>
    <xf numFmtId="0" fontId="36" fillId="0" borderId="0" xfId="6" applyFont="1" applyFill="1" applyAlignment="1">
      <alignment vertical="center"/>
    </xf>
    <xf numFmtId="0" fontId="38" fillId="27" borderId="0" xfId="6" applyFont="1" applyFill="1" applyBorder="1" applyAlignment="1">
      <alignment horizontal="left" vertical="center"/>
    </xf>
    <xf numFmtId="0" fontId="38" fillId="27" borderId="0" xfId="6" applyFont="1" applyFill="1" applyBorder="1" applyAlignment="1">
      <alignment horizontal="right" vertical="center"/>
    </xf>
    <xf numFmtId="0" fontId="38" fillId="27" borderId="0" xfId="6" applyFont="1" applyFill="1" applyBorder="1" applyAlignment="1">
      <alignment horizontal="center" vertical="center"/>
    </xf>
    <xf numFmtId="44" fontId="38" fillId="29" borderId="0" xfId="2" applyFont="1" applyFill="1" applyBorder="1" applyAlignment="1">
      <alignment horizontal="center" vertical="center"/>
    </xf>
    <xf numFmtId="44" fontId="36" fillId="0" borderId="0" xfId="2" applyFont="1" applyFill="1" applyBorder="1" applyAlignment="1">
      <alignment horizontal="right" vertical="center"/>
    </xf>
    <xf numFmtId="9" fontId="36" fillId="0" borderId="0" xfId="9" applyFont="1" applyBorder="1" applyAlignment="1">
      <alignment horizontal="right" vertical="center"/>
    </xf>
    <xf numFmtId="169" fontId="36" fillId="0" borderId="0" xfId="7" applyNumberFormat="1" applyFont="1" applyBorder="1" applyAlignment="1">
      <alignment vertical="center"/>
    </xf>
    <xf numFmtId="44" fontId="36" fillId="0" borderId="0" xfId="2" applyFont="1" applyBorder="1" applyAlignment="1">
      <alignment vertical="center"/>
    </xf>
    <xf numFmtId="170" fontId="36" fillId="0" borderId="0" xfId="7" applyNumberFormat="1" applyFont="1" applyBorder="1" applyAlignment="1">
      <alignment vertical="center"/>
    </xf>
    <xf numFmtId="43" fontId="36" fillId="0" borderId="0" xfId="7" applyNumberFormat="1" applyFont="1" applyFill="1" applyBorder="1" applyAlignment="1">
      <alignment horizontal="right" vertical="center"/>
    </xf>
    <xf numFmtId="169" fontId="36" fillId="0" borderId="0" xfId="7" applyNumberFormat="1" applyFont="1" applyBorder="1" applyAlignment="1">
      <alignment horizontal="right" vertical="center"/>
    </xf>
    <xf numFmtId="43" fontId="36" fillId="28" borderId="0" xfId="7" applyNumberFormat="1" applyFont="1" applyFill="1" applyBorder="1" applyAlignment="1">
      <alignment vertical="center"/>
    </xf>
    <xf numFmtId="0" fontId="39" fillId="20" borderId="0" xfId="6" applyFont="1" applyFill="1" applyBorder="1" applyAlignment="1">
      <alignment vertical="center"/>
    </xf>
    <xf numFmtId="43" fontId="36" fillId="20" borderId="0" xfId="7" applyNumberFormat="1" applyFont="1" applyFill="1" applyBorder="1" applyAlignment="1">
      <alignment horizontal="right" vertical="center"/>
    </xf>
    <xf numFmtId="43" fontId="36" fillId="20" borderId="0" xfId="7" applyNumberFormat="1" applyFont="1" applyFill="1" applyBorder="1" applyAlignment="1">
      <alignment vertical="center"/>
    </xf>
    <xf numFmtId="170" fontId="36" fillId="20" borderId="0" xfId="7" applyNumberFormat="1" applyFont="1" applyFill="1" applyBorder="1" applyAlignment="1">
      <alignment vertical="center"/>
    </xf>
    <xf numFmtId="44" fontId="39" fillId="20" borderId="0" xfId="2" applyFont="1" applyFill="1" applyBorder="1" applyAlignment="1">
      <alignment vertical="center"/>
    </xf>
    <xf numFmtId="0" fontId="39" fillId="29" borderId="0" xfId="6" applyFont="1" applyFill="1" applyBorder="1" applyAlignment="1">
      <alignment vertical="center"/>
    </xf>
    <xf numFmtId="0" fontId="39" fillId="29" borderId="0" xfId="6" applyFont="1" applyFill="1" applyBorder="1" applyAlignment="1">
      <alignment horizontal="right" vertical="center"/>
    </xf>
    <xf numFmtId="0" fontId="39" fillId="29" borderId="0" xfId="6" applyFont="1" applyFill="1" applyBorder="1" applyAlignment="1">
      <alignment horizontal="center" vertical="center"/>
    </xf>
    <xf numFmtId="170" fontId="36" fillId="29" borderId="0" xfId="7" applyNumberFormat="1" applyFont="1" applyFill="1" applyBorder="1" applyAlignment="1">
      <alignment vertical="center"/>
    </xf>
    <xf numFmtId="43" fontId="45" fillId="0" borderId="0" xfId="7" applyNumberFormat="1" applyFont="1" applyFill="1" applyBorder="1" applyAlignment="1">
      <alignment horizontal="right" vertical="center"/>
    </xf>
    <xf numFmtId="43" fontId="36" fillId="0" borderId="0" xfId="7" applyNumberFormat="1" applyFont="1" applyBorder="1" applyAlignment="1">
      <alignment horizontal="right" vertical="center"/>
    </xf>
    <xf numFmtId="0" fontId="39" fillId="30" borderId="0" xfId="6" applyFont="1" applyFill="1" applyBorder="1" applyAlignment="1">
      <alignment vertical="center"/>
    </xf>
    <xf numFmtId="0" fontId="39" fillId="30" borderId="0" xfId="6" applyFont="1" applyFill="1" applyBorder="1" applyAlignment="1">
      <alignment horizontal="right" vertical="center"/>
    </xf>
    <xf numFmtId="0" fontId="39" fillId="30" borderId="0" xfId="6" applyFont="1" applyFill="1" applyBorder="1" applyAlignment="1">
      <alignment horizontal="center" vertical="center"/>
    </xf>
    <xf numFmtId="170" fontId="36" fillId="30" borderId="0" xfId="7" applyNumberFormat="1" applyFont="1" applyFill="1" applyBorder="1" applyAlignment="1">
      <alignment vertical="center"/>
    </xf>
    <xf numFmtId="44" fontId="39" fillId="30" borderId="0" xfId="2" applyFont="1" applyFill="1" applyBorder="1" applyAlignment="1">
      <alignment vertical="center"/>
    </xf>
    <xf numFmtId="170" fontId="36" fillId="19" borderId="0" xfId="7" applyNumberFormat="1" applyFont="1" applyFill="1" applyBorder="1" applyAlignment="1">
      <alignment vertical="center"/>
    </xf>
    <xf numFmtId="44" fontId="38" fillId="19" borderId="0" xfId="2" applyFont="1" applyFill="1" applyBorder="1" applyAlignment="1">
      <alignment horizontal="center" vertical="center"/>
    </xf>
    <xf numFmtId="43" fontId="39" fillId="28" borderId="0" xfId="7" applyNumberFormat="1" applyFont="1" applyFill="1" applyBorder="1" applyAlignment="1">
      <alignment vertical="center"/>
    </xf>
    <xf numFmtId="168" fontId="36" fillId="0" borderId="0" xfId="6" applyNumberFormat="1" applyFont="1" applyBorder="1" applyAlignment="1">
      <alignment horizontal="right" vertical="center"/>
    </xf>
    <xf numFmtId="10" fontId="36" fillId="0" borderId="0" xfId="6" applyNumberFormat="1" applyFont="1" applyBorder="1" applyAlignment="1">
      <alignment horizontal="right" vertical="center"/>
    </xf>
    <xf numFmtId="10" fontId="36" fillId="0" borderId="0" xfId="6" applyNumberFormat="1" applyFont="1" applyBorder="1" applyAlignment="1">
      <alignment vertical="center"/>
    </xf>
    <xf numFmtId="172" fontId="36" fillId="0" borderId="0" xfId="9" applyNumberFormat="1" applyFont="1" applyBorder="1" applyAlignment="1">
      <alignment vertical="center"/>
    </xf>
    <xf numFmtId="10" fontId="36" fillId="0" borderId="0" xfId="9" applyNumberFormat="1" applyFont="1" applyBorder="1" applyAlignment="1">
      <alignment vertical="center"/>
    </xf>
    <xf numFmtId="43" fontId="36" fillId="0" borderId="0" xfId="7" applyFont="1" applyBorder="1" applyAlignment="1">
      <alignment vertical="center"/>
    </xf>
    <xf numFmtId="0" fontId="36" fillId="8" borderId="0" xfId="6" applyFont="1" applyFill="1" applyBorder="1" applyAlignment="1">
      <alignment vertical="center"/>
    </xf>
    <xf numFmtId="0" fontId="36" fillId="24" borderId="0" xfId="6" applyFont="1" applyFill="1" applyBorder="1" applyAlignment="1">
      <alignment vertical="center"/>
    </xf>
    <xf numFmtId="0" fontId="36" fillId="0" borderId="0" xfId="6" applyFont="1" applyBorder="1" applyAlignment="1">
      <alignment horizontal="center" vertical="center"/>
    </xf>
    <xf numFmtId="0" fontId="36" fillId="0" borderId="0" xfId="6" applyFont="1" applyBorder="1" applyAlignment="1">
      <alignment horizontal="left" vertical="center"/>
    </xf>
    <xf numFmtId="166" fontId="36" fillId="0" borderId="0" xfId="7" applyNumberFormat="1" applyFont="1" applyBorder="1" applyAlignment="1">
      <alignment horizontal="center" vertical="center"/>
    </xf>
    <xf numFmtId="0" fontId="36" fillId="0" borderId="0" xfId="6" applyFont="1" applyAlignment="1">
      <alignment horizontal="right" vertical="center"/>
    </xf>
    <xf numFmtId="0" fontId="39" fillId="25" borderId="82" xfId="6" applyFont="1" applyFill="1" applyBorder="1" applyAlignment="1">
      <alignment vertical="center"/>
    </xf>
    <xf numFmtId="0" fontId="39" fillId="0" borderId="63" xfId="6" applyFont="1" applyBorder="1" applyAlignment="1">
      <alignment horizontal="center" vertical="center"/>
    </xf>
    <xf numFmtId="166" fontId="38" fillId="26" borderId="84" xfId="6" applyNumberFormat="1" applyFont="1" applyFill="1" applyBorder="1" applyAlignment="1">
      <alignment horizontal="center" vertical="center"/>
    </xf>
    <xf numFmtId="0" fontId="35" fillId="0" borderId="0" xfId="6" applyAlignment="1">
      <alignment vertical="center"/>
    </xf>
    <xf numFmtId="0" fontId="35" fillId="0" borderId="74" xfId="6" applyBorder="1" applyAlignment="1">
      <alignment vertical="center"/>
    </xf>
    <xf numFmtId="0" fontId="35" fillId="0" borderId="0" xfId="6" applyBorder="1" applyAlignment="1">
      <alignment horizontal="right" vertical="center"/>
    </xf>
    <xf numFmtId="0" fontId="35" fillId="0" borderId="0" xfId="6" applyBorder="1" applyAlignment="1">
      <alignment vertical="center"/>
    </xf>
    <xf numFmtId="0" fontId="35" fillId="0" borderId="81" xfId="6" applyBorder="1" applyAlignment="1">
      <alignment vertical="center"/>
    </xf>
    <xf numFmtId="0" fontId="38" fillId="9" borderId="74" xfId="6" applyFont="1" applyFill="1" applyBorder="1" applyAlignment="1">
      <alignment horizontal="left" vertical="center"/>
    </xf>
    <xf numFmtId="166" fontId="38" fillId="9" borderId="84" xfId="6" applyNumberFormat="1" applyFont="1" applyFill="1" applyBorder="1" applyAlignment="1">
      <alignment horizontal="center" vertical="center"/>
    </xf>
    <xf numFmtId="0" fontId="38" fillId="0" borderId="74" xfId="6" applyFont="1" applyFill="1" applyBorder="1" applyAlignment="1">
      <alignment horizontal="left" vertical="center"/>
    </xf>
    <xf numFmtId="43" fontId="38" fillId="0" borderId="85" xfId="7" applyNumberFormat="1" applyFont="1" applyBorder="1" applyAlignment="1">
      <alignment vertical="center"/>
    </xf>
    <xf numFmtId="0" fontId="38" fillId="27" borderId="74" xfId="6" applyFont="1" applyFill="1" applyBorder="1" applyAlignment="1">
      <alignment horizontal="left" vertical="center"/>
    </xf>
    <xf numFmtId="43" fontId="38" fillId="27" borderId="63" xfId="7" applyFont="1" applyFill="1" applyBorder="1" applyAlignment="1">
      <alignment horizontal="center" vertical="center"/>
    </xf>
    <xf numFmtId="0" fontId="36" fillId="0" borderId="74" xfId="6" applyFont="1" applyBorder="1" applyAlignment="1">
      <alignment vertical="center"/>
    </xf>
    <xf numFmtId="43" fontId="36" fillId="0" borderId="8" xfId="7" applyNumberFormat="1" applyFont="1" applyBorder="1" applyAlignment="1">
      <alignment vertical="center"/>
    </xf>
    <xf numFmtId="43" fontId="38" fillId="0" borderId="88" xfId="7" applyNumberFormat="1" applyFont="1" applyBorder="1" applyAlignment="1">
      <alignment vertical="center"/>
    </xf>
    <xf numFmtId="43" fontId="38" fillId="0" borderId="86" xfId="7" applyNumberFormat="1" applyFont="1" applyBorder="1" applyAlignment="1">
      <alignment vertical="center"/>
    </xf>
    <xf numFmtId="43" fontId="38" fillId="0" borderId="96" xfId="7" applyNumberFormat="1" applyFont="1" applyBorder="1" applyAlignment="1">
      <alignment vertical="center"/>
    </xf>
    <xf numFmtId="43" fontId="38" fillId="0" borderId="89" xfId="7" applyNumberFormat="1" applyFont="1" applyBorder="1" applyAlignment="1">
      <alignment vertical="center"/>
    </xf>
    <xf numFmtId="43" fontId="36" fillId="28" borderId="63" xfId="7" applyNumberFormat="1" applyFont="1" applyFill="1" applyBorder="1" applyAlignment="1">
      <alignment vertical="center"/>
    </xf>
    <xf numFmtId="0" fontId="39" fillId="20" borderId="74" xfId="6" applyFont="1" applyFill="1" applyBorder="1" applyAlignment="1">
      <alignment vertical="center"/>
    </xf>
    <xf numFmtId="170" fontId="39" fillId="20" borderId="84" xfId="7" applyNumberFormat="1" applyFont="1" applyFill="1" applyBorder="1" applyAlignment="1">
      <alignment vertical="center"/>
    </xf>
    <xf numFmtId="0" fontId="39" fillId="29" borderId="74" xfId="6" applyFont="1" applyFill="1" applyBorder="1" applyAlignment="1">
      <alignment vertical="center"/>
    </xf>
    <xf numFmtId="43" fontId="38" fillId="29" borderId="84" xfId="7" applyNumberFormat="1" applyFont="1" applyFill="1" applyBorder="1" applyAlignment="1">
      <alignment horizontal="center" vertical="center"/>
    </xf>
    <xf numFmtId="0" fontId="39" fillId="30" borderId="74" xfId="6" applyFont="1" applyFill="1" applyBorder="1" applyAlignment="1">
      <alignment vertical="center"/>
    </xf>
    <xf numFmtId="170" fontId="39" fillId="30" borderId="84" xfId="7" applyNumberFormat="1" applyFont="1" applyFill="1" applyBorder="1" applyAlignment="1">
      <alignment vertical="center"/>
    </xf>
    <xf numFmtId="43" fontId="38" fillId="0" borderId="82" xfId="7" applyNumberFormat="1" applyFont="1" applyBorder="1" applyAlignment="1">
      <alignment vertical="center"/>
    </xf>
    <xf numFmtId="170" fontId="36" fillId="19" borderId="74" xfId="7" applyNumberFormat="1" applyFont="1" applyFill="1" applyBorder="1" applyAlignment="1">
      <alignment vertical="center"/>
    </xf>
    <xf numFmtId="43" fontId="38" fillId="19" borderId="84" xfId="7" applyNumberFormat="1" applyFont="1" applyFill="1" applyBorder="1" applyAlignment="1">
      <alignment horizontal="center" vertical="center"/>
    </xf>
    <xf numFmtId="0" fontId="36" fillId="0" borderId="87" xfId="6" applyFont="1" applyBorder="1" applyAlignment="1">
      <alignment vertical="center"/>
    </xf>
    <xf numFmtId="0" fontId="36" fillId="0" borderId="58" xfId="6" applyFont="1" applyBorder="1" applyAlignment="1">
      <alignment vertical="center"/>
    </xf>
    <xf numFmtId="168" fontId="36" fillId="0" borderId="58" xfId="8" applyFont="1" applyBorder="1" applyAlignment="1">
      <alignment horizontal="right" vertical="center"/>
    </xf>
    <xf numFmtId="43" fontId="36" fillId="0" borderId="4" xfId="6" applyNumberFormat="1" applyFont="1" applyFill="1" applyBorder="1" applyAlignment="1">
      <alignment horizontal="right" vertical="center"/>
    </xf>
    <xf numFmtId="168" fontId="36" fillId="0" borderId="7" xfId="8" applyFont="1" applyBorder="1" applyAlignment="1">
      <alignment horizontal="center" vertical="center"/>
    </xf>
    <xf numFmtId="43" fontId="38" fillId="0" borderId="90" xfId="7" applyNumberFormat="1" applyFont="1" applyBorder="1" applyAlignment="1">
      <alignment vertical="center"/>
    </xf>
    <xf numFmtId="0" fontId="36" fillId="0" borderId="91" xfId="6" applyFont="1" applyBorder="1" applyAlignment="1">
      <alignment vertical="center"/>
    </xf>
    <xf numFmtId="0" fontId="36" fillId="0" borderId="12" xfId="6" applyFont="1" applyBorder="1" applyAlignment="1">
      <alignment vertical="center"/>
    </xf>
    <xf numFmtId="171" fontId="36" fillId="0" borderId="12" xfId="6" applyNumberFormat="1" applyFont="1" applyBorder="1" applyAlignment="1">
      <alignment horizontal="right" vertical="center"/>
    </xf>
    <xf numFmtId="43" fontId="36" fillId="0" borderId="26" xfId="7" applyNumberFormat="1" applyFont="1" applyBorder="1" applyAlignment="1">
      <alignment horizontal="right" vertical="center"/>
    </xf>
    <xf numFmtId="0" fontId="36" fillId="0" borderId="97" xfId="6" applyFont="1" applyBorder="1" applyAlignment="1">
      <alignment vertical="center"/>
    </xf>
    <xf numFmtId="0" fontId="36" fillId="0" borderId="98" xfId="6" applyFont="1" applyBorder="1" applyAlignment="1">
      <alignment vertical="center"/>
    </xf>
    <xf numFmtId="171" fontId="36" fillId="0" borderId="98" xfId="6" applyNumberFormat="1" applyFont="1" applyBorder="1" applyAlignment="1">
      <alignment horizontal="right" vertical="center"/>
    </xf>
    <xf numFmtId="43" fontId="36" fillId="0" borderId="99" xfId="7" applyNumberFormat="1" applyFont="1" applyBorder="1" applyAlignment="1">
      <alignment horizontal="right" vertical="center"/>
    </xf>
    <xf numFmtId="168" fontId="36" fillId="0" borderId="12" xfId="6" applyNumberFormat="1" applyFont="1" applyBorder="1" applyAlignment="1">
      <alignment horizontal="right" vertical="center"/>
    </xf>
    <xf numFmtId="10" fontId="36" fillId="0" borderId="12" xfId="9" applyNumberFormat="1" applyFont="1" applyBorder="1" applyAlignment="1">
      <alignment horizontal="right" vertical="center"/>
    </xf>
    <xf numFmtId="10" fontId="36" fillId="0" borderId="12" xfId="6" applyNumberFormat="1" applyFont="1" applyBorder="1" applyAlignment="1">
      <alignment vertical="center"/>
    </xf>
    <xf numFmtId="43" fontId="36" fillId="0" borderId="26" xfId="7" applyNumberFormat="1" applyFont="1" applyBorder="1" applyAlignment="1">
      <alignment vertical="center"/>
    </xf>
    <xf numFmtId="10" fontId="36" fillId="0" borderId="12" xfId="6" applyNumberFormat="1" applyFont="1" applyBorder="1" applyAlignment="1">
      <alignment horizontal="right" vertical="center"/>
    </xf>
    <xf numFmtId="43" fontId="38" fillId="0" borderId="92" xfId="7" applyNumberFormat="1" applyFont="1" applyBorder="1" applyAlignment="1">
      <alignment vertical="center"/>
    </xf>
    <xf numFmtId="0" fontId="36" fillId="24" borderId="83" xfId="6" applyFont="1" applyFill="1" applyBorder="1" applyAlignment="1">
      <alignment vertical="center"/>
    </xf>
    <xf numFmtId="0" fontId="36" fillId="24" borderId="41" xfId="6" applyFont="1" applyFill="1" applyBorder="1" applyAlignment="1">
      <alignment vertical="center"/>
    </xf>
    <xf numFmtId="43" fontId="36" fillId="0" borderId="81" xfId="7" applyNumberFormat="1" applyFont="1" applyBorder="1" applyAlignment="1">
      <alignment vertical="center"/>
    </xf>
    <xf numFmtId="0" fontId="36" fillId="0" borderId="79" xfId="6" applyFont="1" applyBorder="1" applyAlignment="1">
      <alignment vertical="center"/>
    </xf>
    <xf numFmtId="0" fontId="36" fillId="0" borderId="19" xfId="6" applyFont="1" applyBorder="1" applyAlignment="1">
      <alignment horizontal="right" vertical="center"/>
    </xf>
    <xf numFmtId="0" fontId="36" fillId="0" borderId="19" xfId="6" applyFont="1" applyBorder="1" applyAlignment="1">
      <alignment vertical="center"/>
    </xf>
    <xf numFmtId="43" fontId="36" fillId="0" borderId="19" xfId="7" applyNumberFormat="1" applyFont="1" applyBorder="1" applyAlignment="1">
      <alignment vertical="center"/>
    </xf>
    <xf numFmtId="0" fontId="36" fillId="0" borderId="80" xfId="6" applyFont="1" applyBorder="1" applyAlignment="1">
      <alignment vertical="center"/>
    </xf>
    <xf numFmtId="0" fontId="36" fillId="0" borderId="15" xfId="6" applyFont="1" applyBorder="1" applyAlignment="1">
      <alignment horizontal="right" vertical="center"/>
    </xf>
    <xf numFmtId="0" fontId="36" fillId="0" borderId="15" xfId="6" applyFont="1" applyBorder="1" applyAlignment="1">
      <alignment horizontal="center" vertical="center"/>
    </xf>
    <xf numFmtId="0" fontId="36" fillId="0" borderId="15" xfId="6" applyFont="1" applyBorder="1" applyAlignment="1">
      <alignment vertical="center"/>
    </xf>
    <xf numFmtId="0" fontId="36" fillId="0" borderId="93" xfId="6" applyFont="1" applyBorder="1" applyAlignment="1">
      <alignment vertical="center"/>
    </xf>
    <xf numFmtId="0" fontId="36" fillId="0" borderId="94" xfId="6" applyFont="1" applyBorder="1" applyAlignment="1">
      <alignment horizontal="right" vertical="center"/>
    </xf>
    <xf numFmtId="0" fontId="36" fillId="0" borderId="94" xfId="6" applyFont="1" applyBorder="1" applyAlignment="1">
      <alignment horizontal="left" vertical="center"/>
    </xf>
    <xf numFmtId="166" fontId="36" fillId="0" borderId="94" xfId="7" applyNumberFormat="1" applyFont="1" applyBorder="1" applyAlignment="1">
      <alignment horizontal="center" vertical="center"/>
    </xf>
    <xf numFmtId="0" fontId="36" fillId="0" borderId="94" xfId="6" applyFont="1" applyBorder="1" applyAlignment="1">
      <alignment vertical="center"/>
    </xf>
    <xf numFmtId="0" fontId="36" fillId="0" borderId="95" xfId="6" applyFont="1" applyBorder="1" applyAlignment="1">
      <alignment vertical="center"/>
    </xf>
    <xf numFmtId="0" fontId="61" fillId="0" borderId="63" xfId="0" applyFont="1" applyBorder="1" applyAlignment="1">
      <alignment vertical="center"/>
    </xf>
    <xf numFmtId="0" fontId="61" fillId="0" borderId="55" xfId="0" applyFont="1" applyBorder="1" applyAlignment="1">
      <alignment vertical="center"/>
    </xf>
    <xf numFmtId="175" fontId="0" fillId="0" borderId="0" xfId="2" applyNumberFormat="1" applyFont="1" applyAlignment="1">
      <alignment horizontal="center" vertical="center"/>
    </xf>
    <xf numFmtId="175" fontId="1" fillId="31" borderId="0" xfId="0" applyNumberFormat="1" applyFont="1" applyFill="1" applyAlignment="1">
      <alignment horizontal="center" vertical="center"/>
    </xf>
    <xf numFmtId="167" fontId="0" fillId="0" borderId="0" xfId="3" applyNumberFormat="1" applyFont="1" applyAlignment="1">
      <alignment horizontal="center" vertical="center"/>
    </xf>
    <xf numFmtId="167" fontId="1" fillId="31" borderId="0" xfId="3" applyNumberFormat="1" applyFont="1" applyFill="1" applyAlignment="1">
      <alignment horizontal="center" vertical="center"/>
    </xf>
    <xf numFmtId="0" fontId="22" fillId="41" borderId="107" xfId="10" applyFont="1" applyFill="1" applyBorder="1" applyAlignment="1">
      <alignment horizontal="center" vertical="center" textRotation="90"/>
    </xf>
    <xf numFmtId="49" fontId="22" fillId="41" borderId="107" xfId="10" applyNumberFormat="1" applyFont="1" applyFill="1" applyBorder="1" applyAlignment="1">
      <alignment horizontal="center" vertical="center" textRotation="90"/>
    </xf>
    <xf numFmtId="0" fontId="21" fillId="20" borderId="108" xfId="10" applyFont="1" applyFill="1" applyBorder="1" applyAlignment="1">
      <alignment horizontal="center" vertical="center"/>
    </xf>
    <xf numFmtId="0" fontId="21" fillId="20" borderId="108" xfId="10" applyFont="1" applyFill="1" applyBorder="1" applyAlignment="1">
      <alignment vertical="center"/>
    </xf>
    <xf numFmtId="177" fontId="21" fillId="20" borderId="108" xfId="10" applyNumberFormat="1" applyFont="1" applyFill="1" applyBorder="1" applyAlignment="1">
      <alignment vertical="center"/>
    </xf>
    <xf numFmtId="0" fontId="21" fillId="0" borderId="109" xfId="10" applyFont="1" applyBorder="1" applyAlignment="1">
      <alignment horizontal="center" vertical="center"/>
    </xf>
    <xf numFmtId="0" fontId="21" fillId="0" borderId="109" xfId="10" applyFont="1" applyBorder="1" applyAlignment="1">
      <alignment vertical="center" wrapText="1"/>
    </xf>
    <xf numFmtId="177" fontId="21" fillId="0" borderId="109" xfId="10" applyNumberFormat="1" applyFont="1" applyBorder="1" applyAlignment="1">
      <alignment vertical="center"/>
    </xf>
    <xf numFmtId="177" fontId="21" fillId="42" borderId="109" xfId="10" applyNumberFormat="1" applyFont="1" applyFill="1" applyBorder="1" applyAlignment="1">
      <alignment vertical="center"/>
    </xf>
    <xf numFmtId="0" fontId="21" fillId="0" borderId="109" xfId="10" applyFont="1" applyBorder="1" applyAlignment="1">
      <alignment vertical="center"/>
    </xf>
    <xf numFmtId="0" fontId="21" fillId="0" borderId="110" xfId="10" applyFont="1" applyBorder="1" applyAlignment="1">
      <alignment horizontal="center" vertical="center"/>
    </xf>
    <xf numFmtId="0" fontId="21" fillId="0" borderId="110" xfId="10" applyFont="1" applyBorder="1" applyAlignment="1">
      <alignment vertical="center" wrapText="1"/>
    </xf>
    <xf numFmtId="0" fontId="21" fillId="0" borderId="110" xfId="10" applyFont="1" applyBorder="1" applyAlignment="1">
      <alignment vertical="center"/>
    </xf>
    <xf numFmtId="177" fontId="21" fillId="0" borderId="110" xfId="10" applyNumberFormat="1" applyFont="1" applyBorder="1" applyAlignment="1">
      <alignment vertical="center"/>
    </xf>
    <xf numFmtId="0" fontId="21" fillId="0" borderId="107" xfId="10" applyFont="1" applyBorder="1" applyAlignment="1">
      <alignment horizontal="center" vertical="center"/>
    </xf>
    <xf numFmtId="0" fontId="21" fillId="0" borderId="107" xfId="10" applyFont="1" applyBorder="1" applyAlignment="1">
      <alignment vertical="center" wrapText="1"/>
    </xf>
    <xf numFmtId="0" fontId="21" fillId="0" borderId="107" xfId="10" applyFont="1" applyBorder="1" applyAlignment="1">
      <alignment vertical="center"/>
    </xf>
    <xf numFmtId="0" fontId="21" fillId="20" borderId="108" xfId="10" applyFont="1" applyFill="1" applyBorder="1" applyAlignment="1">
      <alignment vertical="center" wrapText="1"/>
    </xf>
    <xf numFmtId="0" fontId="21" fillId="0" borderId="0" xfId="10" applyFont="1" applyAlignment="1">
      <alignment horizontal="center" vertical="center"/>
    </xf>
    <xf numFmtId="0" fontId="21" fillId="0" borderId="0" xfId="10" applyFont="1" applyAlignment="1">
      <alignment vertical="center"/>
    </xf>
    <xf numFmtId="4" fontId="21" fillId="0" borderId="0" xfId="10" applyNumberFormat="1" applyFont="1" applyAlignment="1">
      <alignment vertical="center"/>
    </xf>
    <xf numFmtId="0" fontId="21" fillId="0" borderId="108" xfId="10" applyFont="1" applyBorder="1" applyAlignment="1">
      <alignment vertical="center"/>
    </xf>
    <xf numFmtId="177" fontId="21" fillId="0" borderId="108" xfId="10" applyNumberFormat="1" applyFont="1" applyBorder="1" applyAlignment="1">
      <alignment vertical="center"/>
    </xf>
    <xf numFmtId="0" fontId="21" fillId="0" borderId="12" xfId="10" applyFont="1" applyBorder="1" applyAlignment="1">
      <alignment vertical="center"/>
    </xf>
    <xf numFmtId="177" fontId="21" fillId="0" borderId="12" xfId="10" applyNumberFormat="1" applyFont="1" applyBorder="1" applyAlignment="1">
      <alignment vertical="center"/>
    </xf>
    <xf numFmtId="0" fontId="21" fillId="0" borderId="11" xfId="10" applyFont="1" applyBorder="1" applyAlignment="1">
      <alignment vertical="center"/>
    </xf>
    <xf numFmtId="0" fontId="21" fillId="20" borderId="1" xfId="10" applyFont="1" applyFill="1" applyBorder="1" applyAlignment="1">
      <alignment vertical="center"/>
    </xf>
    <xf numFmtId="0" fontId="21" fillId="20" borderId="1" xfId="10" applyFont="1" applyFill="1" applyBorder="1" applyAlignment="1">
      <alignment vertical="center" wrapText="1"/>
    </xf>
    <xf numFmtId="49" fontId="22" fillId="41" borderId="1" xfId="10" applyNumberFormat="1" applyFont="1" applyFill="1" applyBorder="1" applyAlignment="1">
      <alignment horizontal="center" vertical="center" textRotation="90"/>
    </xf>
    <xf numFmtId="44" fontId="21" fillId="0" borderId="108" xfId="2" applyFont="1" applyBorder="1" applyAlignment="1">
      <alignment vertical="center"/>
    </xf>
    <xf numFmtId="164" fontId="21" fillId="0" borderId="108" xfId="2" applyNumberFormat="1" applyFont="1" applyBorder="1" applyAlignment="1">
      <alignment vertical="center"/>
    </xf>
    <xf numFmtId="164" fontId="21" fillId="0" borderId="110" xfId="2" applyNumberFormat="1" applyFont="1" applyFill="1" applyBorder="1" applyAlignment="1">
      <alignment vertical="center"/>
    </xf>
    <xf numFmtId="0" fontId="22" fillId="41" borderId="1" xfId="10" applyFont="1" applyFill="1" applyBorder="1" applyAlignment="1">
      <alignment horizontal="center" vertical="center"/>
    </xf>
    <xf numFmtId="0" fontId="0" fillId="0" borderId="12" xfId="0" applyFill="1" applyBorder="1" applyAlignment="1">
      <alignment vertical="center"/>
    </xf>
    <xf numFmtId="0" fontId="0" fillId="0" borderId="12" xfId="0" applyBorder="1" applyAlignment="1">
      <alignment vertical="center"/>
    </xf>
    <xf numFmtId="0" fontId="0" fillId="0" borderId="11" xfId="0" applyBorder="1" applyAlignment="1">
      <alignment vertical="center"/>
    </xf>
    <xf numFmtId="44" fontId="36" fillId="0" borderId="0" xfId="6" applyNumberFormat="1" applyFont="1"/>
    <xf numFmtId="173" fontId="36" fillId="0" borderId="0" xfId="6" applyNumberFormat="1" applyFont="1"/>
    <xf numFmtId="170" fontId="36" fillId="0" borderId="0" xfId="6" applyNumberFormat="1" applyFont="1"/>
    <xf numFmtId="170" fontId="36" fillId="0" borderId="0" xfId="6" applyNumberFormat="1" applyFont="1" applyBorder="1" applyAlignment="1">
      <alignment vertical="center"/>
    </xf>
    <xf numFmtId="43" fontId="36" fillId="0" borderId="0" xfId="6" applyNumberFormat="1" applyFont="1" applyBorder="1" applyAlignment="1">
      <alignment vertical="center"/>
    </xf>
    <xf numFmtId="178" fontId="36" fillId="0" borderId="0" xfId="7" applyNumberFormat="1" applyFont="1" applyBorder="1" applyAlignment="1">
      <alignment vertical="center"/>
    </xf>
    <xf numFmtId="173" fontId="36" fillId="0" borderId="1" xfId="6" applyNumberFormat="1" applyFont="1" applyBorder="1"/>
    <xf numFmtId="0" fontId="36" fillId="0" borderId="1" xfId="6" applyFont="1" applyBorder="1"/>
    <xf numFmtId="175" fontId="36" fillId="0" borderId="0" xfId="2" applyNumberFormat="1" applyFont="1"/>
    <xf numFmtId="0" fontId="36" fillId="0" borderId="0" xfId="6" applyFont="1" applyAlignment="1"/>
    <xf numFmtId="0" fontId="39" fillId="0" borderId="1" xfId="6" applyFont="1" applyBorder="1" applyAlignment="1">
      <alignment horizontal="center"/>
    </xf>
    <xf numFmtId="0" fontId="0" fillId="0" borderId="0" xfId="0" applyAlignment="1">
      <alignment horizontal="center"/>
    </xf>
    <xf numFmtId="0" fontId="18" fillId="0" borderId="0" xfId="0" applyFont="1" applyBorder="1" applyAlignment="1">
      <alignment horizontal="center"/>
    </xf>
    <xf numFmtId="0" fontId="19" fillId="3" borderId="30" xfId="0" applyFont="1" applyFill="1" applyBorder="1" applyAlignment="1">
      <alignment horizontal="center" vertical="center"/>
    </xf>
    <xf numFmtId="0" fontId="19" fillId="3" borderId="0" xfId="0" applyFont="1" applyFill="1" applyBorder="1" applyAlignment="1">
      <alignment horizontal="center" vertical="center"/>
    </xf>
    <xf numFmtId="0" fontId="19" fillId="3" borderId="22" xfId="0" applyFont="1" applyFill="1" applyBorder="1" applyAlignment="1">
      <alignment horizontal="center" vertical="center"/>
    </xf>
    <xf numFmtId="0" fontId="18" fillId="0" borderId="22" xfId="0" applyFont="1" applyBorder="1" applyAlignment="1">
      <alignment horizontal="center"/>
    </xf>
    <xf numFmtId="0" fontId="21" fillId="20" borderId="10" xfId="10" applyFont="1" applyFill="1" applyBorder="1" applyAlignment="1">
      <alignment vertical="center" wrapText="1"/>
    </xf>
    <xf numFmtId="0" fontId="0" fillId="0" borderId="13" xfId="0" applyBorder="1"/>
    <xf numFmtId="0" fontId="0" fillId="0" borderId="18" xfId="0" applyBorder="1"/>
    <xf numFmtId="0" fontId="39" fillId="0" borderId="1" xfId="6" applyFont="1" applyBorder="1"/>
    <xf numFmtId="4" fontId="21" fillId="0" borderId="1" xfId="10" applyNumberFormat="1" applyFont="1" applyBorder="1" applyAlignment="1">
      <alignment vertical="center"/>
    </xf>
    <xf numFmtId="0" fontId="0" fillId="18" borderId="1" xfId="0" applyFill="1" applyBorder="1"/>
    <xf numFmtId="0" fontId="0" fillId="7" borderId="1" xfId="0" applyFill="1" applyBorder="1"/>
    <xf numFmtId="164" fontId="21" fillId="0" borderId="108" xfId="2" applyNumberFormat="1" applyFont="1" applyBorder="1" applyAlignment="1">
      <alignment horizontal="center" vertical="center"/>
    </xf>
    <xf numFmtId="164" fontId="59" fillId="0" borderId="0" xfId="0" applyNumberFormat="1" applyFont="1"/>
    <xf numFmtId="164" fontId="21" fillId="0" borderId="0" xfId="0" applyNumberFormat="1" applyFont="1"/>
    <xf numFmtId="0" fontId="18" fillId="0" borderId="1" xfId="0" applyFont="1" applyBorder="1" applyAlignment="1">
      <alignment vertical="center" wrapText="1"/>
    </xf>
    <xf numFmtId="0" fontId="0" fillId="8" borderId="12" xfId="0" applyFill="1" applyBorder="1" applyAlignment="1">
      <alignment vertical="center"/>
    </xf>
    <xf numFmtId="0" fontId="0" fillId="8" borderId="13" xfId="0" applyFill="1" applyBorder="1"/>
    <xf numFmtId="177" fontId="21" fillId="43" borderId="12" xfId="10" applyNumberFormat="1" applyFont="1" applyFill="1" applyBorder="1" applyAlignment="1">
      <alignment vertical="center"/>
    </xf>
    <xf numFmtId="0" fontId="21" fillId="43" borderId="12" xfId="10" applyFont="1" applyFill="1" applyBorder="1" applyAlignment="1">
      <alignment vertical="center"/>
    </xf>
    <xf numFmtId="0" fontId="21" fillId="0" borderId="12" xfId="10" applyFont="1" applyFill="1" applyBorder="1" applyAlignment="1">
      <alignment vertical="center"/>
    </xf>
    <xf numFmtId="0" fontId="21" fillId="43" borderId="11" xfId="10" applyFont="1" applyFill="1" applyBorder="1" applyAlignment="1">
      <alignment vertical="center"/>
    </xf>
    <xf numFmtId="0" fontId="0" fillId="8" borderId="11" xfId="0" applyFill="1" applyBorder="1" applyAlignment="1">
      <alignment vertical="center"/>
    </xf>
    <xf numFmtId="0" fontId="18" fillId="0" borderId="1" xfId="0" applyFont="1" applyBorder="1" applyAlignment="1">
      <alignment horizontal="center" vertical="center" wrapText="1"/>
    </xf>
    <xf numFmtId="0" fontId="19" fillId="3" borderId="56" xfId="0" applyFont="1" applyFill="1" applyBorder="1" applyAlignment="1">
      <alignment horizontal="center" vertical="center"/>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xf>
    <xf numFmtId="0" fontId="19" fillId="5" borderId="5" xfId="0" applyFont="1" applyFill="1" applyBorder="1" applyAlignment="1">
      <alignment horizontal="center" vertical="center" textRotation="90" wrapText="1"/>
    </xf>
    <xf numFmtId="0" fontId="18" fillId="33" borderId="7" xfId="0" applyFont="1" applyFill="1" applyBorder="1" applyAlignment="1">
      <alignment horizontal="center" vertical="center" wrapText="1"/>
    </xf>
    <xf numFmtId="0" fontId="18" fillId="19" borderId="7" xfId="0" applyFont="1" applyFill="1" applyBorder="1" applyAlignment="1">
      <alignment horizontal="center" vertical="center" wrapText="1"/>
    </xf>
    <xf numFmtId="0" fontId="18" fillId="35" borderId="7" xfId="0" applyFont="1" applyFill="1" applyBorder="1" applyAlignment="1">
      <alignment horizontal="center" vertical="center" wrapText="1"/>
    </xf>
    <xf numFmtId="0" fontId="19" fillId="5" borderId="18" xfId="0" applyFont="1" applyFill="1" applyBorder="1" applyAlignment="1">
      <alignment horizontal="center" vertical="center" textRotation="90" wrapText="1"/>
    </xf>
    <xf numFmtId="0" fontId="19" fillId="5" borderId="10" xfId="0" applyFont="1" applyFill="1" applyBorder="1" applyAlignment="1">
      <alignment horizontal="center" vertical="center" textRotation="90" wrapText="1"/>
    </xf>
    <xf numFmtId="0" fontId="19" fillId="5" borderId="17" xfId="0" applyFont="1" applyFill="1" applyBorder="1" applyAlignment="1">
      <alignment horizontal="center" vertical="center" textRotation="90" wrapText="1"/>
    </xf>
    <xf numFmtId="0" fontId="18" fillId="6" borderId="9" xfId="0" applyFont="1" applyFill="1" applyBorder="1" applyAlignment="1">
      <alignment horizontal="center" vertical="center" wrapText="1"/>
    </xf>
    <xf numFmtId="0" fontId="18" fillId="0" borderId="9" xfId="0" applyFont="1" applyBorder="1" applyAlignment="1">
      <alignment vertical="center" wrapText="1"/>
    </xf>
    <xf numFmtId="0" fontId="18" fillId="0" borderId="9" xfId="0" applyFont="1" applyBorder="1" applyAlignment="1">
      <alignment horizontal="center" vertical="center" wrapText="1"/>
    </xf>
    <xf numFmtId="0" fontId="18" fillId="35" borderId="14" xfId="0" applyFont="1" applyFill="1" applyBorder="1" applyAlignment="1">
      <alignment horizontal="center" vertical="center" wrapText="1"/>
    </xf>
    <xf numFmtId="0" fontId="18" fillId="36" borderId="11" xfId="0" applyFont="1" applyFill="1" applyBorder="1" applyAlignment="1">
      <alignment horizontal="center" vertical="center" wrapText="1"/>
    </xf>
    <xf numFmtId="0" fontId="18" fillId="11" borderId="11" xfId="0" applyFont="1" applyFill="1" applyBorder="1" applyAlignment="1">
      <alignment horizontal="center" vertical="center" wrapText="1"/>
    </xf>
    <xf numFmtId="0" fontId="18" fillId="37" borderId="11" xfId="0" applyFont="1" applyFill="1" applyBorder="1" applyAlignment="1">
      <alignment horizontal="center" vertical="center" wrapText="1"/>
    </xf>
    <xf numFmtId="0" fontId="18" fillId="8" borderId="11" xfId="0" applyFont="1" applyFill="1" applyBorder="1" applyAlignment="1">
      <alignment horizontal="center" vertical="center" wrapText="1"/>
    </xf>
    <xf numFmtId="0" fontId="18" fillId="6" borderId="11" xfId="0" applyFont="1" applyFill="1" applyBorder="1" applyAlignment="1">
      <alignment horizontal="center" vertical="center" wrapText="1"/>
    </xf>
    <xf numFmtId="0" fontId="18" fillId="40" borderId="11" xfId="0" applyFont="1" applyFill="1" applyBorder="1" applyAlignment="1">
      <alignment horizontal="center" vertical="center" wrapText="1"/>
    </xf>
    <xf numFmtId="0" fontId="18" fillId="35" borderId="11" xfId="0" applyFont="1" applyFill="1" applyBorder="1" applyAlignment="1">
      <alignment horizontal="center" vertical="center" wrapText="1"/>
    </xf>
    <xf numFmtId="0" fontId="18" fillId="6" borderId="16" xfId="0" applyFont="1" applyFill="1" applyBorder="1" applyAlignment="1">
      <alignment horizontal="center" vertical="center" wrapText="1"/>
    </xf>
    <xf numFmtId="0" fontId="1" fillId="0" borderId="5" xfId="0" applyFont="1" applyBorder="1" applyAlignment="1">
      <alignment vertical="center"/>
    </xf>
    <xf numFmtId="0" fontId="1" fillId="9" borderId="1" xfId="0" applyFont="1" applyFill="1" applyBorder="1" applyAlignment="1">
      <alignment vertical="center"/>
    </xf>
    <xf numFmtId="14" fontId="2" fillId="0" borderId="1" xfId="0" applyNumberFormat="1" applyFont="1" applyBorder="1" applyAlignment="1">
      <alignment horizontal="left" vertical="center"/>
    </xf>
    <xf numFmtId="0" fontId="2" fillId="0" borderId="32" xfId="0" applyFont="1" applyBorder="1" applyAlignment="1">
      <alignment horizontal="left" vertical="center"/>
    </xf>
    <xf numFmtId="0" fontId="2" fillId="0" borderId="33" xfId="0" applyFont="1" applyBorder="1" applyAlignment="1">
      <alignment horizontal="left" vertical="center"/>
    </xf>
    <xf numFmtId="0" fontId="2" fillId="0" borderId="34" xfId="0" applyFont="1" applyBorder="1" applyAlignment="1">
      <alignment horizontal="left" vertical="center"/>
    </xf>
    <xf numFmtId="0" fontId="22" fillId="9" borderId="1" xfId="0" applyFont="1" applyFill="1" applyBorder="1" applyAlignment="1">
      <alignment vertical="center"/>
    </xf>
    <xf numFmtId="0" fontId="22" fillId="5" borderId="5" xfId="0" applyFont="1" applyFill="1" applyBorder="1" applyAlignment="1">
      <alignment horizontal="center" vertical="center"/>
    </xf>
    <xf numFmtId="0" fontId="21" fillId="0" borderId="5" xfId="0" applyFont="1" applyBorder="1" applyAlignment="1">
      <alignment vertical="center"/>
    </xf>
    <xf numFmtId="14" fontId="18" fillId="0" borderId="1" xfId="0" applyNumberFormat="1" applyFont="1" applyBorder="1" applyAlignment="1">
      <alignment horizontal="center" vertical="center"/>
    </xf>
    <xf numFmtId="0" fontId="22" fillId="0" borderId="5" xfId="0" applyFont="1" applyBorder="1" applyAlignment="1">
      <alignment vertical="center"/>
    </xf>
    <xf numFmtId="0" fontId="3" fillId="6" borderId="1" xfId="0" applyFont="1" applyFill="1" applyBorder="1" applyAlignment="1">
      <alignment horizontal="center" vertical="center"/>
    </xf>
    <xf numFmtId="0" fontId="3" fillId="6" borderId="6" xfId="0" applyFont="1" applyFill="1" applyBorder="1" applyAlignment="1">
      <alignment horizontal="center" vertical="center"/>
    </xf>
    <xf numFmtId="0" fontId="18" fillId="0" borderId="1" xfId="0" applyFont="1" applyFill="1" applyBorder="1" applyAlignment="1">
      <alignment horizontal="center"/>
    </xf>
    <xf numFmtId="0" fontId="18" fillId="0" borderId="1" xfId="0" applyFont="1" applyBorder="1" applyAlignment="1">
      <alignment horizontal="center"/>
    </xf>
    <xf numFmtId="0" fontId="18" fillId="0" borderId="0" xfId="0" applyFont="1" applyBorder="1" applyAlignment="1">
      <alignment horizontal="center"/>
    </xf>
    <xf numFmtId="0" fontId="2" fillId="0" borderId="0" xfId="0" applyFont="1" applyBorder="1" applyAlignment="1">
      <alignment horizontal="center" vertical="center"/>
    </xf>
    <xf numFmtId="14" fontId="18" fillId="0" borderId="1" xfId="0" applyNumberFormat="1" applyFont="1" applyBorder="1" applyAlignment="1">
      <alignment horizontal="center" vertical="center"/>
    </xf>
    <xf numFmtId="0" fontId="21" fillId="0" borderId="1" xfId="0" applyFont="1" applyBorder="1" applyAlignment="1">
      <alignment horizontal="center" vertical="center"/>
    </xf>
    <xf numFmtId="0" fontId="21" fillId="0" borderId="5"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6" xfId="0" applyFont="1" applyBorder="1" applyAlignment="1">
      <alignment horizontal="center" vertical="center"/>
    </xf>
    <xf numFmtId="0" fontId="22" fillId="0" borderId="5" xfId="0" applyFont="1" applyBorder="1" applyAlignment="1">
      <alignment horizontal="center" vertical="center"/>
    </xf>
    <xf numFmtId="0" fontId="22" fillId="5" borderId="1" xfId="0" applyFont="1" applyFill="1" applyBorder="1" applyAlignment="1">
      <alignment horizontal="center" vertical="center"/>
    </xf>
    <xf numFmtId="0" fontId="22" fillId="5" borderId="6" xfId="0" applyFont="1" applyFill="1" applyBorder="1" applyAlignment="1">
      <alignment horizontal="center" vertical="center"/>
    </xf>
    <xf numFmtId="0" fontId="2" fillId="5" borderId="5" xfId="0" applyFont="1" applyFill="1" applyBorder="1" applyAlignment="1">
      <alignment vertical="center"/>
    </xf>
    <xf numFmtId="0" fontId="2" fillId="0" borderId="30" xfId="0" applyFont="1" applyBorder="1" applyAlignment="1">
      <alignment vertical="center"/>
    </xf>
    <xf numFmtId="0" fontId="2" fillId="0" borderId="0" xfId="0" applyFont="1" applyBorder="1" applyAlignment="1">
      <alignment vertical="center"/>
    </xf>
    <xf numFmtId="0" fontId="2" fillId="0" borderId="22" xfId="0" applyFont="1" applyBorder="1" applyAlignment="1">
      <alignment vertical="center"/>
    </xf>
    <xf numFmtId="0" fontId="2" fillId="0" borderId="32" xfId="0" applyFont="1" applyBorder="1" applyAlignment="1">
      <alignment vertical="center"/>
    </xf>
    <xf numFmtId="0" fontId="2" fillId="0" borderId="33" xfId="0" applyFont="1" applyBorder="1" applyAlignment="1">
      <alignment vertical="center"/>
    </xf>
    <xf numFmtId="0" fontId="2" fillId="0" borderId="34" xfId="0" applyFont="1" applyBorder="1" applyAlignment="1">
      <alignment vertical="center"/>
    </xf>
    <xf numFmtId="0" fontId="60" fillId="0" borderId="5" xfId="0" applyFont="1" applyBorder="1" applyAlignment="1">
      <alignment horizontal="left" vertical="center"/>
    </xf>
    <xf numFmtId="0" fontId="2" fillId="0" borderId="33" xfId="0" applyFont="1" applyBorder="1" applyAlignment="1">
      <alignment horizontal="center" vertical="center"/>
    </xf>
    <xf numFmtId="0" fontId="19" fillId="5" borderId="43" xfId="0" applyFont="1" applyFill="1" applyBorder="1" applyAlignment="1">
      <alignment horizontal="left" vertical="center"/>
    </xf>
    <xf numFmtId="0" fontId="19" fillId="5" borderId="47" xfId="0" applyFont="1" applyFill="1" applyBorder="1" applyAlignment="1">
      <alignment horizontal="left" vertical="center"/>
    </xf>
    <xf numFmtId="0" fontId="19" fillId="5" borderId="44" xfId="0" applyFont="1" applyFill="1" applyBorder="1" applyAlignment="1">
      <alignment horizontal="left" vertical="center"/>
    </xf>
    <xf numFmtId="0" fontId="19" fillId="5" borderId="48" xfId="0" applyFont="1" applyFill="1" applyBorder="1" applyAlignment="1">
      <alignment horizontal="left" vertical="center"/>
    </xf>
    <xf numFmtId="0" fontId="18" fillId="5" borderId="23" xfId="0" applyFont="1" applyFill="1" applyBorder="1" applyAlignment="1">
      <alignment vertical="center"/>
    </xf>
    <xf numFmtId="0" fontId="18" fillId="5" borderId="27" xfId="0" applyFont="1" applyFill="1" applyBorder="1" applyAlignment="1">
      <alignment vertical="center"/>
    </xf>
    <xf numFmtId="0" fontId="18" fillId="5" borderId="1" xfId="0" applyFont="1" applyFill="1" applyBorder="1" applyAlignment="1">
      <alignment vertical="center"/>
    </xf>
    <xf numFmtId="14" fontId="21" fillId="0" borderId="1" xfId="0" applyNumberFormat="1" applyFont="1" applyBorder="1" applyAlignment="1">
      <alignment horizontal="center" vertical="center"/>
    </xf>
    <xf numFmtId="0" fontId="21" fillId="0" borderId="6" xfId="0" applyFont="1" applyBorder="1" applyAlignment="1">
      <alignment vertical="center"/>
    </xf>
    <xf numFmtId="14" fontId="21" fillId="7" borderId="1" xfId="0" applyNumberFormat="1" applyFont="1" applyFill="1" applyBorder="1" applyAlignment="1">
      <alignment horizontal="center" vertical="center"/>
    </xf>
    <xf numFmtId="0" fontId="21" fillId="7" borderId="1" xfId="0" applyFont="1" applyFill="1" applyBorder="1" applyAlignment="1">
      <alignment horizontal="center" vertical="center"/>
    </xf>
    <xf numFmtId="0" fontId="21" fillId="7" borderId="6" xfId="0" applyFont="1" applyFill="1" applyBorder="1" applyAlignment="1">
      <alignment vertical="center"/>
    </xf>
    <xf numFmtId="0" fontId="18" fillId="0" borderId="30" xfId="0" applyFont="1" applyBorder="1" applyAlignment="1">
      <alignment vertical="center"/>
    </xf>
    <xf numFmtId="0" fontId="18" fillId="0" borderId="0" xfId="0" applyFont="1" applyBorder="1" applyAlignment="1">
      <alignment vertical="center"/>
    </xf>
    <xf numFmtId="0" fontId="18" fillId="0" borderId="22" xfId="0" applyFont="1" applyBorder="1" applyAlignment="1">
      <alignment vertical="center"/>
    </xf>
    <xf numFmtId="0" fontId="18" fillId="0" borderId="32" xfId="0" applyFont="1" applyBorder="1" applyAlignment="1">
      <alignment vertical="center"/>
    </xf>
    <xf numFmtId="0" fontId="18" fillId="0" borderId="33" xfId="0" applyFont="1" applyBorder="1" applyAlignment="1">
      <alignment vertical="center"/>
    </xf>
    <xf numFmtId="0" fontId="18" fillId="0" borderId="34" xfId="0" applyFont="1" applyBorder="1" applyAlignment="1">
      <alignment vertical="center"/>
    </xf>
    <xf numFmtId="0" fontId="22" fillId="5" borderId="5" xfId="0" applyFont="1" applyFill="1" applyBorder="1" applyAlignment="1">
      <alignment horizontal="center" vertical="center" wrapText="1"/>
    </xf>
    <xf numFmtId="0" fontId="21" fillId="0" borderId="5" xfId="0" applyFont="1" applyBorder="1" applyAlignment="1">
      <alignment vertical="center" wrapText="1"/>
    </xf>
    <xf numFmtId="0" fontId="19" fillId="0" borderId="63" xfId="0" applyFont="1" applyBorder="1" applyAlignment="1">
      <alignment horizontal="center" vertical="center"/>
    </xf>
    <xf numFmtId="0" fontId="21" fillId="0" borderId="5" xfId="0" applyFont="1" applyBorder="1" applyAlignment="1">
      <alignment horizontal="left" vertical="center" wrapText="1"/>
    </xf>
    <xf numFmtId="0" fontId="19" fillId="0" borderId="4" xfId="0" applyFont="1" applyBorder="1" applyAlignment="1">
      <alignment horizontal="center" vertical="center"/>
    </xf>
    <xf numFmtId="0" fontId="18" fillId="0" borderId="54" xfId="0" applyFont="1" applyBorder="1" applyAlignment="1">
      <alignment horizontal="center" vertical="center"/>
    </xf>
    <xf numFmtId="0" fontId="18" fillId="0" borderId="46" xfId="0" applyFont="1" applyBorder="1" applyAlignment="1">
      <alignment horizontal="center" vertical="center"/>
    </xf>
    <xf numFmtId="0" fontId="18" fillId="0" borderId="55" xfId="0" applyFont="1" applyBorder="1" applyAlignment="1">
      <alignment horizontal="center" vertical="center"/>
    </xf>
    <xf numFmtId="0" fontId="18" fillId="0" borderId="23" xfId="0" applyFont="1" applyBorder="1" applyAlignment="1">
      <alignment horizontal="center" vertical="center"/>
    </xf>
    <xf numFmtId="0" fontId="18" fillId="0" borderId="17" xfId="0" applyFont="1" applyBorder="1" applyAlignment="1">
      <alignment horizontal="center" vertical="center"/>
    </xf>
    <xf numFmtId="0" fontId="19" fillId="3" borderId="36" xfId="0" applyFont="1" applyFill="1" applyBorder="1" applyAlignment="1">
      <alignment horizontal="center" vertical="center"/>
    </xf>
    <xf numFmtId="0" fontId="19" fillId="3" borderId="37" xfId="0" applyFont="1" applyFill="1" applyBorder="1" applyAlignment="1">
      <alignment horizontal="center" vertical="center"/>
    </xf>
    <xf numFmtId="0" fontId="19" fillId="3" borderId="38" xfId="0" applyFont="1" applyFill="1" applyBorder="1" applyAlignment="1">
      <alignment horizontal="center" vertical="center"/>
    </xf>
    <xf numFmtId="0" fontId="18" fillId="0" borderId="2"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6" xfId="0" applyFont="1" applyBorder="1" applyAlignment="1">
      <alignment horizontal="center"/>
    </xf>
    <xf numFmtId="0" fontId="18" fillId="0" borderId="27" xfId="0" applyFont="1" applyBorder="1" applyAlignment="1">
      <alignment horizontal="center"/>
    </xf>
    <xf numFmtId="0" fontId="18" fillId="0" borderId="39" xfId="0" applyFont="1" applyBorder="1" applyAlignment="1">
      <alignment horizontal="center"/>
    </xf>
    <xf numFmtId="0" fontId="20" fillId="4" borderId="31" xfId="0" applyFont="1" applyFill="1" applyBorder="1" applyAlignment="1">
      <alignment horizontal="center" vertical="center"/>
    </xf>
    <xf numFmtId="0" fontId="20" fillId="4" borderId="13" xfId="0" applyFont="1" applyFill="1" applyBorder="1" applyAlignment="1">
      <alignment horizontal="center" vertical="center"/>
    </xf>
    <xf numFmtId="0" fontId="20" fillId="4" borderId="24" xfId="0" applyFont="1" applyFill="1" applyBorder="1" applyAlignment="1">
      <alignment horizontal="center" vertical="center"/>
    </xf>
    <xf numFmtId="0" fontId="19" fillId="5" borderId="45" xfId="0" applyFont="1" applyFill="1" applyBorder="1" applyAlignment="1">
      <alignment horizontal="left" vertical="center"/>
    </xf>
    <xf numFmtId="0" fontId="19" fillId="5" borderId="46" xfId="0" applyFont="1" applyFill="1" applyBorder="1" applyAlignment="1">
      <alignment horizontal="left" vertical="center"/>
    </xf>
    <xf numFmtId="0" fontId="19" fillId="5" borderId="47" xfId="0" applyFont="1" applyFill="1" applyBorder="1" applyAlignment="1">
      <alignment horizontal="left" vertical="center"/>
    </xf>
    <xf numFmtId="0" fontId="19" fillId="5" borderId="44" xfId="0" applyFont="1" applyFill="1" applyBorder="1" applyAlignment="1">
      <alignment horizontal="left" vertical="center"/>
    </xf>
    <xf numFmtId="0" fontId="19" fillId="5" borderId="43" xfId="0" applyFont="1" applyFill="1" applyBorder="1" applyAlignment="1">
      <alignment horizontal="left" vertical="center"/>
    </xf>
    <xf numFmtId="0" fontId="18" fillId="0" borderId="43" xfId="0" applyFont="1" applyBorder="1" applyAlignment="1">
      <alignment horizontal="center"/>
    </xf>
    <xf numFmtId="0" fontId="18" fillId="0" borderId="44" xfId="0" applyFont="1" applyBorder="1" applyAlignment="1">
      <alignment horizontal="center"/>
    </xf>
    <xf numFmtId="0" fontId="18" fillId="0" borderId="45" xfId="0" applyFont="1" applyBorder="1" applyAlignment="1">
      <alignment horizontal="center"/>
    </xf>
    <xf numFmtId="0" fontId="18" fillId="0" borderId="13" xfId="0" applyFont="1" applyBorder="1" applyAlignment="1">
      <alignment horizontal="center"/>
    </xf>
    <xf numFmtId="0" fontId="18" fillId="0" borderId="12" xfId="0" applyFont="1" applyBorder="1" applyAlignment="1">
      <alignment horizontal="center"/>
    </xf>
    <xf numFmtId="0" fontId="18" fillId="0" borderId="15" xfId="0" applyFont="1" applyBorder="1" applyAlignment="1">
      <alignment horizontal="center"/>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18" fillId="0" borderId="0" xfId="0" applyFont="1" applyBorder="1" applyAlignment="1">
      <alignment horizontal="center" vertical="center"/>
    </xf>
    <xf numFmtId="0" fontId="18" fillId="0" borderId="22" xfId="0" applyFont="1" applyBorder="1" applyAlignment="1">
      <alignment horizontal="center" vertical="center"/>
    </xf>
    <xf numFmtId="0" fontId="18" fillId="0" borderId="33" xfId="0" applyFont="1" applyBorder="1" applyAlignment="1">
      <alignment horizontal="center" vertical="center"/>
    </xf>
    <xf numFmtId="0" fontId="18" fillId="0" borderId="34" xfId="0" applyFont="1" applyBorder="1" applyAlignment="1">
      <alignment horizontal="center" vertical="center"/>
    </xf>
    <xf numFmtId="0" fontId="19" fillId="7" borderId="56" xfId="0" applyFont="1" applyFill="1" applyBorder="1" applyAlignment="1">
      <alignment horizontal="center" vertical="center"/>
    </xf>
    <xf numFmtId="0" fontId="19" fillId="7" borderId="20" xfId="0" applyFont="1" applyFill="1" applyBorder="1" applyAlignment="1">
      <alignment horizontal="center" vertical="center"/>
    </xf>
    <xf numFmtId="0" fontId="19" fillId="7" borderId="30" xfId="0" applyFont="1" applyFill="1" applyBorder="1" applyAlignment="1">
      <alignment horizontal="center" vertical="center"/>
    </xf>
    <xf numFmtId="0" fontId="19" fillId="7" borderId="22" xfId="0" applyFont="1" applyFill="1" applyBorder="1" applyAlignment="1">
      <alignment horizontal="center" vertical="center"/>
    </xf>
    <xf numFmtId="0" fontId="19" fillId="7" borderId="32" xfId="0" applyFont="1" applyFill="1" applyBorder="1" applyAlignment="1">
      <alignment horizontal="center" vertical="center"/>
    </xf>
    <xf numFmtId="0" fontId="19" fillId="7" borderId="34" xfId="0" applyFont="1" applyFill="1" applyBorder="1" applyAlignment="1">
      <alignment horizontal="center" vertical="center"/>
    </xf>
    <xf numFmtId="0" fontId="18" fillId="0" borderId="56" xfId="0" applyFont="1" applyBorder="1" applyAlignment="1">
      <alignment horizontal="center" vertical="center"/>
    </xf>
    <xf numFmtId="0" fontId="18" fillId="0" borderId="30" xfId="0" applyFont="1" applyBorder="1" applyAlignment="1">
      <alignment horizontal="center" vertical="center"/>
    </xf>
    <xf numFmtId="0" fontId="18" fillId="0" borderId="32" xfId="0" applyFont="1" applyBorder="1" applyAlignment="1">
      <alignment horizontal="center" vertical="center"/>
    </xf>
    <xf numFmtId="0" fontId="19" fillId="3" borderId="40" xfId="0" applyFont="1" applyFill="1" applyBorder="1" applyAlignment="1">
      <alignment horizontal="left" vertical="center"/>
    </xf>
    <xf numFmtId="0" fontId="19" fillId="3" borderId="41" xfId="0" applyFont="1" applyFill="1" applyBorder="1" applyAlignment="1">
      <alignment horizontal="left" vertical="center"/>
    </xf>
    <xf numFmtId="0" fontId="19" fillId="3" borderId="42" xfId="0" applyFont="1" applyFill="1" applyBorder="1" applyAlignment="1">
      <alignment horizontal="left" vertical="center"/>
    </xf>
    <xf numFmtId="0" fontId="18" fillId="0" borderId="10" xfId="0" applyFont="1" applyBorder="1" applyAlignment="1">
      <alignment horizontal="left" vertical="center"/>
    </xf>
    <xf numFmtId="0" fontId="18" fillId="0" borderId="35" xfId="0" applyFont="1" applyBorder="1" applyAlignment="1">
      <alignment horizontal="left" vertical="center"/>
    </xf>
    <xf numFmtId="0" fontId="18" fillId="0" borderId="1" xfId="0" applyFont="1" applyBorder="1" applyAlignment="1">
      <alignment horizontal="left" vertical="center"/>
    </xf>
    <xf numFmtId="0" fontId="18" fillId="0" borderId="6" xfId="0" applyFont="1" applyBorder="1" applyAlignment="1">
      <alignment horizontal="left" vertical="center"/>
    </xf>
    <xf numFmtId="0" fontId="18" fillId="0" borderId="21" xfId="0" applyFont="1" applyBorder="1" applyAlignment="1">
      <alignment horizontal="center" vertical="center"/>
    </xf>
    <xf numFmtId="0" fontId="18" fillId="0" borderId="8" xfId="0" applyFont="1" applyBorder="1" applyAlignment="1">
      <alignment horizontal="center" vertical="center"/>
    </xf>
    <xf numFmtId="0" fontId="18" fillId="0" borderId="49" xfId="0" applyFont="1" applyBorder="1" applyAlignment="1">
      <alignment horizontal="center" vertical="center"/>
    </xf>
    <xf numFmtId="0" fontId="19" fillId="0" borderId="40" xfId="0" applyFont="1" applyBorder="1" applyAlignment="1">
      <alignment horizontal="center" vertical="center"/>
    </xf>
    <xf numFmtId="0" fontId="19" fillId="0" borderId="41" xfId="0" applyFont="1" applyBorder="1" applyAlignment="1">
      <alignment horizontal="center" vertical="center"/>
    </xf>
    <xf numFmtId="0" fontId="19" fillId="0" borderId="42" xfId="0" applyFont="1" applyBorder="1" applyAlignment="1">
      <alignment horizontal="center" vertical="center"/>
    </xf>
    <xf numFmtId="14" fontId="18" fillId="0" borderId="18" xfId="0" applyNumberFormat="1" applyFont="1" applyBorder="1" applyAlignment="1">
      <alignment horizontal="center" vertical="center"/>
    </xf>
    <xf numFmtId="14" fontId="18" fillId="0" borderId="10" xfId="0" applyNumberFormat="1" applyFont="1" applyBorder="1" applyAlignment="1">
      <alignment horizontal="center" vertical="center"/>
    </xf>
    <xf numFmtId="14" fontId="18" fillId="0" borderId="35" xfId="0" applyNumberFormat="1" applyFont="1" applyBorder="1" applyAlignment="1">
      <alignment horizontal="center" vertical="center"/>
    </xf>
    <xf numFmtId="0" fontId="18" fillId="0" borderId="35" xfId="0" applyFont="1" applyBorder="1" applyAlignment="1">
      <alignment horizontal="center" vertical="center"/>
    </xf>
    <xf numFmtId="0" fontId="19" fillId="0" borderId="36" xfId="0" applyFont="1" applyBorder="1" applyAlignment="1">
      <alignment horizontal="center" vertical="center"/>
    </xf>
    <xf numFmtId="0" fontId="19" fillId="0" borderId="51" xfId="0" applyFont="1" applyBorder="1" applyAlignment="1">
      <alignment horizontal="center" vertical="center"/>
    </xf>
    <xf numFmtId="0" fontId="19" fillId="0" borderId="38" xfId="0" applyFont="1" applyBorder="1" applyAlignment="1">
      <alignment horizontal="center" vertical="center"/>
    </xf>
    <xf numFmtId="0" fontId="19" fillId="0" borderId="53" xfId="0" applyFont="1" applyBorder="1" applyAlignment="1">
      <alignment horizontal="center" vertical="center"/>
    </xf>
    <xf numFmtId="0" fontId="19" fillId="0" borderId="37" xfId="0" applyFont="1" applyBorder="1" applyAlignment="1">
      <alignment horizontal="center" vertical="center"/>
    </xf>
    <xf numFmtId="0" fontId="18" fillId="0" borderId="36" xfId="0" applyFont="1" applyBorder="1" applyAlignment="1">
      <alignment horizontal="center" vertical="center"/>
    </xf>
    <xf numFmtId="0" fontId="18" fillId="0" borderId="37" xfId="0" applyFont="1" applyBorder="1" applyAlignment="1">
      <alignment horizontal="center" vertical="center"/>
    </xf>
    <xf numFmtId="0" fontId="18" fillId="0" borderId="38" xfId="0" applyFont="1" applyBorder="1" applyAlignment="1">
      <alignment horizontal="center" vertical="center"/>
    </xf>
    <xf numFmtId="14" fontId="18" fillId="0" borderId="1" xfId="0" applyNumberFormat="1" applyFont="1" applyBorder="1" applyAlignment="1">
      <alignment horizontal="left" vertical="center"/>
    </xf>
    <xf numFmtId="0" fontId="18" fillId="0" borderId="1" xfId="0" applyNumberFormat="1" applyFont="1" applyBorder="1" applyAlignment="1">
      <alignment horizontal="left" vertical="center"/>
    </xf>
    <xf numFmtId="0" fontId="18" fillId="0" borderId="6" xfId="0" applyNumberFormat="1" applyFont="1" applyBorder="1" applyAlignment="1">
      <alignment horizontal="left" vertical="center"/>
    </xf>
    <xf numFmtId="164" fontId="18" fillId="0" borderId="1" xfId="0" applyNumberFormat="1" applyFont="1" applyBorder="1" applyAlignment="1">
      <alignment horizontal="left" vertical="center"/>
    </xf>
    <xf numFmtId="164" fontId="18" fillId="0" borderId="6" xfId="0" applyNumberFormat="1" applyFont="1" applyBorder="1" applyAlignment="1">
      <alignment horizontal="left" vertical="center"/>
    </xf>
    <xf numFmtId="0" fontId="18" fillId="0" borderId="9" xfId="0" applyNumberFormat="1" applyFont="1" applyBorder="1" applyAlignment="1">
      <alignment horizontal="left" vertical="center"/>
    </xf>
    <xf numFmtId="0" fontId="18" fillId="0" borderId="39" xfId="0" applyNumberFormat="1" applyFont="1" applyBorder="1" applyAlignment="1">
      <alignment horizontal="left" vertical="center"/>
    </xf>
    <xf numFmtId="164" fontId="18" fillId="0" borderId="10" xfId="0" applyNumberFormat="1" applyFont="1" applyBorder="1" applyAlignment="1">
      <alignment horizontal="left" vertical="center"/>
    </xf>
    <xf numFmtId="164" fontId="18" fillId="0" borderId="35" xfId="0" applyNumberFormat="1" applyFont="1" applyBorder="1" applyAlignment="1">
      <alignment horizontal="left" vertical="center"/>
    </xf>
    <xf numFmtId="0" fontId="18" fillId="0" borderId="14" xfId="0" applyFont="1" applyBorder="1" applyAlignment="1">
      <alignment horizontal="left" vertical="center"/>
    </xf>
    <xf numFmtId="0" fontId="18" fillId="0" borderId="15" xfId="0" applyFont="1" applyBorder="1" applyAlignment="1">
      <alignment horizontal="left" vertical="center"/>
    </xf>
    <xf numFmtId="0" fontId="18" fillId="0" borderId="29" xfId="0" applyFont="1" applyBorder="1" applyAlignment="1">
      <alignment horizontal="left" vertical="center"/>
    </xf>
    <xf numFmtId="14" fontId="18" fillId="0" borderId="6" xfId="0" applyNumberFormat="1" applyFont="1" applyBorder="1" applyAlignment="1">
      <alignment horizontal="left" vertical="center"/>
    </xf>
    <xf numFmtId="0" fontId="18" fillId="0" borderId="9" xfId="0" applyFont="1" applyBorder="1" applyAlignment="1">
      <alignment horizontal="left" vertical="center"/>
    </xf>
    <xf numFmtId="0" fontId="18" fillId="0" borderId="39" xfId="0" applyFont="1" applyBorder="1" applyAlignment="1">
      <alignment horizontal="left" vertical="center"/>
    </xf>
    <xf numFmtId="17" fontId="18" fillId="0" borderId="10" xfId="0" applyNumberFormat="1" applyFont="1" applyBorder="1" applyAlignment="1">
      <alignment horizontal="left" vertical="center"/>
    </xf>
    <xf numFmtId="0" fontId="18" fillId="0" borderId="10" xfId="0" applyNumberFormat="1" applyFont="1" applyBorder="1" applyAlignment="1">
      <alignment horizontal="left" vertical="center"/>
    </xf>
    <xf numFmtId="0" fontId="18" fillId="0" borderId="35" xfId="0" applyNumberFormat="1" applyFont="1" applyBorder="1" applyAlignment="1">
      <alignment horizontal="left" vertical="center"/>
    </xf>
    <xf numFmtId="0" fontId="19" fillId="3" borderId="25" xfId="0" applyFont="1" applyFill="1" applyBorder="1" applyAlignment="1">
      <alignment horizontal="left" vertical="center"/>
    </xf>
    <xf numFmtId="0" fontId="19" fillId="3" borderId="12" xfId="0" applyFont="1" applyFill="1" applyBorder="1" applyAlignment="1">
      <alignment horizontal="left" vertical="center"/>
    </xf>
    <xf numFmtId="0" fontId="19" fillId="3" borderId="26" xfId="0" applyFont="1" applyFill="1" applyBorder="1" applyAlignment="1">
      <alignment horizontal="left" vertical="center"/>
    </xf>
    <xf numFmtId="0" fontId="18" fillId="5" borderId="5" xfId="0" applyFont="1" applyFill="1" applyBorder="1" applyAlignment="1">
      <alignment horizontal="left" vertical="center"/>
    </xf>
    <xf numFmtId="0" fontId="18" fillId="0" borderId="23"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27"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39" xfId="0" applyFont="1" applyBorder="1" applyAlignment="1">
      <alignment horizontal="center" vertical="center" wrapText="1"/>
    </xf>
    <xf numFmtId="0" fontId="18" fillId="5" borderId="25" xfId="0" applyFont="1" applyFill="1" applyBorder="1" applyAlignment="1">
      <alignment horizontal="center" vertical="center"/>
    </xf>
    <xf numFmtId="0" fontId="18" fillId="5" borderId="11" xfId="0" applyFont="1" applyFill="1" applyBorder="1" applyAlignment="1">
      <alignment horizontal="center" vertical="center"/>
    </xf>
    <xf numFmtId="0" fontId="18" fillId="0" borderId="30" xfId="0" applyFont="1" applyBorder="1" applyAlignment="1">
      <alignment horizontal="left" vertical="center" wrapText="1"/>
    </xf>
    <xf numFmtId="0" fontId="18" fillId="0" borderId="0" xfId="0" applyFont="1" applyBorder="1" applyAlignment="1">
      <alignment horizontal="left" vertical="center" wrapText="1"/>
    </xf>
    <xf numFmtId="0" fontId="18" fillId="0" borderId="22" xfId="0" applyFont="1" applyBorder="1" applyAlignment="1">
      <alignment horizontal="left" vertical="center" wrapText="1"/>
    </xf>
    <xf numFmtId="0" fontId="62" fillId="0" borderId="17" xfId="0" applyFont="1" applyBorder="1" applyAlignment="1">
      <alignment horizontal="center" vertical="center"/>
    </xf>
    <xf numFmtId="0" fontId="62" fillId="0" borderId="18" xfId="0" applyFont="1" applyBorder="1" applyAlignment="1">
      <alignment horizontal="center" vertical="center"/>
    </xf>
    <xf numFmtId="0" fontId="62" fillId="0" borderId="31" xfId="0" applyFont="1" applyBorder="1" applyAlignment="1">
      <alignment horizontal="center" vertical="center"/>
    </xf>
    <xf numFmtId="0" fontId="62" fillId="0" borderId="13" xfId="0" applyFont="1" applyBorder="1" applyAlignment="1">
      <alignment horizontal="center" vertical="center"/>
    </xf>
    <xf numFmtId="0" fontId="62" fillId="0" borderId="24" xfId="0" applyFont="1" applyBorder="1" applyAlignment="1">
      <alignment horizontal="center" vertical="center"/>
    </xf>
    <xf numFmtId="0" fontId="18" fillId="0" borderId="30"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7" xfId="0" applyFont="1" applyBorder="1" applyAlignment="1">
      <alignment horizontal="center" vertical="center"/>
    </xf>
    <xf numFmtId="0" fontId="18" fillId="0" borderId="12" xfId="0" applyFont="1" applyBorder="1" applyAlignment="1">
      <alignment horizontal="center" vertical="center"/>
    </xf>
    <xf numFmtId="0" fontId="18" fillId="0" borderId="26" xfId="0" applyFont="1" applyBorder="1" applyAlignment="1">
      <alignment horizontal="center" vertical="center"/>
    </xf>
    <xf numFmtId="0" fontId="18" fillId="0" borderId="11" xfId="0" applyFont="1" applyBorder="1" applyAlignment="1">
      <alignment horizontal="center" vertical="center"/>
    </xf>
    <xf numFmtId="0" fontId="18" fillId="5" borderId="28" xfId="0" applyFont="1" applyFill="1" applyBorder="1" applyAlignment="1">
      <alignment horizontal="center" vertical="center"/>
    </xf>
    <xf numFmtId="0" fontId="18" fillId="5" borderId="16" xfId="0" applyFont="1" applyFill="1" applyBorder="1" applyAlignment="1">
      <alignment horizontal="center" vertical="center"/>
    </xf>
    <xf numFmtId="0" fontId="19" fillId="0" borderId="30" xfId="0" applyFont="1" applyBorder="1" applyAlignment="1">
      <alignment horizontal="left" vertical="center"/>
    </xf>
    <xf numFmtId="0" fontId="19" fillId="0" borderId="0" xfId="0" applyFont="1" applyBorder="1" applyAlignment="1">
      <alignment horizontal="left" vertical="center"/>
    </xf>
    <xf numFmtId="0" fontId="19" fillId="0" borderId="22" xfId="0" applyFont="1" applyBorder="1" applyAlignment="1">
      <alignment horizontal="left" vertical="center"/>
    </xf>
    <xf numFmtId="0" fontId="19" fillId="0" borderId="28" xfId="0" applyFont="1" applyBorder="1" applyAlignment="1">
      <alignment horizontal="left" vertical="center"/>
    </xf>
    <xf numFmtId="0" fontId="19" fillId="0" borderId="15" xfId="0" applyFont="1" applyBorder="1" applyAlignment="1">
      <alignment horizontal="left" vertical="center"/>
    </xf>
    <xf numFmtId="0" fontId="19" fillId="0" borderId="29" xfId="0" applyFont="1" applyBorder="1" applyAlignment="1">
      <alignment horizontal="left" vertical="center"/>
    </xf>
    <xf numFmtId="0" fontId="18" fillId="0" borderId="25" xfId="0" applyFont="1" applyBorder="1" applyAlignment="1">
      <alignment horizontal="left" vertical="center"/>
    </xf>
    <xf numFmtId="0" fontId="18" fillId="0" borderId="12" xfId="0" applyFont="1" applyBorder="1" applyAlignment="1">
      <alignment horizontal="left" vertical="center"/>
    </xf>
    <xf numFmtId="0" fontId="18" fillId="0" borderId="26" xfId="0" applyFont="1" applyBorder="1" applyAlignment="1">
      <alignment horizontal="left" vertical="center"/>
    </xf>
    <xf numFmtId="0" fontId="19" fillId="5" borderId="32" xfId="0" applyFont="1" applyFill="1" applyBorder="1" applyAlignment="1">
      <alignment horizontal="center" vertical="center"/>
    </xf>
    <xf numFmtId="0" fontId="19" fillId="5" borderId="34" xfId="0" applyFont="1" applyFill="1" applyBorder="1" applyAlignment="1">
      <alignment horizontal="center" vertical="center"/>
    </xf>
    <xf numFmtId="0" fontId="18" fillId="0" borderId="31" xfId="0" applyFont="1" applyBorder="1" applyAlignment="1">
      <alignment horizontal="left" vertical="center"/>
    </xf>
    <xf numFmtId="0" fontId="18" fillId="0" borderId="13" xfId="0" applyFont="1" applyBorder="1" applyAlignment="1">
      <alignment horizontal="left" vertical="center"/>
    </xf>
    <xf numFmtId="0" fontId="18" fillId="0" borderId="24" xfId="0" applyFont="1" applyBorder="1" applyAlignment="1">
      <alignment horizontal="left" vertical="center"/>
    </xf>
    <xf numFmtId="0" fontId="19" fillId="3" borderId="27" xfId="0" applyFont="1" applyFill="1" applyBorder="1" applyAlignment="1">
      <alignment horizontal="center" vertical="center"/>
    </xf>
    <xf numFmtId="0" fontId="19" fillId="3" borderId="9" xfId="0" applyFont="1" applyFill="1" applyBorder="1" applyAlignment="1">
      <alignment horizontal="center" vertical="center"/>
    </xf>
    <xf numFmtId="0" fontId="19" fillId="3" borderId="39" xfId="0" applyFont="1" applyFill="1" applyBorder="1" applyAlignment="1">
      <alignment horizontal="center" vertical="center"/>
    </xf>
    <xf numFmtId="0" fontId="19" fillId="3" borderId="5" xfId="0" applyFont="1" applyFill="1" applyBorder="1" applyAlignment="1">
      <alignment horizontal="center" vertical="center"/>
    </xf>
    <xf numFmtId="0" fontId="19" fillId="3" borderId="1" xfId="0" applyFont="1" applyFill="1" applyBorder="1" applyAlignment="1">
      <alignment horizontal="center" vertical="center"/>
    </xf>
    <xf numFmtId="0" fontId="19" fillId="3" borderId="6" xfId="0" applyFont="1" applyFill="1" applyBorder="1" applyAlignment="1">
      <alignment horizontal="center" vertical="center"/>
    </xf>
    <xf numFmtId="0" fontId="21" fillId="0" borderId="5" xfId="0" applyFont="1" applyBorder="1" applyAlignment="1">
      <alignment horizontal="center" vertical="center"/>
    </xf>
    <xf numFmtId="0" fontId="21" fillId="0" borderId="1" xfId="0" applyFont="1" applyBorder="1" applyAlignment="1">
      <alignment horizontal="center" vertical="center"/>
    </xf>
    <xf numFmtId="0" fontId="21" fillId="0" borderId="6" xfId="0" applyFont="1" applyBorder="1" applyAlignment="1">
      <alignment horizontal="center" vertical="center"/>
    </xf>
    <xf numFmtId="0" fontId="21" fillId="0" borderId="1" xfId="0" applyFont="1" applyBorder="1" applyAlignment="1">
      <alignment horizontal="left" vertical="center"/>
    </xf>
    <xf numFmtId="0" fontId="19" fillId="0" borderId="1" xfId="0" applyFont="1" applyBorder="1" applyAlignment="1">
      <alignment horizontal="center" vertical="center"/>
    </xf>
    <xf numFmtId="0" fontId="18" fillId="0" borderId="1" xfId="0" applyFont="1" applyBorder="1" applyAlignment="1">
      <alignment horizontal="center" vertical="center"/>
    </xf>
    <xf numFmtId="0" fontId="19" fillId="0" borderId="5" xfId="0" applyFont="1" applyBorder="1" applyAlignment="1">
      <alignment horizontal="center" vertical="center"/>
    </xf>
    <xf numFmtId="0" fontId="18" fillId="0" borderId="5" xfId="0" applyFont="1" applyBorder="1" applyAlignment="1">
      <alignment horizontal="center" vertical="center"/>
    </xf>
    <xf numFmtId="0" fontId="19" fillId="5" borderId="5" xfId="0" applyFont="1" applyFill="1" applyBorder="1" applyAlignment="1">
      <alignment horizontal="left" vertical="center"/>
    </xf>
    <xf numFmtId="0" fontId="19" fillId="5" borderId="1" xfId="0" applyFont="1" applyFill="1" applyBorder="1" applyAlignment="1">
      <alignment horizontal="left" vertical="center"/>
    </xf>
    <xf numFmtId="0" fontId="22" fillId="0" borderId="5" xfId="0" applyFont="1" applyBorder="1" applyAlignment="1">
      <alignment horizontal="center" vertical="center"/>
    </xf>
    <xf numFmtId="0" fontId="21" fillId="7" borderId="1" xfId="0" applyFont="1" applyFill="1" applyBorder="1" applyAlignment="1">
      <alignment horizontal="left" vertical="center"/>
    </xf>
    <xf numFmtId="0" fontId="22" fillId="5" borderId="6" xfId="0" applyFont="1" applyFill="1" applyBorder="1" applyAlignment="1">
      <alignment horizontal="center" vertical="center"/>
    </xf>
    <xf numFmtId="0" fontId="18" fillId="0" borderId="1" xfId="0" applyFont="1" applyBorder="1" applyAlignment="1">
      <alignment horizontal="left" vertical="center" wrapText="1"/>
    </xf>
    <xf numFmtId="0" fontId="18" fillId="0" borderId="6" xfId="0" applyFont="1" applyBorder="1" applyAlignment="1">
      <alignment horizontal="left" vertical="center" wrapText="1"/>
    </xf>
    <xf numFmtId="0" fontId="19" fillId="0" borderId="6" xfId="0" applyFont="1" applyBorder="1" applyAlignment="1">
      <alignment horizontal="center" vertical="center"/>
    </xf>
    <xf numFmtId="14" fontId="18" fillId="0" borderId="1" xfId="0" applyNumberFormat="1" applyFont="1" applyBorder="1" applyAlignment="1">
      <alignment horizontal="center" vertical="center"/>
    </xf>
    <xf numFmtId="0" fontId="18" fillId="5" borderId="5" xfId="0" applyFont="1" applyFill="1" applyBorder="1" applyAlignment="1">
      <alignment horizontal="center" vertical="center"/>
    </xf>
    <xf numFmtId="0" fontId="18" fillId="5" borderId="1" xfId="0" applyFont="1" applyFill="1" applyBorder="1" applyAlignment="1">
      <alignment horizontal="center" vertical="center"/>
    </xf>
    <xf numFmtId="14" fontId="18" fillId="0" borderId="6" xfId="0" applyNumberFormat="1" applyFont="1" applyBorder="1" applyAlignment="1">
      <alignment horizontal="center" vertical="center"/>
    </xf>
    <xf numFmtId="0" fontId="18" fillId="0" borderId="103" xfId="0" applyFont="1" applyBorder="1" applyAlignment="1">
      <alignment horizontal="center" vertical="center"/>
    </xf>
    <xf numFmtId="0" fontId="18" fillId="0" borderId="64" xfId="0" applyFont="1" applyBorder="1" applyAlignment="1">
      <alignment horizontal="center" vertical="center"/>
    </xf>
    <xf numFmtId="0" fontId="18" fillId="0" borderId="57" xfId="0" applyFont="1" applyFill="1" applyBorder="1" applyAlignment="1">
      <alignment horizontal="center" vertical="center"/>
    </xf>
    <xf numFmtId="0" fontId="18" fillId="0" borderId="58" xfId="0" applyFont="1" applyFill="1" applyBorder="1" applyAlignment="1">
      <alignment horizontal="center" vertical="center"/>
    </xf>
    <xf numFmtId="0" fontId="18" fillId="0" borderId="59" xfId="0" applyFont="1" applyFill="1" applyBorder="1" applyAlignment="1">
      <alignment horizontal="center" vertical="center"/>
    </xf>
    <xf numFmtId="0" fontId="20" fillId="4" borderId="5" xfId="0" applyFont="1" applyFill="1" applyBorder="1" applyAlignment="1">
      <alignment horizontal="center" vertical="center"/>
    </xf>
    <xf numFmtId="0" fontId="20" fillId="4" borderId="1" xfId="0" applyFont="1" applyFill="1" applyBorder="1" applyAlignment="1">
      <alignment horizontal="center" vertical="center"/>
    </xf>
    <xf numFmtId="0" fontId="20" fillId="4" borderId="6" xfId="0" applyFont="1" applyFill="1" applyBorder="1" applyAlignment="1">
      <alignment horizontal="center" vertical="center"/>
    </xf>
    <xf numFmtId="0" fontId="18" fillId="0" borderId="1" xfId="0" applyFont="1" applyFill="1" applyBorder="1" applyAlignment="1">
      <alignment horizontal="center"/>
    </xf>
    <xf numFmtId="0" fontId="18" fillId="0" borderId="6" xfId="0" applyFont="1" applyBorder="1" applyAlignment="1">
      <alignment horizontal="center" vertical="center"/>
    </xf>
    <xf numFmtId="0" fontId="18" fillId="0" borderId="6" xfId="0" applyFont="1" applyFill="1" applyBorder="1" applyAlignment="1">
      <alignment horizontal="center"/>
    </xf>
    <xf numFmtId="0" fontId="22" fillId="5" borderId="1" xfId="0" applyFont="1" applyFill="1" applyBorder="1" applyAlignment="1">
      <alignment horizontal="center" vertical="center"/>
    </xf>
    <xf numFmtId="0" fontId="22" fillId="5" borderId="5" xfId="0" applyFont="1" applyFill="1" applyBorder="1" applyAlignment="1">
      <alignment horizontal="center" vertical="center"/>
    </xf>
    <xf numFmtId="0" fontId="2" fillId="0" borderId="33" xfId="0" applyFont="1" applyBorder="1" applyAlignment="1">
      <alignment horizontal="center" vertical="center"/>
    </xf>
    <xf numFmtId="0" fontId="2" fillId="0" borderId="1" xfId="0" applyFont="1" applyBorder="1" applyAlignment="1">
      <alignment horizontal="left" vertical="center" wrapText="1"/>
    </xf>
    <xf numFmtId="0" fontId="2" fillId="0" borderId="6" xfId="0" applyFont="1" applyBorder="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3" fillId="3" borderId="36" xfId="0" applyFont="1" applyFill="1" applyBorder="1" applyAlignment="1">
      <alignment horizontal="center" vertical="center"/>
    </xf>
    <xf numFmtId="0" fontId="3" fillId="3" borderId="37" xfId="0" applyFont="1" applyFill="1" applyBorder="1" applyAlignment="1">
      <alignment horizontal="center" vertical="center"/>
    </xf>
    <xf numFmtId="0" fontId="3" fillId="3" borderId="38" xfId="0" applyFont="1" applyFill="1" applyBorder="1" applyAlignment="1">
      <alignment horizontal="center" vertical="center"/>
    </xf>
    <xf numFmtId="0" fontId="3" fillId="6" borderId="1" xfId="0" applyFont="1" applyFill="1" applyBorder="1" applyAlignment="1">
      <alignment horizontal="center" vertical="center"/>
    </xf>
    <xf numFmtId="0" fontId="3" fillId="6" borderId="6" xfId="0" applyFont="1" applyFill="1" applyBorder="1" applyAlignment="1">
      <alignment horizontal="center" vertical="center"/>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0" xfId="0" applyFont="1" applyBorder="1" applyAlignment="1">
      <alignment horizontal="center" vertical="center"/>
    </xf>
    <xf numFmtId="0" fontId="2" fillId="0" borderId="56" xfId="0" applyFont="1" applyBorder="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30" xfId="0" applyFont="1" applyBorder="1" applyAlignment="1">
      <alignment horizontal="center" vertical="center"/>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center" vertical="center"/>
    </xf>
    <xf numFmtId="0" fontId="3" fillId="6" borderId="5"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2" fillId="0" borderId="5" xfId="0" applyFont="1" applyBorder="1" applyAlignment="1">
      <alignment horizontal="left" vertical="center" wrapText="1"/>
    </xf>
    <xf numFmtId="0" fontId="3" fillId="5" borderId="5" xfId="0" applyFont="1" applyFill="1" applyBorder="1" applyAlignment="1">
      <alignment horizontal="left" vertical="center"/>
    </xf>
    <xf numFmtId="0" fontId="3" fillId="5" borderId="1" xfId="0" applyFont="1" applyFill="1" applyBorder="1" applyAlignment="1">
      <alignment horizontal="left" vertical="center"/>
    </xf>
    <xf numFmtId="0" fontId="2" fillId="0" borderId="5" xfId="0" applyFont="1" applyBorder="1" applyAlignment="1">
      <alignment horizontal="center" vertical="center"/>
    </xf>
    <xf numFmtId="14" fontId="2" fillId="0" borderId="1"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6" xfId="0" applyFont="1" applyBorder="1" applyAlignment="1">
      <alignment horizontal="center" vertical="center"/>
    </xf>
    <xf numFmtId="0" fontId="2" fillId="0" borderId="6" xfId="0" applyFont="1" applyBorder="1" applyAlignment="1">
      <alignment horizontal="center" vertical="center"/>
    </xf>
    <xf numFmtId="0" fontId="2" fillId="5" borderId="25" xfId="0" applyFont="1" applyFill="1" applyBorder="1" applyAlignment="1">
      <alignment horizontal="center" vertical="center"/>
    </xf>
    <xf numFmtId="0" fontId="2" fillId="5" borderId="11" xfId="0" applyFont="1" applyFill="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14" fillId="4" borderId="31" xfId="0" applyFont="1" applyFill="1" applyBorder="1" applyAlignment="1">
      <alignment horizontal="center" vertical="center"/>
    </xf>
    <xf numFmtId="0" fontId="14" fillId="4" borderId="13" xfId="0" applyFont="1" applyFill="1" applyBorder="1" applyAlignment="1">
      <alignment horizontal="center" vertical="center"/>
    </xf>
    <xf numFmtId="0" fontId="14" fillId="4" borderId="24" xfId="0" applyFont="1" applyFill="1" applyBorder="1" applyAlignment="1">
      <alignment horizontal="center" vertical="center"/>
    </xf>
    <xf numFmtId="0" fontId="3" fillId="0" borderId="7" xfId="0" applyFont="1" applyBorder="1" applyAlignment="1">
      <alignment horizontal="center" vertical="center"/>
    </xf>
    <xf numFmtId="0" fontId="3" fillId="0" borderId="12" xfId="0" applyFont="1" applyBorder="1" applyAlignment="1">
      <alignment horizontal="center" vertical="center"/>
    </xf>
    <xf numFmtId="0" fontId="3" fillId="0" borderId="26" xfId="0" applyFont="1" applyBorder="1" applyAlignment="1">
      <alignment horizontal="center" vertical="center"/>
    </xf>
    <xf numFmtId="0" fontId="2" fillId="0" borderId="111" xfId="0" applyFont="1" applyBorder="1" applyAlignment="1">
      <alignment horizontal="center" vertical="center"/>
    </xf>
    <xf numFmtId="0" fontId="21" fillId="0" borderId="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1" xfId="0" applyFont="1" applyBorder="1" applyAlignment="1">
      <alignment horizontal="center" vertical="center" wrapText="1"/>
    </xf>
    <xf numFmtId="0" fontId="18" fillId="0" borderId="0" xfId="0" applyFont="1" applyBorder="1" applyAlignment="1">
      <alignment horizontal="center"/>
    </xf>
    <xf numFmtId="0" fontId="21" fillId="0" borderId="7" xfId="0" applyFont="1" applyBorder="1" applyAlignment="1">
      <alignment vertical="center" wrapText="1"/>
    </xf>
    <xf numFmtId="0" fontId="21" fillId="0" borderId="12" xfId="0" applyFont="1" applyBorder="1" applyAlignment="1">
      <alignment vertical="center" wrapText="1"/>
    </xf>
    <xf numFmtId="0" fontId="21" fillId="0" borderId="11" xfId="0" applyFont="1" applyBorder="1" applyAlignment="1">
      <alignment vertical="center" wrapText="1"/>
    </xf>
    <xf numFmtId="0" fontId="22" fillId="5" borderId="7" xfId="0" applyFont="1" applyFill="1" applyBorder="1" applyAlignment="1">
      <alignment horizontal="center" vertical="center"/>
    </xf>
    <xf numFmtId="0" fontId="22" fillId="5" borderId="12" xfId="0" applyFont="1" applyFill="1" applyBorder="1" applyAlignment="1">
      <alignment horizontal="center" vertical="center"/>
    </xf>
    <xf numFmtId="0" fontId="22" fillId="5" borderId="11" xfId="0" applyFont="1" applyFill="1" applyBorder="1" applyAlignment="1">
      <alignment horizontal="center" vertical="center"/>
    </xf>
    <xf numFmtId="0" fontId="19" fillId="3" borderId="60" xfId="0" applyFont="1" applyFill="1" applyBorder="1" applyAlignment="1">
      <alignment horizontal="center" vertical="center"/>
    </xf>
    <xf numFmtId="0" fontId="19" fillId="3" borderId="61" xfId="0" applyFont="1" applyFill="1" applyBorder="1" applyAlignment="1">
      <alignment horizontal="center" vertical="center"/>
    </xf>
    <xf numFmtId="0" fontId="19" fillId="3" borderId="62" xfId="0" applyFont="1" applyFill="1" applyBorder="1" applyAlignment="1">
      <alignment horizontal="center" vertical="center"/>
    </xf>
    <xf numFmtId="0" fontId="19" fillId="0" borderId="5" xfId="0" applyFont="1" applyBorder="1" applyAlignment="1">
      <alignment horizontal="center"/>
    </xf>
    <xf numFmtId="0" fontId="19" fillId="0" borderId="1" xfId="0" applyFont="1" applyBorder="1" applyAlignment="1">
      <alignment horizontal="center"/>
    </xf>
    <xf numFmtId="0" fontId="19" fillId="0" borderId="6" xfId="0" applyFont="1" applyBorder="1" applyAlignment="1">
      <alignment horizontal="center"/>
    </xf>
    <xf numFmtId="0" fontId="18" fillId="0" borderId="1" xfId="0" applyFont="1" applyBorder="1" applyAlignment="1">
      <alignment horizontal="center"/>
    </xf>
    <xf numFmtId="14" fontId="18" fillId="0" borderId="1" xfId="0" applyNumberFormat="1" applyFont="1" applyBorder="1" applyAlignment="1">
      <alignment horizontal="center"/>
    </xf>
    <xf numFmtId="14" fontId="18" fillId="0" borderId="6" xfId="0" applyNumberFormat="1" applyFont="1" applyBorder="1" applyAlignment="1">
      <alignment horizontal="center"/>
    </xf>
    <xf numFmtId="0" fontId="19" fillId="0" borderId="7" xfId="0" applyFont="1" applyBorder="1" applyAlignment="1">
      <alignment horizontal="center" vertical="center"/>
    </xf>
    <xf numFmtId="0" fontId="19" fillId="0" borderId="12" xfId="0" applyFont="1" applyBorder="1" applyAlignment="1">
      <alignment horizontal="center" vertical="center"/>
    </xf>
    <xf numFmtId="0" fontId="19" fillId="0" borderId="26" xfId="0" applyFont="1" applyBorder="1" applyAlignment="1">
      <alignment horizontal="center" vertical="center"/>
    </xf>
    <xf numFmtId="0" fontId="18" fillId="0" borderId="3" xfId="0" applyFont="1" applyBorder="1" applyAlignment="1">
      <alignment horizontal="center"/>
    </xf>
    <xf numFmtId="0" fontId="18" fillId="0" borderId="57" xfId="0" applyFont="1" applyBorder="1" applyAlignment="1">
      <alignment horizontal="center"/>
    </xf>
    <xf numFmtId="0" fontId="18" fillId="0" borderId="58" xfId="0" applyFont="1" applyBorder="1" applyAlignment="1">
      <alignment horizontal="center"/>
    </xf>
    <xf numFmtId="0" fontId="19" fillId="0" borderId="40" xfId="0" applyFont="1" applyBorder="1" applyAlignment="1">
      <alignment horizontal="center" vertical="center" wrapText="1"/>
    </xf>
    <xf numFmtId="0" fontId="19" fillId="0" borderId="41" xfId="0" applyFont="1" applyBorder="1" applyAlignment="1">
      <alignment horizontal="center" vertical="center" wrapText="1"/>
    </xf>
    <xf numFmtId="0" fontId="21" fillId="0" borderId="7" xfId="0" applyFont="1" applyBorder="1" applyAlignment="1">
      <alignment horizontal="left" vertical="center" wrapText="1"/>
    </xf>
    <xf numFmtId="0" fontId="21" fillId="0" borderId="12" xfId="0" applyFont="1" applyBorder="1" applyAlignment="1">
      <alignment horizontal="left" vertical="center" wrapText="1"/>
    </xf>
    <xf numFmtId="0" fontId="21" fillId="0" borderId="11" xfId="0" applyFont="1" applyBorder="1" applyAlignment="1">
      <alignment horizontal="left" vertical="center" wrapText="1"/>
    </xf>
    <xf numFmtId="0" fontId="11" fillId="0" borderId="0" xfId="0" applyFont="1" applyBorder="1" applyAlignment="1">
      <alignment horizontal="center"/>
    </xf>
    <xf numFmtId="0" fontId="11" fillId="0" borderId="22" xfId="0" applyFont="1" applyBorder="1" applyAlignment="1">
      <alignment horizontal="center"/>
    </xf>
    <xf numFmtId="0" fontId="11" fillId="0" borderId="30" xfId="0" applyFont="1" applyBorder="1" applyAlignment="1">
      <alignment horizontal="center"/>
    </xf>
    <xf numFmtId="0" fontId="59" fillId="8" borderId="5" xfId="0" applyFont="1" applyFill="1" applyBorder="1" applyAlignment="1">
      <alignment horizontal="left"/>
    </xf>
    <xf numFmtId="0" fontId="59" fillId="8" borderId="1" xfId="0" applyFont="1" applyFill="1" applyBorder="1" applyAlignment="1">
      <alignment horizontal="left"/>
    </xf>
    <xf numFmtId="0" fontId="59" fillId="8" borderId="6" xfId="0" applyFont="1" applyFill="1" applyBorder="1" applyAlignment="1">
      <alignment horizontal="left"/>
    </xf>
    <xf numFmtId="0" fontId="17" fillId="3" borderId="27" xfId="0" applyFont="1" applyFill="1" applyBorder="1" applyAlignment="1">
      <alignment horizontal="center" vertical="center"/>
    </xf>
    <xf numFmtId="0" fontId="17" fillId="3" borderId="9" xfId="0" applyFont="1" applyFill="1" applyBorder="1" applyAlignment="1">
      <alignment horizontal="center" vertical="center"/>
    </xf>
    <xf numFmtId="0" fontId="17" fillId="3" borderId="39" xfId="0" applyFont="1" applyFill="1" applyBorder="1" applyAlignment="1">
      <alignment horizontal="center" vertical="center"/>
    </xf>
    <xf numFmtId="0" fontId="17" fillId="3" borderId="5" xfId="0" applyFont="1" applyFill="1" applyBorder="1" applyAlignment="1">
      <alignment horizontal="center" vertical="center"/>
    </xf>
    <xf numFmtId="0" fontId="17" fillId="3" borderId="1" xfId="0" applyFont="1" applyFill="1" applyBorder="1" applyAlignment="1">
      <alignment horizontal="center" vertical="center"/>
    </xf>
    <xf numFmtId="0" fontId="17" fillId="3" borderId="6" xfId="0" applyFont="1" applyFill="1" applyBorder="1" applyAlignment="1">
      <alignment horizontal="center" vertical="center"/>
    </xf>
    <xf numFmtId="0" fontId="59" fillId="0" borderId="5" xfId="0" applyFont="1" applyBorder="1" applyAlignment="1">
      <alignment horizontal="center" vertical="center"/>
    </xf>
    <xf numFmtId="0" fontId="59" fillId="0" borderId="1" xfId="0" applyFont="1" applyBorder="1" applyAlignment="1">
      <alignment horizontal="center" vertical="center"/>
    </xf>
    <xf numFmtId="0" fontId="59" fillId="0" borderId="6" xfId="0" applyFont="1" applyBorder="1" applyAlignment="1">
      <alignment horizontal="center" vertical="center"/>
    </xf>
    <xf numFmtId="0" fontId="59" fillId="0" borderId="5" xfId="0" applyFont="1" applyBorder="1" applyAlignment="1">
      <alignment horizontal="center"/>
    </xf>
    <xf numFmtId="0" fontId="59" fillId="0" borderId="1" xfId="0" applyFont="1" applyBorder="1" applyAlignment="1">
      <alignment horizontal="center"/>
    </xf>
    <xf numFmtId="0" fontId="59" fillId="0" borderId="6" xfId="0" applyFont="1" applyBorder="1" applyAlignment="1">
      <alignment horizontal="center"/>
    </xf>
    <xf numFmtId="0" fontId="58" fillId="0" borderId="1" xfId="0" applyFont="1" applyBorder="1" applyAlignment="1">
      <alignment horizontal="center"/>
    </xf>
    <xf numFmtId="0" fontId="58" fillId="0" borderId="6" xfId="0" applyFont="1" applyBorder="1" applyAlignment="1">
      <alignment horizontal="center"/>
    </xf>
    <xf numFmtId="0" fontId="17" fillId="0" borderId="1" xfId="0" applyFont="1" applyBorder="1" applyAlignment="1">
      <alignment horizontal="center"/>
    </xf>
    <xf numFmtId="0" fontId="17" fillId="0" borderId="6" xfId="0" applyFont="1" applyBorder="1" applyAlignment="1">
      <alignment horizontal="center"/>
    </xf>
    <xf numFmtId="0" fontId="59" fillId="0" borderId="5" xfId="0" applyFont="1" applyBorder="1" applyAlignment="1">
      <alignment horizontal="center" vertical="center" wrapText="1"/>
    </xf>
    <xf numFmtId="0" fontId="59" fillId="0" borderId="1" xfId="0" applyFont="1" applyBorder="1" applyAlignment="1">
      <alignment horizontal="center" vertical="center" wrapText="1"/>
    </xf>
    <xf numFmtId="0" fontId="59" fillId="0" borderId="6" xfId="0" applyFont="1" applyBorder="1" applyAlignment="1">
      <alignment horizontal="center" vertical="center" wrapText="1"/>
    </xf>
    <xf numFmtId="0" fontId="58" fillId="5" borderId="1" xfId="0" applyFont="1" applyFill="1" applyBorder="1" applyAlignment="1">
      <alignment horizontal="center"/>
    </xf>
    <xf numFmtId="0" fontId="58" fillId="5" borderId="6" xfId="0" applyFont="1" applyFill="1" applyBorder="1" applyAlignment="1">
      <alignment horizontal="center"/>
    </xf>
    <xf numFmtId="0" fontId="58" fillId="11" borderId="5" xfId="0" applyFont="1" applyFill="1" applyBorder="1" applyAlignment="1">
      <alignment horizontal="center"/>
    </xf>
    <xf numFmtId="0" fontId="58" fillId="11" borderId="1" xfId="0" applyFont="1" applyFill="1" applyBorder="1" applyAlignment="1">
      <alignment horizontal="center"/>
    </xf>
    <xf numFmtId="0" fontId="58" fillId="11" borderId="6" xfId="0" applyFont="1" applyFill="1" applyBorder="1" applyAlignment="1">
      <alignment horizontal="center"/>
    </xf>
    <xf numFmtId="0" fontId="58" fillId="0" borderId="5" xfId="0" applyFont="1" applyBorder="1" applyAlignment="1">
      <alignment horizontal="left"/>
    </xf>
    <xf numFmtId="0" fontId="58" fillId="0" borderId="1" xfId="0" applyFont="1" applyBorder="1" applyAlignment="1">
      <alignment horizontal="left"/>
    </xf>
    <xf numFmtId="0" fontId="17" fillId="5" borderId="5" xfId="0" applyFont="1" applyFill="1" applyBorder="1" applyAlignment="1">
      <alignment horizontal="left" vertical="center"/>
    </xf>
    <xf numFmtId="0" fontId="17" fillId="5" borderId="1" xfId="0" applyFont="1" applyFill="1" applyBorder="1" applyAlignment="1">
      <alignment horizontal="left" vertical="center"/>
    </xf>
    <xf numFmtId="0" fontId="11" fillId="0" borderId="1" xfId="0" applyFont="1" applyBorder="1" applyAlignment="1">
      <alignment horizontal="left" vertical="center" wrapText="1"/>
    </xf>
    <xf numFmtId="0" fontId="11" fillId="0" borderId="6" xfId="0" applyFont="1" applyBorder="1" applyAlignment="1">
      <alignment horizontal="left" vertical="center" wrapText="1"/>
    </xf>
    <xf numFmtId="0" fontId="59" fillId="0" borderId="0" xfId="0" applyFont="1" applyBorder="1" applyAlignment="1">
      <alignment horizontal="center"/>
    </xf>
    <xf numFmtId="0" fontId="11" fillId="0" borderId="5" xfId="0" applyFont="1" applyBorder="1" applyAlignment="1">
      <alignment horizontal="center"/>
    </xf>
    <xf numFmtId="0" fontId="11" fillId="0" borderId="1" xfId="0" applyFont="1" applyBorder="1" applyAlignment="1">
      <alignment horizontal="center"/>
    </xf>
    <xf numFmtId="0" fontId="11" fillId="0" borderId="6" xfId="0" applyFont="1" applyBorder="1" applyAlignment="1">
      <alignment horizontal="center"/>
    </xf>
    <xf numFmtId="0" fontId="59" fillId="0" borderId="30" xfId="0" applyFont="1" applyBorder="1" applyAlignment="1">
      <alignment horizontal="center"/>
    </xf>
    <xf numFmtId="0" fontId="59" fillId="0" borderId="22" xfId="0" applyFont="1" applyBorder="1" applyAlignment="1">
      <alignment horizontal="center"/>
    </xf>
    <xf numFmtId="14" fontId="11" fillId="0" borderId="1" xfId="0" applyNumberFormat="1" applyFont="1" applyBorder="1" applyAlignment="1">
      <alignment horizontal="center"/>
    </xf>
    <xf numFmtId="14" fontId="11" fillId="0" borderId="6" xfId="0" applyNumberFormat="1" applyFont="1" applyBorder="1" applyAlignment="1">
      <alignment horizontal="center"/>
    </xf>
    <xf numFmtId="0" fontId="17" fillId="0" borderId="5" xfId="0" applyFont="1" applyBorder="1" applyAlignment="1">
      <alignment horizontal="center"/>
    </xf>
    <xf numFmtId="0" fontId="11" fillId="5" borderId="5" xfId="0" applyFont="1" applyFill="1" applyBorder="1" applyAlignment="1">
      <alignment horizontal="center"/>
    </xf>
    <xf numFmtId="0" fontId="11" fillId="5" borderId="1" xfId="0" applyFont="1" applyFill="1" applyBorder="1" applyAlignment="1">
      <alignment horizontal="center"/>
    </xf>
    <xf numFmtId="0" fontId="11" fillId="0" borderId="2" xfId="0" applyFont="1" applyBorder="1" applyAlignment="1">
      <alignment horizontal="center"/>
    </xf>
    <xf numFmtId="0" fontId="11" fillId="0" borderId="3" xfId="0" applyFont="1" applyBorder="1" applyAlignment="1">
      <alignment horizontal="center"/>
    </xf>
    <xf numFmtId="0" fontId="17" fillId="0" borderId="3" xfId="0" applyFont="1" applyBorder="1" applyAlignment="1">
      <alignment horizontal="center" vertical="center" wrapText="1"/>
    </xf>
    <xf numFmtId="0" fontId="57" fillId="4" borderId="5" xfId="0" applyFont="1" applyFill="1" applyBorder="1" applyAlignment="1">
      <alignment horizontal="center" vertical="center"/>
    </xf>
    <xf numFmtId="0" fontId="57" fillId="4" borderId="1" xfId="0" applyFont="1" applyFill="1" applyBorder="1" applyAlignment="1">
      <alignment horizontal="center" vertical="center"/>
    </xf>
    <xf numFmtId="0" fontId="57" fillId="4" borderId="6" xfId="0" applyFont="1" applyFill="1" applyBorder="1" applyAlignment="1">
      <alignment horizontal="center" vertical="center"/>
    </xf>
    <xf numFmtId="0" fontId="11" fillId="0" borderId="1" xfId="0" applyFont="1" applyFill="1" applyBorder="1" applyAlignment="1">
      <alignment horizontal="center"/>
    </xf>
    <xf numFmtId="0" fontId="11" fillId="0" borderId="6" xfId="0" applyFont="1" applyFill="1" applyBorder="1" applyAlignment="1">
      <alignment horizontal="center"/>
    </xf>
    <xf numFmtId="0" fontId="17" fillId="3" borderId="36" xfId="0" applyFont="1" applyFill="1" applyBorder="1" applyAlignment="1">
      <alignment horizontal="center" vertical="center"/>
    </xf>
    <xf numFmtId="0" fontId="17" fillId="3" borderId="37" xfId="0" applyFont="1" applyFill="1" applyBorder="1" applyAlignment="1">
      <alignment horizontal="center" vertical="center"/>
    </xf>
    <xf numFmtId="0" fontId="17" fillId="3" borderId="38" xfId="0" applyFont="1" applyFill="1" applyBorder="1" applyAlignment="1">
      <alignment horizontal="center" vertical="center"/>
    </xf>
    <xf numFmtId="0" fontId="11" fillId="5" borderId="25" xfId="0" applyFont="1" applyFill="1" applyBorder="1" applyAlignment="1">
      <alignment horizontal="center" vertical="center"/>
    </xf>
    <xf numFmtId="0" fontId="11" fillId="5" borderId="11" xfId="0" applyFont="1" applyFill="1" applyBorder="1" applyAlignment="1">
      <alignment horizontal="center" vertical="center"/>
    </xf>
    <xf numFmtId="0" fontId="17" fillId="0" borderId="7" xfId="0" applyFont="1" applyBorder="1" applyAlignment="1">
      <alignment horizontal="center"/>
    </xf>
    <xf numFmtId="0" fontId="17" fillId="0" borderId="12" xfId="0" applyFont="1" applyBorder="1" applyAlignment="1">
      <alignment horizontal="center"/>
    </xf>
    <xf numFmtId="0" fontId="17" fillId="0" borderId="26" xfId="0" applyFont="1" applyBorder="1" applyAlignment="1">
      <alignment horizontal="center"/>
    </xf>
    <xf numFmtId="0" fontId="11" fillId="0" borderId="51" xfId="0" applyFont="1" applyBorder="1" applyAlignment="1">
      <alignment horizontal="center"/>
    </xf>
    <xf numFmtId="0" fontId="11" fillId="0" borderId="41" xfId="0" applyFont="1" applyBorder="1" applyAlignment="1">
      <alignment horizontal="center"/>
    </xf>
    <xf numFmtId="0" fontId="11" fillId="0" borderId="42" xfId="0" applyFont="1" applyBorder="1" applyAlignment="1">
      <alignment horizontal="center"/>
    </xf>
    <xf numFmtId="0" fontId="59" fillId="0" borderId="30" xfId="0" applyFont="1" applyBorder="1" applyAlignment="1">
      <alignment horizontal="center" vertical="center" wrapText="1"/>
    </xf>
    <xf numFmtId="0" fontId="59" fillId="0" borderId="0" xfId="0" applyFont="1" applyBorder="1" applyAlignment="1">
      <alignment horizontal="center" vertical="center" wrapText="1"/>
    </xf>
    <xf numFmtId="0" fontId="59" fillId="0" borderId="22" xfId="0" applyFont="1" applyBorder="1" applyAlignment="1">
      <alignment horizontal="center" vertical="center" wrapText="1"/>
    </xf>
    <xf numFmtId="0" fontId="17" fillId="3" borderId="60" xfId="0" applyFont="1" applyFill="1" applyBorder="1" applyAlignment="1">
      <alignment horizontal="center" vertical="center"/>
    </xf>
    <xf numFmtId="0" fontId="17" fillId="3" borderId="61" xfId="0" applyFont="1" applyFill="1" applyBorder="1" applyAlignment="1">
      <alignment horizontal="center" vertical="center"/>
    </xf>
    <xf numFmtId="0" fontId="17" fillId="3" borderId="62" xfId="0" applyFont="1" applyFill="1" applyBorder="1" applyAlignment="1">
      <alignment horizontal="center" vertical="center"/>
    </xf>
    <xf numFmtId="0" fontId="11" fillId="0" borderId="25" xfId="0" applyFont="1" applyBorder="1" applyAlignment="1">
      <alignment horizontal="center"/>
    </xf>
    <xf numFmtId="0" fontId="11" fillId="0" borderId="12" xfId="0" applyFont="1" applyBorder="1" applyAlignment="1">
      <alignment horizontal="center"/>
    </xf>
    <xf numFmtId="0" fontId="11" fillId="0" borderId="26" xfId="0" applyFont="1" applyBorder="1" applyAlignment="1">
      <alignment horizontal="center"/>
    </xf>
    <xf numFmtId="0" fontId="19" fillId="0" borderId="3" xfId="0" applyFont="1" applyBorder="1" applyAlignment="1">
      <alignment horizontal="center" vertical="center" wrapText="1"/>
    </xf>
    <xf numFmtId="0" fontId="21" fillId="0" borderId="28" xfId="0" applyFont="1" applyBorder="1" applyAlignment="1">
      <alignment horizontal="left" vertical="center"/>
    </xf>
    <xf numFmtId="0" fontId="21" fillId="0" borderId="15" xfId="0" applyFont="1" applyBorder="1" applyAlignment="1">
      <alignment horizontal="left" vertical="center"/>
    </xf>
    <xf numFmtId="0" fontId="21" fillId="0" borderId="29" xfId="0" applyFont="1" applyBorder="1" applyAlignment="1">
      <alignment horizontal="left" vertical="center"/>
    </xf>
    <xf numFmtId="0" fontId="18" fillId="0" borderId="30" xfId="0" applyFont="1" applyBorder="1" applyAlignment="1">
      <alignment horizontal="center"/>
    </xf>
    <xf numFmtId="0" fontId="18" fillId="0" borderId="22" xfId="0" applyFont="1" applyBorder="1" applyAlignment="1">
      <alignment horizontal="center"/>
    </xf>
    <xf numFmtId="0" fontId="18" fillId="0" borderId="28"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29" xfId="0" applyFont="1" applyFill="1" applyBorder="1" applyAlignment="1">
      <alignment horizontal="left" vertical="center"/>
    </xf>
    <xf numFmtId="0" fontId="21" fillId="0" borderId="28" xfId="0" applyFont="1" applyBorder="1" applyAlignment="1">
      <alignment horizontal="left" vertical="center" wrapText="1"/>
    </xf>
    <xf numFmtId="0" fontId="21" fillId="0" borderId="15" xfId="0" applyFont="1" applyBorder="1" applyAlignment="1">
      <alignment horizontal="left" vertical="center" wrapText="1"/>
    </xf>
    <xf numFmtId="0" fontId="21" fillId="0" borderId="29" xfId="0" applyFont="1" applyBorder="1" applyAlignment="1">
      <alignment horizontal="left" vertical="center" wrapText="1"/>
    </xf>
    <xf numFmtId="0" fontId="21" fillId="0" borderId="28"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29" xfId="0" applyFont="1" applyBorder="1" applyAlignment="1">
      <alignment horizontal="center" vertical="center" wrapText="1"/>
    </xf>
    <xf numFmtId="0" fontId="22" fillId="10" borderId="28" xfId="0" applyFont="1" applyFill="1" applyBorder="1" applyAlignment="1">
      <alignment horizontal="left" vertical="center"/>
    </xf>
    <xf numFmtId="0" fontId="22" fillId="10" borderId="15" xfId="0" applyFont="1" applyFill="1" applyBorder="1" applyAlignment="1">
      <alignment horizontal="left" vertical="center"/>
    </xf>
    <xf numFmtId="0" fontId="22" fillId="10" borderId="29" xfId="0" applyFont="1" applyFill="1" applyBorder="1" applyAlignment="1">
      <alignment horizontal="left" vertical="center"/>
    </xf>
    <xf numFmtId="0" fontId="22" fillId="0" borderId="28" xfId="0" applyFont="1" applyBorder="1" applyAlignment="1">
      <alignment horizontal="left" vertical="center" wrapText="1"/>
    </xf>
    <xf numFmtId="0" fontId="22" fillId="0" borderId="15" xfId="0" applyFont="1" applyBorder="1" applyAlignment="1">
      <alignment horizontal="left" vertical="center" wrapText="1"/>
    </xf>
    <xf numFmtId="0" fontId="22" fillId="0" borderId="29" xfId="0" applyFont="1" applyBorder="1" applyAlignment="1">
      <alignment horizontal="left"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5" fillId="3" borderId="36" xfId="0" applyFont="1" applyFill="1" applyBorder="1" applyAlignment="1">
      <alignment horizontal="center" vertical="center"/>
    </xf>
    <xf numFmtId="0" fontId="5" fillId="3" borderId="37" xfId="0" applyFont="1" applyFill="1" applyBorder="1" applyAlignment="1">
      <alignment horizontal="center" vertical="center"/>
    </xf>
    <xf numFmtId="0" fontId="5" fillId="3" borderId="38" xfId="0" applyFont="1" applyFill="1" applyBorder="1" applyAlignment="1">
      <alignment horizontal="center" vertical="center"/>
    </xf>
    <xf numFmtId="0" fontId="5" fillId="3" borderId="60" xfId="0" applyFont="1" applyFill="1" applyBorder="1" applyAlignment="1">
      <alignment horizontal="center" vertical="center"/>
    </xf>
    <xf numFmtId="0" fontId="5" fillId="3" borderId="61" xfId="0" applyFont="1" applyFill="1" applyBorder="1" applyAlignment="1">
      <alignment horizontal="center" vertical="center"/>
    </xf>
    <xf numFmtId="0" fontId="5" fillId="3" borderId="62" xfId="0" applyFont="1" applyFill="1" applyBorder="1" applyAlignment="1">
      <alignment horizontal="center" vertical="center"/>
    </xf>
    <xf numFmtId="0" fontId="10" fillId="5" borderId="7" xfId="0" applyFont="1" applyFill="1" applyBorder="1" applyAlignment="1">
      <alignment horizontal="center" vertical="center"/>
    </xf>
    <xf numFmtId="0" fontId="10" fillId="5" borderId="12" xfId="0" applyFont="1" applyFill="1" applyBorder="1" applyAlignment="1">
      <alignment horizontal="center" vertical="center"/>
    </xf>
    <xf numFmtId="0" fontId="10" fillId="5" borderId="11" xfId="0" applyFont="1" applyFill="1" applyBorder="1" applyAlignment="1">
      <alignment horizontal="center" vertical="center"/>
    </xf>
    <xf numFmtId="0" fontId="10" fillId="5" borderId="1" xfId="0" applyFont="1" applyFill="1" applyBorder="1" applyAlignment="1">
      <alignment horizontal="center" vertical="center"/>
    </xf>
    <xf numFmtId="0" fontId="0" fillId="0" borderId="1" xfId="0" applyBorder="1" applyAlignment="1">
      <alignment horizontal="center" vertical="center"/>
    </xf>
    <xf numFmtId="0" fontId="5" fillId="5" borderId="5" xfId="0" applyFont="1" applyFill="1" applyBorder="1" applyAlignment="1">
      <alignment horizontal="left" vertical="center"/>
    </xf>
    <xf numFmtId="0" fontId="5" fillId="5" borderId="1" xfId="0" applyFont="1" applyFill="1" applyBorder="1" applyAlignment="1">
      <alignment horizontal="left" vertical="center"/>
    </xf>
    <xf numFmtId="14" fontId="4" fillId="0" borderId="1" xfId="0" applyNumberFormat="1" applyFont="1" applyBorder="1" applyAlignment="1">
      <alignment horizontal="left" vertical="center" wrapText="1"/>
    </xf>
    <xf numFmtId="14" fontId="4" fillId="0" borderId="6" xfId="0" applyNumberFormat="1" applyFont="1" applyBorder="1" applyAlignment="1">
      <alignment horizontal="left" vertical="center" wrapText="1"/>
    </xf>
    <xf numFmtId="0" fontId="5" fillId="5" borderId="5" xfId="0" applyFont="1" applyFill="1" applyBorder="1" applyAlignment="1">
      <alignment horizontal="left" vertical="center" wrapText="1"/>
    </xf>
    <xf numFmtId="0" fontId="5" fillId="5" borderId="1" xfId="0" applyFont="1" applyFill="1" applyBorder="1" applyAlignment="1">
      <alignment horizontal="left" vertical="center" wrapText="1"/>
    </xf>
    <xf numFmtId="0" fontId="4" fillId="0" borderId="1" xfId="0" applyFont="1" applyBorder="1" applyAlignment="1">
      <alignment horizontal="left" vertical="center" wrapText="1"/>
    </xf>
    <xf numFmtId="0" fontId="4" fillId="0" borderId="6" xfId="0" applyFont="1" applyBorder="1" applyAlignment="1">
      <alignment horizontal="left" vertical="center" wrapText="1"/>
    </xf>
    <xf numFmtId="0" fontId="4" fillId="0" borderId="25" xfId="0" applyFont="1" applyBorder="1" applyAlignment="1">
      <alignment horizontal="center"/>
    </xf>
    <xf numFmtId="0" fontId="4" fillId="0" borderId="12" xfId="0" applyFont="1" applyBorder="1" applyAlignment="1">
      <alignment horizontal="center"/>
    </xf>
    <xf numFmtId="0" fontId="4" fillId="0" borderId="26" xfId="0" applyFont="1" applyBorder="1" applyAlignment="1">
      <alignment horizontal="center"/>
    </xf>
    <xf numFmtId="0" fontId="4" fillId="0" borderId="5"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xf>
    <xf numFmtId="14" fontId="4" fillId="0" borderId="1" xfId="0" applyNumberFormat="1" applyFont="1" applyBorder="1" applyAlignment="1">
      <alignment horizontal="center"/>
    </xf>
    <xf numFmtId="14" fontId="4" fillId="0" borderId="6" xfId="0" applyNumberFormat="1"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xf>
    <xf numFmtId="0" fontId="5" fillId="0" borderId="6" xfId="0" applyFont="1" applyBorder="1" applyAlignment="1">
      <alignment horizontal="center"/>
    </xf>
    <xf numFmtId="0" fontId="4" fillId="5" borderId="25" xfId="0" applyFont="1" applyFill="1" applyBorder="1" applyAlignment="1">
      <alignment horizontal="center"/>
    </xf>
    <xf numFmtId="0" fontId="4" fillId="5" borderId="11" xfId="0" applyFont="1" applyFill="1" applyBorder="1" applyAlignment="1">
      <alignment horizontal="center"/>
    </xf>
    <xf numFmtId="0" fontId="5" fillId="0" borderId="7" xfId="0" applyFont="1" applyBorder="1" applyAlignment="1">
      <alignment horizontal="center"/>
    </xf>
    <xf numFmtId="0" fontId="5" fillId="0" borderId="12" xfId="0" applyFont="1" applyBorder="1" applyAlignment="1">
      <alignment horizontal="center"/>
    </xf>
    <xf numFmtId="0" fontId="5" fillId="0" borderId="26" xfId="0" applyFont="1" applyBorder="1" applyAlignment="1">
      <alignment horizontal="center"/>
    </xf>
    <xf numFmtId="0" fontId="4" fillId="5" borderId="1" xfId="0" applyFont="1" applyFill="1" applyBorder="1" applyAlignment="1">
      <alignment horizontal="center"/>
    </xf>
    <xf numFmtId="0" fontId="4" fillId="0" borderId="1" xfId="0" applyFont="1" applyFill="1" applyBorder="1" applyAlignment="1">
      <alignment horizontal="center"/>
    </xf>
    <xf numFmtId="0" fontId="4" fillId="0" borderId="6" xfId="0" applyFont="1" applyFill="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4" fillId="0" borderId="57" xfId="0" applyFont="1" applyBorder="1" applyAlignment="1">
      <alignment horizontal="center"/>
    </xf>
    <xf numFmtId="0" fontId="4" fillId="0" borderId="58" xfId="0" applyFont="1" applyBorder="1" applyAlignment="1">
      <alignment horizontal="center"/>
    </xf>
    <xf numFmtId="0" fontId="5" fillId="0" borderId="40" xfId="0" applyFont="1" applyBorder="1" applyAlignment="1">
      <alignment horizontal="center" vertical="center" wrapText="1"/>
    </xf>
    <xf numFmtId="0" fontId="5" fillId="0" borderId="41" xfId="0" applyFont="1" applyBorder="1" applyAlignment="1">
      <alignment horizontal="center" vertical="center" wrapText="1"/>
    </xf>
    <xf numFmtId="0" fontId="4" fillId="0" borderId="10" xfId="0" applyFont="1" applyBorder="1" applyAlignment="1">
      <alignment horizontal="center"/>
    </xf>
    <xf numFmtId="0" fontId="4" fillId="0" borderId="35" xfId="0" applyFont="1" applyBorder="1" applyAlignment="1">
      <alignment horizontal="center"/>
    </xf>
    <xf numFmtId="0" fontId="6" fillId="4" borderId="31" xfId="0" applyFont="1" applyFill="1" applyBorder="1" applyAlignment="1">
      <alignment horizontal="center" vertical="center"/>
    </xf>
    <xf numFmtId="0" fontId="6" fillId="4" borderId="13" xfId="0" applyFont="1" applyFill="1" applyBorder="1" applyAlignment="1">
      <alignment horizontal="center" vertical="center"/>
    </xf>
    <xf numFmtId="0" fontId="6" fillId="4" borderId="24" xfId="0" applyFont="1" applyFill="1" applyBorder="1" applyAlignment="1">
      <alignment horizontal="center" vertical="center"/>
    </xf>
    <xf numFmtId="0" fontId="5" fillId="0" borderId="7" xfId="0" applyFont="1" applyBorder="1" applyAlignment="1">
      <alignment horizontal="center" vertical="center"/>
    </xf>
    <xf numFmtId="0" fontId="5" fillId="0" borderId="12" xfId="0" applyFont="1" applyBorder="1" applyAlignment="1">
      <alignment horizontal="center" vertical="center"/>
    </xf>
    <xf numFmtId="0" fontId="5" fillId="0" borderId="11" xfId="0" applyFont="1" applyBorder="1" applyAlignment="1">
      <alignment horizontal="center" vertical="center"/>
    </xf>
    <xf numFmtId="0" fontId="0" fillId="11" borderId="1" xfId="0" applyFill="1" applyBorder="1" applyAlignment="1">
      <alignment horizontal="center" vertical="center"/>
    </xf>
    <xf numFmtId="0" fontId="0" fillId="0" borderId="0" xfId="0" applyAlignment="1">
      <alignment horizontal="center"/>
    </xf>
    <xf numFmtId="0" fontId="30" fillId="11" borderId="1" xfId="0" applyFont="1" applyFill="1" applyBorder="1" applyAlignment="1">
      <alignment horizontal="center" vertical="center"/>
    </xf>
    <xf numFmtId="0" fontId="1" fillId="11" borderId="1" xfId="0" applyFont="1" applyFill="1" applyBorder="1" applyAlignment="1">
      <alignment horizontal="center" vertical="center"/>
    </xf>
    <xf numFmtId="0" fontId="0" fillId="12" borderId="1" xfId="0" applyFill="1" applyBorder="1" applyAlignment="1">
      <alignment horizontal="center"/>
    </xf>
    <xf numFmtId="0" fontId="0" fillId="13" borderId="13" xfId="0" applyFill="1" applyBorder="1" applyAlignment="1">
      <alignment horizontal="center"/>
    </xf>
    <xf numFmtId="0" fontId="0" fillId="0" borderId="0" xfId="0" applyAlignment="1">
      <alignment horizontal="center" wrapText="1"/>
    </xf>
    <xf numFmtId="0" fontId="27" fillId="14" borderId="1" xfId="0" applyFont="1" applyFill="1" applyBorder="1" applyAlignment="1">
      <alignment horizontal="center"/>
    </xf>
    <xf numFmtId="0" fontId="24" fillId="0" borderId="0" xfId="0" applyFont="1" applyAlignment="1">
      <alignment horizontal="center"/>
    </xf>
    <xf numFmtId="165" fontId="32" fillId="20" borderId="1" xfId="5" applyFont="1" applyFill="1" applyBorder="1" applyAlignment="1">
      <alignment horizontal="center" vertical="center"/>
    </xf>
    <xf numFmtId="165" fontId="32" fillId="20" borderId="32" xfId="5" applyFont="1" applyFill="1" applyBorder="1" applyAlignment="1">
      <alignment horizontal="center" vertical="center"/>
    </xf>
    <xf numFmtId="165" fontId="32" fillId="20" borderId="34" xfId="5" applyFont="1" applyFill="1" applyBorder="1" applyAlignment="1">
      <alignment horizontal="center" vertical="center"/>
    </xf>
    <xf numFmtId="165" fontId="34" fillId="20" borderId="40" xfId="5" applyFont="1" applyFill="1" applyBorder="1" applyAlignment="1">
      <alignment horizontal="center"/>
    </xf>
    <xf numFmtId="165" fontId="34" fillId="20" borderId="42" xfId="5" applyFont="1" applyFill="1" applyBorder="1" applyAlignment="1">
      <alignment horizontal="center"/>
    </xf>
    <xf numFmtId="0" fontId="0" fillId="0" borderId="0" xfId="0" applyAlignment="1">
      <alignment horizontal="right"/>
    </xf>
    <xf numFmtId="0" fontId="31" fillId="20" borderId="0" xfId="0" applyFont="1" applyFill="1" applyAlignment="1">
      <alignment horizontal="right" vertical="center"/>
    </xf>
    <xf numFmtId="0" fontId="28" fillId="0" borderId="5" xfId="0" applyFont="1" applyBorder="1" applyAlignment="1">
      <alignment horizontal="left" vertical="center" wrapText="1"/>
    </xf>
    <xf numFmtId="0" fontId="28" fillId="0" borderId="6" xfId="0" applyFont="1" applyBorder="1" applyAlignment="1">
      <alignment horizontal="left" vertical="center" wrapText="1"/>
    </xf>
    <xf numFmtId="0" fontId="31" fillId="20" borderId="56" xfId="0" applyFont="1" applyFill="1" applyBorder="1" applyAlignment="1">
      <alignment horizontal="right" vertical="center"/>
    </xf>
    <xf numFmtId="0" fontId="31" fillId="20" borderId="19" xfId="0" applyFont="1" applyFill="1" applyBorder="1" applyAlignment="1">
      <alignment horizontal="right" vertical="center"/>
    </xf>
    <xf numFmtId="0" fontId="31" fillId="20" borderId="20" xfId="0" applyFont="1" applyFill="1" applyBorder="1" applyAlignment="1">
      <alignment horizontal="right" vertical="center"/>
    </xf>
    <xf numFmtId="0" fontId="28" fillId="0" borderId="5" xfId="0" applyFont="1" applyBorder="1" applyAlignment="1">
      <alignment horizontal="left" wrapText="1"/>
    </xf>
    <xf numFmtId="0" fontId="28" fillId="0" borderId="6" xfId="0" applyFont="1" applyBorder="1" applyAlignment="1">
      <alignment horizontal="left" wrapText="1"/>
    </xf>
    <xf numFmtId="0" fontId="27" fillId="14" borderId="32" xfId="0" applyFont="1" applyFill="1" applyBorder="1" applyAlignment="1">
      <alignment horizontal="center"/>
    </xf>
    <xf numFmtId="0" fontId="27" fillId="14" borderId="33" xfId="0" applyFont="1" applyFill="1" applyBorder="1" applyAlignment="1">
      <alignment horizontal="center"/>
    </xf>
    <xf numFmtId="0" fontId="24" fillId="14" borderId="40" xfId="0" applyFont="1" applyFill="1" applyBorder="1" applyAlignment="1">
      <alignment horizontal="center"/>
    </xf>
    <xf numFmtId="0" fontId="24" fillId="14" borderId="42" xfId="0" applyFont="1" applyFill="1" applyBorder="1" applyAlignment="1">
      <alignment horizontal="center"/>
    </xf>
    <xf numFmtId="0" fontId="0" fillId="0" borderId="67" xfId="0" applyBorder="1" applyAlignment="1">
      <alignment horizontal="left" wrapText="1"/>
    </xf>
    <xf numFmtId="0" fontId="0" fillId="0" borderId="68" xfId="0" applyBorder="1" applyAlignment="1">
      <alignment horizontal="left" wrapText="1"/>
    </xf>
    <xf numFmtId="165" fontId="34" fillId="20" borderId="40" xfId="4" applyNumberFormat="1" applyFont="1" applyFill="1" applyBorder="1" applyAlignment="1">
      <alignment horizontal="center"/>
    </xf>
    <xf numFmtId="165" fontId="34" fillId="20" borderId="42" xfId="4" applyNumberFormat="1" applyFont="1" applyFill="1" applyBorder="1" applyAlignment="1">
      <alignment horizontal="center"/>
    </xf>
    <xf numFmtId="0" fontId="24" fillId="22" borderId="67" xfId="0" applyFont="1" applyFill="1" applyBorder="1" applyAlignment="1">
      <alignment horizontal="left" vertical="center"/>
    </xf>
    <xf numFmtId="0" fontId="24" fillId="22" borderId="70" xfId="0" applyFont="1" applyFill="1" applyBorder="1" applyAlignment="1">
      <alignment horizontal="left" vertical="center"/>
    </xf>
    <xf numFmtId="0" fontId="0" fillId="23" borderId="67" xfId="0" applyFill="1" applyBorder="1" applyAlignment="1">
      <alignment horizontal="left" vertical="center" wrapText="1"/>
    </xf>
    <xf numFmtId="0" fontId="0" fillId="23" borderId="68" xfId="0" applyFill="1" applyBorder="1" applyAlignment="1">
      <alignment horizontal="left" vertical="center" wrapText="1"/>
    </xf>
    <xf numFmtId="0" fontId="31" fillId="20" borderId="40" xfId="0" applyFont="1" applyFill="1" applyBorder="1" applyAlignment="1">
      <alignment horizontal="right" vertical="center"/>
    </xf>
    <xf numFmtId="0" fontId="31" fillId="20" borderId="41" xfId="0" applyFont="1" applyFill="1" applyBorder="1" applyAlignment="1">
      <alignment horizontal="right" vertical="center"/>
    </xf>
    <xf numFmtId="0" fontId="31" fillId="20" borderId="42" xfId="0" applyFont="1" applyFill="1" applyBorder="1" applyAlignment="1">
      <alignment horizontal="right" vertical="center"/>
    </xf>
    <xf numFmtId="165" fontId="23" fillId="20" borderId="40" xfId="4" applyNumberFormat="1" applyFill="1" applyBorder="1" applyAlignment="1">
      <alignment horizontal="center"/>
    </xf>
    <xf numFmtId="165" fontId="23" fillId="20" borderId="42" xfId="4" applyNumberFormat="1" applyFill="1" applyBorder="1" applyAlignment="1">
      <alignment horizontal="center"/>
    </xf>
    <xf numFmtId="0" fontId="33" fillId="20" borderId="0" xfId="0" applyFont="1" applyFill="1" applyBorder="1" applyAlignment="1">
      <alignment horizontal="center" vertical="center"/>
    </xf>
    <xf numFmtId="0" fontId="24" fillId="21" borderId="67" xfId="0" applyFont="1" applyFill="1" applyBorder="1" applyAlignment="1">
      <alignment horizontal="center" vertical="center"/>
    </xf>
    <xf numFmtId="0" fontId="24" fillId="21" borderId="68" xfId="0" applyFont="1" applyFill="1" applyBorder="1" applyAlignment="1">
      <alignment horizontal="center" vertical="center"/>
    </xf>
    <xf numFmtId="0" fontId="37" fillId="24" borderId="76" xfId="6" applyFont="1" applyFill="1" applyBorder="1" applyAlignment="1">
      <alignment horizontal="center" vertical="center"/>
    </xf>
    <xf numFmtId="0" fontId="37" fillId="24" borderId="77" xfId="6" applyFont="1" applyFill="1" applyBorder="1" applyAlignment="1">
      <alignment horizontal="center" vertical="center"/>
    </xf>
    <xf numFmtId="0" fontId="37" fillId="24" borderId="78" xfId="6" applyFont="1" applyFill="1" applyBorder="1" applyAlignment="1">
      <alignment horizontal="center" vertical="center"/>
    </xf>
    <xf numFmtId="0" fontId="39" fillId="0" borderId="74" xfId="6" applyFont="1" applyBorder="1" applyAlignment="1">
      <alignment horizontal="left" vertical="center"/>
    </xf>
    <xf numFmtId="0" fontId="39" fillId="0" borderId="0" xfId="6" applyFont="1" applyBorder="1" applyAlignment="1">
      <alignment horizontal="left" vertical="center"/>
    </xf>
    <xf numFmtId="0" fontId="39" fillId="0" borderId="1" xfId="6" applyFont="1" applyBorder="1" applyAlignment="1">
      <alignment horizontal="center" vertical="center"/>
    </xf>
    <xf numFmtId="0" fontId="39" fillId="25" borderId="1" xfId="6" applyFont="1" applyFill="1" applyBorder="1" applyAlignment="1">
      <alignment horizontal="center" vertical="center"/>
    </xf>
    <xf numFmtId="167" fontId="36" fillId="8" borderId="1" xfId="6" applyNumberFormat="1" applyFont="1" applyFill="1" applyBorder="1" applyAlignment="1">
      <alignment horizontal="center" vertical="center"/>
    </xf>
    <xf numFmtId="0" fontId="39" fillId="25" borderId="40" xfId="6" applyFont="1" applyFill="1" applyBorder="1" applyAlignment="1">
      <alignment horizontal="center" vertical="center"/>
    </xf>
    <xf numFmtId="0" fontId="39" fillId="25" borderId="41" xfId="6" applyFont="1" applyFill="1" applyBorder="1" applyAlignment="1">
      <alignment horizontal="center" vertical="center"/>
    </xf>
    <xf numFmtId="0" fontId="39" fillId="25" borderId="83" xfId="6" applyFont="1" applyFill="1" applyBorder="1" applyAlignment="1">
      <alignment horizontal="center" vertical="center"/>
    </xf>
    <xf numFmtId="0" fontId="39" fillId="25" borderId="42" xfId="6" applyFont="1" applyFill="1" applyBorder="1" applyAlignment="1">
      <alignment horizontal="center" vertical="center"/>
    </xf>
    <xf numFmtId="10" fontId="36" fillId="0" borderId="57" xfId="6" applyNumberFormat="1" applyFont="1" applyBorder="1" applyAlignment="1">
      <alignment horizontal="right" vertical="center"/>
    </xf>
    <xf numFmtId="10" fontId="36" fillId="0" borderId="64" xfId="6" applyNumberFormat="1" applyFont="1" applyBorder="1" applyAlignment="1">
      <alignment horizontal="right" vertical="center"/>
    </xf>
    <xf numFmtId="10" fontId="36" fillId="0" borderId="31" xfId="9" applyNumberFormat="1" applyFont="1" applyBorder="1" applyAlignment="1">
      <alignment horizontal="center" vertical="center"/>
    </xf>
    <xf numFmtId="10" fontId="36" fillId="0" borderId="18" xfId="9" applyNumberFormat="1" applyFont="1" applyBorder="1" applyAlignment="1">
      <alignment horizontal="center" vertical="center"/>
    </xf>
    <xf numFmtId="10" fontId="36" fillId="0" borderId="7" xfId="6" applyNumberFormat="1" applyFont="1" applyBorder="1" applyAlignment="1">
      <alignment horizontal="right" vertical="center"/>
    </xf>
    <xf numFmtId="10" fontId="36" fillId="0" borderId="11" xfId="6" applyNumberFormat="1" applyFont="1" applyBorder="1" applyAlignment="1">
      <alignment horizontal="right" vertical="center"/>
    </xf>
    <xf numFmtId="10" fontId="36" fillId="0" borderId="25" xfId="9" applyNumberFormat="1" applyFont="1" applyBorder="1" applyAlignment="1">
      <alignment horizontal="center" vertical="center"/>
    </xf>
    <xf numFmtId="10" fontId="36" fillId="0" borderId="11" xfId="9" applyNumberFormat="1" applyFont="1" applyBorder="1" applyAlignment="1">
      <alignment horizontal="center" vertical="center"/>
    </xf>
    <xf numFmtId="10" fontId="36" fillId="0" borderId="52" xfId="6" applyNumberFormat="1" applyFont="1" applyBorder="1" applyAlignment="1">
      <alignment horizontal="right" vertical="center"/>
    </xf>
    <xf numFmtId="10" fontId="36" fillId="0" borderId="50" xfId="6" applyNumberFormat="1" applyFont="1" applyBorder="1" applyAlignment="1">
      <alignment horizontal="right" vertical="center"/>
    </xf>
    <xf numFmtId="0" fontId="37" fillId="24" borderId="32" xfId="6" applyFont="1" applyFill="1" applyBorder="1" applyAlignment="1">
      <alignment horizontal="center" vertical="center"/>
    </xf>
    <xf numFmtId="0" fontId="37" fillId="24" borderId="33" xfId="6" applyFont="1" applyFill="1" applyBorder="1" applyAlignment="1">
      <alignment horizontal="center" vertical="center"/>
    </xf>
    <xf numFmtId="0" fontId="37" fillId="24" borderId="89" xfId="6" applyFont="1" applyFill="1" applyBorder="1" applyAlignment="1">
      <alignment horizontal="center" vertical="center"/>
    </xf>
    <xf numFmtId="0" fontId="39" fillId="25" borderId="56" xfId="6" applyFont="1" applyFill="1" applyBorder="1" applyAlignment="1">
      <alignment horizontal="center"/>
    </xf>
    <xf numFmtId="0" fontId="39" fillId="25" borderId="19" xfId="6" applyFont="1" applyFill="1" applyBorder="1" applyAlignment="1">
      <alignment horizontal="center"/>
    </xf>
    <xf numFmtId="0" fontId="39" fillId="0" borderId="0" xfId="6" applyFont="1" applyFill="1" applyBorder="1" applyAlignment="1">
      <alignment horizontal="center"/>
    </xf>
    <xf numFmtId="0" fontId="39" fillId="0" borderId="7" xfId="6" applyFont="1" applyBorder="1" applyAlignment="1">
      <alignment horizontal="center"/>
    </xf>
    <xf numFmtId="0" fontId="39" fillId="0" borderId="12" xfId="6" applyFont="1" applyBorder="1" applyAlignment="1">
      <alignment horizontal="center"/>
    </xf>
    <xf numFmtId="0" fontId="39" fillId="0" borderId="11" xfId="6" applyFont="1" applyBorder="1" applyAlignment="1">
      <alignment horizontal="center"/>
    </xf>
    <xf numFmtId="0" fontId="37" fillId="24" borderId="0" xfId="6" applyFont="1" applyFill="1" applyBorder="1" applyAlignment="1">
      <alignment horizontal="center" vertical="center"/>
    </xf>
    <xf numFmtId="0" fontId="38" fillId="0" borderId="0" xfId="6" applyFont="1" applyFill="1" applyBorder="1" applyAlignment="1">
      <alignment vertical="center"/>
    </xf>
    <xf numFmtId="0" fontId="39" fillId="0" borderId="1" xfId="6" applyFont="1" applyFill="1" applyBorder="1" applyAlignment="1">
      <alignment horizontal="center"/>
    </xf>
    <xf numFmtId="170" fontId="39" fillId="0" borderId="0" xfId="7" applyNumberFormat="1" applyFont="1" applyFill="1" applyBorder="1" applyAlignment="1">
      <alignment horizontal="center"/>
    </xf>
    <xf numFmtId="10" fontId="36" fillId="0" borderId="0" xfId="6" applyNumberFormat="1" applyFont="1" applyFill="1" applyBorder="1" applyAlignment="1">
      <alignment horizontal="right"/>
    </xf>
    <xf numFmtId="10" fontId="36" fillId="0" borderId="0" xfId="9" applyNumberFormat="1" applyFont="1" applyFill="1" applyBorder="1" applyAlignment="1">
      <alignment horizontal="center"/>
    </xf>
    <xf numFmtId="168" fontId="36" fillId="0" borderId="0" xfId="8" applyFont="1" applyFill="1" applyBorder="1" applyAlignment="1">
      <alignment horizontal="center"/>
    </xf>
    <xf numFmtId="0" fontId="39" fillId="0" borderId="14" xfId="6" applyFont="1" applyFill="1" applyBorder="1" applyAlignment="1">
      <alignment horizontal="center"/>
    </xf>
    <xf numFmtId="0" fontId="39" fillId="0" borderId="15" xfId="6" applyFont="1" applyFill="1" applyBorder="1" applyAlignment="1">
      <alignment horizontal="center"/>
    </xf>
    <xf numFmtId="0" fontId="39" fillId="0" borderId="16" xfId="6" applyFont="1" applyFill="1" applyBorder="1" applyAlignment="1">
      <alignment horizontal="center"/>
    </xf>
    <xf numFmtId="0" fontId="39" fillId="0" borderId="17" xfId="6" applyFont="1" applyFill="1" applyBorder="1" applyAlignment="1">
      <alignment horizontal="center"/>
    </xf>
    <xf numFmtId="0" fontId="39" fillId="0" borderId="13" xfId="6" applyFont="1" applyFill="1" applyBorder="1" applyAlignment="1">
      <alignment horizontal="center"/>
    </xf>
    <xf numFmtId="0" fontId="39" fillId="0" borderId="18" xfId="6" applyFont="1" applyFill="1" applyBorder="1" applyAlignment="1">
      <alignment horizontal="center"/>
    </xf>
    <xf numFmtId="170" fontId="36" fillId="0" borderId="0" xfId="7" applyNumberFormat="1" applyFont="1" applyFill="1" applyBorder="1" applyAlignment="1">
      <alignment horizontal="center"/>
    </xf>
    <xf numFmtId="0" fontId="36" fillId="0" borderId="1" xfId="6" applyFont="1" applyBorder="1" applyAlignment="1">
      <alignment horizontal="center"/>
    </xf>
    <xf numFmtId="0" fontId="10" fillId="0" borderId="1" xfId="6" applyFont="1" applyBorder="1" applyAlignment="1">
      <alignment horizontal="center" vertical="center" wrapText="1"/>
    </xf>
    <xf numFmtId="0" fontId="1" fillId="40" borderId="1" xfId="6" applyFont="1" applyFill="1" applyBorder="1" applyAlignment="1">
      <alignment horizontal="left" vertical="center"/>
    </xf>
    <xf numFmtId="0" fontId="1" fillId="11" borderId="1" xfId="6" applyFont="1" applyFill="1" applyBorder="1" applyAlignment="1">
      <alignment horizontal="center" vertical="center"/>
    </xf>
    <xf numFmtId="0" fontId="35" fillId="0" borderId="54" xfId="6" applyBorder="1" applyAlignment="1">
      <alignment horizontal="center"/>
    </xf>
    <xf numFmtId="0" fontId="35" fillId="0" borderId="46" xfId="6" applyBorder="1" applyAlignment="1">
      <alignment horizontal="center"/>
    </xf>
    <xf numFmtId="0" fontId="35" fillId="0" borderId="55" xfId="6" applyBorder="1" applyAlignment="1">
      <alignment horizontal="center"/>
    </xf>
    <xf numFmtId="0" fontId="1" fillId="0" borderId="40" xfId="6" applyFont="1" applyBorder="1" applyAlignment="1">
      <alignment horizontal="center" vertical="center"/>
    </xf>
    <xf numFmtId="0" fontId="1" fillId="0" borderId="41" xfId="6" applyFont="1" applyBorder="1" applyAlignment="1">
      <alignment horizontal="center" vertical="center"/>
    </xf>
    <xf numFmtId="0" fontId="1" fillId="0" borderId="42" xfId="6" applyFont="1" applyBorder="1" applyAlignment="1">
      <alignment horizontal="center" vertical="center"/>
    </xf>
    <xf numFmtId="0" fontId="1" fillId="0" borderId="40" xfId="6" applyFont="1" applyBorder="1" applyAlignment="1">
      <alignment horizontal="left" vertical="center"/>
    </xf>
    <xf numFmtId="0" fontId="1" fillId="0" borderId="41" xfId="6" applyFont="1" applyBorder="1" applyAlignment="1">
      <alignment horizontal="left" vertical="center"/>
    </xf>
    <xf numFmtId="0" fontId="1" fillId="0" borderId="42" xfId="6" applyFont="1" applyBorder="1" applyAlignment="1">
      <alignment horizontal="left" vertical="center"/>
    </xf>
    <xf numFmtId="0" fontId="35" fillId="0" borderId="40" xfId="6" applyBorder="1" applyAlignment="1">
      <alignment horizontal="left" vertical="center" wrapText="1"/>
    </xf>
    <xf numFmtId="0" fontId="35" fillId="0" borderId="42" xfId="6" applyBorder="1" applyAlignment="1">
      <alignment horizontal="left" vertical="center" wrapText="1"/>
    </xf>
    <xf numFmtId="0" fontId="1" fillId="0" borderId="1" xfId="0" applyFont="1" applyBorder="1" applyAlignment="1">
      <alignment horizontal="center"/>
    </xf>
    <xf numFmtId="177" fontId="21" fillId="0" borderId="9" xfId="10" applyNumberFormat="1" applyFont="1" applyBorder="1" applyAlignment="1">
      <alignment horizontal="center" vertical="center"/>
    </xf>
    <xf numFmtId="177" fontId="21" fillId="0" borderId="8" xfId="10" applyNumberFormat="1" applyFont="1" applyBorder="1" applyAlignment="1">
      <alignment horizontal="center" vertical="center"/>
    </xf>
    <xf numFmtId="177" fontId="21" fillId="0" borderId="10" xfId="10" applyNumberFormat="1" applyFont="1" applyBorder="1" applyAlignment="1">
      <alignment horizontal="center" vertical="center"/>
    </xf>
    <xf numFmtId="0" fontId="22" fillId="0" borderId="7" xfId="10" applyFont="1" applyBorder="1" applyAlignment="1">
      <alignment horizontal="center" vertical="center"/>
    </xf>
    <xf numFmtId="0" fontId="22" fillId="0" borderId="12" xfId="10" applyFont="1" applyBorder="1" applyAlignment="1">
      <alignment horizontal="center" vertical="center"/>
    </xf>
    <xf numFmtId="0" fontId="22" fillId="0" borderId="11" xfId="10" applyFont="1" applyBorder="1" applyAlignment="1">
      <alignment horizontal="center" vertical="center"/>
    </xf>
    <xf numFmtId="0" fontId="0" fillId="0" borderId="9" xfId="0" applyFill="1" applyBorder="1" applyAlignment="1">
      <alignment horizontal="center" vertical="center"/>
    </xf>
    <xf numFmtId="0" fontId="0" fillId="0" borderId="8" xfId="0" applyFill="1" applyBorder="1" applyAlignment="1">
      <alignment horizontal="center" vertical="center"/>
    </xf>
    <xf numFmtId="0" fontId="0" fillId="0" borderId="10" xfId="0" applyFill="1" applyBorder="1" applyAlignment="1">
      <alignment horizontal="center" vertical="center"/>
    </xf>
    <xf numFmtId="0" fontId="22" fillId="0" borderId="1" xfId="10" applyFont="1" applyBorder="1" applyAlignment="1">
      <alignment horizontal="center" vertical="center"/>
    </xf>
    <xf numFmtId="0" fontId="21" fillId="0" borderId="1" xfId="0" applyFont="1" applyBorder="1" applyAlignment="1">
      <alignment horizontal="left" vertical="center" wrapText="1"/>
    </xf>
    <xf numFmtId="0" fontId="19" fillId="3" borderId="21" xfId="0" applyFont="1" applyFill="1" applyBorder="1" applyAlignment="1">
      <alignment horizontal="center" vertical="center"/>
    </xf>
    <xf numFmtId="0" fontId="19" fillId="3" borderId="8" xfId="0" applyFont="1" applyFill="1" applyBorder="1" applyAlignment="1">
      <alignment horizontal="center" vertical="center"/>
    </xf>
    <xf numFmtId="0" fontId="19" fillId="3" borderId="49" xfId="0" applyFont="1" applyFill="1" applyBorder="1" applyAlignment="1">
      <alignment horizontal="center" vertical="center"/>
    </xf>
    <xf numFmtId="0" fontId="22" fillId="0" borderId="28" xfId="0" applyFont="1" applyFill="1" applyBorder="1" applyAlignment="1">
      <alignment horizontal="center" vertical="center"/>
    </xf>
    <xf numFmtId="0" fontId="22" fillId="0" borderId="15" xfId="0" applyFont="1" applyFill="1" applyBorder="1" applyAlignment="1">
      <alignment horizontal="center" vertical="center"/>
    </xf>
    <xf numFmtId="0" fontId="22" fillId="0" borderId="29" xfId="0" applyFont="1" applyFill="1" applyBorder="1" applyAlignment="1">
      <alignment horizontal="center" vertical="center"/>
    </xf>
    <xf numFmtId="0" fontId="22" fillId="0" borderId="30" xfId="0" applyFont="1" applyFill="1" applyBorder="1" applyAlignment="1">
      <alignment horizontal="center" vertical="center"/>
    </xf>
    <xf numFmtId="0" fontId="22" fillId="0" borderId="0" xfId="0" applyFont="1" applyFill="1" applyBorder="1" applyAlignment="1">
      <alignment horizontal="center" vertical="center"/>
    </xf>
    <xf numFmtId="0" fontId="22" fillId="0" borderId="22" xfId="0" applyFont="1" applyFill="1" applyBorder="1" applyAlignment="1">
      <alignment horizontal="center" vertical="center"/>
    </xf>
    <xf numFmtId="0" fontId="22" fillId="0" borderId="32" xfId="0" applyFont="1" applyFill="1" applyBorder="1" applyAlignment="1">
      <alignment horizontal="center" vertical="center"/>
    </xf>
    <xf numFmtId="0" fontId="22" fillId="0" borderId="33" xfId="0" applyFont="1" applyFill="1" applyBorder="1" applyAlignment="1">
      <alignment horizontal="center" vertical="center"/>
    </xf>
    <xf numFmtId="0" fontId="22" fillId="0" borderId="34" xfId="0" applyFont="1" applyFill="1" applyBorder="1" applyAlignment="1">
      <alignment horizontal="center" vertical="center"/>
    </xf>
    <xf numFmtId="0" fontId="55" fillId="10" borderId="1" xfId="1" applyFont="1" applyFill="1" applyBorder="1" applyAlignment="1">
      <alignment horizontal="center" vertical="center" wrapText="1"/>
    </xf>
    <xf numFmtId="0" fontId="16" fillId="10" borderId="1" xfId="0" applyFont="1" applyFill="1" applyBorder="1" applyAlignment="1">
      <alignment horizontal="center" vertical="center" wrapText="1"/>
    </xf>
    <xf numFmtId="0" fontId="54" fillId="0" borderId="1" xfId="1" applyFont="1" applyFill="1" applyBorder="1" applyAlignment="1">
      <alignment horizontal="left" vertical="center" wrapText="1"/>
    </xf>
    <xf numFmtId="0" fontId="21" fillId="0" borderId="1" xfId="0" applyFont="1" applyFill="1" applyBorder="1" applyAlignment="1">
      <alignment horizontal="left" vertical="center" wrapText="1"/>
    </xf>
    <xf numFmtId="0" fontId="53" fillId="0" borderId="0" xfId="0" applyFont="1" applyAlignment="1">
      <alignment horizontal="center" vertical="center" wrapText="1"/>
    </xf>
    <xf numFmtId="0" fontId="53" fillId="0" borderId="22" xfId="0" applyFont="1" applyBorder="1" applyAlignment="1">
      <alignment horizontal="center" vertical="center" wrapText="1"/>
    </xf>
    <xf numFmtId="0" fontId="53" fillId="0" borderId="33" xfId="0" applyFont="1" applyBorder="1" applyAlignment="1">
      <alignment horizontal="center" vertical="center" wrapText="1"/>
    </xf>
    <xf numFmtId="0" fontId="53" fillId="0" borderId="34" xfId="0" applyFont="1" applyBorder="1" applyAlignment="1">
      <alignment horizontal="center" vertical="center" wrapText="1"/>
    </xf>
    <xf numFmtId="0" fontId="18" fillId="0" borderId="25" xfId="0" applyFont="1" applyBorder="1" applyAlignment="1">
      <alignment horizontal="center"/>
    </xf>
    <xf numFmtId="0" fontId="18" fillId="0" borderId="26" xfId="0" applyFont="1" applyBorder="1" applyAlignment="1">
      <alignment horizontal="center"/>
    </xf>
    <xf numFmtId="0" fontId="21" fillId="0" borderId="30" xfId="0" applyFont="1" applyBorder="1" applyAlignment="1">
      <alignment horizontal="left" vertical="center" wrapText="1"/>
    </xf>
    <xf numFmtId="0" fontId="21" fillId="0" borderId="0" xfId="0" applyFont="1" applyBorder="1" applyAlignment="1">
      <alignment horizontal="left" vertical="center" wrapText="1"/>
    </xf>
    <xf numFmtId="0" fontId="21" fillId="0" borderId="22" xfId="0" applyFont="1" applyBorder="1" applyAlignment="1">
      <alignment horizontal="left" vertical="center" wrapText="1"/>
    </xf>
    <xf numFmtId="0" fontId="21" fillId="0" borderId="32" xfId="0" applyFont="1" applyBorder="1" applyAlignment="1">
      <alignment horizontal="left" vertical="center" wrapText="1"/>
    </xf>
    <xf numFmtId="0" fontId="21" fillId="0" borderId="33" xfId="0" applyFont="1" applyBorder="1" applyAlignment="1">
      <alignment horizontal="left" vertical="center" wrapText="1"/>
    </xf>
    <xf numFmtId="0" fontId="21" fillId="0" borderId="34" xfId="0" applyFont="1" applyBorder="1" applyAlignment="1">
      <alignment horizontal="left" vertical="center" wrapText="1"/>
    </xf>
    <xf numFmtId="0" fontId="18" fillId="0" borderId="103" xfId="0" applyFont="1" applyBorder="1" applyAlignment="1">
      <alignment horizontal="center"/>
    </xf>
    <xf numFmtId="0" fontId="18" fillId="0" borderId="64" xfId="0" applyFont="1" applyBorder="1" applyAlignment="1">
      <alignment horizontal="center"/>
    </xf>
    <xf numFmtId="0" fontId="18" fillId="0" borderId="10" xfId="0" applyFont="1" applyBorder="1" applyAlignment="1">
      <alignment horizontal="center"/>
    </xf>
    <xf numFmtId="0" fontId="18" fillId="0" borderId="35" xfId="0" applyFont="1" applyBorder="1" applyAlignment="1">
      <alignment horizontal="center"/>
    </xf>
    <xf numFmtId="0" fontId="18" fillId="5" borderId="25" xfId="0" applyFont="1" applyFill="1" applyBorder="1" applyAlignment="1">
      <alignment horizontal="center"/>
    </xf>
    <xf numFmtId="0" fontId="18" fillId="5" borderId="11" xfId="0" applyFont="1" applyFill="1" applyBorder="1" applyAlignment="1">
      <alignment horizontal="center"/>
    </xf>
    <xf numFmtId="0" fontId="19" fillId="0" borderId="7" xfId="0" applyFont="1" applyBorder="1" applyAlignment="1">
      <alignment horizontal="center"/>
    </xf>
    <xf numFmtId="0" fontId="19" fillId="0" borderId="12" xfId="0" applyFont="1" applyBorder="1" applyAlignment="1">
      <alignment horizontal="center"/>
    </xf>
    <xf numFmtId="0" fontId="19" fillId="0" borderId="26" xfId="0" applyFont="1" applyBorder="1" applyAlignment="1">
      <alignment horizontal="center"/>
    </xf>
    <xf numFmtId="0" fontId="18" fillId="5" borderId="1" xfId="0" applyFont="1" applyFill="1" applyBorder="1" applyAlignment="1">
      <alignment horizontal="center"/>
    </xf>
    <xf numFmtId="0" fontId="49" fillId="20" borderId="1" xfId="0" applyFont="1" applyFill="1" applyBorder="1" applyAlignment="1">
      <alignment horizontal="center" vertical="center"/>
    </xf>
    <xf numFmtId="0" fontId="19" fillId="34" borderId="9" xfId="0" applyFont="1" applyFill="1" applyBorder="1" applyAlignment="1">
      <alignment horizontal="center" vertical="center" wrapText="1"/>
    </xf>
    <xf numFmtId="0" fontId="19" fillId="34" borderId="8" xfId="0" applyFont="1" applyFill="1" applyBorder="1" applyAlignment="1">
      <alignment horizontal="center" vertical="center" wrapText="1"/>
    </xf>
    <xf numFmtId="0" fontId="19" fillId="34" borderId="10" xfId="0" applyFont="1" applyFill="1" applyBorder="1" applyAlignment="1">
      <alignment horizontal="center" vertical="center" wrapText="1"/>
    </xf>
    <xf numFmtId="0" fontId="19" fillId="32" borderId="1" xfId="0" applyFont="1" applyFill="1" applyBorder="1" applyAlignment="1">
      <alignment horizontal="center" vertical="center" wrapText="1"/>
    </xf>
    <xf numFmtId="0" fontId="18" fillId="0" borderId="1" xfId="0" applyFont="1" applyBorder="1" applyAlignment="1">
      <alignment vertical="center" wrapText="1"/>
    </xf>
    <xf numFmtId="0" fontId="18" fillId="0" borderId="6" xfId="0" applyFont="1" applyBorder="1" applyAlignment="1">
      <alignment vertical="center" wrapText="1"/>
    </xf>
    <xf numFmtId="0" fontId="19" fillId="35" borderId="9" xfId="0" applyFont="1" applyFill="1" applyBorder="1" applyAlignment="1">
      <alignment horizontal="center" vertical="center" wrapText="1"/>
    </xf>
    <xf numFmtId="0" fontId="19" fillId="35" borderId="8" xfId="0" applyFont="1" applyFill="1" applyBorder="1" applyAlignment="1">
      <alignment horizontal="center" vertical="center" wrapText="1"/>
    </xf>
    <xf numFmtId="0" fontId="19" fillId="35" borderId="10" xfId="0" applyFont="1" applyFill="1" applyBorder="1" applyAlignment="1">
      <alignment horizontal="center" vertical="center" wrapText="1"/>
    </xf>
    <xf numFmtId="0" fontId="19" fillId="3" borderId="30" xfId="0" applyFont="1" applyFill="1" applyBorder="1" applyAlignment="1">
      <alignment horizontal="center" vertical="center"/>
    </xf>
    <xf numFmtId="0" fontId="19" fillId="3" borderId="0" xfId="0" applyFont="1" applyFill="1" applyBorder="1" applyAlignment="1">
      <alignment horizontal="center" vertical="center"/>
    </xf>
    <xf numFmtId="0" fontId="19" fillId="3" borderId="22" xfId="0" applyFont="1" applyFill="1" applyBorder="1" applyAlignment="1">
      <alignment horizontal="center" vertical="center"/>
    </xf>
    <xf numFmtId="0" fontId="19" fillId="33" borderId="1" xfId="0" applyFont="1" applyFill="1" applyBorder="1" applyAlignment="1">
      <alignment horizontal="center" vertical="center" wrapText="1"/>
    </xf>
    <xf numFmtId="0" fontId="19" fillId="5" borderId="1" xfId="0" applyFont="1" applyFill="1" applyBorder="1" applyAlignment="1">
      <alignment horizontal="center" vertical="center"/>
    </xf>
    <xf numFmtId="0" fontId="19" fillId="5" borderId="6" xfId="0" applyFont="1" applyFill="1" applyBorder="1" applyAlignment="1">
      <alignment horizontal="center" vertical="center"/>
    </xf>
    <xf numFmtId="0" fontId="19" fillId="5" borderId="25" xfId="0" applyFont="1" applyFill="1" applyBorder="1" applyAlignment="1">
      <alignment horizontal="left" vertical="center"/>
    </xf>
    <xf numFmtId="0" fontId="19" fillId="5" borderId="11" xfId="0" applyFont="1" applyFill="1" applyBorder="1" applyAlignment="1">
      <alignment horizontal="left" vertical="center"/>
    </xf>
    <xf numFmtId="0" fontId="18" fillId="0" borderId="7" xfId="0" applyFont="1" applyBorder="1" applyAlignment="1">
      <alignment horizontal="left" vertical="center" wrapText="1"/>
    </xf>
    <xf numFmtId="0" fontId="18" fillId="0" borderId="12" xfId="0" applyFont="1" applyBorder="1" applyAlignment="1">
      <alignment horizontal="left" vertical="center" wrapText="1"/>
    </xf>
    <xf numFmtId="0" fontId="18" fillId="0" borderId="26" xfId="0" applyFont="1" applyBorder="1" applyAlignment="1">
      <alignment horizontal="left" vertical="center" wrapText="1"/>
    </xf>
    <xf numFmtId="0" fontId="18" fillId="0" borderId="11" xfId="0" applyFont="1" applyBorder="1" applyAlignment="1">
      <alignment horizontal="center"/>
    </xf>
    <xf numFmtId="0" fontId="18" fillId="0" borderId="7" xfId="0" applyFont="1" applyBorder="1" applyAlignment="1">
      <alignment horizontal="center"/>
    </xf>
    <xf numFmtId="14" fontId="19" fillId="0" borderId="1" xfId="0" applyNumberFormat="1" applyFont="1" applyBorder="1" applyAlignment="1">
      <alignment horizontal="center"/>
    </xf>
    <xf numFmtId="14" fontId="19" fillId="0" borderId="6" xfId="0" applyNumberFormat="1" applyFont="1" applyBorder="1" applyAlignment="1">
      <alignment horizontal="center"/>
    </xf>
    <xf numFmtId="0" fontId="51" fillId="0" borderId="27" xfId="0" applyFont="1" applyBorder="1" applyAlignment="1">
      <alignment horizontal="center" vertical="center" textRotation="90" wrapText="1"/>
    </xf>
    <xf numFmtId="0" fontId="51" fillId="0" borderId="21" xfId="0" applyFont="1" applyBorder="1" applyAlignment="1">
      <alignment horizontal="center" vertical="center" textRotation="90" wrapText="1"/>
    </xf>
    <xf numFmtId="0" fontId="51" fillId="0" borderId="23" xfId="0" applyFont="1" applyBorder="1" applyAlignment="1">
      <alignment horizontal="center" vertical="center" textRotation="90" wrapText="1"/>
    </xf>
    <xf numFmtId="0" fontId="52" fillId="12" borderId="30" xfId="0" applyFont="1" applyFill="1" applyBorder="1" applyAlignment="1">
      <alignment horizontal="center" vertical="center"/>
    </xf>
    <xf numFmtId="0" fontId="52" fillId="12" borderId="0" xfId="0" applyFont="1" applyFill="1" applyBorder="1" applyAlignment="1">
      <alignment horizontal="center" vertical="center"/>
    </xf>
    <xf numFmtId="0" fontId="52" fillId="12" borderId="22" xfId="0" applyFont="1" applyFill="1" applyBorder="1" applyAlignment="1">
      <alignment horizontal="center" vertical="center"/>
    </xf>
    <xf numFmtId="0" fontId="18" fillId="0" borderId="65" xfId="0" applyFont="1" applyBorder="1" applyAlignment="1">
      <alignment horizontal="left" vertical="center"/>
    </xf>
    <xf numFmtId="0" fontId="18" fillId="0" borderId="0" xfId="0" applyFont="1" applyBorder="1" applyAlignment="1">
      <alignment horizontal="left" vertical="center"/>
    </xf>
    <xf numFmtId="0" fontId="18" fillId="0" borderId="22" xfId="0" applyFont="1" applyBorder="1" applyAlignment="1">
      <alignment horizontal="left" vertical="center"/>
    </xf>
    <xf numFmtId="0" fontId="19" fillId="0" borderId="65" xfId="0" applyFont="1" applyBorder="1" applyAlignment="1">
      <alignment horizontal="center" vertical="center"/>
    </xf>
    <xf numFmtId="0" fontId="19" fillId="0" borderId="0" xfId="0" applyFont="1" applyBorder="1" applyAlignment="1">
      <alignment horizontal="center" vertical="center"/>
    </xf>
    <xf numFmtId="0" fontId="19" fillId="0" borderId="22" xfId="0" applyFont="1" applyBorder="1" applyAlignment="1">
      <alignment horizontal="center" vertical="center"/>
    </xf>
    <xf numFmtId="0" fontId="19" fillId="33" borderId="27" xfId="0" applyFont="1" applyFill="1" applyBorder="1" applyAlignment="1">
      <alignment horizontal="center" vertical="center" textRotation="90" wrapText="1"/>
    </xf>
    <xf numFmtId="0" fontId="19" fillId="33" borderId="21" xfId="0" applyFont="1" applyFill="1" applyBorder="1" applyAlignment="1">
      <alignment horizontal="center" vertical="center" textRotation="90" wrapText="1"/>
    </xf>
    <xf numFmtId="0" fontId="19" fillId="33" borderId="23" xfId="0" applyFont="1" applyFill="1" applyBorder="1" applyAlignment="1">
      <alignment horizontal="center" vertical="center" textRotation="90" wrapText="1"/>
    </xf>
    <xf numFmtId="0" fontId="19" fillId="35" borderId="27" xfId="0" applyFont="1" applyFill="1" applyBorder="1" applyAlignment="1">
      <alignment horizontal="center" vertical="center" textRotation="90" wrapText="1"/>
    </xf>
    <xf numFmtId="0" fontId="19" fillId="35" borderId="21" xfId="0" applyFont="1" applyFill="1" applyBorder="1" applyAlignment="1">
      <alignment horizontal="center" vertical="center" textRotation="90" wrapText="1"/>
    </xf>
    <xf numFmtId="0" fontId="19" fillId="35" borderId="23" xfId="0" applyFont="1" applyFill="1" applyBorder="1" applyAlignment="1">
      <alignment horizontal="center" vertical="center" textRotation="90" wrapText="1"/>
    </xf>
    <xf numFmtId="0" fontId="19" fillId="34" borderId="27" xfId="0" applyFont="1" applyFill="1" applyBorder="1" applyAlignment="1">
      <alignment horizontal="center" vertical="center" textRotation="90" wrapText="1"/>
    </xf>
    <xf numFmtId="0" fontId="19" fillId="34" borderId="21" xfId="0" applyFont="1" applyFill="1" applyBorder="1" applyAlignment="1">
      <alignment horizontal="center" vertical="center" textRotation="90" wrapText="1"/>
    </xf>
    <xf numFmtId="0" fontId="19" fillId="34" borderId="23" xfId="0" applyFont="1" applyFill="1" applyBorder="1" applyAlignment="1">
      <alignment horizontal="center" vertical="center" textRotation="90" wrapText="1"/>
    </xf>
    <xf numFmtId="0" fontId="19" fillId="32" borderId="27" xfId="0" applyFont="1" applyFill="1" applyBorder="1" applyAlignment="1">
      <alignment horizontal="center" vertical="center" textRotation="90" wrapText="1"/>
    </xf>
    <xf numFmtId="0" fontId="19" fillId="32" borderId="21" xfId="0" applyFont="1" applyFill="1" applyBorder="1" applyAlignment="1">
      <alignment horizontal="center" vertical="center" textRotation="90" wrapText="1"/>
    </xf>
    <xf numFmtId="0" fontId="19" fillId="32" borderId="23" xfId="0" applyFont="1" applyFill="1" applyBorder="1" applyAlignment="1">
      <alignment horizontal="center" vertical="center" textRotation="90" wrapText="1"/>
    </xf>
    <xf numFmtId="0" fontId="5" fillId="0" borderId="57"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4" fillId="0" borderId="103" xfId="0" applyFont="1" applyBorder="1" applyAlignment="1">
      <alignment horizontal="center" vertical="center"/>
    </xf>
    <xf numFmtId="0" fontId="4" fillId="0" borderId="58" xfId="0" applyFont="1" applyBorder="1" applyAlignment="1">
      <alignment horizontal="center" vertical="center"/>
    </xf>
    <xf numFmtId="0" fontId="4" fillId="0" borderId="64" xfId="0" applyFont="1" applyBorder="1" applyAlignment="1">
      <alignment horizontal="center" vertical="center"/>
    </xf>
    <xf numFmtId="0" fontId="5" fillId="3" borderId="5" xfId="0" applyFont="1" applyFill="1" applyBorder="1" applyAlignment="1">
      <alignment horizontal="center" vertical="center"/>
    </xf>
    <xf numFmtId="0" fontId="5" fillId="3" borderId="1" xfId="0" applyFont="1" applyFill="1" applyBorder="1" applyAlignment="1">
      <alignment horizontal="center" vertical="center"/>
    </xf>
    <xf numFmtId="0" fontId="5" fillId="3" borderId="6" xfId="0" applyFont="1" applyFill="1" applyBorder="1" applyAlignment="1">
      <alignment horizontal="center" vertical="center"/>
    </xf>
    <xf numFmtId="0" fontId="5" fillId="0" borderId="5" xfId="0" applyFont="1" applyBorder="1" applyAlignment="1">
      <alignment horizontal="center" vertical="center"/>
    </xf>
    <xf numFmtId="0" fontId="5" fillId="0" borderId="1" xfId="0" applyFont="1" applyBorder="1" applyAlignment="1">
      <alignment horizontal="center" vertical="center"/>
    </xf>
    <xf numFmtId="0" fontId="5" fillId="0" borderId="6" xfId="0" applyFont="1" applyBorder="1" applyAlignment="1">
      <alignment horizontal="center" vertical="center"/>
    </xf>
    <xf numFmtId="0" fontId="4" fillId="0" borderId="5" xfId="0" applyFont="1" applyBorder="1" applyAlignment="1">
      <alignment horizontal="center" vertical="center"/>
    </xf>
    <xf numFmtId="0" fontId="4" fillId="0" borderId="1" xfId="0" applyFont="1" applyBorder="1" applyAlignment="1">
      <alignment horizontal="center" vertical="center"/>
    </xf>
    <xf numFmtId="0" fontId="4" fillId="0" borderId="6" xfId="0" applyFont="1" applyBorder="1" applyAlignment="1">
      <alignment horizontal="center" vertical="center"/>
    </xf>
    <xf numFmtId="0" fontId="6" fillId="4" borderId="5"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6" xfId="0" applyFont="1" applyFill="1" applyBorder="1" applyAlignment="1">
      <alignment horizontal="center" vertical="center"/>
    </xf>
    <xf numFmtId="14" fontId="4" fillId="0" borderId="1" xfId="0" applyNumberFormat="1" applyFont="1" applyBorder="1" applyAlignment="1">
      <alignment horizontal="center" vertical="center"/>
    </xf>
    <xf numFmtId="14" fontId="4" fillId="0" borderId="6" xfId="0" applyNumberFormat="1" applyFont="1" applyBorder="1" applyAlignment="1">
      <alignment horizontal="center" vertical="center"/>
    </xf>
    <xf numFmtId="0" fontId="4" fillId="0" borderId="7" xfId="0" applyFont="1" applyBorder="1" applyAlignment="1">
      <alignment horizontal="left" vertical="center" wrapText="1"/>
    </xf>
    <xf numFmtId="0" fontId="4" fillId="0" borderId="11" xfId="0" applyFont="1" applyBorder="1" applyAlignment="1">
      <alignment horizontal="left" vertical="center" wrapText="1"/>
    </xf>
    <xf numFmtId="0" fontId="5" fillId="3" borderId="25" xfId="0" applyFont="1" applyFill="1" applyBorder="1" applyAlignment="1">
      <alignment horizontal="center" vertical="center"/>
    </xf>
    <xf numFmtId="0" fontId="5" fillId="3" borderId="12" xfId="0" applyFont="1" applyFill="1" applyBorder="1" applyAlignment="1">
      <alignment horizontal="center" vertical="center"/>
    </xf>
    <xf numFmtId="0" fontId="5" fillId="3" borderId="11" xfId="0" applyFont="1" applyFill="1" applyBorder="1" applyAlignment="1">
      <alignment horizontal="center" vertical="center"/>
    </xf>
    <xf numFmtId="0" fontId="4" fillId="0" borderId="15"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0"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24" xfId="0" applyFont="1" applyBorder="1" applyAlignment="1">
      <alignment horizontal="center" vertical="center" wrapText="1"/>
    </xf>
    <xf numFmtId="0" fontId="0" fillId="0" borderId="0"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5" xfId="0" applyFill="1" applyBorder="1" applyAlignment="1">
      <alignment horizontal="left" vertical="center" wrapText="1"/>
    </xf>
    <xf numFmtId="0" fontId="0" fillId="0" borderId="1" xfId="0" applyFill="1" applyBorder="1" applyAlignment="1">
      <alignment horizontal="left" vertical="center" wrapText="1"/>
    </xf>
    <xf numFmtId="0" fontId="0" fillId="0" borderId="6" xfId="0" applyFill="1" applyBorder="1" applyAlignment="1">
      <alignment horizontal="left" vertical="center" wrapText="1"/>
    </xf>
    <xf numFmtId="0" fontId="0" fillId="0" borderId="30" xfId="0" applyBorder="1" applyAlignment="1">
      <alignment horizontal="center" vertical="center"/>
    </xf>
    <xf numFmtId="0" fontId="0" fillId="0" borderId="7" xfId="0" applyBorder="1" applyAlignment="1">
      <alignment horizontal="center" vertical="center"/>
    </xf>
    <xf numFmtId="0" fontId="0" fillId="0" borderId="11" xfId="0" applyBorder="1" applyAlignment="1">
      <alignment horizontal="center" vertical="center"/>
    </xf>
    <xf numFmtId="0" fontId="1" fillId="0" borderId="5" xfId="0" applyFont="1" applyBorder="1" applyAlignment="1">
      <alignment horizontal="left" vertical="center"/>
    </xf>
    <xf numFmtId="0" fontId="1" fillId="0" borderId="1" xfId="0" applyFont="1" applyBorder="1" applyAlignment="1">
      <alignment horizontal="left" vertical="center"/>
    </xf>
    <xf numFmtId="0" fontId="1" fillId="0" borderId="1" xfId="0" applyFont="1" applyBorder="1" applyAlignment="1">
      <alignment horizontal="center" vertical="center"/>
    </xf>
    <xf numFmtId="0" fontId="1" fillId="0" borderId="6" xfId="0" applyFont="1" applyBorder="1" applyAlignment="1">
      <alignment horizontal="center" vertical="center"/>
    </xf>
    <xf numFmtId="0" fontId="1" fillId="0" borderId="5" xfId="0" applyFont="1" applyBorder="1" applyAlignment="1">
      <alignment horizontal="center" vertical="center"/>
    </xf>
    <xf numFmtId="0" fontId="8" fillId="0" borderId="32" xfId="0" applyFont="1" applyBorder="1" applyAlignment="1">
      <alignment horizontal="center" vertical="center"/>
    </xf>
    <xf numFmtId="0" fontId="8" fillId="0" borderId="33" xfId="0" applyFont="1" applyBorder="1" applyAlignment="1">
      <alignment horizontal="center" vertical="center"/>
    </xf>
    <xf numFmtId="0" fontId="11" fillId="0" borderId="33" xfId="0" applyFont="1" applyBorder="1" applyAlignment="1">
      <alignment horizontal="center" vertical="center"/>
    </xf>
    <xf numFmtId="0" fontId="11" fillId="0" borderId="34" xfId="0" applyFont="1" applyBorder="1" applyAlignment="1">
      <alignment horizontal="center" vertical="center"/>
    </xf>
    <xf numFmtId="0" fontId="5" fillId="3" borderId="27"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39" xfId="0" applyFont="1" applyFill="1" applyBorder="1" applyAlignment="1">
      <alignment horizontal="center" vertical="center"/>
    </xf>
    <xf numFmtId="0" fontId="8" fillId="0" borderId="30" xfId="0" applyFont="1" applyBorder="1" applyAlignment="1">
      <alignment horizontal="center" vertical="center"/>
    </xf>
    <xf numFmtId="0" fontId="8" fillId="0" borderId="0" xfId="0" applyFont="1" applyBorder="1" applyAlignment="1">
      <alignment horizontal="center" vertical="center"/>
    </xf>
    <xf numFmtId="0" fontId="11" fillId="0" borderId="0" xfId="0" applyFont="1" applyBorder="1" applyAlignment="1">
      <alignment horizontal="center" vertical="center"/>
    </xf>
    <xf numFmtId="0" fontId="11" fillId="0" borderId="22" xfId="0" applyFont="1" applyBorder="1" applyAlignment="1">
      <alignment horizontal="center" vertical="center"/>
    </xf>
    <xf numFmtId="0" fontId="14" fillId="4" borderId="5" xfId="0" applyFont="1" applyFill="1" applyBorder="1" applyAlignment="1">
      <alignment horizontal="center" vertical="center"/>
    </xf>
    <xf numFmtId="0" fontId="14" fillId="4" borderId="1" xfId="0" applyFont="1" applyFill="1" applyBorder="1" applyAlignment="1">
      <alignment horizontal="center" vertical="center"/>
    </xf>
    <xf numFmtId="0" fontId="14" fillId="4" borderId="6"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1" xfId="0" applyFont="1" applyFill="1" applyBorder="1" applyAlignment="1">
      <alignment horizontal="center" vertical="center"/>
    </xf>
    <xf numFmtId="0" fontId="3" fillId="3" borderId="6" xfId="0" applyFont="1" applyFill="1" applyBorder="1" applyAlignment="1">
      <alignment horizontal="center" vertical="center"/>
    </xf>
    <xf numFmtId="0" fontId="2" fillId="5" borderId="5" xfId="0" applyFont="1" applyFill="1" applyBorder="1" applyAlignment="1">
      <alignment horizontal="left" vertical="center"/>
    </xf>
    <xf numFmtId="0" fontId="2" fillId="5" borderId="1" xfId="0" applyFont="1" applyFill="1" applyBorder="1" applyAlignment="1">
      <alignment horizontal="left" vertical="center"/>
    </xf>
    <xf numFmtId="14" fontId="2" fillId="0" borderId="1" xfId="0" applyNumberFormat="1" applyFont="1" applyBorder="1" applyAlignment="1">
      <alignment horizontal="left" vertical="center"/>
    </xf>
    <xf numFmtId="0" fontId="2" fillId="0" borderId="6" xfId="0" applyFont="1" applyBorder="1" applyAlignment="1">
      <alignment horizontal="left" vertical="center"/>
    </xf>
    <xf numFmtId="14" fontId="2" fillId="0" borderId="1" xfId="0" applyNumberFormat="1" applyFont="1" applyBorder="1" applyAlignment="1">
      <alignment horizontal="left" vertical="center" wrapText="1"/>
    </xf>
    <xf numFmtId="14" fontId="2" fillId="0" borderId="6" xfId="0" applyNumberFormat="1" applyFont="1" applyBorder="1" applyAlignment="1">
      <alignment horizontal="left" vertical="center" wrapText="1"/>
    </xf>
    <xf numFmtId="0" fontId="3" fillId="5" borderId="25" xfId="0" applyFont="1" applyFill="1" applyBorder="1" applyAlignment="1">
      <alignment horizontal="left" vertical="center"/>
    </xf>
    <xf numFmtId="0" fontId="3" fillId="5" borderId="11" xfId="0" applyFont="1" applyFill="1" applyBorder="1" applyAlignment="1">
      <alignment horizontal="left" vertical="center"/>
    </xf>
    <xf numFmtId="0" fontId="2" fillId="0" borderId="7" xfId="0" applyFont="1" applyBorder="1" applyAlignment="1">
      <alignment horizontal="left" vertical="center" wrapText="1"/>
    </xf>
    <xf numFmtId="0" fontId="2" fillId="0" borderId="12" xfId="0" applyFont="1" applyBorder="1" applyAlignment="1">
      <alignment horizontal="left" vertical="center" wrapText="1"/>
    </xf>
    <xf numFmtId="0" fontId="2" fillId="0" borderId="26" xfId="0" applyFont="1" applyBorder="1" applyAlignment="1">
      <alignment horizontal="left" vertical="center" wrapText="1"/>
    </xf>
    <xf numFmtId="0" fontId="12" fillId="0" borderId="5" xfId="0" applyFont="1" applyBorder="1" applyAlignment="1">
      <alignment horizontal="left" vertical="center" wrapText="1"/>
    </xf>
    <xf numFmtId="0" fontId="12" fillId="0" borderId="1" xfId="0" applyFont="1" applyBorder="1" applyAlignment="1">
      <alignment horizontal="left" vertical="center" wrapText="1"/>
    </xf>
    <xf numFmtId="0" fontId="12" fillId="0" borderId="6" xfId="0" applyFont="1" applyBorder="1" applyAlignment="1">
      <alignment horizontal="left" vertical="center" wrapText="1"/>
    </xf>
    <xf numFmtId="0" fontId="12" fillId="0" borderId="28" xfId="0" applyFont="1" applyBorder="1" applyAlignment="1">
      <alignment horizontal="left" vertical="center" wrapText="1"/>
    </xf>
    <xf numFmtId="0" fontId="12" fillId="0" borderId="15" xfId="0" applyFont="1" applyBorder="1" applyAlignment="1">
      <alignment horizontal="left" vertical="center" wrapText="1"/>
    </xf>
    <xf numFmtId="0" fontId="12" fillId="0" borderId="29" xfId="0" applyFont="1" applyBorder="1" applyAlignment="1">
      <alignment horizontal="left" vertical="center" wrapText="1"/>
    </xf>
    <xf numFmtId="0" fontId="12" fillId="0" borderId="28" xfId="0" applyFont="1" applyFill="1" applyBorder="1" applyAlignment="1">
      <alignment horizontal="left" vertical="center"/>
    </xf>
    <xf numFmtId="0" fontId="12" fillId="0" borderId="15" xfId="0" applyFont="1" applyFill="1" applyBorder="1" applyAlignment="1">
      <alignment horizontal="left" vertical="center"/>
    </xf>
    <xf numFmtId="0" fontId="12" fillId="0" borderId="29" xfId="0" applyFont="1" applyFill="1" applyBorder="1" applyAlignment="1">
      <alignment horizontal="left" vertical="center"/>
    </xf>
    <xf numFmtId="0" fontId="3" fillId="3" borderId="27" xfId="0" applyFont="1" applyFill="1" applyBorder="1" applyAlignment="1">
      <alignment horizontal="center" vertical="center"/>
    </xf>
    <xf numFmtId="0" fontId="3" fillId="3" borderId="9" xfId="0" applyFont="1" applyFill="1" applyBorder="1" applyAlignment="1">
      <alignment horizontal="center" vertical="center"/>
    </xf>
    <xf numFmtId="0" fontId="3" fillId="3" borderId="39" xfId="0" applyFont="1" applyFill="1" applyBorder="1" applyAlignment="1">
      <alignment horizontal="center" vertical="center"/>
    </xf>
    <xf numFmtId="0" fontId="22" fillId="0" borderId="1" xfId="0" applyFont="1" applyBorder="1" applyAlignment="1">
      <alignment horizontal="center" vertical="center"/>
    </xf>
    <xf numFmtId="0" fontId="22" fillId="0" borderId="6" xfId="0" applyFont="1" applyBorder="1" applyAlignment="1">
      <alignment horizontal="center" vertical="center"/>
    </xf>
    <xf numFmtId="0" fontId="18" fillId="0" borderId="25" xfId="0" applyFont="1" applyFill="1" applyBorder="1" applyAlignment="1">
      <alignment horizontal="center" vertical="center"/>
    </xf>
    <xf numFmtId="0" fontId="18" fillId="0" borderId="12" xfId="0" applyFont="1" applyFill="1" applyBorder="1" applyAlignment="1">
      <alignment horizontal="center" vertical="center"/>
    </xf>
    <xf numFmtId="0" fontId="18" fillId="0" borderId="26" xfId="0" applyFont="1" applyFill="1" applyBorder="1" applyAlignment="1">
      <alignment horizontal="center" vertical="center"/>
    </xf>
    <xf numFmtId="0" fontId="22" fillId="0" borderId="25" xfId="0" applyFont="1" applyBorder="1" applyAlignment="1">
      <alignment horizontal="left" vertical="center"/>
    </xf>
    <xf numFmtId="0" fontId="22" fillId="0" borderId="11" xfId="0" applyFont="1" applyBorder="1" applyAlignment="1">
      <alignment horizontal="left" vertical="center"/>
    </xf>
    <xf numFmtId="0" fontId="22" fillId="0" borderId="5" xfId="0" applyFont="1" applyBorder="1" applyAlignment="1">
      <alignment horizontal="left" vertical="center"/>
    </xf>
    <xf numFmtId="0" fontId="22" fillId="0" borderId="1" xfId="0" applyFont="1" applyBorder="1" applyAlignment="1">
      <alignment horizontal="left" vertical="center"/>
    </xf>
    <xf numFmtId="0" fontId="21" fillId="0" borderId="0" xfId="0" applyFont="1" applyBorder="1" applyAlignment="1">
      <alignment horizontal="center" vertical="center"/>
    </xf>
    <xf numFmtId="0" fontId="21" fillId="0" borderId="5"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30" xfId="0" applyFont="1" applyBorder="1" applyAlignment="1">
      <alignment horizontal="center" vertical="center"/>
    </xf>
    <xf numFmtId="0" fontId="21" fillId="0" borderId="22" xfId="0" applyFont="1" applyBorder="1" applyAlignment="1">
      <alignment horizontal="center" vertical="center"/>
    </xf>
    <xf numFmtId="0" fontId="19" fillId="5" borderId="5" xfId="0" applyFont="1" applyFill="1" applyBorder="1" applyAlignment="1">
      <alignment horizontal="left" vertical="center" wrapText="1"/>
    </xf>
    <xf numFmtId="0" fontId="19" fillId="5" borderId="1" xfId="0" applyFont="1" applyFill="1" applyBorder="1" applyAlignment="1">
      <alignment horizontal="left" vertical="center" wrapText="1"/>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57" xfId="0" applyFont="1" applyBorder="1" applyAlignment="1">
      <alignment horizontal="center" vertical="center"/>
    </xf>
    <xf numFmtId="0" fontId="18" fillId="0" borderId="58" xfId="0" applyFont="1" applyBorder="1" applyAlignment="1">
      <alignment horizontal="center" vertical="center"/>
    </xf>
    <xf numFmtId="0" fontId="18" fillId="0" borderId="59" xfId="0" applyFont="1" applyBorder="1" applyAlignment="1">
      <alignment horizontal="center" vertical="center"/>
    </xf>
    <xf numFmtId="0" fontId="20" fillId="4" borderId="2" xfId="0" applyFont="1" applyFill="1" applyBorder="1" applyAlignment="1">
      <alignment horizontal="center" vertical="center"/>
    </xf>
    <xf numFmtId="0" fontId="20" fillId="4" borderId="3" xfId="0" applyFont="1" applyFill="1" applyBorder="1" applyAlignment="1">
      <alignment horizontal="center" vertical="center"/>
    </xf>
    <xf numFmtId="0" fontId="20" fillId="4" borderId="4" xfId="0" applyFont="1" applyFill="1" applyBorder="1" applyAlignment="1">
      <alignment horizontal="center" vertical="center"/>
    </xf>
    <xf numFmtId="0" fontId="21" fillId="0" borderId="28" xfId="0" applyFont="1" applyBorder="1" applyAlignment="1">
      <alignment horizontal="center" vertical="center"/>
    </xf>
    <xf numFmtId="0" fontId="21" fillId="0" borderId="15" xfId="0" applyFont="1" applyBorder="1" applyAlignment="1">
      <alignment horizontal="center" vertical="center"/>
    </xf>
    <xf numFmtId="0" fontId="21" fillId="0" borderId="29" xfId="0" applyFont="1" applyBorder="1" applyAlignment="1">
      <alignment horizontal="center" vertical="center"/>
    </xf>
  </cellXfs>
  <cellStyles count="11">
    <cellStyle name="Hipervínculo" xfId="1" builtinId="8"/>
    <cellStyle name="Millares 2" xfId="4" xr:uid="{00000000-0005-0000-0000-000001000000}"/>
    <cellStyle name="Millares 3" xfId="5" xr:uid="{00000000-0005-0000-0000-000002000000}"/>
    <cellStyle name="Millares 4" xfId="7" xr:uid="{00000000-0005-0000-0000-000003000000}"/>
    <cellStyle name="Moneda" xfId="2" builtinId="4"/>
    <cellStyle name="Moneda 2" xfId="8" xr:uid="{00000000-0005-0000-0000-000005000000}"/>
    <cellStyle name="Normal" xfId="0" builtinId="0"/>
    <cellStyle name="Normal 2" xfId="6" xr:uid="{00000000-0005-0000-0000-000007000000}"/>
    <cellStyle name="Normal_Hoja14" xfId="10" xr:uid="{00000000-0005-0000-0000-000008000000}"/>
    <cellStyle name="Porcentaje" xfId="3" builtinId="5"/>
    <cellStyle name="Porcentaje 2" xfId="9" xr:uid="{00000000-0005-0000-0000-00000A000000}"/>
  </cellStyles>
  <dxfs count="16">
    <dxf>
      <font>
        <b val="0"/>
        <i val="0"/>
        <strike val="0"/>
        <condense val="0"/>
        <extend val="0"/>
        <outline val="0"/>
        <shadow val="0"/>
        <u val="none"/>
        <vertAlign val="baseline"/>
        <sz val="8"/>
        <color theme="1"/>
        <name val="Times New Roman"/>
        <scheme val="none"/>
      </font>
      <fill>
        <patternFill patternType="solid">
          <fgColor indexed="64"/>
          <bgColor rgb="FFFF9999"/>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theme="1"/>
        <name val="Times New Roman"/>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Times New Roman"/>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Times New Roman"/>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Times New Roman"/>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Times New Roman"/>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Times New Roman"/>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Times New Roman"/>
        <scheme val="none"/>
      </font>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Times New Roman"/>
        <scheme val="none"/>
      </font>
      <fill>
        <patternFill patternType="solid">
          <fgColor indexed="64"/>
          <bgColor theme="5" tint="0.79998168889431442"/>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8"/>
        <color theme="1"/>
        <name val="Times New Roman"/>
        <scheme val="none"/>
      </font>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8"/>
        <color theme="1"/>
        <name val="Times New Roman"/>
        <scheme val="none"/>
      </font>
      <fill>
        <patternFill patternType="solid">
          <fgColor indexed="64"/>
          <bgColor theme="0" tint="-0.249977111117893"/>
        </patternFill>
      </fill>
      <alignment horizontal="center" vertical="center" textRotation="9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s>
  <tableStyles count="0" defaultTableStyle="TableStyleMedium2" defaultPivotStyle="PivotStyleLight16"/>
  <colors>
    <mruColors>
      <color rgb="FFFF9999"/>
      <color rgb="FFCC0000"/>
      <color rgb="FFFF7C8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sz="1800" b="1" u="sng">
                <a:solidFill>
                  <a:schemeClr val="accent1">
                    <a:lumMod val="50000"/>
                  </a:schemeClr>
                </a:solidFill>
              </a:rPr>
              <a:t>Matriz de Poder vs Interés en el Proyecto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346075">
                <a:solidFill>
                  <a:schemeClr val="accent1"/>
                </a:solidFill>
              </a:ln>
              <a:effectLst/>
            </c:spPr>
          </c:marker>
          <c:dLbls>
            <c:dLbl>
              <c:idx val="0"/>
              <c:layout>
                <c:manualLayout>
                  <c:x val="-0.11305718516427525"/>
                  <c:y val="3.7413655391761058E-2"/>
                </c:manualLayout>
              </c:layout>
              <c:tx>
                <c:rich>
                  <a:bodyPr/>
                  <a:lstStyle/>
                  <a:p>
                    <a:fld id="{84E9541C-7532-4734-A2B9-57A58555C4C4}" type="CELLRANGE">
                      <a:rPr lang="en-US" baseline="0"/>
                      <a:pPr/>
                      <a:t>[CELLRANGE]</a:t>
                    </a:fld>
                    <a:r>
                      <a:rPr lang="en-US" baseline="0"/>
                      <a:t>, </a:t>
                    </a:r>
                    <a:fld id="{9C905C3C-E4F3-4331-8024-3A4C453E8C2E}" type="XVALUE">
                      <a:rPr lang="en-US" baseline="0"/>
                      <a:pPr/>
                      <a:t>[VALOR DE X]</a:t>
                    </a:fld>
                    <a:r>
                      <a:rPr lang="en-US" baseline="0"/>
                      <a:t>, </a:t>
                    </a:r>
                    <a:fld id="{B7B70177-F87B-439C-96A5-4FDBCD7E7139}" type="YVALUE">
                      <a:rPr lang="en-US" baseline="0"/>
                      <a:pPr/>
                      <a:t>[VALOR DE Y]</a:t>
                    </a:fld>
                    <a:endParaRPr lang="en-US" baseline="0"/>
                  </a:p>
                </c:rich>
              </c:tx>
              <c:dLblPos val="r"/>
              <c:showLegendKey val="0"/>
              <c:showVal val="1"/>
              <c:showCatName val="1"/>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BD1-442E-B760-9A8118AD2D2F}"/>
                </c:ext>
              </c:extLst>
            </c:dLbl>
            <c:dLbl>
              <c:idx val="1"/>
              <c:layout>
                <c:manualLayout>
                  <c:x val="-4.1940823191436653E-2"/>
                  <c:y val="4.8478659897265353E-2"/>
                </c:manualLayout>
              </c:layout>
              <c:tx>
                <c:rich>
                  <a:bodyPr/>
                  <a:lstStyle/>
                  <a:p>
                    <a:fld id="{29678F4C-A696-47AA-83B7-5D406329BA7A}" type="CELLRANGE">
                      <a:rPr lang="en-US" baseline="0"/>
                      <a:pPr/>
                      <a:t>[CELLRANGE]</a:t>
                    </a:fld>
                    <a:r>
                      <a:rPr lang="en-US" baseline="0"/>
                      <a:t>, </a:t>
                    </a:r>
                    <a:fld id="{A17B2B73-24E6-41F3-973C-1F3F5711DE94}" type="XVALUE">
                      <a:rPr lang="en-US" baseline="0"/>
                      <a:pPr/>
                      <a:t>[VALOR DE X]</a:t>
                    </a:fld>
                    <a:r>
                      <a:rPr lang="en-US" baseline="0"/>
                      <a:t>, </a:t>
                    </a:r>
                    <a:fld id="{6B92EC34-6C38-498D-B14B-A1F148C26DE4}" type="YVALUE">
                      <a:rPr lang="en-US" baseline="0"/>
                      <a:pPr/>
                      <a:t>[VALOR DE Y]</a:t>
                    </a:fld>
                    <a:endParaRPr lang="en-US" baseline="0"/>
                  </a:p>
                </c:rich>
              </c:tx>
              <c:dLblPos val="r"/>
              <c:showLegendKey val="0"/>
              <c:showVal val="1"/>
              <c:showCatName val="1"/>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BD1-442E-B760-9A8118AD2D2F}"/>
                </c:ext>
              </c:extLst>
            </c:dLbl>
            <c:dLbl>
              <c:idx val="2"/>
              <c:layout>
                <c:manualLayout>
                  <c:x val="-0.11039449466281574"/>
                  <c:y val="-5.4598827153085526E-2"/>
                </c:manualLayout>
              </c:layout>
              <c:tx>
                <c:rich>
                  <a:bodyPr/>
                  <a:lstStyle/>
                  <a:p>
                    <a:fld id="{B921D448-5BB4-4F62-A5D6-3CD3549B55E2}" type="CELLRANGE">
                      <a:rPr lang="en-US" baseline="0"/>
                      <a:pPr/>
                      <a:t>[CELLRANGE]</a:t>
                    </a:fld>
                    <a:r>
                      <a:rPr lang="en-US" baseline="0"/>
                      <a:t>, </a:t>
                    </a:r>
                    <a:fld id="{0C5E7BA3-F3F4-46B2-9E7F-8433DFBDA6B3}" type="XVALUE">
                      <a:rPr lang="en-US" baseline="0"/>
                      <a:pPr/>
                      <a:t>[VALOR DE X]</a:t>
                    </a:fld>
                    <a:r>
                      <a:rPr lang="en-US" baseline="0"/>
                      <a:t>, </a:t>
                    </a:r>
                    <a:fld id="{3D8E1BB1-38E2-43D6-99A9-21F226B7C5F1}" type="YVALUE">
                      <a:rPr lang="en-US" baseline="0"/>
                      <a:pPr/>
                      <a:t>[VALOR DE Y]</a:t>
                    </a:fld>
                    <a:endParaRPr lang="en-US" baseline="0"/>
                  </a:p>
                </c:rich>
              </c:tx>
              <c:dLblPos val="r"/>
              <c:showLegendKey val="0"/>
              <c:showVal val="1"/>
              <c:showCatName val="1"/>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BD1-442E-B760-9A8118AD2D2F}"/>
                </c:ext>
              </c:extLst>
            </c:dLbl>
            <c:dLbl>
              <c:idx val="3"/>
              <c:layout>
                <c:manualLayout>
                  <c:x val="3.5660745076240342E-3"/>
                  <c:y val="-3.5235069268452907E-2"/>
                </c:manualLayout>
              </c:layout>
              <c:tx>
                <c:rich>
                  <a:bodyPr/>
                  <a:lstStyle/>
                  <a:p>
                    <a:fld id="{4294A9DB-9A30-4A85-8D9A-5343F681CB5A}" type="CELLRANGE">
                      <a:rPr lang="en-US" baseline="0"/>
                      <a:pPr/>
                      <a:t>[CELLRANGE]</a:t>
                    </a:fld>
                    <a:r>
                      <a:rPr lang="en-US" baseline="0"/>
                      <a:t>, </a:t>
                    </a:r>
                    <a:fld id="{6E93CB53-7FC3-4708-8EAD-2C19909821A6}" type="XVALUE">
                      <a:rPr lang="en-US" baseline="0"/>
                      <a:pPr/>
                      <a:t>[VALOR DE X]</a:t>
                    </a:fld>
                    <a:r>
                      <a:rPr lang="en-US" baseline="0"/>
                      <a:t>, </a:t>
                    </a:r>
                    <a:fld id="{A687D275-8471-424B-9D0D-5D5A1C914181}" type="YVALUE">
                      <a:rPr lang="en-US" baseline="0"/>
                      <a:pPr/>
                      <a:t>[VALOR DE Y]</a:t>
                    </a:fld>
                    <a:endParaRPr lang="en-US" baseline="0"/>
                  </a:p>
                </c:rich>
              </c:tx>
              <c:dLblPos val="r"/>
              <c:showLegendKey val="0"/>
              <c:showVal val="1"/>
              <c:showCatName val="1"/>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9BD1-442E-B760-9A8118AD2D2F}"/>
                </c:ext>
              </c:extLst>
            </c:dLbl>
            <c:dLbl>
              <c:idx val="4"/>
              <c:layout>
                <c:manualLayout>
                  <c:x val="-9.2792856818045708E-2"/>
                  <c:y val="-5.7365078279461502E-2"/>
                </c:manualLayout>
              </c:layout>
              <c:tx>
                <c:rich>
                  <a:bodyPr/>
                  <a:lstStyle/>
                  <a:p>
                    <a:fld id="{3800C458-562D-4ECE-A9AD-681068036A63}" type="CELLRANGE">
                      <a:rPr lang="en-US" baseline="0"/>
                      <a:pPr/>
                      <a:t>[CELLRANGE]</a:t>
                    </a:fld>
                    <a:r>
                      <a:rPr lang="en-US" baseline="0"/>
                      <a:t>, </a:t>
                    </a:r>
                    <a:fld id="{C0537DB7-35D4-4950-BA1B-DE700261EB58}" type="XVALUE">
                      <a:rPr lang="en-US" baseline="0"/>
                      <a:pPr/>
                      <a:t>[VALOR DE X]</a:t>
                    </a:fld>
                    <a:r>
                      <a:rPr lang="en-US" baseline="0"/>
                      <a:t>, </a:t>
                    </a:r>
                    <a:fld id="{028C219C-2628-48C8-978E-D94B13952E58}" type="YVALUE">
                      <a:rPr lang="en-US" baseline="0"/>
                      <a:pPr/>
                      <a:t>[VALOR DE Y]</a:t>
                    </a:fld>
                    <a:endParaRPr lang="en-US" baseline="0"/>
                  </a:p>
                </c:rich>
              </c:tx>
              <c:dLblPos val="r"/>
              <c:showLegendKey val="0"/>
              <c:showVal val="1"/>
              <c:showCatName val="1"/>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9BD1-442E-B760-9A8118AD2D2F}"/>
                </c:ext>
              </c:extLst>
            </c:dLbl>
            <c:dLbl>
              <c:idx val="5"/>
              <c:tx>
                <c:rich>
                  <a:bodyPr/>
                  <a:lstStyle/>
                  <a:p>
                    <a:fld id="{B04F934D-ACB1-4845-A7B9-A899BD532D25}" type="CELLRANGE">
                      <a:rPr lang="en-US"/>
                      <a:pPr/>
                      <a:t>[CELLRANGE]</a:t>
                    </a:fld>
                    <a:r>
                      <a:rPr lang="en-US" baseline="0"/>
                      <a:t>, </a:t>
                    </a:r>
                    <a:fld id="{610E6937-1FF7-47A6-9124-19D725F01726}" type="XVALUE">
                      <a:rPr lang="en-US" baseline="0"/>
                      <a:pPr/>
                      <a:t>[VALOR DE X]</a:t>
                    </a:fld>
                    <a:r>
                      <a:rPr lang="en-US" baseline="0"/>
                      <a:t>, </a:t>
                    </a:r>
                    <a:fld id="{4A3BA4E7-C3BF-4A46-AFD3-6564C8520090}" type="YVALUE">
                      <a:rPr lang="en-US" baseline="0"/>
                      <a:pPr/>
                      <a:t>[VALOR DE Y]</a:t>
                    </a:fld>
                    <a:endParaRPr lang="en-US" baseline="0"/>
                  </a:p>
                </c:rich>
              </c:tx>
              <c:dLblPos val="t"/>
              <c:showLegendKey val="0"/>
              <c:showVal val="1"/>
              <c:showCatName val="1"/>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BD1-442E-B760-9A8118AD2D2F}"/>
                </c:ext>
              </c:extLst>
            </c:dLbl>
            <c:dLbl>
              <c:idx val="6"/>
              <c:layout>
                <c:manualLayout>
                  <c:x val="-5.0773013928091575E-2"/>
                  <c:y val="-3.5235069268452907E-2"/>
                </c:manualLayout>
              </c:layout>
              <c:tx>
                <c:rich>
                  <a:bodyPr/>
                  <a:lstStyle/>
                  <a:p>
                    <a:fld id="{AC311082-3403-4EF5-843E-42E738652C07}" type="CELLRANGE">
                      <a:rPr lang="en-US" baseline="0"/>
                      <a:pPr/>
                      <a:t>[CELLRANGE]</a:t>
                    </a:fld>
                    <a:r>
                      <a:rPr lang="en-US" baseline="0"/>
                      <a:t>, </a:t>
                    </a:r>
                    <a:fld id="{A6A8F2F2-FDF8-4A0C-B9B9-ACF3470EED9F}" type="XVALUE">
                      <a:rPr lang="en-US" baseline="0"/>
                      <a:pPr/>
                      <a:t>[VALOR DE X]</a:t>
                    </a:fld>
                    <a:r>
                      <a:rPr lang="en-US" baseline="0"/>
                      <a:t>, </a:t>
                    </a:r>
                    <a:fld id="{BD719481-036F-41F5-85C6-096FAF47D055}" type="YVALUE">
                      <a:rPr lang="en-US" baseline="0"/>
                      <a:pPr/>
                      <a:t>[VALOR DE Y]</a:t>
                    </a:fld>
                    <a:endParaRPr lang="en-US" baseline="0"/>
                  </a:p>
                </c:rich>
              </c:tx>
              <c:dLblPos val="r"/>
              <c:showLegendKey val="0"/>
              <c:showVal val="1"/>
              <c:showCatName val="1"/>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9BD1-442E-B760-9A8118AD2D2F}"/>
                </c:ext>
              </c:extLst>
            </c:dLbl>
            <c:dLbl>
              <c:idx val="7"/>
              <c:layout>
                <c:manualLayout>
                  <c:x val="-0.10674554886759553"/>
                  <c:y val="-3.1016645208254159E-2"/>
                </c:manualLayout>
              </c:layout>
              <c:tx>
                <c:rich>
                  <a:bodyPr/>
                  <a:lstStyle/>
                  <a:p>
                    <a:fld id="{3525DFB3-40D1-47A3-8272-11EDA0DD7D7D}" type="CELLRANGE">
                      <a:rPr lang="en-US" baseline="0"/>
                      <a:pPr/>
                      <a:t>[CELLRANGE]</a:t>
                    </a:fld>
                    <a:r>
                      <a:rPr lang="en-US" baseline="0"/>
                      <a:t>, </a:t>
                    </a:r>
                    <a:fld id="{BC4D3EB7-E01B-421E-8DF7-05EB274FABEB}" type="XVALUE">
                      <a:rPr lang="en-US" baseline="0"/>
                      <a:pPr/>
                      <a:t>[VALOR DE X]</a:t>
                    </a:fld>
                    <a:r>
                      <a:rPr lang="en-US" baseline="0"/>
                      <a:t>, </a:t>
                    </a:r>
                    <a:fld id="{D2C760FC-7D02-4030-A8D7-4B0FEB459C60}" type="YVALUE">
                      <a:rPr lang="en-US" baseline="0"/>
                      <a:pPr/>
                      <a:t>[VALOR DE Y]</a:t>
                    </a:fld>
                    <a:endParaRPr lang="en-US" baseline="0"/>
                  </a:p>
                </c:rich>
              </c:tx>
              <c:dLblPos val="r"/>
              <c:showLegendKey val="0"/>
              <c:showVal val="1"/>
              <c:showCatName val="1"/>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9BD1-442E-B760-9A8118AD2D2F}"/>
                </c:ext>
              </c:extLst>
            </c:dLbl>
            <c:dLbl>
              <c:idx val="8"/>
              <c:layout>
                <c:manualLayout>
                  <c:x val="-0.10619725652552374"/>
                  <c:y val="-5.3872631778649475E-2"/>
                </c:manualLayout>
              </c:layout>
              <c:tx>
                <c:rich>
                  <a:bodyPr/>
                  <a:lstStyle/>
                  <a:p>
                    <a:fld id="{4F7DFE89-366B-42FB-A98A-17AB33291E07}" type="CELLRANGE">
                      <a:rPr lang="en-US" baseline="0"/>
                      <a:pPr/>
                      <a:t>[CELLRANGE]</a:t>
                    </a:fld>
                    <a:r>
                      <a:rPr lang="en-US" baseline="0"/>
                      <a:t>, </a:t>
                    </a:r>
                    <a:fld id="{5EF51AD5-7C5E-48E7-8A9E-0EE893AE91E4}" type="XVALUE">
                      <a:rPr lang="en-US" baseline="0"/>
                      <a:pPr/>
                      <a:t>[VALOR DE X]</a:t>
                    </a:fld>
                    <a:r>
                      <a:rPr lang="en-US" baseline="0"/>
                      <a:t>, </a:t>
                    </a:r>
                    <a:fld id="{C4756F98-FA91-4BDF-B704-3F672A201093}" type="YVALUE">
                      <a:rPr lang="en-US" baseline="0"/>
                      <a:pPr/>
                      <a:t>[VALOR DE Y]</a:t>
                    </a:fld>
                    <a:endParaRPr lang="en-US" baseline="0"/>
                  </a:p>
                </c:rich>
              </c:tx>
              <c:dLblPos val="r"/>
              <c:showLegendKey val="0"/>
              <c:showVal val="1"/>
              <c:showCatName val="1"/>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9BD1-442E-B760-9A8118AD2D2F}"/>
                </c:ext>
              </c:extLst>
            </c:dLbl>
            <c:dLbl>
              <c:idx val="9"/>
              <c:layout>
                <c:manualLayout>
                  <c:x val="-1.3053159632465134E-3"/>
                  <c:y val="3.1881153139008911E-2"/>
                </c:manualLayout>
              </c:layout>
              <c:tx>
                <c:rich>
                  <a:bodyPr/>
                  <a:lstStyle/>
                  <a:p>
                    <a:fld id="{108CE9A7-64D6-4F74-8B6E-43960F574B37}" type="CELLRANGE">
                      <a:rPr lang="en-US" baseline="0"/>
                      <a:pPr/>
                      <a:t>[CELLRANGE]</a:t>
                    </a:fld>
                    <a:r>
                      <a:rPr lang="en-US" baseline="0"/>
                      <a:t>, </a:t>
                    </a:r>
                    <a:fld id="{45A899A7-678E-494A-962E-A3E0DA83B8A1}" type="XVALUE">
                      <a:rPr lang="en-US" baseline="0"/>
                      <a:pPr/>
                      <a:t>[VALOR DE X]</a:t>
                    </a:fld>
                    <a:r>
                      <a:rPr lang="en-US" baseline="0"/>
                      <a:t>, </a:t>
                    </a:r>
                    <a:fld id="{D22459DE-0DEB-4226-8865-79E53B74884B}" type="YVALUE">
                      <a:rPr lang="en-US" baseline="0"/>
                      <a:pPr/>
                      <a:t>[VALOR DE Y]</a:t>
                    </a:fld>
                    <a:endParaRPr lang="en-US" baseline="0"/>
                  </a:p>
                </c:rich>
              </c:tx>
              <c:dLblPos val="r"/>
              <c:showLegendKey val="0"/>
              <c:showVal val="1"/>
              <c:showCatName val="1"/>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9BD1-442E-B760-9A8118AD2D2F}"/>
                </c:ext>
              </c:extLst>
            </c:dLbl>
            <c:dLbl>
              <c:idx val="10"/>
              <c:layout>
                <c:manualLayout>
                  <c:x val="-0.13042996407088614"/>
                  <c:y val="-4.0767571521205061E-2"/>
                </c:manualLayout>
              </c:layout>
              <c:tx>
                <c:rich>
                  <a:bodyPr/>
                  <a:lstStyle/>
                  <a:p>
                    <a:fld id="{704D207A-73B6-48F9-BBC2-F53635C763F8}" type="CELLRANGE">
                      <a:rPr lang="en-US" baseline="0"/>
                      <a:pPr/>
                      <a:t>[CELLRANGE]</a:t>
                    </a:fld>
                    <a:r>
                      <a:rPr lang="en-US" baseline="0"/>
                      <a:t>, </a:t>
                    </a:r>
                    <a:fld id="{380744BA-8022-489E-B664-390E18C9EB4A}" type="XVALUE">
                      <a:rPr lang="en-US" baseline="0"/>
                      <a:pPr/>
                      <a:t>[VALOR DE X]</a:t>
                    </a:fld>
                    <a:r>
                      <a:rPr lang="en-US" baseline="0"/>
                      <a:t>, </a:t>
                    </a:r>
                    <a:fld id="{4AE9AF5C-5C56-4682-B0BB-CC116BFD68BD}" type="YVALUE">
                      <a:rPr lang="en-US" baseline="0"/>
                      <a:pPr/>
                      <a:t>[VALOR DE Y]</a:t>
                    </a:fld>
                    <a:endParaRPr lang="en-US" baseline="0"/>
                  </a:p>
                </c:rich>
              </c:tx>
              <c:dLblPos val="r"/>
              <c:showLegendKey val="0"/>
              <c:showVal val="1"/>
              <c:showCatName val="1"/>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9BD1-442E-B760-9A8118AD2D2F}"/>
                </c:ext>
              </c:extLst>
            </c:dLbl>
            <c:dLbl>
              <c:idx val="11"/>
              <c:layout>
                <c:manualLayout>
                  <c:x val="-1.4552297497734425E-2"/>
                  <c:y val="2.2856204385444539E-2"/>
                </c:manualLayout>
              </c:layout>
              <c:tx>
                <c:rich>
                  <a:bodyPr/>
                  <a:lstStyle/>
                  <a:p>
                    <a:fld id="{79EA48D8-66AD-45F0-84EE-F4CCFA5B3BDA}" type="CELLRANGE">
                      <a:rPr lang="en-US" baseline="0"/>
                      <a:pPr/>
                      <a:t>[CELLRANGE]</a:t>
                    </a:fld>
                    <a:r>
                      <a:rPr lang="en-US" baseline="0"/>
                      <a:t>, </a:t>
                    </a:r>
                    <a:fld id="{B2655167-052A-41D4-BF7D-1964F10ABA67}" type="XVALUE">
                      <a:rPr lang="en-US" baseline="0"/>
                      <a:pPr/>
                      <a:t>[VALOR DE X]</a:t>
                    </a:fld>
                    <a:r>
                      <a:rPr lang="en-US" baseline="0"/>
                      <a:t>, </a:t>
                    </a:r>
                    <a:fld id="{ECC0D54F-D80B-47C0-AD4B-86E0F4A51F4B}" type="YVALUE">
                      <a:rPr lang="en-US" baseline="0"/>
                      <a:pPr/>
                      <a:t>[VALOR DE Y]</a:t>
                    </a:fld>
                    <a:endParaRPr lang="en-US" baseline="0"/>
                  </a:p>
                </c:rich>
              </c:tx>
              <c:dLblPos val="r"/>
              <c:showLegendKey val="0"/>
              <c:showVal val="1"/>
              <c:showCatName val="1"/>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9BD1-442E-B760-9A8118AD2D2F}"/>
                </c:ext>
              </c:extLst>
            </c:dLbl>
            <c:dLbl>
              <c:idx val="12"/>
              <c:tx>
                <c:rich>
                  <a:bodyPr/>
                  <a:lstStyle/>
                  <a:p>
                    <a:fld id="{D4485BC7-7546-48C0-8946-143B239A6A2D}" type="CELLRANGE">
                      <a:rPr lang="en-US"/>
                      <a:pPr/>
                      <a:t>[CELLRANGE]</a:t>
                    </a:fld>
                    <a:r>
                      <a:rPr lang="en-US" baseline="0"/>
                      <a:t>, </a:t>
                    </a:r>
                    <a:fld id="{67D926EB-521D-44B0-8B95-4F30D5DBE338}" type="XVALUE">
                      <a:rPr lang="en-US" baseline="0"/>
                      <a:pPr/>
                      <a:t>[VALOR DE X]</a:t>
                    </a:fld>
                    <a:r>
                      <a:rPr lang="en-US" baseline="0"/>
                      <a:t>, </a:t>
                    </a:r>
                    <a:fld id="{27E536BD-9510-484B-B330-427C6E4AA048}" type="YVALUE">
                      <a:rPr lang="en-US" baseline="0"/>
                      <a:pPr/>
                      <a:t>[VALOR DE Y]</a:t>
                    </a:fld>
                    <a:endParaRPr lang="en-US" baseline="0"/>
                  </a:p>
                </c:rich>
              </c:tx>
              <c:dLblPos val="t"/>
              <c:showLegendKey val="0"/>
              <c:showVal val="1"/>
              <c:showCatName val="1"/>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BD1-442E-B760-9A8118AD2D2F}"/>
                </c:ext>
              </c:extLst>
            </c:dLbl>
            <c:spPr>
              <a:noFill/>
              <a:ln>
                <a:noFill/>
              </a:ln>
              <a:effectLst/>
            </c:spPr>
            <c:txPr>
              <a:bodyPr rot="0" spcFirstLastPara="1" vertOverflow="ellipsis" vert="horz" wrap="square" lIns="38100" tIns="19050" rIns="38100" bIns="19050" anchor="ctr" anchorCtr="1">
                <a:spAutoFit/>
              </a:bodyPr>
              <a:lstStyle/>
              <a:p>
                <a:pPr>
                  <a:defRPr sz="940" b="1" i="0" u="none" strike="noStrike" kern="1200" baseline="0">
                    <a:solidFill>
                      <a:schemeClr val="tx1">
                        <a:lumMod val="75000"/>
                        <a:lumOff val="25000"/>
                      </a:schemeClr>
                    </a:solidFill>
                    <a:latin typeface="+mn-lt"/>
                    <a:ea typeface="+mn-ea"/>
                    <a:cs typeface="+mn-cs"/>
                  </a:defRPr>
                </a:pPr>
                <a:endParaRPr lang="es-EC"/>
              </a:p>
            </c:txPr>
            <c:dLblPos val="t"/>
            <c:showLegendKey val="0"/>
            <c:showVal val="1"/>
            <c:showCatName val="1"/>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'Matriz Influencia Previsibilida'!$D$3:$D$15</c:f>
              <c:numCache>
                <c:formatCode>General</c:formatCode>
                <c:ptCount val="13"/>
                <c:pt idx="0">
                  <c:v>8</c:v>
                </c:pt>
                <c:pt idx="1">
                  <c:v>8</c:v>
                </c:pt>
                <c:pt idx="2">
                  <c:v>2</c:v>
                </c:pt>
                <c:pt idx="3">
                  <c:v>9</c:v>
                </c:pt>
                <c:pt idx="4">
                  <c:v>6</c:v>
                </c:pt>
                <c:pt idx="5">
                  <c:v>8</c:v>
                </c:pt>
                <c:pt idx="6">
                  <c:v>10</c:v>
                </c:pt>
                <c:pt idx="7">
                  <c:v>4</c:v>
                </c:pt>
                <c:pt idx="8">
                  <c:v>1</c:v>
                </c:pt>
                <c:pt idx="9">
                  <c:v>9</c:v>
                </c:pt>
                <c:pt idx="10">
                  <c:v>7</c:v>
                </c:pt>
                <c:pt idx="11">
                  <c:v>2</c:v>
                </c:pt>
                <c:pt idx="12">
                  <c:v>5</c:v>
                </c:pt>
              </c:numCache>
            </c:numRef>
          </c:xVal>
          <c:yVal>
            <c:numRef>
              <c:f>'Matriz Influencia Previsibilida'!$C$3:$C$15</c:f>
              <c:numCache>
                <c:formatCode>General</c:formatCode>
                <c:ptCount val="13"/>
                <c:pt idx="0">
                  <c:v>4</c:v>
                </c:pt>
                <c:pt idx="1">
                  <c:v>8</c:v>
                </c:pt>
                <c:pt idx="2">
                  <c:v>3</c:v>
                </c:pt>
                <c:pt idx="3">
                  <c:v>5</c:v>
                </c:pt>
                <c:pt idx="4">
                  <c:v>5</c:v>
                </c:pt>
                <c:pt idx="5">
                  <c:v>2</c:v>
                </c:pt>
                <c:pt idx="6">
                  <c:v>10</c:v>
                </c:pt>
                <c:pt idx="7">
                  <c:v>4</c:v>
                </c:pt>
                <c:pt idx="8">
                  <c:v>1</c:v>
                </c:pt>
                <c:pt idx="9">
                  <c:v>9</c:v>
                </c:pt>
                <c:pt idx="10">
                  <c:v>8</c:v>
                </c:pt>
                <c:pt idx="11">
                  <c:v>1</c:v>
                </c:pt>
                <c:pt idx="12">
                  <c:v>2</c:v>
                </c:pt>
              </c:numCache>
            </c:numRef>
          </c:yVal>
          <c:smooth val="0"/>
          <c:extLst>
            <c:ext xmlns:c15="http://schemas.microsoft.com/office/drawing/2012/chart" uri="{02D57815-91ED-43cb-92C2-25804820EDAC}">
              <c15:datalabelsRange>
                <c15:f>'Matriz Influencia Previsibilida'!$B$3:$B$15</c15:f>
                <c15:dlblRangeCache>
                  <c:ptCount val="13"/>
                  <c:pt idx="0">
                    <c:v>Ingeniería de Costos</c:v>
                  </c:pt>
                  <c:pt idx="1">
                    <c:v>Gerente Horus Constructores</c:v>
                  </c:pt>
                  <c:pt idx="2">
                    <c:v>Residente de Obra</c:v>
                  </c:pt>
                  <c:pt idx="3">
                    <c:v>Ingeniero Estructural</c:v>
                  </c:pt>
                  <c:pt idx="4">
                    <c:v>Diseñador Arquitectónico</c:v>
                  </c:pt>
                  <c:pt idx="5">
                    <c:v>Ingeniero Geotécnico</c:v>
                  </c:pt>
                  <c:pt idx="6">
                    <c:v>Fiscalizador de Obra</c:v>
                  </c:pt>
                  <c:pt idx="7">
                    <c:v>Seguridad Industrial y Salud Ocupacional</c:v>
                  </c:pt>
                  <c:pt idx="8">
                    <c:v>Laboratorio de Hormigones </c:v>
                  </c:pt>
                  <c:pt idx="9">
                    <c:v>Administrador de contrato</c:v>
                  </c:pt>
                  <c:pt idx="10">
                    <c:v>Procurador Comun</c:v>
                  </c:pt>
                  <c:pt idx="11">
                    <c:v>Maestro Mayor</c:v>
                  </c:pt>
                  <c:pt idx="12">
                    <c:v>Subcontratistas</c:v>
                  </c:pt>
                </c15:dlblRangeCache>
              </c15:datalabelsRange>
            </c:ext>
            <c:ext xmlns:c16="http://schemas.microsoft.com/office/drawing/2014/chart" uri="{C3380CC4-5D6E-409C-BE32-E72D297353CC}">
              <c16:uniqueId val="{00000000-9BD1-442E-B760-9A8118AD2D2F}"/>
            </c:ext>
          </c:extLst>
        </c:ser>
        <c:dLbls>
          <c:dLblPos val="t"/>
          <c:showLegendKey val="0"/>
          <c:showVal val="1"/>
          <c:showCatName val="0"/>
          <c:showSerName val="0"/>
          <c:showPercent val="0"/>
          <c:showBubbleSize val="0"/>
        </c:dLbls>
        <c:axId val="2027993951"/>
        <c:axId val="2027986463"/>
      </c:scatterChart>
      <c:valAx>
        <c:axId val="2027993951"/>
        <c:scaling>
          <c:orientation val="minMax"/>
          <c:max val="11"/>
        </c:scaling>
        <c:delete val="0"/>
        <c:axPos val="b"/>
        <c:majorGridlines>
          <c:spPr>
            <a:ln w="9525" cap="flat" cmpd="sng" algn="ctr">
              <a:noFill/>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sz="1600" b="1" u="sng">
                    <a:solidFill>
                      <a:schemeClr val="accent1">
                        <a:lumMod val="50000"/>
                      </a:schemeClr>
                    </a:solidFill>
                  </a:rPr>
                  <a:t>Interés en</a:t>
                </a:r>
                <a:r>
                  <a:rPr lang="es-EC" sz="1600" b="1" u="sng" baseline="0">
                    <a:solidFill>
                      <a:schemeClr val="accent1">
                        <a:lumMod val="50000"/>
                      </a:schemeClr>
                    </a:solidFill>
                  </a:rPr>
                  <a:t> el Proyecto</a:t>
                </a:r>
                <a:endParaRPr lang="es-EC" sz="1600" b="1" u="sng">
                  <a:solidFill>
                    <a:schemeClr val="accent1">
                      <a:lumMod val="50000"/>
                    </a:schemeClr>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C"/>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2027986463"/>
        <c:crosses val="autoZero"/>
        <c:crossBetween val="midCat"/>
        <c:majorUnit val="1"/>
      </c:valAx>
      <c:valAx>
        <c:axId val="2027986463"/>
        <c:scaling>
          <c:orientation val="minMax"/>
          <c:max val="1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sz="1600" b="1" u="sng">
                    <a:solidFill>
                      <a:schemeClr val="accent1">
                        <a:lumMod val="50000"/>
                      </a:schemeClr>
                    </a:solidFill>
                  </a:rPr>
                  <a:t>Poder en el Proyecto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C"/>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2027993951"/>
        <c:crosses val="autoZero"/>
        <c:crossBetween val="midCat"/>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a:t>COSTOS INDIRECTOS OFICINA ADMINISTRATIVA</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EC"/>
        </a:p>
      </c:txPr>
    </c:title>
    <c:autoTitleDeleted val="0"/>
    <c:plotArea>
      <c:layout/>
      <c:pieChart>
        <c:varyColors val="1"/>
        <c:ser>
          <c:idx val="0"/>
          <c:order val="0"/>
          <c:tx>
            <c:strRef>
              <c:f>'Indirectos Administra'!$D$3:$Z$3</c:f>
              <c:strCache>
                <c:ptCount val="1"/>
                <c:pt idx="0">
                  <c:v>Costos indirectos Oficina Administrativa</c:v>
                </c:pt>
              </c:strCache>
            </c:strRef>
          </c:tx>
          <c:dPt>
            <c:idx val="0"/>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1-207F-4898-B3B6-D5CC544FE6EF}"/>
              </c:ext>
            </c:extLst>
          </c:dPt>
          <c:dPt>
            <c:idx val="1"/>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3-9D4D-492A-842D-61B537892659}"/>
              </c:ext>
            </c:extLst>
          </c:dPt>
          <c:dPt>
            <c:idx val="2"/>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5-9D4D-492A-842D-61B537892659}"/>
              </c:ext>
            </c:extLst>
          </c:dPt>
          <c:dLbls>
            <c:dLbl>
              <c:idx val="0"/>
              <c:layout>
                <c:manualLayout>
                  <c:x val="6.3840402345338873E-2"/>
                  <c:y val="-5.189620758483033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07F-4898-B3B6-D5CC544FE6EF}"/>
                </c:ext>
              </c:extLst>
            </c:dLbl>
            <c:spPr>
              <a:solidFill>
                <a:sysClr val="window" lastClr="FFFFFF">
                  <a:alpha val="75000"/>
                </a:sysClr>
              </a:solidFill>
              <a:ln w="9525">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('Indirectos Administra'!$D$15,'Indirectos Administra'!$D$26,'Indirectos Administra'!$D$48)</c:f>
              <c:strCache>
                <c:ptCount val="3"/>
                <c:pt idx="0">
                  <c:v>A 1.- AREA ADMINISTRATIVA</c:v>
                </c:pt>
                <c:pt idx="1">
                  <c:v>B - OPERACION</c:v>
                </c:pt>
                <c:pt idx="2">
                  <c:v>C - VARIOS</c:v>
                </c:pt>
              </c:strCache>
            </c:strRef>
          </c:cat>
          <c:val>
            <c:numRef>
              <c:f>('Indirectos Administra'!$Z$13,'Indirectos Administra'!$Z$26,'Indirectos Administra'!$Z$48)</c:f>
              <c:numCache>
                <c:formatCode>0.0%</c:formatCode>
                <c:ptCount val="3"/>
                <c:pt idx="0">
                  <c:v>0.83442208866823453</c:v>
                </c:pt>
                <c:pt idx="1">
                  <c:v>0.12446650988589844</c:v>
                </c:pt>
                <c:pt idx="2">
                  <c:v>4.1111401445867085E-2</c:v>
                </c:pt>
              </c:numCache>
            </c:numRef>
          </c:val>
          <c:extLst>
            <c:ext xmlns:c16="http://schemas.microsoft.com/office/drawing/2014/chart" uri="{C3380CC4-5D6E-409C-BE32-E72D297353CC}">
              <c16:uniqueId val="{00000000-207F-4898-B3B6-D5CC544FE6EF}"/>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65881004202788496"/>
          <c:y val="0.44352252349164656"/>
          <c:w val="0.28970673890140236"/>
          <c:h val="0.17408244454378297"/>
        </c:manualLayout>
      </c:layout>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C"/>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s-EC"/>
        </a:p>
      </c:txPr>
    </c:title>
    <c:autoTitleDeleted val="0"/>
    <c:plotArea>
      <c:layout/>
      <c:pieChart>
        <c:varyColors val="1"/>
        <c:ser>
          <c:idx val="0"/>
          <c:order val="0"/>
          <c:tx>
            <c:strRef>
              <c:f>'Indirectos Obras'!$D$3</c:f>
              <c:strCache>
                <c:ptCount val="1"/>
                <c:pt idx="0">
                  <c:v>COSTOS INDIRECTOS OBRAS</c:v>
                </c:pt>
              </c:strCache>
            </c:strRef>
          </c:tx>
          <c:dPt>
            <c:idx val="0"/>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2CAE-45CF-9F6D-BB4A794E5D80}"/>
              </c:ext>
            </c:extLst>
          </c:dPt>
          <c:dPt>
            <c:idx val="1"/>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2CAE-45CF-9F6D-BB4A794E5D80}"/>
              </c:ext>
            </c:extLst>
          </c:dPt>
          <c:dPt>
            <c:idx val="2"/>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2CAE-45CF-9F6D-BB4A794E5D80}"/>
              </c:ext>
            </c:extLst>
          </c:dPt>
          <c:dLbls>
            <c:spPr>
              <a:solidFill>
                <a:sysClr val="window" lastClr="FFFFFF">
                  <a:alpha val="75000"/>
                </a:sysClr>
              </a:solidFill>
              <a:ln w="9525">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('Indirectos Obras'!$D$26,'Indirectos Obras'!$D$47,'Indirectos Obras'!$D$75)</c:f>
              <c:strCache>
                <c:ptCount val="3"/>
                <c:pt idx="0">
                  <c:v>Área Técnica</c:v>
                </c:pt>
                <c:pt idx="1">
                  <c:v>Localización</c:v>
                </c:pt>
                <c:pt idx="2">
                  <c:v>Varios</c:v>
                </c:pt>
              </c:strCache>
            </c:strRef>
          </c:cat>
          <c:val>
            <c:numRef>
              <c:f>('Indirectos Obras'!$X$24,'Indirectos Obras'!$X$45,'Indirectos Obras'!$X$75)</c:f>
              <c:numCache>
                <c:formatCode>0.00%</c:formatCode>
                <c:ptCount val="3"/>
                <c:pt idx="0">
                  <c:v>0.16455731196928527</c:v>
                </c:pt>
                <c:pt idx="1">
                  <c:v>3.2759094512404018E-2</c:v>
                </c:pt>
                <c:pt idx="2">
                  <c:v>0.80268359351831065</c:v>
                </c:pt>
              </c:numCache>
            </c:numRef>
          </c:val>
          <c:extLst>
            <c:ext xmlns:c16="http://schemas.microsoft.com/office/drawing/2014/chart" uri="{C3380CC4-5D6E-409C-BE32-E72D297353CC}">
              <c16:uniqueId val="{00000000-72A0-42B3-AE1F-F37A62FDEB92}"/>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860586176727907"/>
          <c:y val="0.31562408865558478"/>
          <c:w val="0.17400481189851269"/>
          <c:h val="0.23437664041994752"/>
        </c:manualLayout>
      </c:layout>
      <c:overlay val="0"/>
      <c:spPr>
        <a:solidFill>
          <a:schemeClr val="lt1">
            <a:alpha val="78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C"/>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Flujo Costos Indirectos</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EC"/>
        </a:p>
      </c:txPr>
    </c:title>
    <c:autoTitleDeleted val="0"/>
    <c:plotArea>
      <c:layout>
        <c:manualLayout>
          <c:layoutTarget val="inner"/>
          <c:xMode val="edge"/>
          <c:yMode val="edge"/>
          <c:x val="0.12355314960629921"/>
          <c:y val="0.14876736152661768"/>
          <c:w val="0.74022703412073487"/>
          <c:h val="0.64255957367031258"/>
        </c:manualLayout>
      </c:layout>
      <c:barChart>
        <c:barDir val="col"/>
        <c:grouping val="clustered"/>
        <c:varyColors val="0"/>
        <c:ser>
          <c:idx val="0"/>
          <c:order val="0"/>
          <c:tx>
            <c:strRef>
              <c:f>'Indirectos Obras'!$J$179</c:f>
              <c:strCache>
                <c:ptCount val="1"/>
                <c:pt idx="0">
                  <c:v>Indirectos Parcial</c:v>
                </c:pt>
              </c:strCache>
            </c:strRef>
          </c:tx>
          <c:spPr>
            <a:solidFill>
              <a:schemeClr val="accent6"/>
            </a:solidFill>
            <a:ln>
              <a:noFill/>
            </a:ln>
            <a:effectLst/>
          </c:spPr>
          <c:invertIfNegative val="0"/>
          <c:cat>
            <c:strRef>
              <c:f>'Indirectos Obras'!$K$173:$X$173</c:f>
              <c:strCache>
                <c:ptCount val="14"/>
                <c:pt idx="0">
                  <c:v>Mes 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pt idx="13">
                  <c:v>Mes 13</c:v>
                </c:pt>
              </c:strCache>
            </c:strRef>
          </c:cat>
          <c:val>
            <c:numRef>
              <c:f>'Indirectos Obras'!$K$179:$X$179</c:f>
              <c:numCache>
                <c:formatCode>_ "$"* #,##0_ ;_ "$"* \-#,##0_ ;_ "$"* "-"??_ ;_ @_ </c:formatCode>
                <c:ptCount val="14"/>
                <c:pt idx="0">
                  <c:v>48739.040000000001</c:v>
                </c:pt>
                <c:pt idx="1">
                  <c:v>18081.233333333337</c:v>
                </c:pt>
                <c:pt idx="2">
                  <c:v>36905.877589020834</c:v>
                </c:pt>
                <c:pt idx="3">
                  <c:v>36905.877589020834</c:v>
                </c:pt>
                <c:pt idx="4">
                  <c:v>24565.144255687501</c:v>
                </c:pt>
                <c:pt idx="5">
                  <c:v>24565.144255687501</c:v>
                </c:pt>
                <c:pt idx="6">
                  <c:v>24565.144255687501</c:v>
                </c:pt>
                <c:pt idx="7">
                  <c:v>24565.144255687501</c:v>
                </c:pt>
                <c:pt idx="8">
                  <c:v>24565.144255687501</c:v>
                </c:pt>
                <c:pt idx="9">
                  <c:v>24565.144255687501</c:v>
                </c:pt>
                <c:pt idx="10">
                  <c:v>24565.144255687501</c:v>
                </c:pt>
                <c:pt idx="11">
                  <c:v>24565.144255687501</c:v>
                </c:pt>
                <c:pt idx="12">
                  <c:v>24565.144255687501</c:v>
                </c:pt>
                <c:pt idx="13">
                  <c:v>24565.144255687501</c:v>
                </c:pt>
              </c:numCache>
            </c:numRef>
          </c:val>
          <c:extLst>
            <c:ext xmlns:c16="http://schemas.microsoft.com/office/drawing/2014/chart" uri="{C3380CC4-5D6E-409C-BE32-E72D297353CC}">
              <c16:uniqueId val="{00000004-DF7E-48EC-97F4-FD114A546A8B}"/>
            </c:ext>
          </c:extLst>
        </c:ser>
        <c:dLbls>
          <c:showLegendKey val="0"/>
          <c:showVal val="0"/>
          <c:showCatName val="0"/>
          <c:showSerName val="0"/>
          <c:showPercent val="0"/>
          <c:showBubbleSize val="0"/>
        </c:dLbls>
        <c:gapWidth val="247"/>
        <c:axId val="788438319"/>
        <c:axId val="788441647"/>
      </c:barChart>
      <c:lineChart>
        <c:grouping val="standard"/>
        <c:varyColors val="0"/>
        <c:ser>
          <c:idx val="1"/>
          <c:order val="1"/>
          <c:tx>
            <c:strRef>
              <c:f>'Indirectos Obras'!$J$180</c:f>
              <c:strCache>
                <c:ptCount val="1"/>
                <c:pt idx="0">
                  <c:v>Acumulado</c:v>
                </c:pt>
              </c:strCache>
            </c:strRef>
          </c:tx>
          <c:spPr>
            <a:ln w="22225" cap="rnd">
              <a:solidFill>
                <a:schemeClr val="accent5"/>
              </a:solidFill>
              <a:round/>
            </a:ln>
            <a:effectLst/>
          </c:spPr>
          <c:marker>
            <c:symbol val="none"/>
          </c:marker>
          <c:val>
            <c:numRef>
              <c:f>'Indirectos Obras'!$K$180:$X$180</c:f>
              <c:numCache>
                <c:formatCode>_ "$"* #,##0_ ;_ "$"* \-#,##0_ ;_ "$"* "-"??_ ;_ @_ </c:formatCode>
                <c:ptCount val="14"/>
                <c:pt idx="0">
                  <c:v>48739.040000000001</c:v>
                </c:pt>
                <c:pt idx="1">
                  <c:v>66820.273333333345</c:v>
                </c:pt>
                <c:pt idx="2">
                  <c:v>103726.15092235418</c:v>
                </c:pt>
                <c:pt idx="3">
                  <c:v>140632.02851137501</c:v>
                </c:pt>
                <c:pt idx="4">
                  <c:v>165197.17276706253</c:v>
                </c:pt>
                <c:pt idx="5">
                  <c:v>189762.31702275004</c:v>
                </c:pt>
                <c:pt idx="6">
                  <c:v>214327.46127843755</c:v>
                </c:pt>
                <c:pt idx="7">
                  <c:v>238892.60553412506</c:v>
                </c:pt>
                <c:pt idx="8">
                  <c:v>263457.74978981254</c:v>
                </c:pt>
                <c:pt idx="9">
                  <c:v>288022.89404550003</c:v>
                </c:pt>
                <c:pt idx="10">
                  <c:v>312588.03830118751</c:v>
                </c:pt>
                <c:pt idx="11">
                  <c:v>337153.18255687499</c:v>
                </c:pt>
                <c:pt idx="12">
                  <c:v>361718.32681256247</c:v>
                </c:pt>
                <c:pt idx="13">
                  <c:v>386283.47106824996</c:v>
                </c:pt>
              </c:numCache>
            </c:numRef>
          </c:val>
          <c:smooth val="0"/>
          <c:extLst>
            <c:ext xmlns:c16="http://schemas.microsoft.com/office/drawing/2014/chart" uri="{C3380CC4-5D6E-409C-BE32-E72D297353CC}">
              <c16:uniqueId val="{00000005-DF7E-48EC-97F4-FD114A546A8B}"/>
            </c:ext>
          </c:extLst>
        </c:ser>
        <c:dLbls>
          <c:showLegendKey val="0"/>
          <c:showVal val="0"/>
          <c:showCatName val="0"/>
          <c:showSerName val="0"/>
          <c:showPercent val="0"/>
          <c:showBubbleSize val="0"/>
        </c:dLbls>
        <c:marker val="1"/>
        <c:smooth val="0"/>
        <c:axId val="997062015"/>
        <c:axId val="997062847"/>
      </c:lineChart>
      <c:catAx>
        <c:axId val="78843831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900" b="0" i="0" u="none" strike="noStrike" kern="1200" cap="none" spc="0" normalizeH="0" baseline="0">
                <a:ln>
                  <a:noFill/>
                </a:ln>
                <a:solidFill>
                  <a:schemeClr val="dk1">
                    <a:lumMod val="65000"/>
                    <a:lumOff val="35000"/>
                  </a:schemeClr>
                </a:solidFill>
                <a:latin typeface="+mn-lt"/>
                <a:ea typeface="+mn-ea"/>
                <a:cs typeface="+mn-cs"/>
              </a:defRPr>
            </a:pPr>
            <a:endParaRPr lang="es-EC"/>
          </a:p>
        </c:txPr>
        <c:crossAx val="788441647"/>
        <c:crosses val="autoZero"/>
        <c:auto val="1"/>
        <c:lblAlgn val="ctr"/>
        <c:lblOffset val="100"/>
        <c:noMultiLvlLbl val="0"/>
      </c:catAx>
      <c:valAx>
        <c:axId val="788441647"/>
        <c:scaling>
          <c:orientation val="minMax"/>
        </c:scaling>
        <c:delete val="0"/>
        <c:axPos val="l"/>
        <c:majorGridlines>
          <c:spPr>
            <a:ln w="9525" cap="flat" cmpd="sng" algn="ctr">
              <a:solidFill>
                <a:schemeClr val="dk1">
                  <a:lumMod val="15000"/>
                  <a:lumOff val="85000"/>
                </a:schemeClr>
              </a:solidFill>
              <a:round/>
            </a:ln>
            <a:effectLst/>
          </c:spPr>
        </c:majorGridlines>
        <c:numFmt formatCode="_ &quot;$&quot;* #,##0_ ;_ &quot;$&quot;* \-#,##0_ ;_ &quot;$&quot;*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C"/>
          </a:p>
        </c:txPr>
        <c:crossAx val="788438319"/>
        <c:crosses val="autoZero"/>
        <c:crossBetween val="between"/>
      </c:valAx>
      <c:valAx>
        <c:axId val="997062847"/>
        <c:scaling>
          <c:orientation val="minMax"/>
        </c:scaling>
        <c:delete val="0"/>
        <c:axPos val="r"/>
        <c:numFmt formatCode="_ &quot;$&quot;* #,##0_ ;_ &quot;$&quot;* \-#,##0_ ;_ &quot;$&quot;*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C"/>
          </a:p>
        </c:txPr>
        <c:crossAx val="997062015"/>
        <c:crosses val="max"/>
        <c:crossBetween val="between"/>
      </c:valAx>
      <c:catAx>
        <c:axId val="997062015"/>
        <c:scaling>
          <c:orientation val="minMax"/>
        </c:scaling>
        <c:delete val="1"/>
        <c:axPos val="b"/>
        <c:majorTickMark val="out"/>
        <c:minorTickMark val="none"/>
        <c:tickLblPos val="nextTo"/>
        <c:crossAx val="997062847"/>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C"/>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EC"/>
        </a:p>
      </c:txPr>
    </c:title>
    <c:autoTitleDeleted val="0"/>
    <c:plotArea>
      <c:layout/>
      <c:pieChart>
        <c:varyColors val="1"/>
        <c:ser>
          <c:idx val="0"/>
          <c:order val="0"/>
          <c:tx>
            <c:strRef>
              <c:f>'Indirectos Estudios'!$C$11:$K$11</c:f>
              <c:strCache>
                <c:ptCount val="1"/>
                <c:pt idx="0">
                  <c:v>Presupuesto de Estudios</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55C5-4E4A-A6CA-0DA009908B4A}"/>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55C5-4E4A-A6CA-0DA009908B4A}"/>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55C5-4E4A-A6CA-0DA009908B4A}"/>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55C5-4E4A-A6CA-0DA009908B4A}"/>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55C5-4E4A-A6CA-0DA009908B4A}"/>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B-55C5-4E4A-A6CA-0DA009908B4A}"/>
              </c:ext>
            </c:extLst>
          </c:dPt>
          <c:dPt>
            <c:idx val="6"/>
            <c:bubble3D val="0"/>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extLst>
              <c:ext xmlns:c16="http://schemas.microsoft.com/office/drawing/2014/chart" uri="{C3380CC4-5D6E-409C-BE32-E72D297353CC}">
                <c16:uniqueId val="{0000000D-55C5-4E4A-A6CA-0DA009908B4A}"/>
              </c:ext>
            </c:extLst>
          </c:dPt>
          <c:dPt>
            <c:idx val="7"/>
            <c:bubble3D val="0"/>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extLst>
              <c:ext xmlns:c16="http://schemas.microsoft.com/office/drawing/2014/chart" uri="{C3380CC4-5D6E-409C-BE32-E72D297353CC}">
                <c16:uniqueId val="{0000000F-55C5-4E4A-A6CA-0DA009908B4A}"/>
              </c:ext>
            </c:extLst>
          </c:dPt>
          <c:dPt>
            <c:idx val="8"/>
            <c:bubble3D val="0"/>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extLst>
              <c:ext xmlns:c16="http://schemas.microsoft.com/office/drawing/2014/chart" uri="{C3380CC4-5D6E-409C-BE32-E72D297353CC}">
                <c16:uniqueId val="{00000005-070D-4D74-A813-1E0A9A5BBF53}"/>
              </c:ext>
            </c:extLst>
          </c:dPt>
          <c:dPt>
            <c:idx val="9"/>
            <c:bubble3D val="0"/>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extLst>
              <c:ext xmlns:c16="http://schemas.microsoft.com/office/drawing/2014/chart" uri="{C3380CC4-5D6E-409C-BE32-E72D297353CC}">
                <c16:uniqueId val="{00000004-070D-4D74-A813-1E0A9A5BBF53}"/>
              </c:ext>
            </c:extLst>
          </c:dPt>
          <c:dPt>
            <c:idx val="10"/>
            <c:bubble3D val="0"/>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extLst>
              <c:ext xmlns:c16="http://schemas.microsoft.com/office/drawing/2014/chart" uri="{C3380CC4-5D6E-409C-BE32-E72D297353CC}">
                <c16:uniqueId val="{00000003-070D-4D74-A813-1E0A9A5BBF53}"/>
              </c:ext>
            </c:extLst>
          </c:dPt>
          <c:dPt>
            <c:idx val="11"/>
            <c:bubble3D val="0"/>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extLst>
              <c:ext xmlns:c16="http://schemas.microsoft.com/office/drawing/2014/chart" uri="{C3380CC4-5D6E-409C-BE32-E72D297353CC}">
                <c16:uniqueId val="{00000017-55C5-4E4A-A6CA-0DA009908B4A}"/>
              </c:ext>
            </c:extLst>
          </c:dPt>
          <c:dLbls>
            <c:spPr>
              <a:solidFill>
                <a:sysClr val="window" lastClr="FFFFFF">
                  <a:alpha val="75000"/>
                </a:sysClr>
              </a:solidFill>
              <a:ln w="9525">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dLblPos val="outEnd"/>
            <c:showLegendKey val="0"/>
            <c:showVal val="0"/>
            <c:showCatName val="0"/>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'Indirectos Estudios'!$C$15:$H$26</c:f>
              <c:strCache>
                <c:ptCount val="24"/>
                <c:pt idx="0">
                  <c:v>Desarrollo de construcción digital 3d</c:v>
                </c:pt>
                <c:pt idx="1">
                  <c:v>Desarrollo de ingeniería estructural</c:v>
                </c:pt>
                <c:pt idx="2">
                  <c:v>Desarrollo de ingeniería eléctrica datos tv internet porteros etc.</c:v>
                </c:pt>
                <c:pt idx="3">
                  <c:v>Desarrollo de ingeniería hidráulica ap./incendios</c:v>
                </c:pt>
                <c:pt idx="4">
                  <c:v>Desarrollo de ingeniería sanitaria/pluvial</c:v>
                </c:pt>
                <c:pt idx="5">
                  <c:v>Desarrollo de ingeniería eléctrica datos tv internet porteros etc.</c:v>
                </c:pt>
                <c:pt idx="6">
                  <c:v>Desarrollo de ingeniería domótica</c:v>
                </c:pt>
                <c:pt idx="7">
                  <c:v>Determinación de volúmenes de construcción</c:v>
                </c:pt>
                <c:pt idx="8">
                  <c:v>Análisis de precios unitarios y presupuesto</c:v>
                </c:pt>
                <c:pt idx="9">
                  <c:v>Cronogramas de inversiones</c:v>
                </c:pt>
                <c:pt idx="10">
                  <c:v>Estudio factibilidad legal</c:v>
                </c:pt>
                <c:pt idx="11">
                  <c:v>Estudio factibilidad financiera</c:v>
                </c:pt>
                <c:pt idx="12">
                  <c:v> $ 5,827.63 </c:v>
                </c:pt>
                <c:pt idx="13">
                  <c:v> $ 4,662.10 </c:v>
                </c:pt>
                <c:pt idx="14">
                  <c:v> $ 3,030.37 </c:v>
                </c:pt>
                <c:pt idx="15">
                  <c:v> $ 3,030.37 </c:v>
                </c:pt>
                <c:pt idx="16">
                  <c:v> $ 3,030.37 </c:v>
                </c:pt>
                <c:pt idx="17">
                  <c:v> $ 3,030.37 </c:v>
                </c:pt>
                <c:pt idx="18">
                  <c:v> $ 3,030.37 </c:v>
                </c:pt>
                <c:pt idx="19">
                  <c:v> $ 1,250.00 </c:v>
                </c:pt>
                <c:pt idx="20">
                  <c:v> $ 750.00 </c:v>
                </c:pt>
                <c:pt idx="21">
                  <c:v> $ 750.00 </c:v>
                </c:pt>
                <c:pt idx="22">
                  <c:v> $ 4,500.00 </c:v>
                </c:pt>
                <c:pt idx="23">
                  <c:v> $ 5,500.00 </c:v>
                </c:pt>
              </c:strCache>
            </c:strRef>
          </c:cat>
          <c:val>
            <c:numRef>
              <c:f>'Indirectos Estudios'!$K$15:$K$26</c:f>
              <c:numCache>
                <c:formatCode>0.0</c:formatCode>
                <c:ptCount val="12"/>
                <c:pt idx="0">
                  <c:v>13.553077714087754</c:v>
                </c:pt>
                <c:pt idx="1">
                  <c:v>10.842462171270205</c:v>
                </c:pt>
                <c:pt idx="2">
                  <c:v>7.0476004113256323</c:v>
                </c:pt>
                <c:pt idx="3">
                  <c:v>7.0476004113256323</c:v>
                </c:pt>
                <c:pt idx="4">
                  <c:v>7.0476004113256323</c:v>
                </c:pt>
                <c:pt idx="5">
                  <c:v>7.0476004113256323</c:v>
                </c:pt>
                <c:pt idx="6">
                  <c:v>7.0476004113256323</c:v>
                </c:pt>
                <c:pt idx="7">
                  <c:v>2.9070757199733497</c:v>
                </c:pt>
                <c:pt idx="8">
                  <c:v>1.7442454319840099</c:v>
                </c:pt>
                <c:pt idx="9">
                  <c:v>1.7442454319840099</c:v>
                </c:pt>
                <c:pt idx="10">
                  <c:v>10.46547259190406</c:v>
                </c:pt>
                <c:pt idx="11">
                  <c:v>12.791133167882739</c:v>
                </c:pt>
              </c:numCache>
            </c:numRef>
          </c:val>
          <c:extLst>
            <c:ext xmlns:c16="http://schemas.microsoft.com/office/drawing/2014/chart" uri="{C3380CC4-5D6E-409C-BE32-E72D297353CC}">
              <c16:uniqueId val="{00000001-070D-4D74-A813-1E0A9A5BBF53}"/>
            </c:ext>
          </c:extLst>
        </c:ser>
        <c:ser>
          <c:idx val="1"/>
          <c:order val="1"/>
          <c:tx>
            <c:strRef>
              <c:f>'Indirectos Estudios'!$C$30</c:f>
              <c:strCache>
                <c:ptCount val="1"/>
                <c:pt idx="0">
                  <c:v>Total Estudios</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19-55C5-4E4A-A6CA-0DA009908B4A}"/>
              </c:ext>
            </c:extLst>
          </c:dPt>
          <c:dLbls>
            <c:spPr>
              <a:solidFill>
                <a:sysClr val="window" lastClr="FFFFFF">
                  <a:alpha val="75000"/>
                </a:sysClr>
              </a:solidFill>
              <a:ln w="9525">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dLblPos val="ct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val>
            <c:numRef>
              <c:f>'Indirectos Estudios'!$H$30</c:f>
              <c:numCache>
                <c:formatCode>_("$"\ * #,##0.00_);_("$"\ * \(#,##0.00\);_("$"\ * "-"??_);_(@_)</c:formatCode>
                <c:ptCount val="1"/>
                <c:pt idx="0">
                  <c:v>42998.536</c:v>
                </c:pt>
              </c:numCache>
            </c:numRef>
          </c:val>
          <c:extLst>
            <c:ext xmlns:c16="http://schemas.microsoft.com/office/drawing/2014/chart" uri="{C3380CC4-5D6E-409C-BE32-E72D297353CC}">
              <c16:uniqueId val="{00000002-070D-4D74-A813-1E0A9A5BBF53}"/>
            </c:ext>
          </c:extLst>
        </c:ser>
        <c:dLbls>
          <c:dLblPos val="ctr"/>
          <c:showLegendKey val="0"/>
          <c:showVal val="1"/>
          <c:showCatName val="0"/>
          <c:showSerName val="0"/>
          <c:showPercent val="0"/>
          <c:showBubbleSize val="0"/>
          <c:showLeaderLines val="0"/>
        </c:dLbls>
        <c:firstSliceAng val="0"/>
      </c:pieChart>
      <c:spPr>
        <a:noFill/>
        <a:ln>
          <a:noFill/>
        </a:ln>
        <a:effectLst/>
      </c:spPr>
    </c:plotArea>
    <c:legend>
      <c:legendPos val="r"/>
      <c:layout>
        <c:manualLayout>
          <c:xMode val="edge"/>
          <c:yMode val="edge"/>
          <c:x val="0.63664790494058787"/>
          <c:y val="9.4054524933296108E-2"/>
          <c:w val="0.34083802376485306"/>
          <c:h val="0.87758100684552709"/>
        </c:manualLayout>
      </c:layout>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C"/>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EC"/>
        </a:p>
      </c:txPr>
    </c:title>
    <c:autoTitleDeleted val="0"/>
    <c:plotArea>
      <c:layout/>
      <c:pieChart>
        <c:varyColors val="1"/>
        <c:ser>
          <c:idx val="0"/>
          <c:order val="0"/>
          <c:tx>
            <c:strRef>
              <c:f>'resumen indirectos'!$B$3:$E$3</c:f>
              <c:strCache>
                <c:ptCount val="1"/>
                <c:pt idx="0">
                  <c:v>Resumen Total de costos Indirectos</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F6A0-4DBC-B2A3-F527F0678803}"/>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F6A0-4DBC-B2A3-F527F0678803}"/>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F6A0-4DBC-B2A3-F527F0678803}"/>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7DB3-4C2E-92EB-B605EEAE7FBD}"/>
              </c:ext>
            </c:extLst>
          </c:dPt>
          <c:dLbls>
            <c:spPr>
              <a:solidFill>
                <a:sysClr val="window" lastClr="FFFFFF">
                  <a:alpha val="75000"/>
                </a:sysClr>
              </a:solidFill>
              <a:ln w="9525">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dLblPos val="in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'resumen indirectos'!$A$5:$A$8</c:f>
              <c:strCache>
                <c:ptCount val="4"/>
                <c:pt idx="0">
                  <c:v>consultorias</c:v>
                </c:pt>
                <c:pt idx="1">
                  <c:v>Administrativo</c:v>
                </c:pt>
                <c:pt idx="2">
                  <c:v>Obras</c:v>
                </c:pt>
                <c:pt idx="3">
                  <c:v>Estudios</c:v>
                </c:pt>
              </c:strCache>
            </c:strRef>
          </c:cat>
          <c:val>
            <c:numRef>
              <c:f>'resumen indirectos'!$E$5:$E$8</c:f>
              <c:numCache>
                <c:formatCode>0.0%</c:formatCode>
                <c:ptCount val="4"/>
                <c:pt idx="0">
                  <c:v>9.5245604928843916E-2</c:v>
                </c:pt>
                <c:pt idx="1">
                  <c:v>0.20218341749449678</c:v>
                </c:pt>
                <c:pt idx="2">
                  <c:v>0.59439732714210514</c:v>
                </c:pt>
                <c:pt idx="3">
                  <c:v>0.10817365043455422</c:v>
                </c:pt>
              </c:numCache>
            </c:numRef>
          </c:val>
          <c:extLst>
            <c:ext xmlns:c16="http://schemas.microsoft.com/office/drawing/2014/chart" uri="{C3380CC4-5D6E-409C-BE32-E72D297353CC}">
              <c16:uniqueId val="{00000004-8D73-47AA-B5C8-FBC07B89D59A}"/>
            </c:ext>
          </c:extLst>
        </c:ser>
        <c:dLbls>
          <c:dLblPos val="inEnd"/>
          <c:showLegendKey val="0"/>
          <c:showVal val="0"/>
          <c:showCatName val="0"/>
          <c:showSerName val="0"/>
          <c:showPercent val="0"/>
          <c:showBubbleSize val="0"/>
          <c:showLeaderLines val="0"/>
        </c:dLbls>
        <c:firstSliceAng val="0"/>
      </c:pie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C"/>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EC"/>
              <a:t>Flujo Costos Directos</a:t>
            </a:r>
          </a:p>
        </c:rich>
      </c:tx>
      <c:layout>
        <c:manualLayout>
          <c:xMode val="edge"/>
          <c:yMode val="edge"/>
          <c:x val="0.33368562257036516"/>
          <c:y val="4.2569349972250911E-2"/>
        </c:manualLayout>
      </c:layout>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EC"/>
        </a:p>
      </c:txPr>
    </c:title>
    <c:autoTitleDeleted val="0"/>
    <c:plotArea>
      <c:layout>
        <c:manualLayout>
          <c:layoutTarget val="inner"/>
          <c:xMode val="edge"/>
          <c:yMode val="edge"/>
          <c:x val="0.16778937007874015"/>
          <c:y val="0.15222445204531601"/>
          <c:w val="0.63421259842519684"/>
          <c:h val="0.65287592111885084"/>
        </c:manualLayout>
      </c:layout>
      <c:barChart>
        <c:barDir val="col"/>
        <c:grouping val="clustered"/>
        <c:varyColors val="0"/>
        <c:ser>
          <c:idx val="0"/>
          <c:order val="0"/>
          <c:tx>
            <c:v>Costos Directos Parciales</c:v>
          </c:tx>
          <c:spPr>
            <a:solidFill>
              <a:schemeClr val="accent1"/>
            </a:solidFill>
            <a:ln>
              <a:noFill/>
            </a:ln>
            <a:effectLst/>
          </c:spPr>
          <c:invertIfNegative val="0"/>
          <c:dLbls>
            <c:delete val="1"/>
          </c:dLbls>
          <c:cat>
            <c:strRef>
              <c:f>'Cronograma Valorado'!$G$3:$V$3</c:f>
              <c:strCache>
                <c:ptCount val="16"/>
                <c:pt idx="0">
                  <c:v>Mes  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pt idx="13">
                  <c:v>Mes  13</c:v>
                </c:pt>
                <c:pt idx="14">
                  <c:v>Mes  14</c:v>
                </c:pt>
                <c:pt idx="15">
                  <c:v>Mes  15</c:v>
                </c:pt>
              </c:strCache>
            </c:strRef>
          </c:cat>
          <c:val>
            <c:numRef>
              <c:f>'Cronograma Valorado'!$G$906:$V$906</c:f>
              <c:numCache>
                <c:formatCode>"$"#,##0.00</c:formatCode>
                <c:ptCount val="16"/>
                <c:pt idx="0" formatCode="_(&quot;$&quot;* #,##0.00_);_(&quot;$&quot;* \(#,##0.00\);_(&quot;$&quot;* &quot;-&quot;??_);_(@_)">
                  <c:v>0</c:v>
                </c:pt>
                <c:pt idx="1">
                  <c:v>28746.145000000004</c:v>
                </c:pt>
                <c:pt idx="2">
                  <c:v>73609.095000000001</c:v>
                </c:pt>
                <c:pt idx="3">
                  <c:v>165712.14211199997</c:v>
                </c:pt>
                <c:pt idx="4">
                  <c:v>136155.29976200001</c:v>
                </c:pt>
                <c:pt idx="5">
                  <c:v>159768.9049109999</c:v>
                </c:pt>
                <c:pt idx="6">
                  <c:v>177075.42953099989</c:v>
                </c:pt>
                <c:pt idx="7">
                  <c:v>205194.30708999981</c:v>
                </c:pt>
                <c:pt idx="8">
                  <c:v>219905.37196399987</c:v>
                </c:pt>
                <c:pt idx="9">
                  <c:v>211134.92262699993</c:v>
                </c:pt>
                <c:pt idx="10">
                  <c:v>126499.104439</c:v>
                </c:pt>
                <c:pt idx="11">
                  <c:v>112238.03112800003</c:v>
                </c:pt>
                <c:pt idx="12">
                  <c:v>94949.332143000051</c:v>
                </c:pt>
                <c:pt idx="13">
                  <c:v>90761.851172999988</c:v>
                </c:pt>
                <c:pt idx="14">
                  <c:v>45837.005935000001</c:v>
                </c:pt>
                <c:pt idx="15">
                  <c:v>38811.087184999997</c:v>
                </c:pt>
              </c:numCache>
            </c:numRef>
          </c:val>
          <c:extLst>
            <c:ext xmlns:c16="http://schemas.microsoft.com/office/drawing/2014/chart" uri="{C3380CC4-5D6E-409C-BE32-E72D297353CC}">
              <c16:uniqueId val="{00000000-3FB0-4905-BD58-309B22058288}"/>
            </c:ext>
          </c:extLst>
        </c:ser>
        <c:dLbls>
          <c:showLegendKey val="0"/>
          <c:showVal val="1"/>
          <c:showCatName val="0"/>
          <c:showSerName val="0"/>
          <c:showPercent val="0"/>
          <c:showBubbleSize val="0"/>
        </c:dLbls>
        <c:gapWidth val="247"/>
        <c:axId val="1466629103"/>
        <c:axId val="1544242639"/>
      </c:barChart>
      <c:lineChart>
        <c:grouping val="standard"/>
        <c:varyColors val="0"/>
        <c:ser>
          <c:idx val="1"/>
          <c:order val="1"/>
          <c:tx>
            <c:v>Costos Directos Acumulados</c:v>
          </c:tx>
          <c:spPr>
            <a:ln w="22225" cap="rnd">
              <a:solidFill>
                <a:schemeClr val="accent2"/>
              </a:solidFill>
              <a:round/>
            </a:ln>
            <a:effectLst/>
          </c:spPr>
          <c:marker>
            <c:symbol val="none"/>
          </c:marker>
          <c:dLbls>
            <c:delete val="1"/>
          </c:dLbls>
          <c:cat>
            <c:strRef>
              <c:f>'Cronograma Valorado'!$G$3:$V$3</c:f>
              <c:strCache>
                <c:ptCount val="16"/>
                <c:pt idx="0">
                  <c:v>Mes  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pt idx="13">
                  <c:v>Mes  13</c:v>
                </c:pt>
                <c:pt idx="14">
                  <c:v>Mes  14</c:v>
                </c:pt>
                <c:pt idx="15">
                  <c:v>Mes  15</c:v>
                </c:pt>
              </c:strCache>
            </c:strRef>
          </c:cat>
          <c:val>
            <c:numRef>
              <c:f>'Cronograma Valorado'!$G$908:$V$908</c:f>
              <c:numCache>
                <c:formatCode>_("$"* #,##0.00_);_("$"* \(#,##0.00\);_("$"* "-"??_);_(@_)</c:formatCode>
                <c:ptCount val="16"/>
                <c:pt idx="0">
                  <c:v>0</c:v>
                </c:pt>
                <c:pt idx="1">
                  <c:v>28746.145000000004</c:v>
                </c:pt>
                <c:pt idx="2">
                  <c:v>102355.24</c:v>
                </c:pt>
                <c:pt idx="3">
                  <c:v>268067.38211199996</c:v>
                </c:pt>
                <c:pt idx="4">
                  <c:v>404222.681874</c:v>
                </c:pt>
                <c:pt idx="5">
                  <c:v>563991.58678499993</c:v>
                </c:pt>
                <c:pt idx="6">
                  <c:v>741067.01631599979</c:v>
                </c:pt>
                <c:pt idx="7">
                  <c:v>946261.32340599957</c:v>
                </c:pt>
                <c:pt idx="8">
                  <c:v>1166166.6953699994</c:v>
                </c:pt>
                <c:pt idx="9">
                  <c:v>1377301.6179969993</c:v>
                </c:pt>
                <c:pt idx="10">
                  <c:v>1503800.7224359992</c:v>
                </c:pt>
                <c:pt idx="11">
                  <c:v>1616038.7535639992</c:v>
                </c:pt>
                <c:pt idx="12">
                  <c:v>1710988.0857069993</c:v>
                </c:pt>
                <c:pt idx="13">
                  <c:v>1801749.9368799992</c:v>
                </c:pt>
                <c:pt idx="14">
                  <c:v>1847586.942815</c:v>
                </c:pt>
                <c:pt idx="15">
                  <c:v>1886398.03</c:v>
                </c:pt>
              </c:numCache>
            </c:numRef>
          </c:val>
          <c:smooth val="0"/>
          <c:extLst>
            <c:ext xmlns:c16="http://schemas.microsoft.com/office/drawing/2014/chart" uri="{C3380CC4-5D6E-409C-BE32-E72D297353CC}">
              <c16:uniqueId val="{00000001-3FB0-4905-BD58-309B22058288}"/>
            </c:ext>
          </c:extLst>
        </c:ser>
        <c:dLbls>
          <c:showLegendKey val="0"/>
          <c:showVal val="1"/>
          <c:showCatName val="0"/>
          <c:showSerName val="0"/>
          <c:showPercent val="0"/>
          <c:showBubbleSize val="0"/>
        </c:dLbls>
        <c:marker val="1"/>
        <c:smooth val="0"/>
        <c:axId val="1575752911"/>
        <c:axId val="1585053103"/>
      </c:lineChart>
      <c:catAx>
        <c:axId val="1466629103"/>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s-EC"/>
          </a:p>
        </c:txPr>
        <c:crossAx val="1544242639"/>
        <c:crosses val="autoZero"/>
        <c:auto val="1"/>
        <c:lblAlgn val="ctr"/>
        <c:lblOffset val="100"/>
        <c:noMultiLvlLbl val="0"/>
      </c:catAx>
      <c:valAx>
        <c:axId val="1544242639"/>
        <c:scaling>
          <c:orientation val="minMax"/>
        </c:scaling>
        <c:delete val="0"/>
        <c:axPos val="l"/>
        <c:majorGridlines>
          <c:spPr>
            <a:ln w="9525" cap="flat" cmpd="sng" algn="ctr">
              <a:solidFill>
                <a:schemeClr val="dk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C"/>
          </a:p>
        </c:txPr>
        <c:crossAx val="1466629103"/>
        <c:crosses val="autoZero"/>
        <c:crossBetween val="between"/>
      </c:valAx>
      <c:valAx>
        <c:axId val="1585053103"/>
        <c:scaling>
          <c:orientation val="minMax"/>
        </c:scaling>
        <c:delete val="0"/>
        <c:axPos val="r"/>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C"/>
          </a:p>
        </c:txPr>
        <c:crossAx val="1575752911"/>
        <c:crosses val="max"/>
        <c:crossBetween val="between"/>
      </c:valAx>
      <c:catAx>
        <c:axId val="1575752911"/>
        <c:scaling>
          <c:orientation val="minMax"/>
        </c:scaling>
        <c:delete val="1"/>
        <c:axPos val="b"/>
        <c:numFmt formatCode="General" sourceLinked="1"/>
        <c:majorTickMark val="out"/>
        <c:minorTickMark val="none"/>
        <c:tickLblPos val="nextTo"/>
        <c:crossAx val="1585053103"/>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C"/>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EC"/>
              <a:t>Flujo de Egresos Proyecto Sierra del Bosque</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EC"/>
        </a:p>
      </c:txPr>
    </c:title>
    <c:autoTitleDeleted val="0"/>
    <c:plotArea>
      <c:layout/>
      <c:barChart>
        <c:barDir val="col"/>
        <c:grouping val="clustered"/>
        <c:varyColors val="0"/>
        <c:ser>
          <c:idx val="0"/>
          <c:order val="0"/>
          <c:tx>
            <c:strRef>
              <c:f>'Cronograma Valorado'!$F$919</c:f>
              <c:strCache>
                <c:ptCount val="1"/>
                <c:pt idx="0">
                  <c:v>Parcial</c:v>
                </c:pt>
              </c:strCache>
            </c:strRef>
          </c:tx>
          <c:spPr>
            <a:solidFill>
              <a:schemeClr val="accent1"/>
            </a:solidFill>
            <a:ln>
              <a:noFill/>
            </a:ln>
            <a:effectLst/>
          </c:spPr>
          <c:invertIfNegative val="0"/>
          <c:cat>
            <c:strRef>
              <c:f>'Cronograma Valorado'!$G$912:$V$912</c:f>
              <c:strCache>
                <c:ptCount val="16"/>
                <c:pt idx="0">
                  <c:v>Mes 0 </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pt idx="13">
                  <c:v>Mes 13</c:v>
                </c:pt>
                <c:pt idx="14">
                  <c:v>Mes 14</c:v>
                </c:pt>
                <c:pt idx="15">
                  <c:v>Mes 15</c:v>
                </c:pt>
              </c:strCache>
            </c:strRef>
          </c:cat>
          <c:val>
            <c:numRef>
              <c:f>'Cronograma Valorado'!$G$919:$V$919</c:f>
              <c:numCache>
                <c:formatCode>"$"#,##0.00</c:formatCode>
                <c:ptCount val="16"/>
                <c:pt idx="0">
                  <c:v>1548739.04</c:v>
                </c:pt>
                <c:pt idx="1">
                  <c:v>46827.378333333341</c:v>
                </c:pt>
                <c:pt idx="2">
                  <c:v>110514.97258902084</c:v>
                </c:pt>
                <c:pt idx="3">
                  <c:v>202618.01970102079</c:v>
                </c:pt>
                <c:pt idx="4">
                  <c:v>160720.44401768752</c:v>
                </c:pt>
                <c:pt idx="5">
                  <c:v>184334.04916668741</c:v>
                </c:pt>
                <c:pt idx="6">
                  <c:v>201640.5737866874</c:v>
                </c:pt>
                <c:pt idx="7">
                  <c:v>229759.45134568732</c:v>
                </c:pt>
                <c:pt idx="8">
                  <c:v>244470.51621968739</c:v>
                </c:pt>
                <c:pt idx="9">
                  <c:v>235700.06688268745</c:v>
                </c:pt>
                <c:pt idx="10">
                  <c:v>151064.2486946875</c:v>
                </c:pt>
                <c:pt idx="11">
                  <c:v>136803.17538368754</c:v>
                </c:pt>
                <c:pt idx="12">
                  <c:v>119514.47639868755</c:v>
                </c:pt>
                <c:pt idx="13">
                  <c:v>115326.99542868749</c:v>
                </c:pt>
                <c:pt idx="14">
                  <c:v>45837.005935000001</c:v>
                </c:pt>
                <c:pt idx="15">
                  <c:v>38811.087184999997</c:v>
                </c:pt>
              </c:numCache>
            </c:numRef>
          </c:val>
          <c:extLst>
            <c:ext xmlns:c16="http://schemas.microsoft.com/office/drawing/2014/chart" uri="{C3380CC4-5D6E-409C-BE32-E72D297353CC}">
              <c16:uniqueId val="{00000008-921C-492E-B83B-1FB0BC853518}"/>
            </c:ext>
          </c:extLst>
        </c:ser>
        <c:dLbls>
          <c:showLegendKey val="0"/>
          <c:showVal val="0"/>
          <c:showCatName val="0"/>
          <c:showSerName val="0"/>
          <c:showPercent val="0"/>
          <c:showBubbleSize val="0"/>
        </c:dLbls>
        <c:gapWidth val="247"/>
        <c:axId val="1061348544"/>
        <c:axId val="1008884272"/>
      </c:barChart>
      <c:lineChart>
        <c:grouping val="standard"/>
        <c:varyColors val="0"/>
        <c:ser>
          <c:idx val="1"/>
          <c:order val="1"/>
          <c:tx>
            <c:strRef>
              <c:f>'Cronograma Valorado'!$F$920</c:f>
              <c:strCache>
                <c:ptCount val="1"/>
                <c:pt idx="0">
                  <c:v>Acumulado</c:v>
                </c:pt>
              </c:strCache>
            </c:strRef>
          </c:tx>
          <c:spPr>
            <a:ln w="22225" cap="rnd">
              <a:solidFill>
                <a:schemeClr val="accent2"/>
              </a:solidFill>
              <a:round/>
            </a:ln>
            <a:effectLst/>
          </c:spPr>
          <c:marker>
            <c:symbol val="none"/>
          </c:marker>
          <c:cat>
            <c:strRef>
              <c:f>'Cronograma Valorado'!$G$912:$V$912</c:f>
              <c:strCache>
                <c:ptCount val="16"/>
                <c:pt idx="0">
                  <c:v>Mes 0 </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pt idx="13">
                  <c:v>Mes 13</c:v>
                </c:pt>
                <c:pt idx="14">
                  <c:v>Mes 14</c:v>
                </c:pt>
                <c:pt idx="15">
                  <c:v>Mes 15</c:v>
                </c:pt>
              </c:strCache>
            </c:strRef>
          </c:cat>
          <c:val>
            <c:numRef>
              <c:f>'Cronograma Valorado'!$G$920:$V$920</c:f>
              <c:numCache>
                <c:formatCode>"$"#,##0.00</c:formatCode>
                <c:ptCount val="16"/>
                <c:pt idx="0">
                  <c:v>1548739.04</c:v>
                </c:pt>
                <c:pt idx="1">
                  <c:v>1595566.4183333335</c:v>
                </c:pt>
                <c:pt idx="2">
                  <c:v>1706081.3909223543</c:v>
                </c:pt>
                <c:pt idx="3">
                  <c:v>1908699.4106233751</c:v>
                </c:pt>
                <c:pt idx="4">
                  <c:v>2069419.8546410627</c:v>
                </c:pt>
                <c:pt idx="5">
                  <c:v>2253753.90380775</c:v>
                </c:pt>
                <c:pt idx="6">
                  <c:v>2455394.4775944375</c:v>
                </c:pt>
                <c:pt idx="7">
                  <c:v>2685153.9289401248</c:v>
                </c:pt>
                <c:pt idx="8">
                  <c:v>2929624.445159812</c:v>
                </c:pt>
                <c:pt idx="9">
                  <c:v>3165324.5120424996</c:v>
                </c:pt>
                <c:pt idx="10">
                  <c:v>3316388.7607371872</c:v>
                </c:pt>
                <c:pt idx="11">
                  <c:v>3453191.9361208747</c:v>
                </c:pt>
                <c:pt idx="12">
                  <c:v>3572706.4125195621</c:v>
                </c:pt>
                <c:pt idx="13">
                  <c:v>3688033.4079482495</c:v>
                </c:pt>
                <c:pt idx="14">
                  <c:v>3733870.4138832493</c:v>
                </c:pt>
                <c:pt idx="15">
                  <c:v>3772681.5010682493</c:v>
                </c:pt>
              </c:numCache>
            </c:numRef>
          </c:val>
          <c:smooth val="0"/>
          <c:extLst>
            <c:ext xmlns:c16="http://schemas.microsoft.com/office/drawing/2014/chart" uri="{C3380CC4-5D6E-409C-BE32-E72D297353CC}">
              <c16:uniqueId val="{00000009-921C-492E-B83B-1FB0BC853518}"/>
            </c:ext>
          </c:extLst>
        </c:ser>
        <c:dLbls>
          <c:showLegendKey val="0"/>
          <c:showVal val="0"/>
          <c:showCatName val="0"/>
          <c:showSerName val="0"/>
          <c:showPercent val="0"/>
          <c:showBubbleSize val="0"/>
        </c:dLbls>
        <c:marker val="1"/>
        <c:smooth val="0"/>
        <c:axId val="1061355744"/>
        <c:axId val="1008898416"/>
      </c:lineChart>
      <c:valAx>
        <c:axId val="1008884272"/>
        <c:scaling>
          <c:orientation val="minMax"/>
        </c:scaling>
        <c:delete val="0"/>
        <c:axPos val="l"/>
        <c:majorGridlines>
          <c:spPr>
            <a:ln w="9525" cap="flat" cmpd="sng" algn="ctr">
              <a:solidFill>
                <a:schemeClr val="dk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C"/>
          </a:p>
        </c:txPr>
        <c:crossAx val="1061348544"/>
        <c:crosses val="autoZero"/>
        <c:crossBetween val="between"/>
      </c:valAx>
      <c:catAx>
        <c:axId val="106134854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s-EC"/>
          </a:p>
        </c:txPr>
        <c:crossAx val="1008884272"/>
        <c:crosses val="autoZero"/>
        <c:auto val="1"/>
        <c:lblAlgn val="ctr"/>
        <c:lblOffset val="100"/>
        <c:noMultiLvlLbl val="0"/>
      </c:catAx>
      <c:valAx>
        <c:axId val="1008898416"/>
        <c:scaling>
          <c:orientation val="minMax"/>
        </c:scaling>
        <c:delete val="0"/>
        <c:axPos val="r"/>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C"/>
          </a:p>
        </c:txPr>
        <c:crossAx val="1061355744"/>
        <c:crosses val="max"/>
        <c:crossBetween val="between"/>
      </c:valAx>
      <c:catAx>
        <c:axId val="1061355744"/>
        <c:scaling>
          <c:orientation val="minMax"/>
        </c:scaling>
        <c:delete val="1"/>
        <c:axPos val="b"/>
        <c:numFmt formatCode="General" sourceLinked="1"/>
        <c:majorTickMark val="out"/>
        <c:minorTickMark val="none"/>
        <c:tickLblPos val="nextTo"/>
        <c:crossAx val="1008898416"/>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C"/>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EC"/>
              <a:t>Representación</a:t>
            </a:r>
            <a:r>
              <a:rPr lang="es-EC" baseline="0"/>
              <a:t> Gráfica de los Riesgos</a:t>
            </a:r>
            <a:endParaRPr lang="es-EC"/>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EC"/>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'Riesgo Cualitativo'!$B$3:$B$60</c:f>
              <c:strCache>
                <c:ptCount val="58"/>
                <c:pt idx="0">
                  <c:v>R1</c:v>
                </c:pt>
                <c:pt idx="1">
                  <c:v>R2</c:v>
                </c:pt>
                <c:pt idx="2">
                  <c:v>R3</c:v>
                </c:pt>
                <c:pt idx="3">
                  <c:v>R4</c:v>
                </c:pt>
                <c:pt idx="4">
                  <c:v>R5</c:v>
                </c:pt>
                <c:pt idx="5">
                  <c:v>R6</c:v>
                </c:pt>
                <c:pt idx="6">
                  <c:v>R7</c:v>
                </c:pt>
                <c:pt idx="7">
                  <c:v>R8</c:v>
                </c:pt>
                <c:pt idx="8">
                  <c:v>R9</c:v>
                </c:pt>
                <c:pt idx="9">
                  <c:v>R10</c:v>
                </c:pt>
                <c:pt idx="10">
                  <c:v>R11</c:v>
                </c:pt>
                <c:pt idx="11">
                  <c:v>R12</c:v>
                </c:pt>
                <c:pt idx="12">
                  <c:v>R13</c:v>
                </c:pt>
                <c:pt idx="13">
                  <c:v>R14</c:v>
                </c:pt>
                <c:pt idx="14">
                  <c:v>R15</c:v>
                </c:pt>
                <c:pt idx="15">
                  <c:v>R16</c:v>
                </c:pt>
                <c:pt idx="16">
                  <c:v>R17</c:v>
                </c:pt>
                <c:pt idx="17">
                  <c:v>R18</c:v>
                </c:pt>
                <c:pt idx="18">
                  <c:v>R19</c:v>
                </c:pt>
                <c:pt idx="19">
                  <c:v>R20</c:v>
                </c:pt>
                <c:pt idx="20">
                  <c:v>R21</c:v>
                </c:pt>
                <c:pt idx="21">
                  <c:v>R22</c:v>
                </c:pt>
                <c:pt idx="22">
                  <c:v>R23</c:v>
                </c:pt>
                <c:pt idx="23">
                  <c:v>R24</c:v>
                </c:pt>
                <c:pt idx="24">
                  <c:v>R25</c:v>
                </c:pt>
                <c:pt idx="25">
                  <c:v>R26</c:v>
                </c:pt>
                <c:pt idx="26">
                  <c:v>R27</c:v>
                </c:pt>
                <c:pt idx="27">
                  <c:v>R28</c:v>
                </c:pt>
                <c:pt idx="28">
                  <c:v>R29</c:v>
                </c:pt>
                <c:pt idx="29">
                  <c:v>R30</c:v>
                </c:pt>
                <c:pt idx="30">
                  <c:v>R31</c:v>
                </c:pt>
                <c:pt idx="31">
                  <c:v>R32</c:v>
                </c:pt>
                <c:pt idx="32">
                  <c:v>R33</c:v>
                </c:pt>
                <c:pt idx="33">
                  <c:v>R34</c:v>
                </c:pt>
                <c:pt idx="34">
                  <c:v>R35</c:v>
                </c:pt>
                <c:pt idx="35">
                  <c:v>R36</c:v>
                </c:pt>
                <c:pt idx="36">
                  <c:v>R37</c:v>
                </c:pt>
                <c:pt idx="37">
                  <c:v>R38</c:v>
                </c:pt>
                <c:pt idx="38">
                  <c:v>R39</c:v>
                </c:pt>
                <c:pt idx="39">
                  <c:v>R40</c:v>
                </c:pt>
                <c:pt idx="40">
                  <c:v>R41</c:v>
                </c:pt>
                <c:pt idx="41">
                  <c:v>R42</c:v>
                </c:pt>
                <c:pt idx="42">
                  <c:v>R43</c:v>
                </c:pt>
                <c:pt idx="43">
                  <c:v>R44</c:v>
                </c:pt>
                <c:pt idx="44">
                  <c:v>R45</c:v>
                </c:pt>
                <c:pt idx="45">
                  <c:v>R46</c:v>
                </c:pt>
                <c:pt idx="46">
                  <c:v>R47</c:v>
                </c:pt>
                <c:pt idx="47">
                  <c:v>R48</c:v>
                </c:pt>
                <c:pt idx="48">
                  <c:v>R49</c:v>
                </c:pt>
                <c:pt idx="49">
                  <c:v>R50</c:v>
                </c:pt>
                <c:pt idx="50">
                  <c:v>R51</c:v>
                </c:pt>
                <c:pt idx="51">
                  <c:v>R52</c:v>
                </c:pt>
                <c:pt idx="52">
                  <c:v>R53</c:v>
                </c:pt>
                <c:pt idx="53">
                  <c:v>R54</c:v>
                </c:pt>
                <c:pt idx="54">
                  <c:v>R55</c:v>
                </c:pt>
                <c:pt idx="55">
                  <c:v>R56</c:v>
                </c:pt>
                <c:pt idx="56">
                  <c:v>R57</c:v>
                </c:pt>
                <c:pt idx="57">
                  <c:v>R58</c:v>
                </c:pt>
              </c:strCache>
            </c:strRef>
          </c:cat>
          <c:val>
            <c:numRef>
              <c:f>'Riesgo Cualitativo'!$I$3:$I$60</c:f>
              <c:numCache>
                <c:formatCode>General</c:formatCode>
                <c:ptCount val="58"/>
                <c:pt idx="0">
                  <c:v>0.24</c:v>
                </c:pt>
                <c:pt idx="1">
                  <c:v>0.24</c:v>
                </c:pt>
                <c:pt idx="2">
                  <c:v>0.2</c:v>
                </c:pt>
                <c:pt idx="3">
                  <c:v>0.03</c:v>
                </c:pt>
                <c:pt idx="4">
                  <c:v>0.02</c:v>
                </c:pt>
                <c:pt idx="5">
                  <c:v>0.2</c:v>
                </c:pt>
                <c:pt idx="6">
                  <c:v>0.2</c:v>
                </c:pt>
                <c:pt idx="7">
                  <c:v>0.06</c:v>
                </c:pt>
                <c:pt idx="8">
                  <c:v>0.03</c:v>
                </c:pt>
                <c:pt idx="9">
                  <c:v>0.01</c:v>
                </c:pt>
                <c:pt idx="10">
                  <c:v>0.2</c:v>
                </c:pt>
                <c:pt idx="11">
                  <c:v>0.03</c:v>
                </c:pt>
                <c:pt idx="12">
                  <c:v>0.28000000000000003</c:v>
                </c:pt>
                <c:pt idx="13">
                  <c:v>0.1</c:v>
                </c:pt>
                <c:pt idx="14">
                  <c:v>0.12</c:v>
                </c:pt>
                <c:pt idx="15">
                  <c:v>0.01</c:v>
                </c:pt>
                <c:pt idx="16">
                  <c:v>0.02</c:v>
                </c:pt>
                <c:pt idx="17">
                  <c:v>0.24</c:v>
                </c:pt>
                <c:pt idx="18">
                  <c:v>0.03</c:v>
                </c:pt>
                <c:pt idx="19">
                  <c:v>0.06</c:v>
                </c:pt>
                <c:pt idx="20">
                  <c:v>0.12</c:v>
                </c:pt>
                <c:pt idx="21">
                  <c:v>0.03</c:v>
                </c:pt>
                <c:pt idx="22">
                  <c:v>0.24</c:v>
                </c:pt>
                <c:pt idx="23">
                  <c:v>0.04</c:v>
                </c:pt>
                <c:pt idx="24">
                  <c:v>0.72</c:v>
                </c:pt>
                <c:pt idx="25">
                  <c:v>0.1</c:v>
                </c:pt>
                <c:pt idx="26">
                  <c:v>0.03</c:v>
                </c:pt>
                <c:pt idx="27">
                  <c:v>0.03</c:v>
                </c:pt>
                <c:pt idx="28">
                  <c:v>0.06</c:v>
                </c:pt>
                <c:pt idx="29">
                  <c:v>0.06</c:v>
                </c:pt>
                <c:pt idx="30">
                  <c:v>0.12</c:v>
                </c:pt>
                <c:pt idx="31">
                  <c:v>0.03</c:v>
                </c:pt>
                <c:pt idx="32">
                  <c:v>0.12</c:v>
                </c:pt>
                <c:pt idx="33">
                  <c:v>0.4</c:v>
                </c:pt>
                <c:pt idx="34">
                  <c:v>0.06</c:v>
                </c:pt>
                <c:pt idx="35">
                  <c:v>0.03</c:v>
                </c:pt>
                <c:pt idx="36">
                  <c:v>0.03</c:v>
                </c:pt>
                <c:pt idx="37">
                  <c:v>0.02</c:v>
                </c:pt>
                <c:pt idx="38">
                  <c:v>0.02</c:v>
                </c:pt>
                <c:pt idx="39">
                  <c:v>0.01</c:v>
                </c:pt>
                <c:pt idx="40">
                  <c:v>0.03</c:v>
                </c:pt>
                <c:pt idx="41">
                  <c:v>0.02</c:v>
                </c:pt>
                <c:pt idx="42">
                  <c:v>0.02</c:v>
                </c:pt>
                <c:pt idx="43">
                  <c:v>0.01</c:v>
                </c:pt>
                <c:pt idx="44">
                  <c:v>0.01</c:v>
                </c:pt>
                <c:pt idx="45">
                  <c:v>0.03</c:v>
                </c:pt>
                <c:pt idx="46">
                  <c:v>0.24</c:v>
                </c:pt>
                <c:pt idx="47">
                  <c:v>0.03</c:v>
                </c:pt>
                <c:pt idx="48">
                  <c:v>0.24</c:v>
                </c:pt>
                <c:pt idx="49">
                  <c:v>0.03</c:v>
                </c:pt>
                <c:pt idx="50">
                  <c:v>0.02</c:v>
                </c:pt>
                <c:pt idx="51">
                  <c:v>0.24</c:v>
                </c:pt>
                <c:pt idx="52">
                  <c:v>0.03</c:v>
                </c:pt>
                <c:pt idx="53">
                  <c:v>0.05</c:v>
                </c:pt>
                <c:pt idx="54">
                  <c:v>0.2</c:v>
                </c:pt>
                <c:pt idx="55">
                  <c:v>0.02</c:v>
                </c:pt>
                <c:pt idx="56">
                  <c:v>0.03</c:v>
                </c:pt>
                <c:pt idx="57">
                  <c:v>0.06</c:v>
                </c:pt>
              </c:numCache>
            </c:numRef>
          </c:val>
          <c:extLst>
            <c:ext xmlns:c16="http://schemas.microsoft.com/office/drawing/2014/chart" uri="{C3380CC4-5D6E-409C-BE32-E72D297353CC}">
              <c16:uniqueId val="{00000000-EFCE-4531-A353-4CB92D4596FF}"/>
            </c:ext>
          </c:extLst>
        </c:ser>
        <c:dLbls>
          <c:dLblPos val="outEnd"/>
          <c:showLegendKey val="0"/>
          <c:showVal val="1"/>
          <c:showCatName val="0"/>
          <c:showSerName val="0"/>
          <c:showPercent val="0"/>
          <c:showBubbleSize val="0"/>
        </c:dLbls>
        <c:gapWidth val="267"/>
        <c:overlap val="-43"/>
        <c:axId val="1746259520"/>
        <c:axId val="1433101488"/>
      </c:barChart>
      <c:catAx>
        <c:axId val="1746259520"/>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s-EC"/>
                  <a:t>Identificación del riesgo</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s-EC"/>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s-EC"/>
          </a:p>
        </c:txPr>
        <c:crossAx val="1433101488"/>
        <c:crosses val="autoZero"/>
        <c:auto val="1"/>
        <c:lblAlgn val="ctr"/>
        <c:lblOffset val="100"/>
        <c:noMultiLvlLbl val="0"/>
      </c:catAx>
      <c:valAx>
        <c:axId val="1433101488"/>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s-EC"/>
                  <a:t>Clasificación</a:t>
                </a:r>
                <a:r>
                  <a:rPr lang="es-EC" baseline="0"/>
                  <a:t> del Riesgo</a:t>
                </a:r>
                <a:endParaRPr lang="es-EC"/>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s-EC"/>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C"/>
          </a:p>
        </c:txPr>
        <c:crossAx val="1746259520"/>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s-EC"/>
        </a:p>
      </c:txPr>
    </c:title>
    <c:autoTitleDeleted val="0"/>
    <c:plotArea>
      <c:layout/>
      <c:pieChart>
        <c:varyColors val="1"/>
        <c:ser>
          <c:idx val="0"/>
          <c:order val="0"/>
          <c:tx>
            <c:strRef>
              <c:f>'Resumen Costos'!$B$3:$E$3</c:f>
              <c:strCache>
                <c:ptCount val="1"/>
                <c:pt idx="0">
                  <c:v>Resumen Costos Proyecto</c:v>
                </c:pt>
              </c:strCache>
            </c:strRef>
          </c:tx>
          <c:dPt>
            <c:idx val="0"/>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B7B9-477C-9D8A-403766A9AC6F}"/>
              </c:ext>
            </c:extLst>
          </c:dPt>
          <c:dPt>
            <c:idx val="1"/>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B7B9-477C-9D8A-403766A9AC6F}"/>
              </c:ext>
            </c:extLst>
          </c:dPt>
          <c:dPt>
            <c:idx val="2"/>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B7B9-477C-9D8A-403766A9AC6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sz="900" b="0" i="0" u="none" strike="noStrike" kern="1200" baseline="0">
                    <a:solidFill>
                      <a:schemeClr val="dk1">
                        <a:lumMod val="65000"/>
                        <a:lumOff val="35000"/>
                      </a:schemeClr>
                    </a:solidFill>
                    <a:latin typeface="+mn-lt"/>
                    <a:ea typeface="+mn-ea"/>
                    <a:cs typeface="+mn-cs"/>
                  </a:defRPr>
                </a:pPr>
                <a:endParaRPr lang="es-EC"/>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'Resumen Costos'!$B$5:$B$7</c:f>
              <c:strCache>
                <c:ptCount val="3"/>
                <c:pt idx="0">
                  <c:v>Terreno</c:v>
                </c:pt>
                <c:pt idx="1">
                  <c:v>Costos Indirectos</c:v>
                </c:pt>
                <c:pt idx="2">
                  <c:v>Costos Directos</c:v>
                </c:pt>
              </c:strCache>
            </c:strRef>
          </c:cat>
          <c:val>
            <c:numRef>
              <c:f>'Resumen Costos'!$C$5:$C$7</c:f>
              <c:numCache>
                <c:formatCode>"$"#,##0</c:formatCode>
                <c:ptCount val="3"/>
                <c:pt idx="0">
                  <c:v>1500000</c:v>
                </c:pt>
                <c:pt idx="1">
                  <c:v>397496</c:v>
                </c:pt>
                <c:pt idx="2">
                  <c:v>2011667</c:v>
                </c:pt>
              </c:numCache>
            </c:numRef>
          </c:val>
          <c:extLst>
            <c:ext xmlns:c16="http://schemas.microsoft.com/office/drawing/2014/chart" uri="{C3380CC4-5D6E-409C-BE32-E72D297353CC}">
              <c16:uniqueId val="{0000000C-3487-48B7-87CD-7032214B4258}"/>
            </c:ext>
          </c:extLst>
        </c:ser>
        <c:dLbls>
          <c:showLegendKey val="0"/>
          <c:showVal val="0"/>
          <c:showCatName val="0"/>
          <c:showSerName val="0"/>
          <c:showPercent val="0"/>
          <c:showBubbleSize val="0"/>
          <c:showLeaderLines val="0"/>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baseline="0">
                <a:solidFill>
                  <a:schemeClr val="tx1">
                    <a:lumMod val="65000"/>
                    <a:lumOff val="35000"/>
                  </a:schemeClr>
                </a:solidFill>
                <a:latin typeface="+mn-lt"/>
                <a:ea typeface="+mn-ea"/>
                <a:cs typeface="+mn-cs"/>
              </a:defRPr>
            </a:pPr>
            <a:r>
              <a:rPr lang="es-ES" sz="1400" b="0" i="0" u="none" strike="noStrike" baseline="0">
                <a:solidFill>
                  <a:sysClr val="windowText" lastClr="000000">
                    <a:lumMod val="65000"/>
                    <a:lumOff val="35000"/>
                  </a:sysClr>
                </a:solidFill>
                <a:latin typeface="Calibri" panose="020F0502020204030204"/>
              </a:rPr>
              <a:t>Comparación Precio del Terreno</a:t>
            </a:r>
          </a:p>
        </c:rich>
      </c:tx>
      <c:overlay val="0"/>
      <c:spPr>
        <a:noFill/>
        <a:ln>
          <a:noFill/>
        </a:ln>
        <a:effectLst/>
      </c:spPr>
      <c:txPr>
        <a:bodyPr rot="0" spcFirstLastPara="1" vertOverflow="ellipsis" vert="horz" wrap="square" anchor="ctr" anchorCtr="1"/>
        <a:lstStyle/>
        <a:p>
          <a:pPr>
            <a:defRPr sz="1400" b="0" i="0" u="none" strike="noStrike" baseline="0">
              <a:solidFill>
                <a:schemeClr val="tx1">
                  <a:lumMod val="65000"/>
                  <a:lumOff val="35000"/>
                </a:schemeClr>
              </a:solidFill>
              <a:latin typeface="+mn-lt"/>
              <a:ea typeface="+mn-ea"/>
              <a:cs typeface="+mn-cs"/>
            </a:defRPr>
          </a:pPr>
          <a:endParaRPr lang="es-EC"/>
        </a:p>
      </c:txPr>
    </c:title>
    <c:autoTitleDeleted val="0"/>
    <c:plotArea>
      <c:layout/>
      <c:barChart>
        <c:barDir val="col"/>
        <c:grouping val="clustered"/>
        <c:varyColors val="0"/>
        <c:ser>
          <c:idx val="0"/>
          <c:order val="0"/>
          <c:tx>
            <c:strRef>
              <c:f>'Precios terreno'!$B$2:$F$2</c:f>
              <c:strCache>
                <c:ptCount val="5"/>
                <c:pt idx="0">
                  <c:v>Método de Mercado</c:v>
                </c:pt>
              </c:strCache>
            </c:strRef>
          </c:tx>
          <c:spPr>
            <a:solidFill>
              <a:schemeClr val="accent1"/>
            </a:solidFill>
            <a:ln w="19050">
              <a:solidFill>
                <a:schemeClr val="lt1"/>
              </a:solidFill>
            </a:ln>
            <a:effectLst/>
          </c:spPr>
          <c:invertIfNegative val="0"/>
          <c:dLbls>
            <c:dLbl>
              <c:idx val="0"/>
              <c:tx>
                <c:rich>
                  <a:bodyPr/>
                  <a:lstStyle/>
                  <a:p>
                    <a:fld id="{1CF2860D-C08C-4179-A229-AD007A4633A0}" type="CELLRANGE">
                      <a:rPr lang="en-US" baseline="0"/>
                      <a:pPr/>
                      <a:t>[CELLRANGE]</a:t>
                    </a:fld>
                    <a:r>
                      <a:rPr lang="en-US" baseline="0"/>
                      <a:t>; </a:t>
                    </a:r>
                    <a:fld id="{A23E07EE-B5AF-4B41-B1C6-3169F227B037}" type="CATEGORYNAME">
                      <a:rPr lang="en-US" baseline="0"/>
                      <a:pPr/>
                      <a:t>[NOMBRE DE CATEGORÍA]</a:t>
                    </a:fld>
                    <a:endParaRPr lang="en-US" baseline="0"/>
                  </a:p>
                </c:rich>
              </c:tx>
              <c:showLegendKey val="0"/>
              <c:showVal val="0"/>
              <c:showCatName val="1"/>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BEB-4602-822C-4831930AA0C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s-EC"/>
              </a:p>
            </c:txPr>
            <c:showLegendKey val="0"/>
            <c:showVal val="0"/>
            <c:showCatName val="1"/>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1"/>
              <c:pt idx="0">
                <c:v>Precio Total del Terreno</c:v>
              </c:pt>
            </c:strLit>
          </c:cat>
          <c:val>
            <c:numRef>
              <c:f>'Precios terreno'!$D$16</c:f>
              <c:numCache>
                <c:formatCode>_ "$"* #,##0_ ;_ "$"* \-#,##0_ ;_ "$"* "-"??_ ;_ @_ </c:formatCode>
                <c:ptCount val="1"/>
                <c:pt idx="0">
                  <c:v>3263178.9483073279</c:v>
                </c:pt>
              </c:numCache>
            </c:numRef>
          </c:val>
          <c:extLst>
            <c:ext xmlns:c15="http://schemas.microsoft.com/office/drawing/2012/chart" uri="{02D57815-91ED-43cb-92C2-25804820EDAC}">
              <c15:datalabelsRange>
                <c15:f>('Precios terreno'!$D$16,'Precios terreno'!$D$31)</c15:f>
                <c15:dlblRangeCache>
                  <c:ptCount val="2"/>
                  <c:pt idx="0">
                    <c:v> $3,263,179 </c:v>
                  </c:pt>
                  <c:pt idx="1">
                    <c:v> $1,399,096 </c:v>
                  </c:pt>
                </c15:dlblRangeCache>
              </c15:datalabelsRange>
            </c:ext>
            <c:ext xmlns:c16="http://schemas.microsoft.com/office/drawing/2014/chart" uri="{C3380CC4-5D6E-409C-BE32-E72D297353CC}">
              <c16:uniqueId val="{00000000-86B7-4ACC-AFE5-72A8F0CB0A90}"/>
            </c:ext>
          </c:extLst>
        </c:ser>
        <c:ser>
          <c:idx val="1"/>
          <c:order val="1"/>
          <c:tx>
            <c:strRef>
              <c:f>'Precios terreno'!$C$18:$D$18</c:f>
              <c:strCache>
                <c:ptCount val="2"/>
                <c:pt idx="0">
                  <c:v>Metodo residual</c:v>
                </c:pt>
              </c:strCache>
            </c:strRef>
          </c:tx>
          <c:spPr>
            <a:solidFill>
              <a:schemeClr val="accent2"/>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s-EC"/>
              </a:p>
            </c:txPr>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Precio Total del Terreno</c:v>
              </c:pt>
            </c:strLit>
          </c:cat>
          <c:val>
            <c:numRef>
              <c:f>'Precios terreno'!$D$31</c:f>
              <c:numCache>
                <c:formatCode>_ "$"* #,##0_ ;_ "$"* \-#,##0_ ;_ "$"* "-"??_ ;_ @_ </c:formatCode>
                <c:ptCount val="1"/>
                <c:pt idx="0">
                  <c:v>1399095.75</c:v>
                </c:pt>
              </c:numCache>
            </c:numRef>
          </c:val>
          <c:extLst>
            <c:ext xmlns:c16="http://schemas.microsoft.com/office/drawing/2014/chart" uri="{C3380CC4-5D6E-409C-BE32-E72D297353CC}">
              <c16:uniqueId val="{00000001-86B7-4ACC-AFE5-72A8F0CB0A90}"/>
            </c:ext>
          </c:extLst>
        </c:ser>
        <c:dLbls>
          <c:showLegendKey val="0"/>
          <c:showVal val="0"/>
          <c:showCatName val="1"/>
          <c:showSerName val="0"/>
          <c:showPercent val="0"/>
          <c:showBubbleSize val="0"/>
        </c:dLbls>
        <c:gapWidth val="100"/>
        <c:axId val="882634047"/>
        <c:axId val="969142927"/>
      </c:barChart>
      <c:catAx>
        <c:axId val="88263404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s-EC"/>
          </a:p>
        </c:txPr>
        <c:crossAx val="969142927"/>
        <c:crosses val="autoZero"/>
        <c:auto val="1"/>
        <c:lblAlgn val="ctr"/>
        <c:lblOffset val="100"/>
        <c:noMultiLvlLbl val="0"/>
      </c:catAx>
      <c:valAx>
        <c:axId val="969142927"/>
        <c:scaling>
          <c:orientation val="minMax"/>
        </c:scaling>
        <c:delete val="0"/>
        <c:axPos val="l"/>
        <c:majorGridlines>
          <c:spPr>
            <a:ln w="9525" cap="flat" cmpd="sng" algn="ctr">
              <a:solidFill>
                <a:schemeClr val="tx1">
                  <a:lumMod val="15000"/>
                  <a:lumOff val="85000"/>
                </a:schemeClr>
              </a:solidFill>
              <a:round/>
            </a:ln>
            <a:effectLst/>
          </c:spPr>
        </c:majorGridlines>
        <c:numFmt formatCode="_ &quot;$&quot;* #,##0_ ;_ &quot;$&quot;* \-#,##0_ ;_ &quot;$&quot;* &quot;-&quot;??_ ;_ @_ "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baseline="0">
                <a:solidFill>
                  <a:schemeClr val="tx1">
                    <a:lumMod val="65000"/>
                    <a:lumOff val="35000"/>
                  </a:schemeClr>
                </a:solidFill>
                <a:latin typeface="+mn-lt"/>
                <a:ea typeface="+mn-ea"/>
                <a:cs typeface="+mn-cs"/>
              </a:defRPr>
            </a:pPr>
            <a:endParaRPr lang="es-EC"/>
          </a:p>
        </c:txPr>
        <c:crossAx val="88263404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1" i="0" u="none" strike="noStrike" baseline="0">
                <a:solidFill>
                  <a:schemeClr val="tx1">
                    <a:lumMod val="65000"/>
                    <a:lumOff val="35000"/>
                  </a:schemeClr>
                </a:solidFill>
                <a:latin typeface="+mn-lt"/>
                <a:ea typeface="+mn-ea"/>
                <a:cs typeface="+mn-cs"/>
              </a:defRPr>
            </a:pPr>
            <a:endParaRPr lang="es-EC"/>
          </a:p>
        </c:txPr>
      </c:dTable>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s-EC"/>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baseline="0">
                <a:solidFill>
                  <a:schemeClr val="tx1">
                    <a:lumMod val="65000"/>
                    <a:lumOff val="35000"/>
                  </a:schemeClr>
                </a:solidFill>
                <a:latin typeface="+mn-lt"/>
                <a:ea typeface="+mn-ea"/>
                <a:cs typeface="+mn-cs"/>
              </a:defRPr>
            </a:pPr>
            <a:r>
              <a:rPr lang="es-ES" sz="1400" b="0" i="0" u="none" strike="noStrike" baseline="0">
                <a:solidFill>
                  <a:sysClr val="windowText" lastClr="000000">
                    <a:lumMod val="65000"/>
                    <a:lumOff val="35000"/>
                  </a:sysClr>
                </a:solidFill>
                <a:latin typeface="Calibri" panose="020F0502020204030204"/>
              </a:rPr>
              <a:t>Comparación $/m2</a:t>
            </a:r>
          </a:p>
        </c:rich>
      </c:tx>
      <c:overlay val="0"/>
      <c:spPr>
        <a:noFill/>
        <a:ln>
          <a:noFill/>
        </a:ln>
        <a:effectLst/>
      </c:spPr>
      <c:txPr>
        <a:bodyPr rot="0" spcFirstLastPara="1" vertOverflow="ellipsis" vert="horz" wrap="square" anchor="ctr" anchorCtr="1"/>
        <a:lstStyle/>
        <a:p>
          <a:pPr>
            <a:defRPr sz="1400" b="0" i="0" u="none" strike="noStrike" baseline="0">
              <a:solidFill>
                <a:schemeClr val="tx1">
                  <a:lumMod val="65000"/>
                  <a:lumOff val="35000"/>
                </a:schemeClr>
              </a:solidFill>
              <a:latin typeface="+mn-lt"/>
              <a:ea typeface="+mn-ea"/>
              <a:cs typeface="+mn-cs"/>
            </a:defRPr>
          </a:pPr>
          <a:endParaRPr lang="es-EC"/>
        </a:p>
      </c:txPr>
    </c:title>
    <c:autoTitleDeleted val="0"/>
    <c:plotArea>
      <c:layout/>
      <c:barChart>
        <c:barDir val="col"/>
        <c:grouping val="clustered"/>
        <c:varyColors val="0"/>
        <c:ser>
          <c:idx val="0"/>
          <c:order val="0"/>
          <c:tx>
            <c:strRef>
              <c:f>'Precios terreno'!$B$2:$F$2</c:f>
              <c:strCache>
                <c:ptCount val="5"/>
                <c:pt idx="0">
                  <c:v>Método de Mercado</c:v>
                </c:pt>
              </c:strCache>
            </c:strRef>
          </c:tx>
          <c:spPr>
            <a:solidFill>
              <a:schemeClr val="accent1"/>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s-EC"/>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Precio ($/m2)</c:v>
              </c:pt>
            </c:strLit>
          </c:cat>
          <c:val>
            <c:numRef>
              <c:f>'Precios terreno'!$F$9</c:f>
              <c:numCache>
                <c:formatCode>"$"#,##0</c:formatCode>
                <c:ptCount val="1"/>
                <c:pt idx="0">
                  <c:v>594.7488810671955</c:v>
                </c:pt>
              </c:numCache>
            </c:numRef>
          </c:val>
          <c:extLst>
            <c:ext xmlns:c16="http://schemas.microsoft.com/office/drawing/2014/chart" uri="{C3380CC4-5D6E-409C-BE32-E72D297353CC}">
              <c16:uniqueId val="{00000000-1D47-49A7-8889-3B45B42A4112}"/>
            </c:ext>
          </c:extLst>
        </c:ser>
        <c:ser>
          <c:idx val="1"/>
          <c:order val="1"/>
          <c:tx>
            <c:strRef>
              <c:f>'Precios terreno'!$C$18:$D$18</c:f>
              <c:strCache>
                <c:ptCount val="2"/>
                <c:pt idx="0">
                  <c:v>Metodo residual</c:v>
                </c:pt>
              </c:strCache>
            </c:strRef>
          </c:tx>
          <c:spPr>
            <a:solidFill>
              <a:schemeClr val="accent2"/>
            </a:solidFill>
            <a:ln w="19050">
              <a:solidFill>
                <a:schemeClr val="lt1"/>
              </a:solidFill>
            </a:ln>
            <a:effectLst/>
          </c:spPr>
          <c:invertIfNegative val="0"/>
          <c:dLbls>
            <c:delete val="1"/>
          </c:dLbls>
          <c:cat>
            <c:strLit>
              <c:ptCount val="1"/>
              <c:pt idx="0">
                <c:v>Precio ($/m2)</c:v>
              </c:pt>
            </c:strLit>
          </c:cat>
          <c:val>
            <c:numRef>
              <c:f>'Precios terreno'!$D$30</c:f>
              <c:numCache>
                <c:formatCode>_ "$"* #,##0_ ;_ "$"* \-#,##0_ ;_ "$"* "-"??_ ;_ @_ </c:formatCode>
                <c:ptCount val="1"/>
                <c:pt idx="0">
                  <c:v>255.00000000000003</c:v>
                </c:pt>
              </c:numCache>
            </c:numRef>
          </c:val>
          <c:extLst>
            <c:ext xmlns:c16="http://schemas.microsoft.com/office/drawing/2014/chart" uri="{C3380CC4-5D6E-409C-BE32-E72D297353CC}">
              <c16:uniqueId val="{00000001-1D47-49A7-8889-3B45B42A4112}"/>
            </c:ext>
          </c:extLst>
        </c:ser>
        <c:dLbls>
          <c:showLegendKey val="0"/>
          <c:showVal val="0"/>
          <c:showCatName val="1"/>
          <c:showSerName val="0"/>
          <c:showPercent val="0"/>
          <c:showBubbleSize val="0"/>
        </c:dLbls>
        <c:gapWidth val="100"/>
        <c:axId val="882634047"/>
        <c:axId val="969142927"/>
      </c:barChart>
      <c:catAx>
        <c:axId val="88263404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s-EC"/>
          </a:p>
        </c:txPr>
        <c:crossAx val="969142927"/>
        <c:crosses val="autoZero"/>
        <c:auto val="1"/>
        <c:lblAlgn val="ctr"/>
        <c:lblOffset val="100"/>
        <c:noMultiLvlLbl val="0"/>
      </c:catAx>
      <c:valAx>
        <c:axId val="969142927"/>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baseline="0">
                <a:solidFill>
                  <a:schemeClr val="tx1">
                    <a:lumMod val="65000"/>
                    <a:lumOff val="35000"/>
                  </a:schemeClr>
                </a:solidFill>
                <a:latin typeface="+mn-lt"/>
                <a:ea typeface="+mn-ea"/>
                <a:cs typeface="+mn-cs"/>
              </a:defRPr>
            </a:pPr>
            <a:endParaRPr lang="es-EC"/>
          </a:p>
        </c:txPr>
        <c:crossAx val="88263404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1" i="0" u="none" strike="noStrike" baseline="0">
                <a:solidFill>
                  <a:schemeClr val="tx1">
                    <a:lumMod val="65000"/>
                    <a:lumOff val="35000"/>
                  </a:schemeClr>
                </a:solidFill>
                <a:latin typeface="+mn-lt"/>
                <a:ea typeface="+mn-ea"/>
                <a:cs typeface="+mn-cs"/>
              </a:defRPr>
            </a:pPr>
            <a:endParaRPr lang="es-EC"/>
          </a:p>
        </c:txPr>
      </c:dTable>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s-EC"/>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60" b="1" i="0" u="none" strike="noStrike" kern="1200" baseline="0">
              <a:solidFill>
                <a:schemeClr val="dk1">
                  <a:lumMod val="75000"/>
                  <a:lumOff val="25000"/>
                </a:schemeClr>
              </a:solidFill>
              <a:latin typeface="+mn-lt"/>
              <a:ea typeface="+mn-ea"/>
              <a:cs typeface="+mn-cs"/>
            </a:defRPr>
          </a:pPr>
          <a:endParaRPr lang="es-EC"/>
        </a:p>
      </c:txPr>
    </c:title>
    <c:autoTitleDeleted val="0"/>
    <c:plotArea>
      <c:layout/>
      <c:pieChart>
        <c:varyColors val="1"/>
        <c:ser>
          <c:idx val="0"/>
          <c:order val="0"/>
          <c:tx>
            <c:strRef>
              <c:f>'Presupuesto Obra gris'!$A$1:$I$1</c:f>
              <c:strCache>
                <c:ptCount val="1"/>
                <c:pt idx="0">
                  <c:v>PRESUPUESTO OBRA GRIS</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469F-4B57-A0DA-BCC8C0D9C8EE}"/>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469F-4B57-A0DA-BCC8C0D9C8EE}"/>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469F-4B57-A0DA-BCC8C0D9C8EE}"/>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469F-4B57-A0DA-BCC8C0D9C8EE}"/>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469F-4B57-A0DA-BCC8C0D9C8EE}"/>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469F-4B57-A0DA-BCC8C0D9C8EE}"/>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469F-4B57-A0DA-BCC8C0D9C8EE}"/>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469F-4B57-A0DA-BCC8C0D9C8EE}"/>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469F-4B57-A0DA-BCC8C0D9C8EE}"/>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469F-4B57-A0DA-BCC8C0D9C8EE}"/>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469F-4B57-A0DA-BCC8C0D9C8EE}"/>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469F-4B57-A0DA-BCC8C0D9C8EE}"/>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469F-4B57-A0DA-BCC8C0D9C8EE}"/>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469F-4B57-A0DA-BCC8C0D9C8EE}"/>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800" b="1" i="0" u="none" strike="noStrike" kern="1200" baseline="0">
                    <a:solidFill>
                      <a:schemeClr val="lt1"/>
                    </a:solidFill>
                    <a:latin typeface="+mn-lt"/>
                    <a:ea typeface="+mn-ea"/>
                    <a:cs typeface="+mn-cs"/>
                  </a:defRPr>
                </a:pPr>
                <a:endParaRPr lang="es-EC"/>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'Presupuesto Obra gris'!$B$3:$B$248</c:f>
              <c:strCache>
                <c:ptCount val="14"/>
                <c:pt idx="0">
                  <c:v>PRELIMINARES</c:v>
                </c:pt>
                <c:pt idx="1">
                  <c:v>CIMENTACION </c:v>
                </c:pt>
                <c:pt idx="2">
                  <c:v>PLACA DE PARQUEADEROS Y ZONAS COMUNES N+4,00 - N+8,00</c:v>
                </c:pt>
                <c:pt idx="3">
                  <c:v>ESTRUCTURA EDIFICIO HORMIGON ARMADO </c:v>
                </c:pt>
                <c:pt idx="4">
                  <c:v>PLACAS DE TRANSICIÓN </c:v>
                </c:pt>
                <c:pt idx="5">
                  <c:v>MAMPOSTERIA , PAÑETES Y DUCTOS</c:v>
                </c:pt>
                <c:pt idx="6">
                  <c:v>CARPINTERIA METALICA,ALUMINIO</c:v>
                </c:pt>
                <c:pt idx="7">
                  <c:v>CARPINTERIA DE MADERA Y CLOSETS</c:v>
                </c:pt>
                <c:pt idx="8">
                  <c:v>PISOS/ACABADOS Y ENCHAPES</c:v>
                </c:pt>
                <c:pt idx="9">
                  <c:v>PINTURAS PARQUEADEROS Y APARTAMENTOS</c:v>
                </c:pt>
                <c:pt idx="10">
                  <c:v>INST. HIDRAULICAS Y SANITARIAS</c:v>
                </c:pt>
                <c:pt idx="11">
                  <c:v>OTROS</c:v>
                </c:pt>
                <c:pt idx="12">
                  <c:v>CUBIERTA </c:v>
                </c:pt>
                <c:pt idx="13">
                  <c:v>ASCENSOR</c:v>
                </c:pt>
              </c:strCache>
            </c:strRef>
          </c:cat>
          <c:val>
            <c:numRef>
              <c:f>'Presupuesto Obra gris'!$I$3:$I$248</c:f>
              <c:numCache>
                <c:formatCode>0.0</c:formatCode>
                <c:ptCount val="14"/>
                <c:pt idx="0">
                  <c:v>5.0879872961915558</c:v>
                </c:pt>
                <c:pt idx="1">
                  <c:v>17.945699144746705</c:v>
                </c:pt>
                <c:pt idx="2">
                  <c:v>12.197914609407688</c:v>
                </c:pt>
                <c:pt idx="3">
                  <c:v>24.260243773001839</c:v>
                </c:pt>
                <c:pt idx="4">
                  <c:v>7.1043646467743171</c:v>
                </c:pt>
                <c:pt idx="5">
                  <c:v>5.5136192859523874</c:v>
                </c:pt>
                <c:pt idx="6">
                  <c:v>3.1993015164531977</c:v>
                </c:pt>
                <c:pt idx="7">
                  <c:v>0.75595388467865865</c:v>
                </c:pt>
                <c:pt idx="8">
                  <c:v>1.6651071473481371</c:v>
                </c:pt>
                <c:pt idx="9">
                  <c:v>0.38622299358018175</c:v>
                </c:pt>
                <c:pt idx="10">
                  <c:v>7.1704487785095097</c:v>
                </c:pt>
                <c:pt idx="11">
                  <c:v>1.5631343120381429</c:v>
                </c:pt>
                <c:pt idx="12">
                  <c:v>0.29430296461699901</c:v>
                </c:pt>
                <c:pt idx="13">
                  <c:v>4.2447180177193857</c:v>
                </c:pt>
              </c:numCache>
            </c:numRef>
          </c:val>
          <c:extLst>
            <c:ext xmlns:c16="http://schemas.microsoft.com/office/drawing/2014/chart" uri="{C3380CC4-5D6E-409C-BE32-E72D297353CC}">
              <c16:uniqueId val="{00000000-A2EB-403B-BA86-312F61FC2482}"/>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800" b="0" i="0" u="none" strike="noStrike" kern="1200" baseline="0">
              <a:solidFill>
                <a:schemeClr val="dk1">
                  <a:lumMod val="75000"/>
                  <a:lumOff val="25000"/>
                </a:schemeClr>
              </a:solidFill>
              <a:latin typeface="+mn-lt"/>
              <a:ea typeface="+mn-ea"/>
              <a:cs typeface="+mn-cs"/>
            </a:defRPr>
          </a:pPr>
          <a:endParaRPr lang="es-EC"/>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800"/>
      </a:pPr>
      <a:endParaRPr lang="es-EC"/>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C"/>
        </a:p>
      </c:txPr>
    </c:title>
    <c:autoTitleDeleted val="0"/>
    <c:plotArea>
      <c:layout/>
      <c:pieChart>
        <c:varyColors val="1"/>
        <c:ser>
          <c:idx val="0"/>
          <c:order val="0"/>
          <c:tx>
            <c:strRef>
              <c:f>'presupuesto electrico'!$B$1:$I$1</c:f>
              <c:strCache>
                <c:ptCount val="1"/>
                <c:pt idx="0">
                  <c:v>PRESUPUESTO ELECTRICO</c:v>
                </c:pt>
              </c:strCache>
            </c:strRef>
          </c:tx>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A6EF-42B2-940B-FBEA0EC4322F}"/>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A6EF-42B2-940B-FBEA0EC4322F}"/>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A6EF-42B2-940B-FBEA0EC4322F}"/>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A6EF-42B2-940B-FBEA0EC4322F}"/>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A6EF-42B2-940B-FBEA0EC4322F}"/>
              </c:ext>
            </c:extLst>
          </c:dPt>
          <c:dPt>
            <c:idx val="5"/>
            <c:bubble3D val="0"/>
            <c:spPr>
              <a:solidFill>
                <a:schemeClr val="accent6"/>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A6EF-42B2-940B-FBEA0EC4322F}"/>
              </c:ext>
            </c:extLst>
          </c:dPt>
          <c:dPt>
            <c:idx val="6"/>
            <c:bubble3D val="0"/>
            <c:spPr>
              <a:solidFill>
                <a:schemeClr val="accent1">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D-A6EF-42B2-940B-FBEA0EC4322F}"/>
              </c:ext>
            </c:extLst>
          </c:dPt>
          <c:dPt>
            <c:idx val="7"/>
            <c:bubble3D val="0"/>
            <c:spPr>
              <a:solidFill>
                <a:schemeClr val="accent2">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F-A6EF-42B2-940B-FBEA0EC4322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C"/>
                </a:p>
              </c:txPr>
              <c:dLblPos val="outEnd"/>
              <c:showLegendKey val="0"/>
              <c:showVal val="0"/>
              <c:showCatName val="1"/>
              <c:showSerName val="0"/>
              <c:showPercent val="1"/>
              <c:showBubbleSize val="0"/>
              <c:extLst>
                <c:ext xmlns:c16="http://schemas.microsoft.com/office/drawing/2014/chart" uri="{C3380CC4-5D6E-409C-BE32-E72D297353CC}">
                  <c16:uniqueId val="{00000001-A6EF-42B2-940B-FBEA0EC4322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EC"/>
                </a:p>
              </c:txPr>
              <c:dLblPos val="outEnd"/>
              <c:showLegendKey val="0"/>
              <c:showVal val="0"/>
              <c:showCatName val="1"/>
              <c:showSerName val="0"/>
              <c:showPercent val="1"/>
              <c:showBubbleSize val="0"/>
              <c:extLst>
                <c:ext xmlns:c16="http://schemas.microsoft.com/office/drawing/2014/chart" uri="{C3380CC4-5D6E-409C-BE32-E72D297353CC}">
                  <c16:uniqueId val="{00000003-A6EF-42B2-940B-FBEA0EC4322F}"/>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EC"/>
                </a:p>
              </c:txPr>
              <c:dLblPos val="outEnd"/>
              <c:showLegendKey val="0"/>
              <c:showVal val="0"/>
              <c:showCatName val="1"/>
              <c:showSerName val="0"/>
              <c:showPercent val="1"/>
              <c:showBubbleSize val="0"/>
              <c:extLst>
                <c:ext xmlns:c16="http://schemas.microsoft.com/office/drawing/2014/chart" uri="{C3380CC4-5D6E-409C-BE32-E72D297353CC}">
                  <c16:uniqueId val="{00000005-A6EF-42B2-940B-FBEA0EC4322F}"/>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EC"/>
                </a:p>
              </c:txPr>
              <c:dLblPos val="outEnd"/>
              <c:showLegendKey val="0"/>
              <c:showVal val="0"/>
              <c:showCatName val="1"/>
              <c:showSerName val="0"/>
              <c:showPercent val="1"/>
              <c:showBubbleSize val="0"/>
              <c:extLst>
                <c:ext xmlns:c16="http://schemas.microsoft.com/office/drawing/2014/chart" uri="{C3380CC4-5D6E-409C-BE32-E72D297353CC}">
                  <c16:uniqueId val="{00000007-A6EF-42B2-940B-FBEA0EC4322F}"/>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EC"/>
                </a:p>
              </c:txPr>
              <c:dLblPos val="outEnd"/>
              <c:showLegendKey val="0"/>
              <c:showVal val="0"/>
              <c:showCatName val="1"/>
              <c:showSerName val="0"/>
              <c:showPercent val="1"/>
              <c:showBubbleSize val="0"/>
              <c:extLst>
                <c:ext xmlns:c16="http://schemas.microsoft.com/office/drawing/2014/chart" uri="{C3380CC4-5D6E-409C-BE32-E72D297353CC}">
                  <c16:uniqueId val="{00000009-A6EF-42B2-940B-FBEA0EC4322F}"/>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s-EC"/>
                </a:p>
              </c:txPr>
              <c:dLblPos val="outEnd"/>
              <c:showLegendKey val="0"/>
              <c:showVal val="0"/>
              <c:showCatName val="1"/>
              <c:showSerName val="0"/>
              <c:showPercent val="1"/>
              <c:showBubbleSize val="0"/>
              <c:extLst>
                <c:ext xmlns:c16="http://schemas.microsoft.com/office/drawing/2014/chart" uri="{C3380CC4-5D6E-409C-BE32-E72D297353CC}">
                  <c16:uniqueId val="{0000000B-A6EF-42B2-940B-FBEA0EC4322F}"/>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s-EC"/>
                </a:p>
              </c:txPr>
              <c:dLblPos val="outEnd"/>
              <c:showLegendKey val="0"/>
              <c:showVal val="0"/>
              <c:showCatName val="1"/>
              <c:showSerName val="0"/>
              <c:showPercent val="1"/>
              <c:showBubbleSize val="0"/>
              <c:extLst>
                <c:ext xmlns:c16="http://schemas.microsoft.com/office/drawing/2014/chart" uri="{C3380CC4-5D6E-409C-BE32-E72D297353CC}">
                  <c16:uniqueId val="{0000000D-A6EF-42B2-940B-FBEA0EC4322F}"/>
                </c:ext>
              </c:extLst>
            </c:dLbl>
            <c:dLbl>
              <c:idx val="7"/>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60000"/>
                        </a:schemeClr>
                      </a:solidFill>
                      <a:latin typeface="+mn-lt"/>
                      <a:ea typeface="+mn-ea"/>
                      <a:cs typeface="+mn-cs"/>
                    </a:defRPr>
                  </a:pPr>
                  <a:endParaRPr lang="es-EC"/>
                </a:p>
              </c:txPr>
              <c:dLblPos val="outEnd"/>
              <c:showLegendKey val="0"/>
              <c:showVal val="0"/>
              <c:showCatName val="1"/>
              <c:showSerName val="0"/>
              <c:showPercent val="1"/>
              <c:showBubbleSize val="0"/>
              <c:extLst>
                <c:ext xmlns:c16="http://schemas.microsoft.com/office/drawing/2014/chart" uri="{C3380CC4-5D6E-409C-BE32-E72D297353CC}">
                  <c16:uniqueId val="{0000000F-A6EF-42B2-940B-FBEA0EC4322F}"/>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'presupuesto electrico'!$C$4:$D$59</c:f>
              <c:strCache>
                <c:ptCount val="8"/>
                <c:pt idx="0">
                  <c:v>ILUMINACION</c:v>
                </c:pt>
                <c:pt idx="1">
                  <c:v>FUERZA</c:v>
                </c:pt>
                <c:pt idx="2">
                  <c:v>TELEFONOS</c:v>
                </c:pt>
                <c:pt idx="3">
                  <c:v>CITOFONOS</c:v>
                </c:pt>
                <c:pt idx="4">
                  <c:v>SALIDA TV</c:v>
                </c:pt>
                <c:pt idx="5">
                  <c:v>SISTEMA CONTRAINCENDIOS</c:v>
                </c:pt>
                <c:pt idx="6">
                  <c:v>ACOMETIDAS</c:v>
                </c:pt>
                <c:pt idx="7">
                  <c:v>TABLEROS DE DISTRIBUCION, BREAKERS Y MALLAS A TIERRA</c:v>
                </c:pt>
              </c:strCache>
            </c:strRef>
          </c:cat>
          <c:val>
            <c:numRef>
              <c:f>'presupuesto electrico'!$I$4:$I$59</c:f>
              <c:numCache>
                <c:formatCode>_-* #,##0.0\ _€_-;\-* #,##0.0\ _€_-;_-* "-"??\ _€_-;_-@_-</c:formatCode>
                <c:ptCount val="8"/>
                <c:pt idx="0">
                  <c:v>17.154939182156543</c:v>
                </c:pt>
                <c:pt idx="1">
                  <c:v>20.020389954400077</c:v>
                </c:pt>
                <c:pt idx="2">
                  <c:v>3.2862936237154496</c:v>
                </c:pt>
                <c:pt idx="3">
                  <c:v>6.5970028861318557</c:v>
                </c:pt>
                <c:pt idx="4">
                  <c:v>8.4779732708069062</c:v>
                </c:pt>
                <c:pt idx="5">
                  <c:v>8.7722344537189283</c:v>
                </c:pt>
                <c:pt idx="6">
                  <c:v>18.882663683707783</c:v>
                </c:pt>
                <c:pt idx="7">
                  <c:v>16.808502945362481</c:v>
                </c:pt>
              </c:numCache>
            </c:numRef>
          </c:val>
          <c:extLst>
            <c:ext xmlns:c16="http://schemas.microsoft.com/office/drawing/2014/chart" uri="{C3380CC4-5D6E-409C-BE32-E72D297353CC}">
              <c16:uniqueId val="{00000000-5D68-4FA0-B1E3-61014E85C4D7}"/>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EC"/>
        </a:p>
      </c:txPr>
    </c:title>
    <c:autoTitleDeleted val="0"/>
    <c:plotArea>
      <c:layout/>
      <c:pieChart>
        <c:varyColors val="1"/>
        <c:ser>
          <c:idx val="0"/>
          <c:order val="0"/>
          <c:tx>
            <c:strRef>
              <c:f>'Presupuesto acabados'!$A$1:$H$1</c:f>
              <c:strCache>
                <c:ptCount val="1"/>
                <c:pt idx="0">
                  <c:v>PRESUPUESTO ACABADOS</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8093-4C8F-B219-22BEAA04F27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8093-4C8F-B219-22BEAA04F27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8093-4C8F-B219-22BEAA04F27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8093-4C8F-B219-22BEAA04F27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8093-4C8F-B219-22BEAA04F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8093-4C8F-B219-22BEAA04F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8093-4C8F-B219-22BEAA04F272}"/>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8093-4C8F-B219-22BEAA04F272}"/>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8093-4C8F-B219-22BEAA04F272}"/>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8093-4C8F-B219-22BEAA04F272}"/>
              </c:ext>
            </c:extLst>
          </c:dPt>
          <c:dLbls>
            <c:dLbl>
              <c:idx val="0"/>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93-4C8F-B219-22BEAA04F272}"/>
                </c:ext>
              </c:extLst>
            </c:dLbl>
            <c:dLbl>
              <c:idx val="1"/>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93-4C8F-B219-22BEAA04F272}"/>
                </c:ext>
              </c:extLst>
            </c:dLbl>
            <c:dLbl>
              <c:idx val="2"/>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093-4C8F-B219-22BEAA04F272}"/>
                </c:ext>
              </c:extLst>
            </c:dLbl>
            <c:dLbl>
              <c:idx val="3"/>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093-4C8F-B219-22BEAA04F272}"/>
                </c:ext>
              </c:extLst>
            </c:dLbl>
            <c:dLbl>
              <c:idx val="4"/>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093-4C8F-B219-22BEAA04F272}"/>
                </c:ext>
              </c:extLst>
            </c:dLbl>
            <c:dLbl>
              <c:idx val="5"/>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093-4C8F-B219-22BEAA04F272}"/>
                </c:ext>
              </c:extLst>
            </c:dLbl>
            <c:dLbl>
              <c:idx val="6"/>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8093-4C8F-B219-22BEAA04F272}"/>
                </c:ext>
              </c:extLst>
            </c:dLbl>
            <c:dLbl>
              <c:idx val="7"/>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8093-4C8F-B219-22BEAA04F272}"/>
                </c:ext>
              </c:extLst>
            </c:dLbl>
            <c:dLbl>
              <c:idx val="8"/>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8093-4C8F-B219-22BEAA04F272}"/>
                </c:ext>
              </c:extLst>
            </c:dLbl>
            <c:dLbl>
              <c:idx val="9"/>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3-8093-4C8F-B219-22BEAA04F272}"/>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C"/>
              </a:p>
            </c:txPr>
            <c:dLblPos val="bestFit"/>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'Presupuesto acabados'!$B$8:$F$98</c:f>
              <c:strCache>
                <c:ptCount val="10"/>
                <c:pt idx="0">
                  <c:v>REVESTIMIENTOS</c:v>
                </c:pt>
                <c:pt idx="1">
                  <c:v>ESTUCADO Y PINTURA</c:v>
                </c:pt>
                <c:pt idx="2">
                  <c:v>CARPINTERÍA METÁLICA</c:v>
                </c:pt>
                <c:pt idx="3">
                  <c:v>PUERTAS DE MADERA/CERRADURAS</c:v>
                </c:pt>
                <c:pt idx="4">
                  <c:v>ALUMINO Y VIDRIO</c:v>
                </c:pt>
                <c:pt idx="5">
                  <c:v>MUEBLES INCORPORADOS</c:v>
                </c:pt>
                <c:pt idx="6">
                  <c:v>PIEZAS SANITARIAS</c:v>
                </c:pt>
                <c:pt idx="7">
                  <c:v>VEGETACIÓN / JARDINERÍA Y VARIOS</c:v>
                </c:pt>
                <c:pt idx="8">
                  <c:v>AGUA POTABLE</c:v>
                </c:pt>
                <c:pt idx="9">
                  <c:v>AGUA CONTRA INCENDIOS</c:v>
                </c:pt>
              </c:strCache>
            </c:strRef>
          </c:cat>
          <c:val>
            <c:numRef>
              <c:f>'Presupuesto acabados'!$H$8:$H$98</c:f>
              <c:numCache>
                <c:formatCode>#,##0.00</c:formatCode>
                <c:ptCount val="10"/>
                <c:pt idx="0">
                  <c:v>22.237211435699681</c:v>
                </c:pt>
                <c:pt idx="1">
                  <c:v>11.068258302337338</c:v>
                </c:pt>
                <c:pt idx="2">
                  <c:v>7.1850980108402878</c:v>
                </c:pt>
                <c:pt idx="3">
                  <c:v>6.3891458528319731</c:v>
                </c:pt>
                <c:pt idx="4">
                  <c:v>1.5850900895372917</c:v>
                </c:pt>
                <c:pt idx="5">
                  <c:v>24.119384604603098</c:v>
                </c:pt>
                <c:pt idx="6">
                  <c:v>19.298096184534991</c:v>
                </c:pt>
                <c:pt idx="7">
                  <c:v>1.3905406038798651</c:v>
                </c:pt>
                <c:pt idx="8">
                  <c:v>4.6966583725535518</c:v>
                </c:pt>
                <c:pt idx="9">
                  <c:v>1.7192544778433381</c:v>
                </c:pt>
              </c:numCache>
            </c:numRef>
          </c:val>
          <c:extLst>
            <c:ext xmlns:c16="http://schemas.microsoft.com/office/drawing/2014/chart" uri="{C3380CC4-5D6E-409C-BE32-E72D297353CC}">
              <c16:uniqueId val="{00000000-5DB0-4F46-B300-330E50DDC8F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C"/>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C"/>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EC"/>
        </a:p>
      </c:txPr>
    </c:title>
    <c:autoTitleDeleted val="0"/>
    <c:plotArea>
      <c:layout>
        <c:manualLayout>
          <c:layoutTarget val="inner"/>
          <c:xMode val="edge"/>
          <c:yMode val="edge"/>
          <c:x val="0.2767602985796988"/>
          <c:y val="0.19960759534687794"/>
          <c:w val="0.4590877558744873"/>
          <c:h val="0.59936457016946953"/>
        </c:manualLayout>
      </c:layout>
      <c:pieChart>
        <c:varyColors val="1"/>
        <c:ser>
          <c:idx val="0"/>
          <c:order val="0"/>
          <c:tx>
            <c:strRef>
              <c:f>'Resumen costos directos'!$B$3:$E$3</c:f>
              <c:strCache>
                <c:ptCount val="1"/>
                <c:pt idx="0">
                  <c:v>Análisis Global Costos Directos</c:v>
                </c:pt>
              </c:strCache>
            </c:strRef>
          </c:tx>
          <c:dPt>
            <c:idx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c:ext xmlns:c16="http://schemas.microsoft.com/office/drawing/2014/chart" uri="{C3380CC4-5D6E-409C-BE32-E72D297353CC}">
                <c16:uniqueId val="{00000001-6913-415E-B002-F4992955C450}"/>
              </c:ext>
            </c:extLst>
          </c:dPt>
          <c:dPt>
            <c:idx val="1"/>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c:ext xmlns:c16="http://schemas.microsoft.com/office/drawing/2014/chart" uri="{C3380CC4-5D6E-409C-BE32-E72D297353CC}">
                <c16:uniqueId val="{00000003-6913-415E-B002-F4992955C450}"/>
              </c:ext>
            </c:extLst>
          </c:dPt>
          <c:dPt>
            <c:idx val="2"/>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c:ext xmlns:c16="http://schemas.microsoft.com/office/drawing/2014/chart" uri="{C3380CC4-5D6E-409C-BE32-E72D297353CC}">
                <c16:uniqueId val="{00000005-6913-415E-B002-F4992955C450}"/>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2">
                        <a:lumMod val="75000"/>
                      </a:schemeClr>
                    </a:solidFill>
                    <a:latin typeface="+mn-lt"/>
                    <a:ea typeface="+mn-ea"/>
                    <a:cs typeface="+mn-cs"/>
                  </a:defRPr>
                </a:pPr>
                <a:endParaRPr lang="es-EC"/>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'Resumen costos directos'!$B$4:$B$6</c:f>
              <c:strCache>
                <c:ptCount val="3"/>
                <c:pt idx="0">
                  <c:v>Obra Gris</c:v>
                </c:pt>
                <c:pt idx="1">
                  <c:v>Eléctricos</c:v>
                </c:pt>
                <c:pt idx="2">
                  <c:v>Acabados</c:v>
                </c:pt>
              </c:strCache>
            </c:strRef>
          </c:cat>
          <c:val>
            <c:numRef>
              <c:f>'Resumen costos directos'!$E$4:$E$6</c:f>
              <c:numCache>
                <c:formatCode>0.0</c:formatCode>
                <c:ptCount val="3"/>
                <c:pt idx="0">
                  <c:v>71.14450678832074</c:v>
                </c:pt>
                <c:pt idx="1">
                  <c:v>5.6152631990441684</c:v>
                </c:pt>
                <c:pt idx="2">
                  <c:v>23.240230012635095</c:v>
                </c:pt>
              </c:numCache>
            </c:numRef>
          </c:val>
          <c:extLst>
            <c:ext xmlns:c16="http://schemas.microsoft.com/office/drawing/2014/chart" uri="{C3380CC4-5D6E-409C-BE32-E72D297353CC}">
              <c16:uniqueId val="{00000000-AC3B-4621-8776-DFAAC583F842}"/>
            </c:ext>
          </c:extLst>
        </c:ser>
        <c:dLbls>
          <c:showLegendKey val="0"/>
          <c:showVal val="0"/>
          <c:showCatName val="0"/>
          <c:showSerName val="0"/>
          <c:showPercent val="0"/>
          <c:showBubbleSize val="0"/>
          <c:showLeaderLines val="0"/>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EC"/>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s-EC"/>
        </a:p>
      </c:txPr>
    </c:title>
    <c:autoTitleDeleted val="0"/>
    <c:plotArea>
      <c:layout/>
      <c:pieChart>
        <c:varyColors val="1"/>
        <c:ser>
          <c:idx val="0"/>
          <c:order val="0"/>
          <c:tx>
            <c:strRef>
              <c:f>'Indirectos Consultorias'!$B$9</c:f>
              <c:strCache>
                <c:ptCount val="1"/>
                <c:pt idx="0">
                  <c:v>COSTOS INDIRECTOS CONSULTORIAS</c:v>
                </c:pt>
              </c:strCache>
            </c:strRef>
          </c:tx>
          <c:dPt>
            <c:idx val="0"/>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DCF6-42E0-95F7-FEB13D1D1C5C}"/>
              </c:ext>
            </c:extLst>
          </c:dPt>
          <c:dPt>
            <c:idx val="1"/>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DCF6-42E0-95F7-FEB13D1D1C5C}"/>
              </c:ext>
            </c:extLst>
          </c:dPt>
          <c:dPt>
            <c:idx val="2"/>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DCF6-42E0-95F7-FEB13D1D1C5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C"/>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('Indirectos Consultorias'!$B$14,'Indirectos Consultorias'!$B$36,'Indirectos Consultorias'!$B$49)</c:f>
              <c:strCache>
                <c:ptCount val="3"/>
                <c:pt idx="0">
                  <c:v>A 1.- AREA ADMINISTRATIVA</c:v>
                </c:pt>
                <c:pt idx="1">
                  <c:v>B - OPERACION</c:v>
                </c:pt>
                <c:pt idx="2">
                  <c:v>C - VARIOS</c:v>
                </c:pt>
              </c:strCache>
            </c:strRef>
          </c:cat>
          <c:val>
            <c:numRef>
              <c:f>('Indirectos Consultorias'!$M$12,'Indirectos Consultorias'!$M$36,'Indirectos Consultorias'!$M$49)</c:f>
              <c:numCache>
                <c:formatCode>0.0%</c:formatCode>
                <c:ptCount val="3"/>
                <c:pt idx="0">
                  <c:v>0.69867431596129925</c:v>
                </c:pt>
                <c:pt idx="1">
                  <c:v>3.6608847930649217E-2</c:v>
                </c:pt>
                <c:pt idx="2">
                  <c:v>0.26471683610805158</c:v>
                </c:pt>
              </c:numCache>
            </c:numRef>
          </c:val>
          <c:extLst>
            <c:ext xmlns:c16="http://schemas.microsoft.com/office/drawing/2014/chart" uri="{C3380CC4-5D6E-409C-BE32-E72D297353CC}">
              <c16:uniqueId val="{00000006-DCF6-42E0-95F7-FEB13D1D1C5C}"/>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9637645950711304"/>
          <c:y val="0.59993716398833041"/>
          <c:w val="0.37736533480360912"/>
          <c:h val="0.34553991160026931"/>
        </c:manualLayout>
      </c:layout>
      <c:overlay val="0"/>
      <c:spPr>
        <a:solidFill>
          <a:schemeClr val="lt1">
            <a:alpha val="78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C"/>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3.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6.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469807</xdr:colOff>
      <xdr:row>0</xdr:row>
      <xdr:rowOff>61074</xdr:rowOff>
    </xdr:from>
    <xdr:to>
      <xdr:col>0</xdr:col>
      <xdr:colOff>2112465</xdr:colOff>
      <xdr:row>4</xdr:row>
      <xdr:rowOff>18209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12336" y="273986"/>
          <a:ext cx="1642658" cy="7639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552450</xdr:colOff>
      <xdr:row>0</xdr:row>
      <xdr:rowOff>85725</xdr:rowOff>
    </xdr:from>
    <xdr:to>
      <xdr:col>1</xdr:col>
      <xdr:colOff>619125</xdr:colOff>
      <xdr:row>0</xdr:row>
      <xdr:rowOff>857250</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2450" y="85725"/>
          <a:ext cx="1371600" cy="7715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190500</xdr:colOff>
      <xdr:row>0</xdr:row>
      <xdr:rowOff>76200</xdr:rowOff>
    </xdr:from>
    <xdr:to>
      <xdr:col>13</xdr:col>
      <xdr:colOff>438150</xdr:colOff>
      <xdr:row>19</xdr:row>
      <xdr:rowOff>95249</xdr:rowOff>
    </xdr:to>
    <xdr:graphicFrame macro="">
      <xdr:nvGraphicFramePr>
        <xdr:cNvPr id="2" name="Gráfico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0.5785</cdr:x>
      <cdr:y>0.07709</cdr:y>
    </cdr:from>
    <cdr:to>
      <cdr:x>0.96758</cdr:x>
      <cdr:y>0.27195</cdr:y>
    </cdr:to>
    <cdr:sp macro="" textlink="">
      <cdr:nvSpPr>
        <cdr:cNvPr id="3" name="CuadroTexto 2"/>
        <cdr:cNvSpPr txBox="1"/>
      </cdr:nvSpPr>
      <cdr:spPr>
        <a:xfrm xmlns:a="http://schemas.openxmlformats.org/drawingml/2006/main">
          <a:off x="3228975" y="342900"/>
          <a:ext cx="2171700" cy="866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Terreno    </a:t>
          </a:r>
          <a:r>
            <a:rPr lang="en-US" sz="1100"/>
            <a:t>                $1,500,000</a:t>
          </a:r>
        </a:p>
        <a:p xmlns:a="http://schemas.openxmlformats.org/drawingml/2006/main">
          <a:r>
            <a:rPr lang="en-US" sz="1100" b="1"/>
            <a:t>Costos</a:t>
          </a:r>
          <a:r>
            <a:rPr lang="en-US" sz="1100" b="1" baseline="0"/>
            <a:t> Indirectos</a:t>
          </a:r>
          <a:r>
            <a:rPr lang="en-US" sz="1100" baseline="0"/>
            <a:t>   $ 397,496,00</a:t>
          </a:r>
        </a:p>
        <a:p xmlns:a="http://schemas.openxmlformats.org/drawingml/2006/main">
          <a:r>
            <a:rPr lang="en-US" sz="1100" b="1" baseline="0"/>
            <a:t>Costos Directos      </a:t>
          </a:r>
          <a:r>
            <a:rPr lang="en-US" sz="1100" baseline="0"/>
            <a:t>$2,011,667,00</a:t>
          </a:r>
        </a:p>
        <a:p xmlns:a="http://schemas.openxmlformats.org/drawingml/2006/main">
          <a:r>
            <a:rPr lang="en-US" sz="1100" b="1" i="1" baseline="0"/>
            <a:t>Total                         $ 3,909,163,00</a:t>
          </a:r>
          <a:endParaRPr lang="en-US" sz="1100" b="1" i="1"/>
        </a:p>
      </cdr:txBody>
    </cdr:sp>
  </cdr:relSizeAnchor>
</c:userShapes>
</file>

<file path=xl/drawings/drawing13.xml><?xml version="1.0" encoding="utf-8"?>
<xdr:wsDr xmlns:xdr="http://schemas.openxmlformats.org/drawingml/2006/spreadsheetDrawing" xmlns:a="http://schemas.openxmlformats.org/drawingml/2006/main">
  <xdr:twoCellAnchor>
    <xdr:from>
      <xdr:col>6</xdr:col>
      <xdr:colOff>761999</xdr:colOff>
      <xdr:row>1</xdr:row>
      <xdr:rowOff>90487</xdr:rowOff>
    </xdr:from>
    <xdr:to>
      <xdr:col>12</xdr:col>
      <xdr:colOff>723899</xdr:colOff>
      <xdr:row>15</xdr:row>
      <xdr:rowOff>104775</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380999</xdr:colOff>
      <xdr:row>16</xdr:row>
      <xdr:rowOff>66674</xdr:rowOff>
    </xdr:from>
    <xdr:to>
      <xdr:col>12</xdr:col>
      <xdr:colOff>266699</xdr:colOff>
      <xdr:row>32</xdr:row>
      <xdr:rowOff>76199</xdr:rowOff>
    </xdr:to>
    <xdr:graphicFrame macro="">
      <xdr:nvGraphicFramePr>
        <xdr:cNvPr id="3" name="Gráfico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104774</xdr:colOff>
      <xdr:row>3</xdr:row>
      <xdr:rowOff>0</xdr:rowOff>
    </xdr:from>
    <xdr:to>
      <xdr:col>16</xdr:col>
      <xdr:colOff>38099</xdr:colOff>
      <xdr:row>272</xdr:row>
      <xdr:rowOff>38100</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9</xdr:col>
      <xdr:colOff>81311</xdr:colOff>
      <xdr:row>0</xdr:row>
      <xdr:rowOff>155884</xdr:rowOff>
    </xdr:from>
    <xdr:to>
      <xdr:col>17</xdr:col>
      <xdr:colOff>104542</xdr:colOff>
      <xdr:row>97</xdr:row>
      <xdr:rowOff>127775</xdr:rowOff>
    </xdr:to>
    <xdr:graphicFrame macro="">
      <xdr:nvGraphicFramePr>
        <xdr:cNvPr id="2" name="Gráfico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9</xdr:col>
      <xdr:colOff>65483</xdr:colOff>
      <xdr:row>0</xdr:row>
      <xdr:rowOff>241695</xdr:rowOff>
    </xdr:from>
    <xdr:to>
      <xdr:col>18</xdr:col>
      <xdr:colOff>476250</xdr:colOff>
      <xdr:row>121</xdr:row>
      <xdr:rowOff>71438</xdr:rowOff>
    </xdr:to>
    <xdr:graphicFrame macro="">
      <xdr:nvGraphicFramePr>
        <xdr:cNvPr id="3" name="Gráfico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314325</xdr:colOff>
      <xdr:row>1</xdr:row>
      <xdr:rowOff>9525</xdr:rowOff>
    </xdr:from>
    <xdr:to>
      <xdr:col>11</xdr:col>
      <xdr:colOff>733425</xdr:colOff>
      <xdr:row>17</xdr:row>
      <xdr:rowOff>47625</xdr:rowOff>
    </xdr:to>
    <xdr:graphicFrame macro="">
      <xdr:nvGraphicFramePr>
        <xdr:cNvPr id="2" name="Gráfico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0.65267</cdr:x>
      <cdr:y>0.10647</cdr:y>
    </cdr:from>
    <cdr:to>
      <cdr:x>0.9771</cdr:x>
      <cdr:y>0.24426</cdr:y>
    </cdr:to>
    <cdr:sp macro="" textlink="">
      <cdr:nvSpPr>
        <cdr:cNvPr id="2" name="CuadroTexto 1"/>
        <cdr:cNvSpPr txBox="1"/>
      </cdr:nvSpPr>
      <cdr:spPr>
        <a:xfrm xmlns:a="http://schemas.openxmlformats.org/drawingml/2006/main">
          <a:off x="3257550" y="485775"/>
          <a:ext cx="1619250" cy="628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Obra Gris     $ 1,431,190</a:t>
          </a:r>
        </a:p>
        <a:p xmlns:a="http://schemas.openxmlformats.org/drawingml/2006/main">
          <a:r>
            <a:rPr lang="en-US" sz="1100"/>
            <a:t>Eléctricos     $     112,960</a:t>
          </a:r>
        </a:p>
        <a:p xmlns:a="http://schemas.openxmlformats.org/drawingml/2006/main">
          <a:r>
            <a:rPr lang="en-US" sz="1100"/>
            <a:t>Acabados     $    </a:t>
          </a:r>
          <a:r>
            <a:rPr lang="en-US" sz="1100" baseline="0"/>
            <a:t> 467,516</a:t>
          </a:r>
          <a:endParaRPr lang="en-US" sz="1100"/>
        </a:p>
      </cdr:txBody>
    </cdr:sp>
  </cdr:relSizeAnchor>
</c:userShapes>
</file>

<file path=xl/drawings/drawing19.xml><?xml version="1.0" encoding="utf-8"?>
<xdr:wsDr xmlns:xdr="http://schemas.openxmlformats.org/drawingml/2006/spreadsheetDrawing" xmlns:a="http://schemas.openxmlformats.org/drawingml/2006/main">
  <xdr:twoCellAnchor>
    <xdr:from>
      <xdr:col>13</xdr:col>
      <xdr:colOff>419099</xdr:colOff>
      <xdr:row>11</xdr:row>
      <xdr:rowOff>19050</xdr:rowOff>
    </xdr:from>
    <xdr:to>
      <xdr:col>20</xdr:col>
      <xdr:colOff>38100</xdr:colOff>
      <xdr:row>26</xdr:row>
      <xdr:rowOff>85725</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732366</xdr:colOff>
      <xdr:row>0</xdr:row>
      <xdr:rowOff>138642</xdr:rowOff>
    </xdr:from>
    <xdr:to>
      <xdr:col>1</xdr:col>
      <xdr:colOff>799041</xdr:colOff>
      <xdr:row>1</xdr:row>
      <xdr:rowOff>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2366" y="138642"/>
          <a:ext cx="1368425" cy="77152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0.49453</cdr:x>
      <cdr:y>0.13879</cdr:y>
    </cdr:from>
    <cdr:to>
      <cdr:x>1</cdr:x>
      <cdr:y>0.44362</cdr:y>
    </cdr:to>
    <cdr:sp macro="" textlink="">
      <cdr:nvSpPr>
        <cdr:cNvPr id="3" name="CuadroTexto 1"/>
        <cdr:cNvSpPr txBox="1"/>
      </cdr:nvSpPr>
      <cdr:spPr>
        <a:xfrm xmlns:a="http://schemas.openxmlformats.org/drawingml/2006/main">
          <a:off x="2449408" y="355600"/>
          <a:ext cx="2503593" cy="781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t>Área administrativa     $ 26,451.00</a:t>
          </a:r>
        </a:p>
        <a:p xmlns:a="http://schemas.openxmlformats.org/drawingml/2006/main">
          <a:r>
            <a:rPr lang="en-US" sz="1100" baseline="0"/>
            <a:t>Operación                      $    1386.00</a:t>
          </a:r>
        </a:p>
        <a:p xmlns:a="http://schemas.openxmlformats.org/drawingml/2006/main">
          <a:r>
            <a:rPr lang="en-US" sz="1100" baseline="0"/>
            <a:t>Varios                             $ 10,022.00</a:t>
          </a:r>
        </a:p>
        <a:p xmlns:a="http://schemas.openxmlformats.org/drawingml/2006/main">
          <a:r>
            <a:rPr lang="en-US" sz="1100" baseline="0"/>
            <a:t>Total                               $ 37,859.00			</a:t>
          </a:r>
          <a:endParaRPr lang="en-US" sz="1100"/>
        </a:p>
      </cdr:txBody>
    </cdr:sp>
  </cdr:relSizeAnchor>
</c:userShapes>
</file>

<file path=xl/drawings/drawing21.xml><?xml version="1.0" encoding="utf-8"?>
<xdr:wsDr xmlns:xdr="http://schemas.openxmlformats.org/drawingml/2006/spreadsheetDrawing" xmlns:a="http://schemas.openxmlformats.org/drawingml/2006/main">
  <xdr:twoCellAnchor>
    <xdr:from>
      <xdr:col>27</xdr:col>
      <xdr:colOff>107156</xdr:colOff>
      <xdr:row>10</xdr:row>
      <xdr:rowOff>164305</xdr:rowOff>
    </xdr:from>
    <xdr:to>
      <xdr:col>34</xdr:col>
      <xdr:colOff>71438</xdr:colOff>
      <xdr:row>45</xdr:row>
      <xdr:rowOff>35718</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0.51212</cdr:x>
      <cdr:y>0.12761</cdr:y>
    </cdr:from>
    <cdr:to>
      <cdr:x>1</cdr:x>
      <cdr:y>0.35843</cdr:y>
    </cdr:to>
    <cdr:sp macro="" textlink="">
      <cdr:nvSpPr>
        <cdr:cNvPr id="2" name="CuadroTexto 1"/>
        <cdr:cNvSpPr txBox="1"/>
      </cdr:nvSpPr>
      <cdr:spPr>
        <a:xfrm xmlns:a="http://schemas.openxmlformats.org/drawingml/2006/main">
          <a:off x="2628000" y="431800"/>
          <a:ext cx="2503593" cy="781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baseline="0"/>
            <a:t>Área administrativa     $    67,060.00</a:t>
          </a:r>
        </a:p>
        <a:p xmlns:a="http://schemas.openxmlformats.org/drawingml/2006/main">
          <a:r>
            <a:rPr lang="en-US" sz="1100" b="1" baseline="0"/>
            <a:t>Operación                      $    10,003.00</a:t>
          </a:r>
        </a:p>
        <a:p xmlns:a="http://schemas.openxmlformats.org/drawingml/2006/main">
          <a:r>
            <a:rPr lang="en-US" sz="1100" b="1" baseline="0"/>
            <a:t>Varios                             $       3,304.00</a:t>
          </a:r>
        </a:p>
        <a:p xmlns:a="http://schemas.openxmlformats.org/drawingml/2006/main">
          <a:r>
            <a:rPr lang="en-US" sz="1100" b="1" baseline="0"/>
            <a:t>Total                               $     80,367.00</a:t>
          </a:r>
          <a:r>
            <a:rPr lang="en-US" sz="1100" baseline="0"/>
            <a:t>			</a:t>
          </a:r>
          <a:endParaRPr lang="en-US" sz="1100"/>
        </a:p>
      </cdr:txBody>
    </cdr:sp>
  </cdr:relSizeAnchor>
</c:userShapes>
</file>

<file path=xl/drawings/drawing23.xml><?xml version="1.0" encoding="utf-8"?>
<xdr:wsDr xmlns:xdr="http://schemas.openxmlformats.org/drawingml/2006/spreadsheetDrawing" xmlns:a="http://schemas.openxmlformats.org/drawingml/2006/main">
  <xdr:twoCellAnchor>
    <xdr:from>
      <xdr:col>24</xdr:col>
      <xdr:colOff>114300</xdr:colOff>
      <xdr:row>21</xdr:row>
      <xdr:rowOff>19050</xdr:rowOff>
    </xdr:from>
    <xdr:to>
      <xdr:col>30</xdr:col>
      <xdr:colOff>114300</xdr:colOff>
      <xdr:row>62</xdr:row>
      <xdr:rowOff>133350</xdr:rowOff>
    </xdr:to>
    <xdr:graphicFrame macro="">
      <xdr:nvGraphicFramePr>
        <xdr:cNvPr id="3" name="Gráfico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409574</xdr:colOff>
      <xdr:row>181</xdr:row>
      <xdr:rowOff>85724</xdr:rowOff>
    </xdr:from>
    <xdr:to>
      <xdr:col>9</xdr:col>
      <xdr:colOff>352425</xdr:colOff>
      <xdr:row>207</xdr:row>
      <xdr:rowOff>95250</xdr:rowOff>
    </xdr:to>
    <xdr:graphicFrame macro="">
      <xdr:nvGraphicFramePr>
        <xdr:cNvPr id="2" name="Gráfico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186</xdr:row>
      <xdr:rowOff>85725</xdr:rowOff>
    </xdr:from>
    <xdr:to>
      <xdr:col>3</xdr:col>
      <xdr:colOff>561975</xdr:colOff>
      <xdr:row>188</xdr:row>
      <xdr:rowOff>47625</xdr:rowOff>
    </xdr:to>
    <xdr:sp macro="" textlink="">
      <xdr:nvSpPr>
        <xdr:cNvPr id="4" name="CuadroTexto 3">
          <a:extLst>
            <a:ext uri="{FF2B5EF4-FFF2-40B4-BE49-F238E27FC236}">
              <a16:creationId xmlns:a16="http://schemas.microsoft.com/office/drawing/2014/main" id="{9C30D767-5A08-4E07-82CA-86056550448F}"/>
            </a:ext>
          </a:extLst>
        </xdr:cNvPr>
        <xdr:cNvSpPr txBox="1"/>
      </xdr:nvSpPr>
      <xdr:spPr>
        <a:xfrm>
          <a:off x="1009650" y="13315950"/>
          <a:ext cx="7143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100"/>
            <a:t>$48,739</a:t>
          </a:r>
        </a:p>
      </xdr:txBody>
    </xdr:sp>
    <xdr:clientData/>
  </xdr:twoCellAnchor>
</xdr:wsDr>
</file>

<file path=xl/drawings/drawing24.xml><?xml version="1.0" encoding="utf-8"?>
<c:userShapes xmlns:c="http://schemas.openxmlformats.org/drawingml/2006/chart">
  <cdr:relSizeAnchor xmlns:cdr="http://schemas.openxmlformats.org/drawingml/2006/chartDrawing">
    <cdr:from>
      <cdr:x>0.57083</cdr:x>
      <cdr:y>0.15278</cdr:y>
    </cdr:from>
    <cdr:to>
      <cdr:x>0.77083</cdr:x>
      <cdr:y>0.48611</cdr:y>
    </cdr:to>
    <cdr:sp macro="" textlink="">
      <cdr:nvSpPr>
        <cdr:cNvPr id="2" name="CuadroTexto 1"/>
        <cdr:cNvSpPr txBox="1"/>
      </cdr:nvSpPr>
      <cdr:spPr>
        <a:xfrm xmlns:a="http://schemas.openxmlformats.org/drawingml/2006/main">
          <a:off x="2609850" y="4191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0.57917</cdr:x>
      <cdr:y>0.67708</cdr:y>
    </cdr:from>
    <cdr:to>
      <cdr:x>0.9875</cdr:x>
      <cdr:y>0.96181</cdr:y>
    </cdr:to>
    <cdr:sp macro="" textlink="">
      <cdr:nvSpPr>
        <cdr:cNvPr id="3" name="CuadroTexto 2"/>
        <cdr:cNvSpPr txBox="1"/>
      </cdr:nvSpPr>
      <cdr:spPr>
        <a:xfrm xmlns:a="http://schemas.openxmlformats.org/drawingml/2006/main">
          <a:off x="2647950" y="1857376"/>
          <a:ext cx="1866899" cy="781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baseline="0"/>
            <a:t>Área técnica     $ 38,880.00</a:t>
          </a:r>
        </a:p>
        <a:p xmlns:a="http://schemas.openxmlformats.org/drawingml/2006/main">
          <a:r>
            <a:rPr lang="en-US" sz="1100" b="1" baseline="0"/>
            <a:t>Localización        $ 7,740.00</a:t>
          </a:r>
        </a:p>
        <a:p xmlns:a="http://schemas.openxmlformats.org/drawingml/2006/main">
          <a:r>
            <a:rPr lang="en-US" sz="1100" b="1" baseline="0"/>
            <a:t>Varios               $ 189,650.00</a:t>
          </a:r>
        </a:p>
        <a:p xmlns:a="http://schemas.openxmlformats.org/drawingml/2006/main">
          <a:r>
            <a:rPr lang="en-US" sz="1100" b="1" baseline="0"/>
            <a:t>Total                  $ 236,270.00</a:t>
          </a:r>
          <a:r>
            <a:rPr lang="en-US" sz="1100" baseline="0"/>
            <a:t>			</a:t>
          </a:r>
          <a:endParaRPr lang="en-US" sz="1100"/>
        </a:p>
      </cdr:txBody>
    </cdr:sp>
  </cdr:relSizeAnchor>
</c:userShapes>
</file>

<file path=xl/drawings/drawing25.xml><?xml version="1.0" encoding="utf-8"?>
<c:userShapes xmlns:c="http://schemas.openxmlformats.org/drawingml/2006/chart">
  <cdr:relSizeAnchor xmlns:cdr="http://schemas.openxmlformats.org/drawingml/2006/chartDrawing">
    <cdr:from>
      <cdr:x>0.13043</cdr:x>
      <cdr:y>0.19693</cdr:y>
    </cdr:from>
    <cdr:to>
      <cdr:x>0.26435</cdr:x>
      <cdr:y>0.2532</cdr:y>
    </cdr:to>
    <cdr:sp macro="" textlink="">
      <cdr:nvSpPr>
        <cdr:cNvPr id="2" name="CuadroTexto 1">
          <a:extLst xmlns:a="http://schemas.openxmlformats.org/drawingml/2006/main">
            <a:ext uri="{FF2B5EF4-FFF2-40B4-BE49-F238E27FC236}">
              <a16:creationId xmlns:a16="http://schemas.microsoft.com/office/drawing/2014/main" id="{2C0728A9-43EE-41BC-8371-E5EFEF9A0E66}"/>
            </a:ext>
          </a:extLst>
        </cdr:cNvPr>
        <cdr:cNvSpPr txBox="1"/>
      </cdr:nvSpPr>
      <cdr:spPr>
        <a:xfrm xmlns:a="http://schemas.openxmlformats.org/drawingml/2006/main">
          <a:off x="714376" y="733426"/>
          <a:ext cx="733425"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C" sz="1100"/>
        </a:p>
      </cdr:txBody>
    </cdr:sp>
  </cdr:relSizeAnchor>
  <cdr:relSizeAnchor xmlns:cdr="http://schemas.openxmlformats.org/drawingml/2006/chartDrawing">
    <cdr:from>
      <cdr:x>0.7571</cdr:x>
      <cdr:y>0.16454</cdr:y>
    </cdr:from>
    <cdr:to>
      <cdr:x>0.88754</cdr:x>
      <cdr:y>0.23103</cdr:y>
    </cdr:to>
    <cdr:sp macro="" textlink="">
      <cdr:nvSpPr>
        <cdr:cNvPr id="3" name="CuadroTexto 3">
          <a:extLst xmlns:a="http://schemas.openxmlformats.org/drawingml/2006/main">
            <a:ext uri="{FF2B5EF4-FFF2-40B4-BE49-F238E27FC236}">
              <a16:creationId xmlns:a16="http://schemas.microsoft.com/office/drawing/2014/main" id="{9C30D767-5A08-4E07-82CA-86056550448F}"/>
            </a:ext>
          </a:extLst>
        </cdr:cNvPr>
        <cdr:cNvSpPr txBox="1"/>
      </cdr:nvSpPr>
      <cdr:spPr>
        <a:xfrm xmlns:a="http://schemas.openxmlformats.org/drawingml/2006/main">
          <a:off x="4146550" y="612775"/>
          <a:ext cx="714375" cy="2476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C" sz="1100"/>
            <a:t>$349,261</a:t>
          </a:r>
        </a:p>
      </cdr:txBody>
    </cdr:sp>
  </cdr:relSizeAnchor>
  <cdr:relSizeAnchor xmlns:cdr="http://schemas.openxmlformats.org/drawingml/2006/chartDrawing">
    <cdr:from>
      <cdr:x>0.53275</cdr:x>
      <cdr:y>0.46121</cdr:y>
    </cdr:from>
    <cdr:to>
      <cdr:x>0.66319</cdr:x>
      <cdr:y>0.52771</cdr:y>
    </cdr:to>
    <cdr:sp macro="" textlink="">
      <cdr:nvSpPr>
        <cdr:cNvPr id="4" name="CuadroTexto 3">
          <a:extLst xmlns:a="http://schemas.openxmlformats.org/drawingml/2006/main">
            <a:ext uri="{FF2B5EF4-FFF2-40B4-BE49-F238E27FC236}">
              <a16:creationId xmlns:a16="http://schemas.microsoft.com/office/drawing/2014/main" id="{9478A7C5-868D-4000-990D-50ABC9B33C7A}"/>
            </a:ext>
          </a:extLst>
        </cdr:cNvPr>
        <cdr:cNvSpPr txBox="1"/>
      </cdr:nvSpPr>
      <cdr:spPr>
        <a:xfrm xmlns:a="http://schemas.openxmlformats.org/drawingml/2006/main">
          <a:off x="2917825" y="1717675"/>
          <a:ext cx="714375" cy="2476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C" sz="1100"/>
            <a:t>$24,565</a:t>
          </a:r>
        </a:p>
      </cdr:txBody>
    </cdr:sp>
  </cdr:relSizeAnchor>
  <cdr:relSizeAnchor xmlns:cdr="http://schemas.openxmlformats.org/drawingml/2006/chartDrawing">
    <cdr:from>
      <cdr:x>0.21797</cdr:x>
      <cdr:y>0.33078</cdr:y>
    </cdr:from>
    <cdr:to>
      <cdr:x>0.34841</cdr:x>
      <cdr:y>0.39727</cdr:y>
    </cdr:to>
    <cdr:sp macro="" textlink="">
      <cdr:nvSpPr>
        <cdr:cNvPr id="5" name="CuadroTexto 1">
          <a:extLst xmlns:a="http://schemas.openxmlformats.org/drawingml/2006/main">
            <a:ext uri="{FF2B5EF4-FFF2-40B4-BE49-F238E27FC236}">
              <a16:creationId xmlns:a16="http://schemas.microsoft.com/office/drawing/2014/main" id="{2C3AC22C-5136-4355-9A3D-0EA7C27DF58D}"/>
            </a:ext>
          </a:extLst>
        </cdr:cNvPr>
        <cdr:cNvSpPr txBox="1"/>
      </cdr:nvSpPr>
      <cdr:spPr>
        <a:xfrm xmlns:a="http://schemas.openxmlformats.org/drawingml/2006/main">
          <a:off x="1193800" y="1231900"/>
          <a:ext cx="714375" cy="2476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C" sz="1100"/>
            <a:t>$36,906</a:t>
          </a:r>
        </a:p>
      </cdr:txBody>
    </cdr:sp>
  </cdr:relSizeAnchor>
</c:userShapes>
</file>

<file path=xl/drawings/drawing26.xml><?xml version="1.0" encoding="utf-8"?>
<xdr:wsDr xmlns:xdr="http://schemas.openxmlformats.org/drawingml/2006/spreadsheetDrawing" xmlns:a="http://schemas.openxmlformats.org/drawingml/2006/main">
  <xdr:twoCellAnchor>
    <xdr:from>
      <xdr:col>11</xdr:col>
      <xdr:colOff>685800</xdr:colOff>
      <xdr:row>0</xdr:row>
      <xdr:rowOff>0</xdr:rowOff>
    </xdr:from>
    <xdr:to>
      <xdr:col>18</xdr:col>
      <xdr:colOff>428625</xdr:colOff>
      <xdr:row>21</xdr:row>
      <xdr:rowOff>57151</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114298</xdr:colOff>
      <xdr:row>0</xdr:row>
      <xdr:rowOff>28576</xdr:rowOff>
    </xdr:from>
    <xdr:to>
      <xdr:col>12</xdr:col>
      <xdr:colOff>514349</xdr:colOff>
      <xdr:row>21</xdr:row>
      <xdr:rowOff>76200</xdr:rowOff>
    </xdr:to>
    <xdr:graphicFrame macro="">
      <xdr:nvGraphicFramePr>
        <xdr:cNvPr id="3" name="Gráfico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0.72259</cdr:x>
      <cdr:y>0.19059</cdr:y>
    </cdr:from>
    <cdr:to>
      <cdr:x>0.95183</cdr:x>
      <cdr:y>0.34118</cdr:y>
    </cdr:to>
    <cdr:sp macro="" textlink="">
      <cdr:nvSpPr>
        <cdr:cNvPr id="2" name="CuadroTexto 1"/>
        <cdr:cNvSpPr txBox="1"/>
      </cdr:nvSpPr>
      <cdr:spPr>
        <a:xfrm xmlns:a="http://schemas.openxmlformats.org/drawingml/2006/main">
          <a:off x="4143377" y="771524"/>
          <a:ext cx="1314450" cy="609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0.64729</cdr:x>
      <cdr:y>0.0949</cdr:y>
    </cdr:from>
    <cdr:to>
      <cdr:x>1</cdr:x>
      <cdr:y>0.28784</cdr:y>
    </cdr:to>
    <cdr:sp macro="" textlink="">
      <cdr:nvSpPr>
        <cdr:cNvPr id="3" name="CuadroTexto 1"/>
        <cdr:cNvSpPr txBox="1"/>
      </cdr:nvSpPr>
      <cdr:spPr>
        <a:xfrm xmlns:a="http://schemas.openxmlformats.org/drawingml/2006/main">
          <a:off x="3711579" y="384175"/>
          <a:ext cx="2022472" cy="781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baseline="0"/>
            <a:t>Consultorias           $ 37,860.00</a:t>
          </a:r>
        </a:p>
        <a:p xmlns:a="http://schemas.openxmlformats.org/drawingml/2006/main">
          <a:r>
            <a:rPr lang="en-US" sz="1100" b="1" baseline="0"/>
            <a:t>Administrativo       $ 80,367.00</a:t>
          </a:r>
        </a:p>
        <a:p xmlns:a="http://schemas.openxmlformats.org/drawingml/2006/main">
          <a:r>
            <a:rPr lang="en-US" sz="1100" b="1" baseline="0"/>
            <a:t>Obras                      $ 236,270.00</a:t>
          </a:r>
        </a:p>
        <a:p xmlns:a="http://schemas.openxmlformats.org/drawingml/2006/main">
          <a:r>
            <a:rPr lang="en-US" sz="1100" b="1" baseline="0"/>
            <a:t>Total                        $ 397,496.00</a:t>
          </a:r>
          <a:r>
            <a:rPr lang="en-US" sz="1100" baseline="0"/>
            <a:t>			</a:t>
          </a:r>
          <a:endParaRPr lang="en-US" sz="1100"/>
        </a:p>
      </cdr:txBody>
    </cdr:sp>
  </cdr:relSizeAnchor>
</c:userShapes>
</file>

<file path=xl/drawings/drawing29.xml><?xml version="1.0" encoding="utf-8"?>
<xdr:wsDr xmlns:xdr="http://schemas.openxmlformats.org/drawingml/2006/spreadsheetDrawing" xmlns:a="http://schemas.openxmlformats.org/drawingml/2006/main">
  <xdr:twoCellAnchor>
    <xdr:from>
      <xdr:col>16</xdr:col>
      <xdr:colOff>581024</xdr:colOff>
      <xdr:row>921</xdr:row>
      <xdr:rowOff>71436</xdr:rowOff>
    </xdr:from>
    <xdr:to>
      <xdr:col>24</xdr:col>
      <xdr:colOff>304800</xdr:colOff>
      <xdr:row>943</xdr:row>
      <xdr:rowOff>57150</xdr:rowOff>
    </xdr:to>
    <xdr:graphicFrame macro="">
      <xdr:nvGraphicFramePr>
        <xdr:cNvPr id="3" name="Gráfico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466725</xdr:colOff>
      <xdr:row>928</xdr:row>
      <xdr:rowOff>95250</xdr:rowOff>
    </xdr:from>
    <xdr:to>
      <xdr:col>19</xdr:col>
      <xdr:colOff>514350</xdr:colOff>
      <xdr:row>929</xdr:row>
      <xdr:rowOff>123825</xdr:rowOff>
    </xdr:to>
    <xdr:sp macro="" textlink="">
      <xdr:nvSpPr>
        <xdr:cNvPr id="4" name="CuadroTexto 3">
          <a:extLst>
            <a:ext uri="{FF2B5EF4-FFF2-40B4-BE49-F238E27FC236}">
              <a16:creationId xmlns:a16="http://schemas.microsoft.com/office/drawing/2014/main" id="{00000000-0008-0000-1600-000004000000}"/>
            </a:ext>
          </a:extLst>
        </xdr:cNvPr>
        <xdr:cNvSpPr txBox="1"/>
      </xdr:nvSpPr>
      <xdr:spPr>
        <a:xfrm>
          <a:off x="14487525" y="125377575"/>
          <a:ext cx="80962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100"/>
            <a:t>$ 165,712</a:t>
          </a:r>
        </a:p>
      </xdr:txBody>
    </xdr:sp>
    <xdr:clientData/>
  </xdr:twoCellAnchor>
  <xdr:twoCellAnchor>
    <xdr:from>
      <xdr:col>9</xdr:col>
      <xdr:colOff>514350</xdr:colOff>
      <xdr:row>921</xdr:row>
      <xdr:rowOff>119061</xdr:rowOff>
    </xdr:from>
    <xdr:to>
      <xdr:col>15</xdr:col>
      <xdr:colOff>781050</xdr:colOff>
      <xdr:row>940</xdr:row>
      <xdr:rowOff>66675</xdr:rowOff>
    </xdr:to>
    <xdr:graphicFrame macro="">
      <xdr:nvGraphicFramePr>
        <xdr:cNvPr id="2" name="Gráfico 1">
          <a:extLst>
            <a:ext uri="{FF2B5EF4-FFF2-40B4-BE49-F238E27FC236}">
              <a16:creationId xmlns:a16="http://schemas.microsoft.com/office/drawing/2014/main" id="{1063351C-D5D8-4F9B-B16C-999BB31809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552450</xdr:colOff>
      <xdr:row>0</xdr:row>
      <xdr:rowOff>85725</xdr:rowOff>
    </xdr:from>
    <xdr:to>
      <xdr:col>1</xdr:col>
      <xdr:colOff>952500</xdr:colOff>
      <xdr:row>0</xdr:row>
      <xdr:rowOff>857250</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2450" y="85725"/>
          <a:ext cx="1371600" cy="771525"/>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0.4334</cdr:x>
      <cdr:y>0.17649</cdr:y>
    </cdr:from>
    <cdr:to>
      <cdr:x>0.61048</cdr:x>
      <cdr:y>0.2446</cdr:y>
    </cdr:to>
    <cdr:sp macro="" textlink="">
      <cdr:nvSpPr>
        <cdr:cNvPr id="2" name="CuadroTexto 3">
          <a:extLst xmlns:a="http://schemas.openxmlformats.org/drawingml/2006/main">
            <a:ext uri="{FF2B5EF4-FFF2-40B4-BE49-F238E27FC236}">
              <a16:creationId xmlns:a16="http://schemas.microsoft.com/office/drawing/2014/main" id="{789435CC-4FC2-442B-8F04-57A751AED007}"/>
            </a:ext>
          </a:extLst>
        </cdr:cNvPr>
        <cdr:cNvSpPr txBox="1"/>
      </cdr:nvSpPr>
      <cdr:spPr>
        <a:xfrm xmlns:a="http://schemas.openxmlformats.org/drawingml/2006/main">
          <a:off x="2538828" y="737165"/>
          <a:ext cx="1037313" cy="28447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C" sz="1100"/>
            <a:t>$ 219,905</a:t>
          </a:r>
        </a:p>
      </cdr:txBody>
    </cdr:sp>
  </cdr:relSizeAnchor>
  <cdr:relSizeAnchor xmlns:cdr="http://schemas.openxmlformats.org/drawingml/2006/chartDrawing">
    <cdr:from>
      <cdr:x>0.6644</cdr:x>
      <cdr:y>0.50854</cdr:y>
    </cdr:from>
    <cdr:to>
      <cdr:x>0.79512</cdr:x>
      <cdr:y>0.5884</cdr:y>
    </cdr:to>
    <cdr:sp macro="" textlink="">
      <cdr:nvSpPr>
        <cdr:cNvPr id="3" name="CuadroTexto 3">
          <a:extLst xmlns:a="http://schemas.openxmlformats.org/drawingml/2006/main">
            <a:ext uri="{FF2B5EF4-FFF2-40B4-BE49-F238E27FC236}">
              <a16:creationId xmlns:a16="http://schemas.microsoft.com/office/drawing/2014/main" id="{789435CC-4FC2-442B-8F04-57A751AED007}"/>
            </a:ext>
          </a:extLst>
        </cdr:cNvPr>
        <cdr:cNvSpPr txBox="1"/>
      </cdr:nvSpPr>
      <cdr:spPr>
        <a:xfrm xmlns:a="http://schemas.openxmlformats.org/drawingml/2006/main">
          <a:off x="3891961" y="2124045"/>
          <a:ext cx="765765" cy="33355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C" sz="1100"/>
            <a:t>$165,712</a:t>
          </a:r>
        </a:p>
      </cdr:txBody>
    </cdr:sp>
  </cdr:relSizeAnchor>
</c:userShapes>
</file>

<file path=xl/drawings/drawing31.xml><?xml version="1.0" encoding="utf-8"?>
<c:userShapes xmlns:c="http://schemas.openxmlformats.org/drawingml/2006/chart">
  <cdr:relSizeAnchor xmlns:cdr="http://schemas.openxmlformats.org/drawingml/2006/chartDrawing">
    <cdr:from>
      <cdr:x>0.634</cdr:x>
      <cdr:y>0.12417</cdr:y>
    </cdr:from>
    <cdr:to>
      <cdr:x>0.812</cdr:x>
      <cdr:y>0.19359</cdr:y>
    </cdr:to>
    <cdr:sp macro="" textlink="">
      <cdr:nvSpPr>
        <cdr:cNvPr id="2" name="CuadroTexto 1">
          <a:extLst xmlns:a="http://schemas.openxmlformats.org/drawingml/2006/main">
            <a:ext uri="{FF2B5EF4-FFF2-40B4-BE49-F238E27FC236}">
              <a16:creationId xmlns:a16="http://schemas.microsoft.com/office/drawing/2014/main" id="{0B27B3A1-AEEA-49BC-9535-E77C0C09BDB1}"/>
            </a:ext>
          </a:extLst>
        </cdr:cNvPr>
        <cdr:cNvSpPr txBox="1"/>
      </cdr:nvSpPr>
      <cdr:spPr>
        <a:xfrm xmlns:a="http://schemas.openxmlformats.org/drawingml/2006/main">
          <a:off x="3019425" y="442914"/>
          <a:ext cx="8477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1100"/>
            <a:t>$3,772,681</a:t>
          </a:r>
        </a:p>
      </cdr:txBody>
    </cdr:sp>
  </cdr:relSizeAnchor>
  <cdr:relSizeAnchor xmlns:cdr="http://schemas.openxmlformats.org/drawingml/2006/chartDrawing">
    <cdr:from>
      <cdr:x>0.174</cdr:x>
      <cdr:y>0.16422</cdr:y>
    </cdr:from>
    <cdr:to>
      <cdr:x>0.356</cdr:x>
      <cdr:y>0.22296</cdr:y>
    </cdr:to>
    <cdr:sp macro="" textlink="">
      <cdr:nvSpPr>
        <cdr:cNvPr id="3" name="CuadroTexto 2">
          <a:extLst xmlns:a="http://schemas.openxmlformats.org/drawingml/2006/main">
            <a:ext uri="{FF2B5EF4-FFF2-40B4-BE49-F238E27FC236}">
              <a16:creationId xmlns:a16="http://schemas.microsoft.com/office/drawing/2014/main" id="{1EBABF83-E4D0-48A2-B27D-070C906AFA66}"/>
            </a:ext>
          </a:extLst>
        </cdr:cNvPr>
        <cdr:cNvSpPr txBox="1"/>
      </cdr:nvSpPr>
      <cdr:spPr>
        <a:xfrm xmlns:a="http://schemas.openxmlformats.org/drawingml/2006/main">
          <a:off x="828674" y="585789"/>
          <a:ext cx="866775"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1100"/>
            <a:t>$1,500,000</a:t>
          </a: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904875</xdr:colOff>
      <xdr:row>0</xdr:row>
      <xdr:rowOff>57151</xdr:rowOff>
    </xdr:from>
    <xdr:to>
      <xdr:col>1</xdr:col>
      <xdr:colOff>971550</xdr:colOff>
      <xdr:row>0</xdr:row>
      <xdr:rowOff>590551</xdr:rowOff>
    </xdr:to>
    <xdr:pic>
      <xdr:nvPicPr>
        <xdr:cNvPr id="2" name="Imagen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4875" y="57151"/>
          <a:ext cx="1371600" cy="533400"/>
        </a:xfrm>
        <a:prstGeom prst="rect">
          <a:avLst/>
        </a:prstGeom>
      </xdr:spPr>
    </xdr:pic>
    <xdr:clientData/>
  </xdr:twoCellAnchor>
  <xdr:twoCellAnchor editAs="oneCell">
    <xdr:from>
      <xdr:col>0</xdr:col>
      <xdr:colOff>1228725</xdr:colOff>
      <xdr:row>42</xdr:row>
      <xdr:rowOff>76200</xdr:rowOff>
    </xdr:from>
    <xdr:to>
      <xdr:col>3</xdr:col>
      <xdr:colOff>1190625</xdr:colOff>
      <xdr:row>57</xdr:row>
      <xdr:rowOff>76200</xdr:rowOff>
    </xdr:to>
    <xdr:pic>
      <xdr:nvPicPr>
        <xdr:cNvPr id="4" name="Imagen 3">
          <a:extLst>
            <a:ext uri="{FF2B5EF4-FFF2-40B4-BE49-F238E27FC236}">
              <a16:creationId xmlns:a16="http://schemas.microsoft.com/office/drawing/2014/main" id="{00000000-0008-0000-1700-000004000000}"/>
            </a:ext>
          </a:extLst>
        </xdr:cNvPr>
        <xdr:cNvPicPr/>
      </xdr:nvPicPr>
      <xdr:blipFill>
        <a:blip xmlns:r="http://schemas.openxmlformats.org/officeDocument/2006/relationships" r:embed="rId2"/>
        <a:stretch>
          <a:fillRect/>
        </a:stretch>
      </xdr:blipFill>
      <xdr:spPr>
        <a:xfrm>
          <a:off x="1228725" y="10629900"/>
          <a:ext cx="3810000" cy="37147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95249</xdr:colOff>
      <xdr:row>1</xdr:row>
      <xdr:rowOff>432195</xdr:rowOff>
    </xdr:from>
    <xdr:to>
      <xdr:col>21</xdr:col>
      <xdr:colOff>357187</xdr:colOff>
      <xdr:row>16</xdr:row>
      <xdr:rowOff>83343</xdr:rowOff>
    </xdr:to>
    <xdr:graphicFrame macro="">
      <xdr:nvGraphicFramePr>
        <xdr:cNvPr id="2" name="Gráfico 1">
          <a:extLst>
            <a:ext uri="{FF2B5EF4-FFF2-40B4-BE49-F238E27FC236}">
              <a16:creationId xmlns:a16="http://schemas.microsoft.com/office/drawing/2014/main" id="{6872B1EB-6CEF-462F-93E1-6028D5F266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4</xdr:col>
      <xdr:colOff>457201</xdr:colOff>
      <xdr:row>0</xdr:row>
      <xdr:rowOff>75142</xdr:rowOff>
    </xdr:from>
    <xdr:to>
      <xdr:col>6</xdr:col>
      <xdr:colOff>439209</xdr:colOff>
      <xdr:row>0</xdr:row>
      <xdr:rowOff>846667</xdr:rowOff>
    </xdr:to>
    <xdr:pic>
      <xdr:nvPicPr>
        <xdr:cNvPr id="2" name="Imagen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86451" y="75142"/>
          <a:ext cx="1368425" cy="771525"/>
        </a:xfrm>
        <a:prstGeom prst="rect">
          <a:avLst/>
        </a:prstGeom>
      </xdr:spPr>
    </xdr:pic>
    <xdr:clientData/>
  </xdr:twoCellAnchor>
  <xdr:twoCellAnchor editAs="oneCell">
    <xdr:from>
      <xdr:col>4</xdr:col>
      <xdr:colOff>148166</xdr:colOff>
      <xdr:row>10</xdr:row>
      <xdr:rowOff>10587</xdr:rowOff>
    </xdr:from>
    <xdr:to>
      <xdr:col>6</xdr:col>
      <xdr:colOff>793749</xdr:colOff>
      <xdr:row>20</xdr:row>
      <xdr:rowOff>216002</xdr:rowOff>
    </xdr:to>
    <xdr:pic>
      <xdr:nvPicPr>
        <xdr:cNvPr id="4" name="Imagen 3">
          <a:extLst>
            <a:ext uri="{FF2B5EF4-FFF2-40B4-BE49-F238E27FC236}">
              <a16:creationId xmlns:a16="http://schemas.microsoft.com/office/drawing/2014/main" id="{F6D13443-ABD3-409E-A667-28CDDA8B660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23" t="43267" r="32199" b="15759"/>
        <a:stretch/>
      </xdr:blipFill>
      <xdr:spPr>
        <a:xfrm rot="5400000">
          <a:off x="5416500" y="2743253"/>
          <a:ext cx="2353832" cy="2032000"/>
        </a:xfrm>
        <a:prstGeom prst="rect">
          <a:avLst/>
        </a:prstGeom>
      </xdr:spPr>
    </xdr:pic>
    <xdr:clientData/>
  </xdr:twoCellAnchor>
  <xdr:twoCellAnchor>
    <xdr:from>
      <xdr:col>4</xdr:col>
      <xdr:colOff>635001</xdr:colOff>
      <xdr:row>13</xdr:row>
      <xdr:rowOff>21166</xdr:rowOff>
    </xdr:from>
    <xdr:to>
      <xdr:col>6</xdr:col>
      <xdr:colOff>730250</xdr:colOff>
      <xdr:row>20</xdr:row>
      <xdr:rowOff>211666</xdr:rowOff>
    </xdr:to>
    <xdr:sp macro="" textlink="">
      <xdr:nvSpPr>
        <xdr:cNvPr id="5" name="Elipse 4">
          <a:extLst>
            <a:ext uri="{FF2B5EF4-FFF2-40B4-BE49-F238E27FC236}">
              <a16:creationId xmlns:a16="http://schemas.microsoft.com/office/drawing/2014/main" id="{E5E2C882-38FF-4167-AFA0-1B6AF84ACFDB}"/>
            </a:ext>
          </a:extLst>
        </xdr:cNvPr>
        <xdr:cNvSpPr/>
      </xdr:nvSpPr>
      <xdr:spPr>
        <a:xfrm>
          <a:off x="6064251" y="3196166"/>
          <a:ext cx="1481666" cy="1735667"/>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552450</xdr:colOff>
      <xdr:row>0</xdr:row>
      <xdr:rowOff>85725</xdr:rowOff>
    </xdr:from>
    <xdr:to>
      <xdr:col>1</xdr:col>
      <xdr:colOff>619125</xdr:colOff>
      <xdr:row>0</xdr:row>
      <xdr:rowOff>857250</xdr:rowOff>
    </xdr:to>
    <xdr:pic>
      <xdr:nvPicPr>
        <xdr:cNvPr id="2" name="Imagen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2450" y="85725"/>
          <a:ext cx="1371600" cy="771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552450</xdr:colOff>
      <xdr:row>0</xdr:row>
      <xdr:rowOff>85725</xdr:rowOff>
    </xdr:from>
    <xdr:to>
      <xdr:col>1</xdr:col>
      <xdr:colOff>619125</xdr:colOff>
      <xdr:row>0</xdr:row>
      <xdr:rowOff>857250</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2450" y="85725"/>
          <a:ext cx="1371600" cy="771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731044</xdr:colOff>
      <xdr:row>0</xdr:row>
      <xdr:rowOff>115490</xdr:rowOff>
    </xdr:from>
    <xdr:to>
      <xdr:col>1</xdr:col>
      <xdr:colOff>797719</xdr:colOff>
      <xdr:row>0</xdr:row>
      <xdr:rowOff>887015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044" y="115490"/>
          <a:ext cx="1376363" cy="771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238124</xdr:colOff>
      <xdr:row>1</xdr:row>
      <xdr:rowOff>85724</xdr:rowOff>
    </xdr:from>
    <xdr:to>
      <xdr:col>15</xdr:col>
      <xdr:colOff>666750</xdr:colOff>
      <xdr:row>24</xdr:row>
      <xdr:rowOff>104775</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304800</xdr:colOff>
      <xdr:row>2</xdr:row>
      <xdr:rowOff>180975</xdr:rowOff>
    </xdr:from>
    <xdr:to>
      <xdr:col>10</xdr:col>
      <xdr:colOff>304802</xdr:colOff>
      <xdr:row>21</xdr:row>
      <xdr:rowOff>114302</xdr:rowOff>
    </xdr:to>
    <xdr:cxnSp macro="">
      <xdr:nvCxnSpPr>
        <xdr:cNvPr id="4" name="Conector recto 3">
          <a:extLst>
            <a:ext uri="{FF2B5EF4-FFF2-40B4-BE49-F238E27FC236}">
              <a16:creationId xmlns:a16="http://schemas.microsoft.com/office/drawing/2014/main" id="{00000000-0008-0000-0500-000004000000}"/>
            </a:ext>
          </a:extLst>
        </xdr:cNvPr>
        <xdr:cNvCxnSpPr/>
      </xdr:nvCxnSpPr>
      <xdr:spPr>
        <a:xfrm flipH="1" flipV="1">
          <a:off x="12239625" y="752475"/>
          <a:ext cx="2" cy="3552827"/>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47625</xdr:colOff>
      <xdr:row>13</xdr:row>
      <xdr:rowOff>19050</xdr:rowOff>
    </xdr:from>
    <xdr:to>
      <xdr:col>15</xdr:col>
      <xdr:colOff>466725</xdr:colOff>
      <xdr:row>13</xdr:row>
      <xdr:rowOff>28576</xdr:rowOff>
    </xdr:to>
    <xdr:cxnSp macro="">
      <xdr:nvCxnSpPr>
        <xdr:cNvPr id="6" name="Conector recto 5">
          <a:extLst>
            <a:ext uri="{FF2B5EF4-FFF2-40B4-BE49-F238E27FC236}">
              <a16:creationId xmlns:a16="http://schemas.microsoft.com/office/drawing/2014/main" id="{00000000-0008-0000-0500-000006000000}"/>
            </a:ext>
          </a:extLst>
        </xdr:cNvPr>
        <xdr:cNvCxnSpPr/>
      </xdr:nvCxnSpPr>
      <xdr:spPr>
        <a:xfrm flipV="1">
          <a:off x="8934450" y="2686050"/>
          <a:ext cx="7277100" cy="9526"/>
        </a:xfrm>
        <a:prstGeom prst="line">
          <a:avLst/>
        </a:prstGeom>
        <a:ln w="349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752476</xdr:colOff>
      <xdr:row>16</xdr:row>
      <xdr:rowOff>76200</xdr:rowOff>
    </xdr:from>
    <xdr:to>
      <xdr:col>10</xdr:col>
      <xdr:colOff>447676</xdr:colOff>
      <xdr:row>19</xdr:row>
      <xdr:rowOff>114300</xdr:rowOff>
    </xdr:to>
    <xdr:sp macro="" textlink="">
      <xdr:nvSpPr>
        <xdr:cNvPr id="12" name="CuadroTexto 1">
          <a:extLst>
            <a:ext uri="{FF2B5EF4-FFF2-40B4-BE49-F238E27FC236}">
              <a16:creationId xmlns:a16="http://schemas.microsoft.com/office/drawing/2014/main" id="{00000000-0008-0000-0500-00000C000000}"/>
            </a:ext>
          </a:extLst>
        </xdr:cNvPr>
        <xdr:cNvSpPr txBox="1"/>
      </xdr:nvSpPr>
      <xdr:spPr>
        <a:xfrm>
          <a:off x="10401301" y="3314700"/>
          <a:ext cx="1981200" cy="609600"/>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EC" sz="1600" b="1" i="0">
              <a:solidFill>
                <a:srgbClr val="00B050"/>
              </a:solidFill>
            </a:rPr>
            <a:t>Monitorear (esfuerzo mínimo)</a:t>
          </a:r>
        </a:p>
      </xdr:txBody>
    </xdr:sp>
    <xdr:clientData/>
  </xdr:twoCellAnchor>
  <xdr:twoCellAnchor>
    <xdr:from>
      <xdr:col>13</xdr:col>
      <xdr:colOff>0</xdr:colOff>
      <xdr:row>19</xdr:row>
      <xdr:rowOff>104775</xdr:rowOff>
    </xdr:from>
    <xdr:to>
      <xdr:col>15</xdr:col>
      <xdr:colOff>504825</xdr:colOff>
      <xdr:row>21</xdr:row>
      <xdr:rowOff>66675</xdr:rowOff>
    </xdr:to>
    <xdr:sp macro="" textlink="">
      <xdr:nvSpPr>
        <xdr:cNvPr id="13" name="CuadroTexto 1">
          <a:extLst>
            <a:ext uri="{FF2B5EF4-FFF2-40B4-BE49-F238E27FC236}">
              <a16:creationId xmlns:a16="http://schemas.microsoft.com/office/drawing/2014/main" id="{00000000-0008-0000-0500-00000D000000}"/>
            </a:ext>
          </a:extLst>
        </xdr:cNvPr>
        <xdr:cNvSpPr txBox="1"/>
      </xdr:nvSpPr>
      <xdr:spPr>
        <a:xfrm>
          <a:off x="14220825" y="3914775"/>
          <a:ext cx="2028825" cy="3429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EC" sz="1600" b="1">
              <a:solidFill>
                <a:srgbClr val="00B050"/>
              </a:solidFill>
            </a:rPr>
            <a:t>Mantener Informado</a:t>
          </a:r>
        </a:p>
      </xdr:txBody>
    </xdr:sp>
    <xdr:clientData/>
  </xdr:twoCellAnchor>
  <xdr:twoCellAnchor>
    <xdr:from>
      <xdr:col>10</xdr:col>
      <xdr:colOff>276225</xdr:colOff>
      <xdr:row>2</xdr:row>
      <xdr:rowOff>133350</xdr:rowOff>
    </xdr:from>
    <xdr:to>
      <xdr:col>13</xdr:col>
      <xdr:colOff>571500</xdr:colOff>
      <xdr:row>6</xdr:row>
      <xdr:rowOff>76200</xdr:rowOff>
    </xdr:to>
    <xdr:sp macro="" textlink="">
      <xdr:nvSpPr>
        <xdr:cNvPr id="14" name="CuadroTexto 1">
          <a:extLst>
            <a:ext uri="{FF2B5EF4-FFF2-40B4-BE49-F238E27FC236}">
              <a16:creationId xmlns:a16="http://schemas.microsoft.com/office/drawing/2014/main" id="{00000000-0008-0000-0500-00000E000000}"/>
            </a:ext>
          </a:extLst>
        </xdr:cNvPr>
        <xdr:cNvSpPr txBox="1"/>
      </xdr:nvSpPr>
      <xdr:spPr>
        <a:xfrm>
          <a:off x="12211050" y="704850"/>
          <a:ext cx="2581275" cy="7048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EC" sz="1600" b="1">
              <a:solidFill>
                <a:srgbClr val="FF0000"/>
              </a:solidFill>
            </a:rPr>
            <a:t>Gestionar</a:t>
          </a:r>
          <a:r>
            <a:rPr lang="es-EC" sz="1600" b="1" baseline="0">
              <a:solidFill>
                <a:srgbClr val="FF0000"/>
              </a:solidFill>
            </a:rPr>
            <a:t> Atentamente (Oportunidades Amenazas)</a:t>
          </a:r>
          <a:endParaRPr lang="es-EC" sz="1600" b="1">
            <a:solidFill>
              <a:srgbClr val="FF0000"/>
            </a:solidFill>
          </a:endParaRPr>
        </a:p>
      </xdr:txBody>
    </xdr:sp>
    <xdr:clientData/>
  </xdr:twoCellAnchor>
</xdr:wsDr>
</file>

<file path=xl/drawings/drawing7.xml><?xml version="1.0" encoding="utf-8"?>
<c:userShapes xmlns:c="http://schemas.openxmlformats.org/drawingml/2006/chart">
  <cdr:relSizeAnchor xmlns:cdr="http://schemas.openxmlformats.org/drawingml/2006/chartDrawing">
    <cdr:from>
      <cdr:x>0.1574</cdr:x>
      <cdr:y>0.18257</cdr:y>
    </cdr:from>
    <cdr:to>
      <cdr:x>0.40947</cdr:x>
      <cdr:y>0.25726</cdr:y>
    </cdr:to>
    <cdr:sp macro="" textlink="">
      <cdr:nvSpPr>
        <cdr:cNvPr id="2" name="CuadroTexto 1"/>
        <cdr:cNvSpPr txBox="1"/>
      </cdr:nvSpPr>
      <cdr:spPr>
        <a:xfrm xmlns:a="http://schemas.openxmlformats.org/drawingml/2006/main">
          <a:off x="1266825" y="838201"/>
          <a:ext cx="202882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1600" b="1">
              <a:solidFill>
                <a:srgbClr val="FF0000"/>
              </a:solidFill>
            </a:rPr>
            <a:t>Mantener Satisfecho</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552450</xdr:colOff>
      <xdr:row>0</xdr:row>
      <xdr:rowOff>85725</xdr:rowOff>
    </xdr:from>
    <xdr:to>
      <xdr:col>1</xdr:col>
      <xdr:colOff>619125</xdr:colOff>
      <xdr:row>0</xdr:row>
      <xdr:rowOff>857250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2450" y="85725"/>
          <a:ext cx="1371600" cy="771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552450</xdr:colOff>
      <xdr:row>0</xdr:row>
      <xdr:rowOff>85725</xdr:rowOff>
    </xdr:from>
    <xdr:to>
      <xdr:col>1</xdr:col>
      <xdr:colOff>619125</xdr:colOff>
      <xdr:row>0</xdr:row>
      <xdr:rowOff>857250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2450" y="85725"/>
          <a:ext cx="1371600" cy="771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honathanar\Dropbox\Horus%20Bim\Sierra%20del%20bosque\Planillas%20Horus\PLANILLA%20%20No%2014-1\PLANILLA%20DE%20AVANCE%20%20OBRA%20%20No%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honathanar\Dropbox\Horus%20Bim\Sierra%20del%20bosque\Estructurales\Redise&#241;o%20Horus\Estructurales%20Planta%20Tipo\A.02.11%20Estructurales%20Planta%20Tipo\A.02.11.2%20Muros%20Portantes\MUROS%20PORTANTES%20Muros%20Portan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honathanar\Dropbox\Horus%20Bim\Sierra%20del%20bosque\Presupuesto\NUEVO%20PRESUPUESTO%2004%202019\APUS%20Y%20PRESUPUESTO%20ver%2012.34%20-%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Trabajo%20de%20Titulaci&#243;n\GUIA%20PARA%20DETERMINACION%20DE%20COSTOS%20INDIRECTOS%20SDB%20Ver%20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erfiles\jvela\Dropbox\Dropbox\1%20HORUS%20BIM\CRISTIAN%20MENESES%20MANTA\OFERTA%20DE%20CONSULTORIA%20Man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CER\ACSING%20Dropbox%20(1)\Alejandro%20Alquinga\Tesis_PMI\Costos\GUIA%20PARA%20DETERMINACION%20DE%20COSTOS%20INDIRECTOS%20SDB%20Ver%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CRONOGRAMA INVERSION"/>
      <sheetName val="Control presupuestario14real"/>
      <sheetName val="Valores planillados 14"/>
      <sheetName val="planilla  14"/>
      <sheetName val="Resumen Pago Planillas 14"/>
      <sheetName val="Cuadro Personal"/>
      <sheetName val="Cuadro herramientas y eqquipo"/>
      <sheetName val="Hoja1"/>
      <sheetName val="PLANILLA INDIRECTOS 8"/>
      <sheetName val="ANEXO DE VOLUMENES DE OBRA CN"/>
    </sheetNames>
    <sheetDataSet>
      <sheetData sheetId="0">
        <row r="4">
          <cell r="D4" t="str">
            <v>SIERRA DEL BOSQUE TORRE E</v>
          </cell>
        </row>
        <row r="15">
          <cell r="E15" t="str">
            <v>M2</v>
          </cell>
        </row>
        <row r="16">
          <cell r="E16" t="str">
            <v>M2</v>
          </cell>
        </row>
        <row r="17">
          <cell r="E17" t="str">
            <v>M3</v>
          </cell>
        </row>
        <row r="18">
          <cell r="E18" t="str">
            <v>GL</v>
          </cell>
        </row>
        <row r="19">
          <cell r="E19" t="str">
            <v>GL</v>
          </cell>
        </row>
        <row r="20">
          <cell r="E20" t="str">
            <v>M3</v>
          </cell>
        </row>
        <row r="22">
          <cell r="E22" t="str">
            <v>M3</v>
          </cell>
        </row>
        <row r="23">
          <cell r="E23" t="str">
            <v>M3</v>
          </cell>
        </row>
        <row r="24">
          <cell r="E24" t="str">
            <v>M2</v>
          </cell>
        </row>
        <row r="25">
          <cell r="E25" t="str">
            <v>M2</v>
          </cell>
        </row>
        <row r="26">
          <cell r="E26" t="str">
            <v>M3</v>
          </cell>
        </row>
        <row r="28">
          <cell r="E28" t="str">
            <v>M3</v>
          </cell>
        </row>
        <row r="29">
          <cell r="E29" t="str">
            <v>M3</v>
          </cell>
        </row>
        <row r="30">
          <cell r="E30" t="str">
            <v>M3</v>
          </cell>
        </row>
        <row r="31">
          <cell r="E31" t="str">
            <v>M3</v>
          </cell>
        </row>
        <row r="32">
          <cell r="E32" t="str">
            <v>M</v>
          </cell>
        </row>
        <row r="33">
          <cell r="E33" t="str">
            <v>M3</v>
          </cell>
        </row>
        <row r="34">
          <cell r="E34" t="str">
            <v>KG</v>
          </cell>
        </row>
        <row r="35">
          <cell r="E35" t="str">
            <v>KG</v>
          </cell>
        </row>
        <row r="36">
          <cell r="E36" t="str">
            <v>M2</v>
          </cell>
        </row>
        <row r="39">
          <cell r="E39" t="str">
            <v>M3</v>
          </cell>
        </row>
        <row r="40">
          <cell r="E40" t="str">
            <v>M3</v>
          </cell>
        </row>
        <row r="41">
          <cell r="E41" t="str">
            <v>M3</v>
          </cell>
        </row>
        <row r="42">
          <cell r="E42" t="str">
            <v>M3</v>
          </cell>
        </row>
        <row r="43">
          <cell r="E43" t="str">
            <v>M3</v>
          </cell>
        </row>
        <row r="44">
          <cell r="E44" t="str">
            <v>KG</v>
          </cell>
        </row>
        <row r="45">
          <cell r="E45" t="str">
            <v>KG</v>
          </cell>
        </row>
        <row r="46">
          <cell r="E46" t="str">
            <v>Gl</v>
          </cell>
        </row>
        <row r="47">
          <cell r="E47" t="str">
            <v>Gl</v>
          </cell>
        </row>
        <row r="48">
          <cell r="E48" t="str">
            <v>M2</v>
          </cell>
        </row>
        <row r="51">
          <cell r="E51" t="str">
            <v>M3</v>
          </cell>
        </row>
        <row r="52">
          <cell r="E52" t="str">
            <v>M3</v>
          </cell>
        </row>
        <row r="53">
          <cell r="E53" t="str">
            <v>M3</v>
          </cell>
        </row>
        <row r="54">
          <cell r="E54" t="str">
            <v>KG</v>
          </cell>
        </row>
        <row r="55">
          <cell r="E55" t="str">
            <v>KG</v>
          </cell>
        </row>
        <row r="56">
          <cell r="E56" t="str">
            <v>Gl</v>
          </cell>
        </row>
        <row r="57">
          <cell r="E57" t="str">
            <v>Gl</v>
          </cell>
        </row>
        <row r="58">
          <cell r="E58" t="str">
            <v>M2</v>
          </cell>
        </row>
        <row r="60">
          <cell r="E60" t="str">
            <v>M3</v>
          </cell>
        </row>
        <row r="61">
          <cell r="E61" t="str">
            <v>M3</v>
          </cell>
        </row>
        <row r="62">
          <cell r="E62" t="str">
            <v>KG</v>
          </cell>
        </row>
        <row r="63">
          <cell r="E63" t="str">
            <v>KG</v>
          </cell>
        </row>
        <row r="64">
          <cell r="E64" t="str">
            <v>APTO</v>
          </cell>
        </row>
        <row r="65">
          <cell r="E65" t="str">
            <v>Gl</v>
          </cell>
        </row>
        <row r="66">
          <cell r="E66" t="str">
            <v>Gl</v>
          </cell>
        </row>
        <row r="68">
          <cell r="E68" t="str">
            <v>M2</v>
          </cell>
        </row>
        <row r="69">
          <cell r="E69" t="str">
            <v>M2</v>
          </cell>
        </row>
        <row r="70">
          <cell r="E70" t="str">
            <v>M2</v>
          </cell>
        </row>
        <row r="71">
          <cell r="E71" t="str">
            <v>M2</v>
          </cell>
        </row>
        <row r="72">
          <cell r="E72" t="str">
            <v>ML</v>
          </cell>
        </row>
        <row r="73">
          <cell r="E73" t="str">
            <v>ML</v>
          </cell>
        </row>
        <row r="75">
          <cell r="E75" t="str">
            <v>ML</v>
          </cell>
        </row>
        <row r="76">
          <cell r="E76" t="str">
            <v>M2</v>
          </cell>
        </row>
        <row r="78">
          <cell r="E78" t="str">
            <v>M2</v>
          </cell>
        </row>
        <row r="79">
          <cell r="E79" t="str">
            <v>ML</v>
          </cell>
        </row>
        <row r="80">
          <cell r="E80" t="str">
            <v>ML</v>
          </cell>
        </row>
        <row r="81">
          <cell r="E81" t="str">
            <v>U</v>
          </cell>
        </row>
        <row r="82">
          <cell r="E82" t="str">
            <v>U</v>
          </cell>
        </row>
        <row r="84">
          <cell r="E84" t="str">
            <v>UN</v>
          </cell>
        </row>
        <row r="85">
          <cell r="E85" t="str">
            <v>UN</v>
          </cell>
        </row>
        <row r="86">
          <cell r="E86" t="str">
            <v>UN</v>
          </cell>
        </row>
        <row r="87">
          <cell r="E87" t="str">
            <v>UN</v>
          </cell>
        </row>
        <row r="88">
          <cell r="E88" t="str">
            <v>UN</v>
          </cell>
        </row>
        <row r="90">
          <cell r="E90" t="str">
            <v>M2</v>
          </cell>
        </row>
        <row r="91">
          <cell r="E91" t="str">
            <v>M2</v>
          </cell>
        </row>
        <row r="92">
          <cell r="E92" t="str">
            <v>M2</v>
          </cell>
        </row>
        <row r="93">
          <cell r="E93" t="str">
            <v>M2</v>
          </cell>
        </row>
        <row r="94">
          <cell r="E94" t="str">
            <v>M2</v>
          </cell>
        </row>
        <row r="95">
          <cell r="E95" t="str">
            <v>M2</v>
          </cell>
        </row>
        <row r="96">
          <cell r="E96" t="str">
            <v>ML</v>
          </cell>
        </row>
        <row r="97">
          <cell r="E97" t="str">
            <v>M2</v>
          </cell>
        </row>
        <row r="99">
          <cell r="E99" t="str">
            <v>UN</v>
          </cell>
        </row>
        <row r="101">
          <cell r="E101" t="str">
            <v>M2</v>
          </cell>
        </row>
        <row r="102">
          <cell r="E102" t="str">
            <v>M2</v>
          </cell>
        </row>
        <row r="103">
          <cell r="E103" t="str">
            <v>M2</v>
          </cell>
        </row>
        <row r="104">
          <cell r="E104" t="str">
            <v>ML</v>
          </cell>
        </row>
        <row r="105">
          <cell r="E105" t="str">
            <v>M2</v>
          </cell>
        </row>
        <row r="106">
          <cell r="E106" t="str">
            <v>ML</v>
          </cell>
        </row>
        <row r="107">
          <cell r="E107" t="str">
            <v>ML</v>
          </cell>
        </row>
        <row r="110">
          <cell r="E110" t="str">
            <v>UN</v>
          </cell>
        </row>
        <row r="111">
          <cell r="E111" t="str">
            <v>UN</v>
          </cell>
        </row>
        <row r="113">
          <cell r="E113" t="str">
            <v>UN</v>
          </cell>
        </row>
        <row r="114">
          <cell r="E114" t="str">
            <v>UN</v>
          </cell>
        </row>
        <row r="115">
          <cell r="E115" t="str">
            <v>UN</v>
          </cell>
        </row>
        <row r="116">
          <cell r="E116" t="str">
            <v>UN</v>
          </cell>
        </row>
        <row r="117">
          <cell r="E117" t="str">
            <v>UN</v>
          </cell>
        </row>
        <row r="119">
          <cell r="E119" t="str">
            <v>Gl</v>
          </cell>
        </row>
        <row r="120">
          <cell r="E120" t="str">
            <v>UN</v>
          </cell>
        </row>
        <row r="123">
          <cell r="E123" t="str">
            <v>UN</v>
          </cell>
        </row>
        <row r="124">
          <cell r="E124" t="str">
            <v>UN</v>
          </cell>
        </row>
        <row r="125">
          <cell r="E125" t="str">
            <v>UN</v>
          </cell>
        </row>
        <row r="126">
          <cell r="E126" t="str">
            <v>UN</v>
          </cell>
        </row>
        <row r="127">
          <cell r="E127" t="str">
            <v>UN</v>
          </cell>
        </row>
        <row r="128">
          <cell r="E128" t="str">
            <v>UN</v>
          </cell>
        </row>
        <row r="129">
          <cell r="E129" t="str">
            <v>ML</v>
          </cell>
        </row>
        <row r="130">
          <cell r="E130" t="str">
            <v>ML</v>
          </cell>
        </row>
        <row r="131">
          <cell r="E131" t="str">
            <v>ML</v>
          </cell>
        </row>
        <row r="132">
          <cell r="E132" t="str">
            <v>UN</v>
          </cell>
        </row>
        <row r="133">
          <cell r="E133" t="str">
            <v>UN</v>
          </cell>
        </row>
        <row r="134">
          <cell r="E134" t="str">
            <v>UN</v>
          </cell>
        </row>
        <row r="135">
          <cell r="E135" t="str">
            <v>UN</v>
          </cell>
        </row>
        <row r="136">
          <cell r="E136" t="str">
            <v>UN</v>
          </cell>
        </row>
        <row r="137">
          <cell r="E137" t="str">
            <v>UN</v>
          </cell>
        </row>
        <row r="138">
          <cell r="E138" t="str">
            <v>UN</v>
          </cell>
        </row>
        <row r="140">
          <cell r="E140" t="str">
            <v>ML</v>
          </cell>
        </row>
        <row r="141">
          <cell r="E141" t="str">
            <v>ML</v>
          </cell>
        </row>
        <row r="142">
          <cell r="E142" t="str">
            <v>ML</v>
          </cell>
        </row>
        <row r="143">
          <cell r="E143" t="str">
            <v>ML</v>
          </cell>
        </row>
        <row r="144">
          <cell r="E144" t="str">
            <v>ML</v>
          </cell>
        </row>
        <row r="145">
          <cell r="E145" t="str">
            <v>UN</v>
          </cell>
        </row>
        <row r="146">
          <cell r="E146" t="str">
            <v>UN</v>
          </cell>
        </row>
        <row r="147">
          <cell r="E147">
            <v>0</v>
          </cell>
        </row>
        <row r="149">
          <cell r="E149" t="str">
            <v>UN</v>
          </cell>
        </row>
        <row r="150">
          <cell r="E150" t="str">
            <v>UN</v>
          </cell>
        </row>
        <row r="151">
          <cell r="E151" t="str">
            <v>UN</v>
          </cell>
        </row>
        <row r="152">
          <cell r="E152" t="str">
            <v>M3</v>
          </cell>
        </row>
        <row r="153">
          <cell r="E153" t="str">
            <v>GL</v>
          </cell>
        </row>
        <row r="154">
          <cell r="E154" t="str">
            <v>UN</v>
          </cell>
        </row>
        <row r="156">
          <cell r="E156" t="str">
            <v>APTO</v>
          </cell>
        </row>
        <row r="157">
          <cell r="E157" t="str">
            <v>gl</v>
          </cell>
        </row>
        <row r="158">
          <cell r="E158" t="str">
            <v>UN</v>
          </cell>
        </row>
        <row r="159">
          <cell r="E159" t="str">
            <v>UN</v>
          </cell>
        </row>
        <row r="160">
          <cell r="E160" t="str">
            <v>UN</v>
          </cell>
        </row>
        <row r="163">
          <cell r="E163" t="str">
            <v>UN</v>
          </cell>
        </row>
        <row r="164">
          <cell r="E164" t="str">
            <v>UN</v>
          </cell>
        </row>
        <row r="167">
          <cell r="E167" t="str">
            <v>ML</v>
          </cell>
        </row>
        <row r="168">
          <cell r="E168" t="str">
            <v>ML</v>
          </cell>
        </row>
        <row r="169">
          <cell r="E169" t="str">
            <v>ML</v>
          </cell>
        </row>
        <row r="170">
          <cell r="E170" t="str">
            <v>ML</v>
          </cell>
        </row>
        <row r="171">
          <cell r="E171" t="str">
            <v>ML</v>
          </cell>
        </row>
        <row r="172">
          <cell r="E172" t="str">
            <v>UN</v>
          </cell>
        </row>
        <row r="173">
          <cell r="E173" t="str">
            <v>UN</v>
          </cell>
        </row>
        <row r="174">
          <cell r="E174" t="str">
            <v>UN</v>
          </cell>
        </row>
        <row r="175">
          <cell r="E175" t="str">
            <v>UN</v>
          </cell>
        </row>
        <row r="176">
          <cell r="E176" t="str">
            <v>UN</v>
          </cell>
        </row>
        <row r="177">
          <cell r="E177" t="str">
            <v>UN</v>
          </cell>
        </row>
        <row r="178">
          <cell r="E178" t="str">
            <v>UN</v>
          </cell>
        </row>
        <row r="179">
          <cell r="E179" t="str">
            <v>UN</v>
          </cell>
        </row>
        <row r="180">
          <cell r="E180" t="str">
            <v>UN</v>
          </cell>
        </row>
        <row r="181">
          <cell r="E181" t="str">
            <v>UN</v>
          </cell>
        </row>
        <row r="182">
          <cell r="E182" t="str">
            <v>UN</v>
          </cell>
        </row>
        <row r="183">
          <cell r="E183" t="str">
            <v>UN</v>
          </cell>
        </row>
        <row r="184">
          <cell r="E184" t="str">
            <v>UN</v>
          </cell>
        </row>
        <row r="185">
          <cell r="E185" t="str">
            <v>UN</v>
          </cell>
        </row>
        <row r="186">
          <cell r="E186" t="str">
            <v>UN</v>
          </cell>
        </row>
        <row r="187">
          <cell r="E187">
            <v>0</v>
          </cell>
        </row>
        <row r="188">
          <cell r="E188" t="str">
            <v>ML</v>
          </cell>
        </row>
        <row r="189">
          <cell r="E189" t="str">
            <v>ML</v>
          </cell>
        </row>
        <row r="190">
          <cell r="E190">
            <v>0</v>
          </cell>
        </row>
        <row r="191">
          <cell r="E191" t="str">
            <v>UN</v>
          </cell>
        </row>
        <row r="192">
          <cell r="E192" t="str">
            <v>UN</v>
          </cell>
        </row>
        <row r="193">
          <cell r="E193" t="str">
            <v>UN</v>
          </cell>
        </row>
        <row r="194">
          <cell r="E194" t="str">
            <v>UN</v>
          </cell>
        </row>
        <row r="195">
          <cell r="E195" t="str">
            <v>UN</v>
          </cell>
        </row>
        <row r="196">
          <cell r="E196" t="str">
            <v>UN</v>
          </cell>
        </row>
        <row r="197">
          <cell r="E197">
            <v>0</v>
          </cell>
        </row>
        <row r="198">
          <cell r="E198" t="str">
            <v>UN</v>
          </cell>
        </row>
        <row r="199">
          <cell r="E199" t="str">
            <v>UN</v>
          </cell>
        </row>
        <row r="200">
          <cell r="E200" t="str">
            <v>UN</v>
          </cell>
        </row>
        <row r="201">
          <cell r="E201" t="str">
            <v>UN</v>
          </cell>
        </row>
        <row r="202">
          <cell r="E202" t="str">
            <v>UN</v>
          </cell>
        </row>
        <row r="203">
          <cell r="E203">
            <v>0</v>
          </cell>
        </row>
        <row r="204">
          <cell r="E204" t="str">
            <v>GL</v>
          </cell>
        </row>
        <row r="205">
          <cell r="E205" t="str">
            <v>UN</v>
          </cell>
        </row>
        <row r="206">
          <cell r="E206" t="str">
            <v>UN</v>
          </cell>
        </row>
        <row r="207">
          <cell r="E207" t="str">
            <v>ML</v>
          </cell>
        </row>
        <row r="208">
          <cell r="E208" t="str">
            <v>ML</v>
          </cell>
        </row>
        <row r="209">
          <cell r="E209">
            <v>0</v>
          </cell>
        </row>
        <row r="210">
          <cell r="E210" t="str">
            <v>ML</v>
          </cell>
        </row>
        <row r="211">
          <cell r="E211" t="str">
            <v>ML</v>
          </cell>
        </row>
        <row r="212">
          <cell r="E212" t="str">
            <v>ML</v>
          </cell>
        </row>
        <row r="214">
          <cell r="E214" t="str">
            <v>Un</v>
          </cell>
        </row>
        <row r="216">
          <cell r="E216" t="str">
            <v>UN</v>
          </cell>
        </row>
        <row r="217">
          <cell r="E217" t="str">
            <v>UN</v>
          </cell>
        </row>
        <row r="219">
          <cell r="E219" t="str">
            <v>UN</v>
          </cell>
        </row>
        <row r="220">
          <cell r="E220" t="str">
            <v>UN</v>
          </cell>
        </row>
        <row r="221">
          <cell r="E221">
            <v>0</v>
          </cell>
        </row>
        <row r="222">
          <cell r="E222" t="str">
            <v>UN</v>
          </cell>
        </row>
        <row r="223">
          <cell r="E223" t="str">
            <v>UN</v>
          </cell>
        </row>
        <row r="224">
          <cell r="E224" t="str">
            <v>UN</v>
          </cell>
        </row>
        <row r="225">
          <cell r="E225" t="str">
            <v>UN</v>
          </cell>
        </row>
        <row r="227">
          <cell r="E227" t="str">
            <v>M2</v>
          </cell>
        </row>
        <row r="228">
          <cell r="E228" t="str">
            <v>APTO</v>
          </cell>
        </row>
        <row r="230">
          <cell r="E230" t="str">
            <v>MTS 2</v>
          </cell>
        </row>
        <row r="232">
          <cell r="E232" t="str">
            <v>gl</v>
          </cell>
        </row>
        <row r="234">
          <cell r="E234" t="str">
            <v>GL</v>
          </cell>
        </row>
      </sheetData>
      <sheetData sheetId="1"/>
      <sheetData sheetId="2"/>
      <sheetData sheetId="3"/>
      <sheetData sheetId="4">
        <row r="237">
          <cell r="L237">
            <v>4.4000000000000004</v>
          </cell>
        </row>
        <row r="238">
          <cell r="L238">
            <v>7.22</v>
          </cell>
        </row>
        <row r="239">
          <cell r="L239">
            <v>0.59</v>
          </cell>
        </row>
        <row r="240">
          <cell r="L240">
            <v>731.57592417061619</v>
          </cell>
        </row>
        <row r="241">
          <cell r="L241">
            <v>2295.1799999999998</v>
          </cell>
        </row>
        <row r="244">
          <cell r="L244">
            <v>672</v>
          </cell>
        </row>
        <row r="247">
          <cell r="L247">
            <v>20.99</v>
          </cell>
        </row>
        <row r="248">
          <cell r="L248">
            <v>4274.5600000000004</v>
          </cell>
        </row>
      </sheetData>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ros Portantes"/>
    </sheetNames>
    <sheetDataSet>
      <sheetData sheetId="0">
        <row r="11">
          <cell r="AR11">
            <v>310.46803999999997</v>
          </cell>
          <cell r="AU11">
            <v>329.63760000000002</v>
          </cell>
        </row>
        <row r="16">
          <cell r="AS16">
            <v>2746.98</v>
          </cell>
        </row>
        <row r="70">
          <cell r="O70">
            <v>156.00383999999997</v>
          </cell>
          <cell r="S70">
            <v>374.24266666666671</v>
          </cell>
          <cell r="W70">
            <v>1384.6978666666666</v>
          </cell>
        </row>
        <row r="77">
          <cell r="J77">
            <v>1981.1016796875003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0"/>
      <sheetName val="141"/>
      <sheetName val="142"/>
      <sheetName val="143"/>
      <sheetName val="144"/>
      <sheetName val="145"/>
      <sheetName val="146"/>
      <sheetName val="147"/>
      <sheetName val="148"/>
      <sheetName val="149"/>
      <sheetName val="150"/>
      <sheetName val="151"/>
      <sheetName val="152"/>
      <sheetName val="153"/>
      <sheetName val="154"/>
      <sheetName val="155"/>
      <sheetName val="156"/>
      <sheetName val="157"/>
      <sheetName val="158"/>
      <sheetName val="159"/>
      <sheetName val="160"/>
      <sheetName val="161"/>
      <sheetName val="162"/>
      <sheetName val="163"/>
      <sheetName val="164"/>
      <sheetName val="165"/>
      <sheetName val="166"/>
      <sheetName val="167"/>
      <sheetName val="168"/>
      <sheetName val="169"/>
      <sheetName val="170"/>
      <sheetName val="171"/>
      <sheetName val="172"/>
      <sheetName val="173"/>
      <sheetName val="174"/>
      <sheetName val="175"/>
      <sheetName val="176"/>
      <sheetName val="177"/>
      <sheetName val="178"/>
      <sheetName val="179"/>
      <sheetName val="180"/>
      <sheetName val="181"/>
      <sheetName val="182"/>
      <sheetName val="183"/>
      <sheetName val="184"/>
      <sheetName val="185"/>
      <sheetName val="186"/>
      <sheetName val="187"/>
      <sheetName val="188"/>
      <sheetName val="189"/>
      <sheetName val="190"/>
      <sheetName val="191"/>
      <sheetName val="192"/>
      <sheetName val="193"/>
      <sheetName val="194"/>
      <sheetName val="195"/>
      <sheetName val="196"/>
      <sheetName val="197"/>
      <sheetName val="198"/>
      <sheetName val="199"/>
      <sheetName val="200"/>
      <sheetName val="201"/>
      <sheetName val="202"/>
      <sheetName val="203"/>
      <sheetName val="204"/>
      <sheetName val="205"/>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246"/>
      <sheetName val="247"/>
      <sheetName val="248"/>
      <sheetName val="249"/>
      <sheetName val="250"/>
      <sheetName val="251"/>
      <sheetName val="252"/>
      <sheetName val="253"/>
      <sheetName val="254"/>
      <sheetName val="255"/>
      <sheetName val="256"/>
      <sheetName val="257"/>
      <sheetName val="258"/>
      <sheetName val="259"/>
      <sheetName val="260"/>
      <sheetName val="261"/>
      <sheetName val="262"/>
      <sheetName val="263"/>
      <sheetName val="264"/>
      <sheetName val="265"/>
      <sheetName val="266"/>
      <sheetName val="267"/>
      <sheetName val="268"/>
      <sheetName val="269"/>
      <sheetName val="270"/>
      <sheetName val="271"/>
      <sheetName val="272"/>
      <sheetName val="273"/>
      <sheetName val="274"/>
      <sheetName val="275"/>
      <sheetName val="276"/>
      <sheetName val="277"/>
      <sheetName val="278"/>
      <sheetName val="279"/>
      <sheetName val="280"/>
      <sheetName val="281"/>
      <sheetName val="282"/>
      <sheetName val="283"/>
      <sheetName val="284"/>
      <sheetName val="285"/>
      <sheetName val="286"/>
      <sheetName val="287"/>
      <sheetName val="288"/>
      <sheetName val="289"/>
      <sheetName val="290"/>
      <sheetName val="291"/>
      <sheetName val="Auxiliar1"/>
      <sheetName val="Auxiliar2"/>
      <sheetName val="Auxiliar3"/>
      <sheetName val="Auxiliar4"/>
      <sheetName val="Sheet1"/>
    </sheetNames>
    <sheetDataSet>
      <sheetData sheetId="0">
        <row r="94">
          <cell r="E94">
            <v>82.72</v>
          </cell>
        </row>
        <row r="95">
          <cell r="E95">
            <v>694.59</v>
          </cell>
        </row>
        <row r="98">
          <cell r="E98">
            <v>255</v>
          </cell>
        </row>
        <row r="99">
          <cell r="E99">
            <v>594.13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heetName val="OFICINA ADMINISTRATIVA"/>
      <sheetName val="CONSULTORIAS"/>
      <sheetName val="PRESUPUESTO ESTUDIOS"/>
    </sheetNames>
    <sheetDataSet>
      <sheetData sheetId="0"/>
      <sheetData sheetId="1">
        <row r="11">
          <cell r="X11">
            <v>80367</v>
          </cell>
        </row>
      </sheetData>
      <sheetData sheetId="2">
        <row r="9">
          <cell r="B9" t="str">
            <v>COSTOS INDIRECTOS CONSULTORIAS</v>
          </cell>
        </row>
      </sheetData>
      <sheetData sheetId="3">
        <row r="30">
          <cell r="H30">
            <v>42998.536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ESUPUESTO"/>
    </sheetNames>
    <sheetDataSet>
      <sheetData sheetId="0">
        <row r="8">
          <cell r="E8" t="str">
            <v>HORUS CONSTRUCTORES Cia. Ltda.</v>
          </cell>
          <cell r="H8" t="str">
            <v>DIV.: ESTUDIOS</v>
          </cell>
        </row>
        <row r="27">
          <cell r="G27">
            <v>0.12</v>
          </cell>
        </row>
        <row r="38">
          <cell r="D38" t="str">
            <v>Atentamente</v>
          </cell>
        </row>
        <row r="39">
          <cell r="D39" t="str">
            <v>HORUS CONSTRUCTORES Cia. Ltda.</v>
          </cell>
        </row>
        <row r="43">
          <cell r="D43" t="str">
            <v>Arq. Cesar López Naranjo</v>
          </cell>
        </row>
        <row r="46">
          <cell r="B46" t="str">
            <v>Av. Gaspar de Villarroel E 12 - 123 y Abascal</v>
          </cell>
        </row>
        <row r="47">
          <cell r="B47" t="str">
            <v xml:space="preserve"> (593 9) 99035242 / skype: jvelawitt</v>
          </cell>
        </row>
        <row r="48">
          <cell r="B48" t="str">
            <v>e-mail:  jvelawitt@gmail.com</v>
          </cell>
        </row>
        <row r="49">
          <cell r="B49" t="str">
            <v>www.jvw-si.com</v>
          </cell>
        </row>
        <row r="50">
          <cell r="B50" t="str">
            <v>Quito - Ecuador</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heetName val="OFICINA ADMINISTRATIVA"/>
      <sheetName val="CONSULTORIAS"/>
      <sheetName val="PRESUPUESTO ESTUDIOS"/>
    </sheetNames>
    <sheetDataSet>
      <sheetData sheetId="0">
        <row r="9">
          <cell r="E9">
            <v>4662.1000000000004</v>
          </cell>
        </row>
      </sheetData>
      <sheetData sheetId="1"/>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D15" totalsRowShown="0" headerRowDxfId="15">
  <autoFilter ref="B2:D15" xr:uid="{00000000-0009-0000-0100-000001000000}"/>
  <tableColumns count="3">
    <tableColumn id="1" xr3:uid="{00000000-0010-0000-0000-000001000000}" name="Detalle" dataDxfId="14"/>
    <tableColumn id="2" xr3:uid="{00000000-0010-0000-0000-000002000000}" name="Poder"/>
    <tableColumn id="3" xr3:uid="{00000000-0010-0000-0000-000003000000}" name="Interes"/>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B2:J60" totalsRowShown="0" headerRowDxfId="13" dataDxfId="11" headerRowBorderDxfId="12" tableBorderDxfId="10" totalsRowBorderDxfId="9">
  <autoFilter ref="B2:J60" xr:uid="{00000000-0009-0000-0100-000004000000}"/>
  <tableColumns count="9">
    <tableColumn id="1" xr3:uid="{00000000-0010-0000-0100-000001000000}" name="Id. Riesgo" dataDxfId="8"/>
    <tableColumn id="2" xr3:uid="{00000000-0010-0000-0100-000002000000}" name="Riesgo" dataDxfId="7"/>
    <tableColumn id="3" xr3:uid="{00000000-0010-0000-0100-000003000000}" name="Causa" dataDxfId="6"/>
    <tableColumn id="4" xr3:uid="{00000000-0010-0000-0100-000004000000}" name="Probabilidad" dataDxfId="5"/>
    <tableColumn id="5" xr3:uid="{00000000-0010-0000-0100-000005000000}" name="Impacto " dataDxfId="4"/>
    <tableColumn id="6" xr3:uid="{00000000-0010-0000-0100-000006000000}" name="Calificación Probabilidad" dataDxfId="3"/>
    <tableColumn id="7" xr3:uid="{00000000-0010-0000-0100-000007000000}" name="Calificación Impacto" dataDxfId="2"/>
    <tableColumn id="8" xr3:uid="{00000000-0010-0000-0100-000008000000}" name="Calificación de Riesgo" dataDxfId="1"/>
    <tableColumn id="9" xr3:uid="{00000000-0010-0000-0100-000009000000}" name="Acción - Respuesta" dataDxfId="0"/>
  </tableColumns>
  <tableStyleInfo name="TableStyleLight1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hyperlink" Target="mailto:fervela61@gmail.com" TargetMode="External"/><Relationship Id="rId2" Type="http://schemas.openxmlformats.org/officeDocument/2006/relationships/hyperlink" Target="mailto:dalquinga391@gmail.com" TargetMode="External"/><Relationship Id="rId1" Type="http://schemas.openxmlformats.org/officeDocument/2006/relationships/hyperlink" Target="mailto:cln.arquitectura@gmail.com" TargetMode="External"/><Relationship Id="rId6" Type="http://schemas.openxmlformats.org/officeDocument/2006/relationships/drawing" Target="../drawings/drawing32.xml"/><Relationship Id="rId5" Type="http://schemas.openxmlformats.org/officeDocument/2006/relationships/printerSettings" Target="../printerSettings/printerSettings19.bin"/><Relationship Id="rId4" Type="http://schemas.openxmlformats.org/officeDocument/2006/relationships/hyperlink" Target="mailto:jvelawitt@gmail.com"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3.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G145"/>
  <sheetViews>
    <sheetView topLeftCell="A18" zoomScale="85" zoomScaleNormal="85" workbookViewId="0">
      <selection activeCell="A113" sqref="A113:G139"/>
    </sheetView>
  </sheetViews>
  <sheetFormatPr baseColWidth="10" defaultRowHeight="15.75" x14ac:dyDescent="0.25"/>
  <cols>
    <col min="1" max="1" width="40.7109375" style="3" bestFit="1" customWidth="1"/>
    <col min="2" max="2" width="16.5703125" style="3" customWidth="1"/>
    <col min="3" max="3" width="14.85546875" style="3" customWidth="1"/>
    <col min="4" max="4" width="14.5703125" style="3" customWidth="1"/>
    <col min="5" max="5" width="15" style="3" customWidth="1"/>
    <col min="6" max="6" width="14" style="3" customWidth="1"/>
    <col min="7" max="7" width="13.5703125" style="3" customWidth="1"/>
    <col min="8" max="16384" width="11.42578125" style="2"/>
  </cols>
  <sheetData>
    <row r="1" spans="1:7" x14ac:dyDescent="0.25">
      <c r="A1" s="853"/>
      <c r="B1" s="893"/>
      <c r="C1" s="881"/>
      <c r="D1" s="887" t="s">
        <v>189</v>
      </c>
      <c r="E1" s="888"/>
      <c r="F1" s="881">
        <v>1</v>
      </c>
      <c r="G1" s="882"/>
    </row>
    <row r="2" spans="1:7" x14ac:dyDescent="0.25">
      <c r="A2" s="854"/>
      <c r="B2" s="894"/>
      <c r="C2" s="883"/>
      <c r="D2" s="889"/>
      <c r="E2" s="890"/>
      <c r="F2" s="883"/>
      <c r="G2" s="884"/>
    </row>
    <row r="3" spans="1:7" x14ac:dyDescent="0.25">
      <c r="A3" s="854"/>
      <c r="B3" s="894"/>
      <c r="C3" s="883"/>
      <c r="D3" s="889"/>
      <c r="E3" s="890"/>
      <c r="F3" s="883"/>
      <c r="G3" s="884"/>
    </row>
    <row r="4" spans="1:7" x14ac:dyDescent="0.25">
      <c r="A4" s="854"/>
      <c r="B4" s="894"/>
      <c r="C4" s="883"/>
      <c r="D4" s="889"/>
      <c r="E4" s="890"/>
      <c r="F4" s="883"/>
      <c r="G4" s="884"/>
    </row>
    <row r="5" spans="1:7" ht="7.5" customHeight="1" thickBot="1" x14ac:dyDescent="0.3">
      <c r="A5" s="855"/>
      <c r="B5" s="895"/>
      <c r="C5" s="885"/>
      <c r="D5" s="891"/>
      <c r="E5" s="892"/>
      <c r="F5" s="885"/>
      <c r="G5" s="886"/>
    </row>
    <row r="6" spans="1:7" ht="42" customHeight="1" thickBot="1" x14ac:dyDescent="0.3">
      <c r="A6" s="867" t="s">
        <v>119</v>
      </c>
      <c r="B6" s="868"/>
      <c r="C6" s="868"/>
      <c r="D6" s="868"/>
      <c r="E6" s="868"/>
      <c r="F6" s="868"/>
      <c r="G6" s="869"/>
    </row>
    <row r="7" spans="1:7" ht="24.95" customHeight="1" thickBot="1" x14ac:dyDescent="0.3">
      <c r="A7" s="858" t="s">
        <v>7</v>
      </c>
      <c r="B7" s="859"/>
      <c r="C7" s="859"/>
      <c r="D7" s="859"/>
      <c r="E7" s="859"/>
      <c r="F7" s="859"/>
      <c r="G7" s="860"/>
    </row>
    <row r="8" spans="1:7" ht="18" customHeight="1" thickBot="1" x14ac:dyDescent="0.3">
      <c r="A8" s="830" t="s">
        <v>2</v>
      </c>
      <c r="B8" s="906" t="s">
        <v>13</v>
      </c>
      <c r="C8" s="907"/>
      <c r="D8" s="907"/>
      <c r="E8" s="907"/>
      <c r="F8" s="907"/>
      <c r="G8" s="908"/>
    </row>
    <row r="9" spans="1:7" ht="18" customHeight="1" thickBot="1" x14ac:dyDescent="0.3">
      <c r="A9" s="831" t="s">
        <v>272</v>
      </c>
      <c r="B9" s="906" t="s">
        <v>280</v>
      </c>
      <c r="C9" s="907"/>
      <c r="D9" s="907"/>
      <c r="E9" s="907"/>
      <c r="F9" s="907"/>
      <c r="G9" s="908"/>
    </row>
    <row r="10" spans="1:7" ht="18" customHeight="1" thickBot="1" x14ac:dyDescent="0.3">
      <c r="A10" s="832" t="s">
        <v>126</v>
      </c>
      <c r="B10" s="895"/>
      <c r="C10" s="886"/>
      <c r="D10" s="980" t="s">
        <v>3</v>
      </c>
      <c r="E10" s="981"/>
      <c r="F10" s="883"/>
      <c r="G10" s="884"/>
    </row>
    <row r="11" spans="1:7" ht="18" customHeight="1" x14ac:dyDescent="0.25">
      <c r="A11" s="870" t="s">
        <v>4</v>
      </c>
      <c r="B11" s="875" t="s">
        <v>14</v>
      </c>
      <c r="C11" s="872" t="s">
        <v>5</v>
      </c>
      <c r="D11" s="878" t="s">
        <v>15</v>
      </c>
      <c r="E11" s="874" t="s">
        <v>6</v>
      </c>
      <c r="F11" s="861" t="s">
        <v>16</v>
      </c>
      <c r="G11" s="862"/>
    </row>
    <row r="12" spans="1:7" ht="18" customHeight="1" x14ac:dyDescent="0.25">
      <c r="A12" s="871"/>
      <c r="B12" s="876"/>
      <c r="C12" s="873"/>
      <c r="D12" s="879"/>
      <c r="E12" s="873"/>
      <c r="F12" s="863"/>
      <c r="G12" s="864"/>
    </row>
    <row r="13" spans="1:7" ht="18" customHeight="1" thickBot="1" x14ac:dyDescent="0.3">
      <c r="A13" s="872"/>
      <c r="B13" s="877"/>
      <c r="C13" s="870"/>
      <c r="D13" s="880"/>
      <c r="E13" s="870"/>
      <c r="F13" s="865"/>
      <c r="G13" s="866"/>
    </row>
    <row r="14" spans="1:7" ht="18" customHeight="1" thickBot="1" x14ac:dyDescent="0.3">
      <c r="A14" s="833" t="s">
        <v>8</v>
      </c>
      <c r="B14" s="918" t="s">
        <v>495</v>
      </c>
      <c r="C14" s="919"/>
      <c r="D14" s="919"/>
      <c r="E14" s="919"/>
      <c r="F14" s="919"/>
      <c r="G14" s="920"/>
    </row>
    <row r="15" spans="1:7" ht="16.5" thickBot="1" x14ac:dyDescent="0.3">
      <c r="A15" s="858" t="s">
        <v>9</v>
      </c>
      <c r="B15" s="859"/>
      <c r="C15" s="859"/>
      <c r="D15" s="859"/>
      <c r="E15" s="859"/>
      <c r="F15" s="859"/>
      <c r="G15" s="860"/>
    </row>
    <row r="16" spans="1:7" ht="16.5" thickBot="1" x14ac:dyDescent="0.3">
      <c r="A16" s="903"/>
      <c r="B16" s="904"/>
      <c r="C16" s="904"/>
      <c r="D16" s="904"/>
      <c r="E16" s="904"/>
      <c r="F16" s="904"/>
      <c r="G16" s="905"/>
    </row>
    <row r="17" spans="1:7" ht="16.5" thickBot="1" x14ac:dyDescent="0.3">
      <c r="A17" s="913" t="s">
        <v>10</v>
      </c>
      <c r="B17" s="914"/>
      <c r="C17" s="913" t="s">
        <v>11</v>
      </c>
      <c r="D17" s="915"/>
      <c r="E17" s="916" t="s">
        <v>12</v>
      </c>
      <c r="F17" s="917"/>
      <c r="G17" s="915"/>
    </row>
    <row r="18" spans="1:7" ht="16.5" thickBot="1" x14ac:dyDescent="0.3">
      <c r="A18" s="856" t="s">
        <v>13</v>
      </c>
      <c r="B18" s="857"/>
      <c r="C18" s="856" t="s">
        <v>496</v>
      </c>
      <c r="D18" s="912"/>
      <c r="E18" s="909">
        <v>43605</v>
      </c>
      <c r="F18" s="910"/>
      <c r="G18" s="911"/>
    </row>
    <row r="19" spans="1:7" ht="18" customHeight="1" thickBot="1" x14ac:dyDescent="0.3">
      <c r="A19" s="896" t="s">
        <v>17</v>
      </c>
      <c r="B19" s="897"/>
      <c r="C19" s="897"/>
      <c r="D19" s="897"/>
      <c r="E19" s="897"/>
      <c r="F19" s="897"/>
      <c r="G19" s="898"/>
    </row>
    <row r="20" spans="1:7" ht="18" customHeight="1" x14ac:dyDescent="0.25">
      <c r="A20" s="834" t="s">
        <v>18</v>
      </c>
      <c r="B20" s="899" t="s">
        <v>25</v>
      </c>
      <c r="C20" s="899"/>
      <c r="D20" s="899"/>
      <c r="E20" s="899"/>
      <c r="F20" s="899"/>
      <c r="G20" s="900"/>
    </row>
    <row r="21" spans="1:7" ht="18" customHeight="1" x14ac:dyDescent="0.25">
      <c r="A21" s="404" t="s">
        <v>19</v>
      </c>
      <c r="B21" s="901" t="s">
        <v>26</v>
      </c>
      <c r="C21" s="901"/>
      <c r="D21" s="901"/>
      <c r="E21" s="901"/>
      <c r="F21" s="901"/>
      <c r="G21" s="902"/>
    </row>
    <row r="22" spans="1:7" ht="18" customHeight="1" x14ac:dyDescent="0.25">
      <c r="A22" s="404" t="s">
        <v>20</v>
      </c>
      <c r="B22" s="901" t="s">
        <v>27</v>
      </c>
      <c r="C22" s="901"/>
      <c r="D22" s="901"/>
      <c r="E22" s="901"/>
      <c r="F22" s="901"/>
      <c r="G22" s="902"/>
    </row>
    <row r="23" spans="1:7" ht="18" customHeight="1" x14ac:dyDescent="0.25">
      <c r="A23" s="404" t="s">
        <v>21</v>
      </c>
      <c r="B23" s="901" t="s">
        <v>28</v>
      </c>
      <c r="C23" s="901"/>
      <c r="D23" s="901"/>
      <c r="E23" s="901"/>
      <c r="F23" s="901"/>
      <c r="G23" s="902"/>
    </row>
    <row r="24" spans="1:7" ht="18" customHeight="1" x14ac:dyDescent="0.25">
      <c r="A24" s="404" t="s">
        <v>22</v>
      </c>
      <c r="B24" s="901" t="s">
        <v>29</v>
      </c>
      <c r="C24" s="901"/>
      <c r="D24" s="901"/>
      <c r="E24" s="901"/>
      <c r="F24" s="901"/>
      <c r="G24" s="902"/>
    </row>
    <row r="25" spans="1:7" ht="18" customHeight="1" x14ac:dyDescent="0.25">
      <c r="A25" s="404" t="s">
        <v>23</v>
      </c>
      <c r="B25" s="921">
        <v>43358</v>
      </c>
      <c r="C25" s="921"/>
      <c r="D25" s="921"/>
      <c r="E25" s="921"/>
      <c r="F25" s="921"/>
      <c r="G25" s="933"/>
    </row>
    <row r="26" spans="1:7" ht="18" customHeight="1" thickBot="1" x14ac:dyDescent="0.3">
      <c r="A26" s="835" t="s">
        <v>24</v>
      </c>
      <c r="B26" s="934" t="s">
        <v>29</v>
      </c>
      <c r="C26" s="934"/>
      <c r="D26" s="934"/>
      <c r="E26" s="934"/>
      <c r="F26" s="934"/>
      <c r="G26" s="935"/>
    </row>
    <row r="27" spans="1:7" ht="18" customHeight="1" thickBot="1" x14ac:dyDescent="0.3">
      <c r="A27" s="896" t="s">
        <v>30</v>
      </c>
      <c r="B27" s="897"/>
      <c r="C27" s="897"/>
      <c r="D27" s="897"/>
      <c r="E27" s="897"/>
      <c r="F27" s="897"/>
      <c r="G27" s="898"/>
    </row>
    <row r="28" spans="1:7" ht="18" customHeight="1" x14ac:dyDescent="0.25">
      <c r="A28" s="834" t="s">
        <v>31</v>
      </c>
      <c r="B28" s="936" t="s">
        <v>122</v>
      </c>
      <c r="C28" s="937"/>
      <c r="D28" s="937"/>
      <c r="E28" s="937"/>
      <c r="F28" s="937"/>
      <c r="G28" s="938"/>
    </row>
    <row r="29" spans="1:7" ht="18" customHeight="1" x14ac:dyDescent="0.25">
      <c r="A29" s="404" t="s">
        <v>32</v>
      </c>
      <c r="B29" s="921">
        <v>43359</v>
      </c>
      <c r="C29" s="921"/>
      <c r="D29" s="921"/>
      <c r="E29" s="921"/>
      <c r="F29" s="921"/>
      <c r="G29" s="933"/>
    </row>
    <row r="30" spans="1:7" ht="18" customHeight="1" x14ac:dyDescent="0.25">
      <c r="A30" s="404" t="s">
        <v>33</v>
      </c>
      <c r="B30" s="901" t="s">
        <v>39</v>
      </c>
      <c r="C30" s="901"/>
      <c r="D30" s="836" t="s">
        <v>34</v>
      </c>
      <c r="E30" s="901" t="s">
        <v>40</v>
      </c>
      <c r="F30" s="901"/>
      <c r="G30" s="902"/>
    </row>
    <row r="31" spans="1:7" ht="18" customHeight="1" x14ac:dyDescent="0.25">
      <c r="A31" s="404" t="s">
        <v>35</v>
      </c>
      <c r="B31" s="921">
        <v>43763</v>
      </c>
      <c r="C31" s="922"/>
      <c r="D31" s="922"/>
      <c r="E31" s="922"/>
      <c r="F31" s="922"/>
      <c r="G31" s="923"/>
    </row>
    <row r="32" spans="1:7" ht="18" customHeight="1" x14ac:dyDescent="0.25">
      <c r="A32" s="404" t="s">
        <v>36</v>
      </c>
      <c r="B32" s="924">
        <v>1030859.04</v>
      </c>
      <c r="C32" s="924"/>
      <c r="D32" s="924"/>
      <c r="E32" s="924"/>
      <c r="F32" s="924"/>
      <c r="G32" s="925"/>
    </row>
    <row r="33" spans="1:7" ht="18" customHeight="1" thickBot="1" x14ac:dyDescent="0.3">
      <c r="A33" s="835" t="s">
        <v>37</v>
      </c>
      <c r="B33" s="926" t="s">
        <v>38</v>
      </c>
      <c r="C33" s="926"/>
      <c r="D33" s="926"/>
      <c r="E33" s="926"/>
      <c r="F33" s="926"/>
      <c r="G33" s="927"/>
    </row>
    <row r="34" spans="1:7" ht="18" customHeight="1" thickBot="1" x14ac:dyDescent="0.3">
      <c r="A34" s="896" t="s">
        <v>41</v>
      </c>
      <c r="B34" s="897"/>
      <c r="C34" s="897"/>
      <c r="D34" s="897"/>
      <c r="E34" s="897"/>
      <c r="F34" s="897"/>
      <c r="G34" s="898"/>
    </row>
    <row r="35" spans="1:7" ht="18" customHeight="1" x14ac:dyDescent="0.25">
      <c r="A35" s="834" t="s">
        <v>42</v>
      </c>
      <c r="B35" s="928" t="s">
        <v>29</v>
      </c>
      <c r="C35" s="928"/>
      <c r="D35" s="928"/>
      <c r="E35" s="928"/>
      <c r="F35" s="928"/>
      <c r="G35" s="929"/>
    </row>
    <row r="36" spans="1:7" ht="18" customHeight="1" x14ac:dyDescent="0.25">
      <c r="A36" s="404" t="s">
        <v>43</v>
      </c>
      <c r="B36" s="924" t="s">
        <v>44</v>
      </c>
      <c r="C36" s="924"/>
      <c r="D36" s="924"/>
      <c r="E36" s="924"/>
      <c r="F36" s="924"/>
      <c r="G36" s="925"/>
    </row>
    <row r="37" spans="1:7" ht="18" customHeight="1" x14ac:dyDescent="0.25">
      <c r="A37" s="404" t="s">
        <v>45</v>
      </c>
      <c r="B37" s="924" t="s">
        <v>124</v>
      </c>
      <c r="C37" s="924"/>
      <c r="D37" s="924"/>
      <c r="E37" s="924"/>
      <c r="F37" s="924"/>
      <c r="G37" s="925"/>
    </row>
    <row r="38" spans="1:7" ht="18" customHeight="1" x14ac:dyDescent="0.25">
      <c r="A38" s="404" t="s">
        <v>46</v>
      </c>
      <c r="B38" s="924" t="s">
        <v>123</v>
      </c>
      <c r="C38" s="924"/>
      <c r="D38" s="924"/>
      <c r="E38" s="924"/>
      <c r="F38" s="924"/>
      <c r="G38" s="925"/>
    </row>
    <row r="39" spans="1:7" ht="18" customHeight="1" thickBot="1" x14ac:dyDescent="0.3">
      <c r="A39" s="835" t="s">
        <v>48</v>
      </c>
      <c r="B39" s="930" t="s">
        <v>47</v>
      </c>
      <c r="C39" s="931"/>
      <c r="D39" s="931"/>
      <c r="E39" s="931"/>
      <c r="F39" s="931"/>
      <c r="G39" s="932"/>
    </row>
    <row r="40" spans="1:7" ht="18" customHeight="1" thickBot="1" x14ac:dyDescent="0.3">
      <c r="A40" s="896" t="s">
        <v>49</v>
      </c>
      <c r="B40" s="897"/>
      <c r="C40" s="897"/>
      <c r="D40" s="897"/>
      <c r="E40" s="897"/>
      <c r="F40" s="897"/>
      <c r="G40" s="898"/>
    </row>
    <row r="41" spans="1:7" ht="18" customHeight="1" x14ac:dyDescent="0.25">
      <c r="A41" s="943" t="s">
        <v>279</v>
      </c>
      <c r="B41" s="944"/>
      <c r="C41" s="944"/>
      <c r="D41" s="944"/>
      <c r="E41" s="944"/>
      <c r="F41" s="944"/>
      <c r="G41" s="945"/>
    </row>
    <row r="42" spans="1:7" ht="18" customHeight="1" x14ac:dyDescent="0.25">
      <c r="A42" s="946"/>
      <c r="B42" s="947"/>
      <c r="C42" s="947"/>
      <c r="D42" s="947"/>
      <c r="E42" s="947"/>
      <c r="F42" s="947"/>
      <c r="G42" s="948"/>
    </row>
    <row r="43" spans="1:7" ht="18" customHeight="1" x14ac:dyDescent="0.25">
      <c r="A43" s="946"/>
      <c r="B43" s="947"/>
      <c r="C43" s="947"/>
      <c r="D43" s="947"/>
      <c r="E43" s="947"/>
      <c r="F43" s="947"/>
      <c r="G43" s="948"/>
    </row>
    <row r="44" spans="1:7" ht="18" customHeight="1" x14ac:dyDescent="0.25">
      <c r="A44" s="946"/>
      <c r="B44" s="947"/>
      <c r="C44" s="947"/>
      <c r="D44" s="947"/>
      <c r="E44" s="947"/>
      <c r="F44" s="947"/>
      <c r="G44" s="948"/>
    </row>
    <row r="45" spans="1:7" ht="18" customHeight="1" thickBot="1" x14ac:dyDescent="0.3">
      <c r="A45" s="949"/>
      <c r="B45" s="950"/>
      <c r="C45" s="950"/>
      <c r="D45" s="950"/>
      <c r="E45" s="950"/>
      <c r="F45" s="950"/>
      <c r="G45" s="951"/>
    </row>
    <row r="46" spans="1:7" ht="18" customHeight="1" thickBot="1" x14ac:dyDescent="0.3">
      <c r="A46" s="896" t="s">
        <v>51</v>
      </c>
      <c r="B46" s="897"/>
      <c r="C46" s="897"/>
      <c r="D46" s="897"/>
      <c r="E46" s="897"/>
      <c r="F46" s="897"/>
      <c r="G46" s="898"/>
    </row>
    <row r="47" spans="1:7" ht="18" customHeight="1" x14ac:dyDescent="0.25">
      <c r="A47" s="943" t="s">
        <v>50</v>
      </c>
      <c r="B47" s="944"/>
      <c r="C47" s="944"/>
      <c r="D47" s="944"/>
      <c r="E47" s="944"/>
      <c r="F47" s="944"/>
      <c r="G47" s="945"/>
    </row>
    <row r="48" spans="1:7" ht="18" customHeight="1" x14ac:dyDescent="0.25">
      <c r="A48" s="946"/>
      <c r="B48" s="947"/>
      <c r="C48" s="947"/>
      <c r="D48" s="947"/>
      <c r="E48" s="947"/>
      <c r="F48" s="947"/>
      <c r="G48" s="948"/>
    </row>
    <row r="49" spans="1:7" ht="18" customHeight="1" x14ac:dyDescent="0.25">
      <c r="A49" s="946"/>
      <c r="B49" s="947"/>
      <c r="C49" s="947"/>
      <c r="D49" s="947"/>
      <c r="E49" s="947"/>
      <c r="F49" s="947"/>
      <c r="G49" s="948"/>
    </row>
    <row r="50" spans="1:7" ht="18" customHeight="1" x14ac:dyDescent="0.25">
      <c r="A50" s="946"/>
      <c r="B50" s="947"/>
      <c r="C50" s="947"/>
      <c r="D50" s="947"/>
      <c r="E50" s="947"/>
      <c r="F50" s="947"/>
      <c r="G50" s="948"/>
    </row>
    <row r="51" spans="1:7" ht="18" customHeight="1" x14ac:dyDescent="0.25">
      <c r="A51" s="946"/>
      <c r="B51" s="947"/>
      <c r="C51" s="947"/>
      <c r="D51" s="947"/>
      <c r="E51" s="947"/>
      <c r="F51" s="947"/>
      <c r="G51" s="948"/>
    </row>
    <row r="52" spans="1:7" ht="18" customHeight="1" x14ac:dyDescent="0.25">
      <c r="A52" s="939" t="s">
        <v>52</v>
      </c>
      <c r="B52" s="940"/>
      <c r="C52" s="940"/>
      <c r="D52" s="940"/>
      <c r="E52" s="940"/>
      <c r="F52" s="940"/>
      <c r="G52" s="941"/>
    </row>
    <row r="53" spans="1:7" ht="18" customHeight="1" x14ac:dyDescent="0.25">
      <c r="A53" s="942" t="s">
        <v>72</v>
      </c>
      <c r="B53" s="901" t="s">
        <v>53</v>
      </c>
      <c r="C53" s="901"/>
      <c r="D53" s="901"/>
      <c r="E53" s="901"/>
      <c r="F53" s="901"/>
      <c r="G53" s="902"/>
    </row>
    <row r="54" spans="1:7" ht="18" customHeight="1" x14ac:dyDescent="0.25">
      <c r="A54" s="942"/>
      <c r="B54" s="901" t="s">
        <v>54</v>
      </c>
      <c r="C54" s="901"/>
      <c r="D54" s="901"/>
      <c r="E54" s="901"/>
      <c r="F54" s="901"/>
      <c r="G54" s="902"/>
    </row>
    <row r="55" spans="1:7" ht="18" customHeight="1" x14ac:dyDescent="0.25">
      <c r="A55" s="942" t="s">
        <v>71</v>
      </c>
      <c r="B55" s="901" t="s">
        <v>55</v>
      </c>
      <c r="C55" s="901"/>
      <c r="D55" s="901"/>
      <c r="E55" s="901"/>
      <c r="F55" s="901"/>
      <c r="G55" s="902"/>
    </row>
    <row r="56" spans="1:7" ht="18" customHeight="1" x14ac:dyDescent="0.25">
      <c r="A56" s="942"/>
      <c r="B56" s="901" t="s">
        <v>56</v>
      </c>
      <c r="C56" s="901"/>
      <c r="D56" s="901"/>
      <c r="E56" s="901"/>
      <c r="F56" s="901"/>
      <c r="G56" s="902"/>
    </row>
    <row r="57" spans="1:7" ht="18" customHeight="1" x14ac:dyDescent="0.25">
      <c r="A57" s="942"/>
      <c r="B57" s="901" t="s">
        <v>57</v>
      </c>
      <c r="C57" s="901"/>
      <c r="D57" s="901"/>
      <c r="E57" s="901"/>
      <c r="F57" s="901"/>
      <c r="G57" s="902"/>
    </row>
    <row r="58" spans="1:7" ht="18" customHeight="1" x14ac:dyDescent="0.25">
      <c r="A58" s="942"/>
      <c r="B58" s="901" t="s">
        <v>58</v>
      </c>
      <c r="C58" s="901"/>
      <c r="D58" s="901"/>
      <c r="E58" s="901"/>
      <c r="F58" s="901"/>
      <c r="G58" s="902"/>
    </row>
    <row r="59" spans="1:7" ht="18" customHeight="1" x14ac:dyDescent="0.25">
      <c r="A59" s="942"/>
      <c r="B59" s="901" t="s">
        <v>59</v>
      </c>
      <c r="C59" s="901"/>
      <c r="D59" s="901"/>
      <c r="E59" s="901"/>
      <c r="F59" s="901"/>
      <c r="G59" s="902"/>
    </row>
    <row r="60" spans="1:7" ht="18" customHeight="1" x14ac:dyDescent="0.25">
      <c r="A60" s="942"/>
      <c r="B60" s="901" t="s">
        <v>60</v>
      </c>
      <c r="C60" s="901"/>
      <c r="D60" s="901"/>
      <c r="E60" s="901"/>
      <c r="F60" s="901"/>
      <c r="G60" s="902"/>
    </row>
    <row r="61" spans="1:7" ht="18" customHeight="1" x14ac:dyDescent="0.25">
      <c r="A61" s="942"/>
      <c r="B61" s="901" t="s">
        <v>62</v>
      </c>
      <c r="C61" s="901"/>
      <c r="D61" s="901"/>
      <c r="E61" s="901"/>
      <c r="F61" s="901"/>
      <c r="G61" s="902"/>
    </row>
    <row r="62" spans="1:7" ht="18" customHeight="1" x14ac:dyDescent="0.25">
      <c r="A62" s="942"/>
      <c r="B62" s="901" t="s">
        <v>61</v>
      </c>
      <c r="C62" s="901"/>
      <c r="D62" s="901"/>
      <c r="E62" s="901"/>
      <c r="F62" s="901"/>
      <c r="G62" s="902"/>
    </row>
    <row r="63" spans="1:7" ht="18" customHeight="1" x14ac:dyDescent="0.25">
      <c r="A63" s="942"/>
      <c r="B63" s="901" t="s">
        <v>63</v>
      </c>
      <c r="C63" s="901"/>
      <c r="D63" s="901"/>
      <c r="E63" s="901"/>
      <c r="F63" s="901"/>
      <c r="G63" s="902"/>
    </row>
    <row r="64" spans="1:7" ht="18" customHeight="1" x14ac:dyDescent="0.25">
      <c r="A64" s="942" t="s">
        <v>70</v>
      </c>
      <c r="B64" s="901" t="s">
        <v>64</v>
      </c>
      <c r="C64" s="901"/>
      <c r="D64" s="901"/>
      <c r="E64" s="901"/>
      <c r="F64" s="901"/>
      <c r="G64" s="902"/>
    </row>
    <row r="65" spans="1:7" ht="18" customHeight="1" x14ac:dyDescent="0.25">
      <c r="A65" s="942"/>
      <c r="B65" s="901" t="s">
        <v>65</v>
      </c>
      <c r="C65" s="901"/>
      <c r="D65" s="901"/>
      <c r="E65" s="901"/>
      <c r="F65" s="901"/>
      <c r="G65" s="902"/>
    </row>
    <row r="66" spans="1:7" ht="18" customHeight="1" x14ac:dyDescent="0.25">
      <c r="A66" s="942"/>
      <c r="B66" s="901" t="s">
        <v>66</v>
      </c>
      <c r="C66" s="901"/>
      <c r="D66" s="901"/>
      <c r="E66" s="901"/>
      <c r="F66" s="901"/>
      <c r="G66" s="902"/>
    </row>
    <row r="67" spans="1:7" ht="18" customHeight="1" x14ac:dyDescent="0.25">
      <c r="A67" s="942"/>
      <c r="B67" s="901" t="s">
        <v>67</v>
      </c>
      <c r="C67" s="901"/>
      <c r="D67" s="901"/>
      <c r="E67" s="901"/>
      <c r="F67" s="901"/>
      <c r="G67" s="902"/>
    </row>
    <row r="68" spans="1:7" ht="18" customHeight="1" thickBot="1" x14ac:dyDescent="0.3">
      <c r="A68" s="835" t="s">
        <v>69</v>
      </c>
      <c r="B68" s="934" t="s">
        <v>68</v>
      </c>
      <c r="C68" s="934"/>
      <c r="D68" s="934"/>
      <c r="E68" s="934"/>
      <c r="F68" s="934"/>
      <c r="G68" s="935"/>
    </row>
    <row r="69" spans="1:7" ht="18" customHeight="1" thickBot="1" x14ac:dyDescent="0.3">
      <c r="A69" s="896" t="s">
        <v>73</v>
      </c>
      <c r="B69" s="897"/>
      <c r="C69" s="897"/>
      <c r="D69" s="897"/>
      <c r="E69" s="897"/>
      <c r="F69" s="897"/>
      <c r="G69" s="898"/>
    </row>
    <row r="70" spans="1:7" ht="31.5" customHeight="1" thickBot="1" x14ac:dyDescent="0.3">
      <c r="A70" s="894"/>
      <c r="B70" s="883"/>
      <c r="C70" s="883"/>
      <c r="D70" s="883"/>
      <c r="E70" s="883"/>
      <c r="F70" s="883"/>
      <c r="G70" s="884"/>
    </row>
    <row r="71" spans="1:7" ht="18" customHeight="1" thickBot="1" x14ac:dyDescent="0.3">
      <c r="A71" s="896" t="s">
        <v>91</v>
      </c>
      <c r="B71" s="897"/>
      <c r="C71" s="897"/>
      <c r="D71" s="897"/>
      <c r="E71" s="897"/>
      <c r="F71" s="897"/>
      <c r="G71" s="898"/>
    </row>
    <row r="72" spans="1:7" ht="18" customHeight="1" x14ac:dyDescent="0.25">
      <c r="A72" s="971" t="s">
        <v>120</v>
      </c>
      <c r="B72" s="972"/>
      <c r="C72" s="972"/>
      <c r="D72" s="972"/>
      <c r="E72" s="972"/>
      <c r="F72" s="972"/>
      <c r="G72" s="973"/>
    </row>
    <row r="73" spans="1:7" ht="18" customHeight="1" x14ac:dyDescent="0.25">
      <c r="A73" s="962" t="s">
        <v>92</v>
      </c>
      <c r="B73" s="963"/>
      <c r="C73" s="963"/>
      <c r="D73" s="963"/>
      <c r="E73" s="963"/>
      <c r="F73" s="963"/>
      <c r="G73" s="964"/>
    </row>
    <row r="74" spans="1:7" ht="18" customHeight="1" x14ac:dyDescent="0.25">
      <c r="A74" s="962"/>
      <c r="B74" s="963"/>
      <c r="C74" s="963"/>
      <c r="D74" s="963"/>
      <c r="E74" s="963"/>
      <c r="F74" s="963"/>
      <c r="G74" s="964"/>
    </row>
    <row r="75" spans="1:7" ht="18" customHeight="1" x14ac:dyDescent="0.25">
      <c r="A75" s="962"/>
      <c r="B75" s="963"/>
      <c r="C75" s="963"/>
      <c r="D75" s="963"/>
      <c r="E75" s="963"/>
      <c r="F75" s="963"/>
      <c r="G75" s="964"/>
    </row>
    <row r="76" spans="1:7" ht="18" customHeight="1" x14ac:dyDescent="0.25">
      <c r="A76" s="974" t="s">
        <v>121</v>
      </c>
      <c r="B76" s="975"/>
      <c r="C76" s="975"/>
      <c r="D76" s="975"/>
      <c r="E76" s="975"/>
      <c r="F76" s="975"/>
      <c r="G76" s="976"/>
    </row>
    <row r="77" spans="1:7" ht="18" customHeight="1" x14ac:dyDescent="0.25">
      <c r="A77" s="894" t="s">
        <v>1995</v>
      </c>
      <c r="B77" s="883"/>
      <c r="C77" s="883"/>
      <c r="D77" s="883"/>
      <c r="E77" s="883"/>
      <c r="F77" s="883"/>
      <c r="G77" s="884"/>
    </row>
    <row r="78" spans="1:7" ht="18" customHeight="1" x14ac:dyDescent="0.25">
      <c r="A78" s="962" t="s">
        <v>93</v>
      </c>
      <c r="B78" s="963"/>
      <c r="C78" s="963"/>
      <c r="D78" s="963"/>
      <c r="E78" s="963"/>
      <c r="F78" s="963"/>
      <c r="G78" s="964"/>
    </row>
    <row r="79" spans="1:7" ht="18" customHeight="1" thickBot="1" x14ac:dyDescent="0.3">
      <c r="A79" s="962"/>
      <c r="B79" s="963"/>
      <c r="C79" s="963"/>
      <c r="D79" s="963"/>
      <c r="E79" s="963"/>
      <c r="F79" s="963"/>
      <c r="G79" s="964"/>
    </row>
    <row r="80" spans="1:7" ht="18" customHeight="1" thickBot="1" x14ac:dyDescent="0.3">
      <c r="A80" s="896" t="s">
        <v>94</v>
      </c>
      <c r="B80" s="897"/>
      <c r="C80" s="897"/>
      <c r="D80" s="897"/>
      <c r="E80" s="897"/>
      <c r="F80" s="897"/>
      <c r="G80" s="898"/>
    </row>
    <row r="81" spans="1:7" ht="18" customHeight="1" x14ac:dyDescent="0.25">
      <c r="A81" s="954" t="s">
        <v>125</v>
      </c>
      <c r="B81" s="955"/>
      <c r="C81" s="955"/>
      <c r="D81" s="955"/>
      <c r="E81" s="955"/>
      <c r="F81" s="955"/>
      <c r="G81" s="956"/>
    </row>
    <row r="82" spans="1:7" ht="18" customHeight="1" x14ac:dyDescent="0.25">
      <c r="A82" s="954"/>
      <c r="B82" s="955"/>
      <c r="C82" s="955"/>
      <c r="D82" s="955"/>
      <c r="E82" s="955"/>
      <c r="F82" s="955"/>
      <c r="G82" s="956"/>
    </row>
    <row r="83" spans="1:7" ht="18" customHeight="1" x14ac:dyDescent="0.25">
      <c r="A83" s="954"/>
      <c r="B83" s="955"/>
      <c r="C83" s="955"/>
      <c r="D83" s="955"/>
      <c r="E83" s="955"/>
      <c r="F83" s="955"/>
      <c r="G83" s="956"/>
    </row>
    <row r="84" spans="1:7" ht="18" customHeight="1" x14ac:dyDescent="0.25">
      <c r="A84" s="954"/>
      <c r="B84" s="955"/>
      <c r="C84" s="955"/>
      <c r="D84" s="955"/>
      <c r="E84" s="955"/>
      <c r="F84" s="955"/>
      <c r="G84" s="956"/>
    </row>
    <row r="85" spans="1:7" ht="18" customHeight="1" x14ac:dyDescent="0.25">
      <c r="A85" s="954"/>
      <c r="B85" s="955"/>
      <c r="C85" s="955"/>
      <c r="D85" s="955"/>
      <c r="E85" s="955"/>
      <c r="F85" s="955"/>
      <c r="G85" s="956"/>
    </row>
    <row r="86" spans="1:7" ht="18" customHeight="1" x14ac:dyDescent="0.25">
      <c r="A86" s="954"/>
      <c r="B86" s="955"/>
      <c r="C86" s="955"/>
      <c r="D86" s="955"/>
      <c r="E86" s="955"/>
      <c r="F86" s="955"/>
      <c r="G86" s="956"/>
    </row>
    <row r="87" spans="1:7" ht="18" customHeight="1" thickBot="1" x14ac:dyDescent="0.3">
      <c r="A87" s="954"/>
      <c r="B87" s="955"/>
      <c r="C87" s="955"/>
      <c r="D87" s="955"/>
      <c r="E87" s="955"/>
      <c r="F87" s="955"/>
      <c r="G87" s="956"/>
    </row>
    <row r="88" spans="1:7" ht="18" customHeight="1" thickBot="1" x14ac:dyDescent="0.3">
      <c r="A88" s="896" t="s">
        <v>95</v>
      </c>
      <c r="B88" s="897"/>
      <c r="C88" s="897"/>
      <c r="D88" s="897"/>
      <c r="E88" s="897"/>
      <c r="F88" s="897"/>
      <c r="G88" s="898"/>
    </row>
    <row r="89" spans="1:7" ht="18" customHeight="1" x14ac:dyDescent="0.25">
      <c r="A89" s="893"/>
      <c r="B89" s="881"/>
      <c r="C89" s="881"/>
      <c r="D89" s="881"/>
      <c r="E89" s="881"/>
      <c r="F89" s="881"/>
      <c r="G89" s="882"/>
    </row>
    <row r="90" spans="1:7" ht="18" customHeight="1" thickBot="1" x14ac:dyDescent="0.3">
      <c r="A90" s="895"/>
      <c r="B90" s="885"/>
      <c r="C90" s="885"/>
      <c r="D90" s="885"/>
      <c r="E90" s="885"/>
      <c r="F90" s="885"/>
      <c r="G90" s="886"/>
    </row>
    <row r="91" spans="1:7" ht="18" customHeight="1" thickBot="1" x14ac:dyDescent="0.3">
      <c r="A91" s="896" t="s">
        <v>96</v>
      </c>
      <c r="B91" s="897"/>
      <c r="C91" s="897"/>
      <c r="D91" s="897"/>
      <c r="E91" s="897"/>
      <c r="F91" s="897"/>
      <c r="G91" s="898"/>
    </row>
    <row r="92" spans="1:7" ht="18" customHeight="1" x14ac:dyDescent="0.25">
      <c r="A92" s="959" t="s">
        <v>74</v>
      </c>
      <c r="B92" s="958"/>
      <c r="C92" s="957" t="s">
        <v>75</v>
      </c>
      <c r="D92" s="958"/>
      <c r="E92" s="957" t="s">
        <v>76</v>
      </c>
      <c r="F92" s="960"/>
      <c r="G92" s="961"/>
    </row>
    <row r="93" spans="1:7" ht="18" customHeight="1" x14ac:dyDescent="0.25">
      <c r="A93" s="952" t="s">
        <v>77</v>
      </c>
      <c r="B93" s="953"/>
      <c r="C93" s="965" t="s">
        <v>1555</v>
      </c>
      <c r="D93" s="968"/>
      <c r="E93" s="965" t="s">
        <v>1555</v>
      </c>
      <c r="F93" s="966"/>
      <c r="G93" s="967"/>
    </row>
    <row r="94" spans="1:7" ht="18" customHeight="1" x14ac:dyDescent="0.25">
      <c r="A94" s="952" t="s">
        <v>78</v>
      </c>
      <c r="B94" s="953"/>
      <c r="C94" s="965" t="s">
        <v>1555</v>
      </c>
      <c r="D94" s="968"/>
      <c r="E94" s="965" t="s">
        <v>1555</v>
      </c>
      <c r="F94" s="966"/>
      <c r="G94" s="967"/>
    </row>
    <row r="95" spans="1:7" ht="18" customHeight="1" x14ac:dyDescent="0.25">
      <c r="A95" s="952" t="s">
        <v>79</v>
      </c>
      <c r="B95" s="953"/>
      <c r="C95" s="965" t="s">
        <v>1555</v>
      </c>
      <c r="D95" s="968"/>
      <c r="E95" s="965" t="s">
        <v>1555</v>
      </c>
      <c r="F95" s="966"/>
      <c r="G95" s="967"/>
    </row>
    <row r="96" spans="1:7" ht="18" customHeight="1" x14ac:dyDescent="0.25">
      <c r="A96" s="952" t="s">
        <v>80</v>
      </c>
      <c r="B96" s="953"/>
      <c r="C96" s="965" t="s">
        <v>1555</v>
      </c>
      <c r="D96" s="968"/>
      <c r="E96" s="965" t="s">
        <v>1555</v>
      </c>
      <c r="F96" s="966"/>
      <c r="G96" s="967"/>
    </row>
    <row r="97" spans="1:7" ht="18" customHeight="1" x14ac:dyDescent="0.25">
      <c r="A97" s="952" t="s">
        <v>81</v>
      </c>
      <c r="B97" s="953"/>
      <c r="C97" s="965" t="s">
        <v>1555</v>
      </c>
      <c r="D97" s="968"/>
      <c r="E97" s="965" t="s">
        <v>1555</v>
      </c>
      <c r="F97" s="966"/>
      <c r="G97" s="967"/>
    </row>
    <row r="98" spans="1:7" ht="18" customHeight="1" x14ac:dyDescent="0.25">
      <c r="A98" s="952" t="s">
        <v>82</v>
      </c>
      <c r="B98" s="953"/>
      <c r="C98" s="965" t="s">
        <v>1555</v>
      </c>
      <c r="D98" s="968"/>
      <c r="E98" s="965" t="s">
        <v>1555</v>
      </c>
      <c r="F98" s="966"/>
      <c r="G98" s="967"/>
    </row>
    <row r="99" spans="1:7" ht="18" customHeight="1" x14ac:dyDescent="0.25">
      <c r="A99" s="952" t="s">
        <v>83</v>
      </c>
      <c r="B99" s="953"/>
      <c r="C99" s="965" t="s">
        <v>1555</v>
      </c>
      <c r="D99" s="968"/>
      <c r="E99" s="965" t="s">
        <v>1555</v>
      </c>
      <c r="F99" s="966"/>
      <c r="G99" s="967"/>
    </row>
    <row r="100" spans="1:7" ht="18" customHeight="1" x14ac:dyDescent="0.25">
      <c r="A100" s="952" t="s">
        <v>84</v>
      </c>
      <c r="B100" s="953"/>
      <c r="C100" s="965" t="s">
        <v>1555</v>
      </c>
      <c r="D100" s="968"/>
      <c r="E100" s="965" t="s">
        <v>1555</v>
      </c>
      <c r="F100" s="966"/>
      <c r="G100" s="967"/>
    </row>
    <row r="101" spans="1:7" ht="18" customHeight="1" x14ac:dyDescent="0.25">
      <c r="A101" s="952" t="s">
        <v>85</v>
      </c>
      <c r="B101" s="953"/>
      <c r="C101" s="965" t="s">
        <v>1555</v>
      </c>
      <c r="D101" s="968"/>
      <c r="E101" s="965" t="s">
        <v>1555</v>
      </c>
      <c r="F101" s="966"/>
      <c r="G101" s="967"/>
    </row>
    <row r="102" spans="1:7" ht="18" customHeight="1" x14ac:dyDescent="0.25">
      <c r="A102" s="952" t="s">
        <v>86</v>
      </c>
      <c r="B102" s="953"/>
      <c r="C102" s="965" t="s">
        <v>1555</v>
      </c>
      <c r="D102" s="968"/>
      <c r="E102" s="965" t="s">
        <v>1555</v>
      </c>
      <c r="F102" s="966"/>
      <c r="G102" s="967"/>
    </row>
    <row r="103" spans="1:7" ht="18" customHeight="1" x14ac:dyDescent="0.25">
      <c r="A103" s="952" t="s">
        <v>87</v>
      </c>
      <c r="B103" s="953"/>
      <c r="C103" s="965" t="s">
        <v>1555</v>
      </c>
      <c r="D103" s="968"/>
      <c r="E103" s="965" t="s">
        <v>1555</v>
      </c>
      <c r="F103" s="966"/>
      <c r="G103" s="967"/>
    </row>
    <row r="104" spans="1:7" ht="18" customHeight="1" x14ac:dyDescent="0.25">
      <c r="A104" s="952" t="s">
        <v>88</v>
      </c>
      <c r="B104" s="953"/>
      <c r="C104" s="965" t="s">
        <v>1555</v>
      </c>
      <c r="D104" s="968"/>
      <c r="E104" s="965" t="s">
        <v>1555</v>
      </c>
      <c r="F104" s="966"/>
      <c r="G104" s="967"/>
    </row>
    <row r="105" spans="1:7" ht="18" customHeight="1" x14ac:dyDescent="0.25">
      <c r="A105" s="952" t="s">
        <v>89</v>
      </c>
      <c r="B105" s="953"/>
      <c r="C105" s="965" t="s">
        <v>1555</v>
      </c>
      <c r="D105" s="968"/>
      <c r="E105" s="965" t="s">
        <v>1555</v>
      </c>
      <c r="F105" s="966"/>
      <c r="G105" s="967"/>
    </row>
    <row r="106" spans="1:7" ht="18" customHeight="1" thickBot="1" x14ac:dyDescent="0.3">
      <c r="A106" s="969" t="s">
        <v>90</v>
      </c>
      <c r="B106" s="970"/>
      <c r="C106" s="965" t="s">
        <v>1555</v>
      </c>
      <c r="D106" s="968"/>
      <c r="E106" s="965" t="s">
        <v>1555</v>
      </c>
      <c r="F106" s="966"/>
      <c r="G106" s="967"/>
    </row>
    <row r="107" spans="1:7" ht="18" customHeight="1" thickBot="1" x14ac:dyDescent="0.3">
      <c r="A107" s="896" t="s">
        <v>97</v>
      </c>
      <c r="B107" s="897"/>
      <c r="C107" s="897"/>
      <c r="D107" s="897"/>
      <c r="E107" s="897"/>
      <c r="F107" s="897"/>
      <c r="G107" s="898"/>
    </row>
    <row r="108" spans="1:7" ht="18" customHeight="1" x14ac:dyDescent="0.25">
      <c r="A108" s="894" t="s">
        <v>1996</v>
      </c>
      <c r="B108" s="883"/>
      <c r="C108" s="883"/>
      <c r="D108" s="883"/>
      <c r="E108" s="883"/>
      <c r="F108" s="883"/>
      <c r="G108" s="884"/>
    </row>
    <row r="109" spans="1:7" ht="18" customHeight="1" x14ac:dyDescent="0.25">
      <c r="A109" s="894"/>
      <c r="B109" s="883"/>
      <c r="C109" s="883"/>
      <c r="D109" s="883"/>
      <c r="E109" s="883"/>
      <c r="F109" s="883"/>
      <c r="G109" s="884"/>
    </row>
    <row r="110" spans="1:7" ht="18" customHeight="1" x14ac:dyDescent="0.25">
      <c r="A110" s="894"/>
      <c r="B110" s="883"/>
      <c r="C110" s="883"/>
      <c r="D110" s="883"/>
      <c r="E110" s="883"/>
      <c r="F110" s="883"/>
      <c r="G110" s="884"/>
    </row>
    <row r="111" spans="1:7" ht="18" customHeight="1" x14ac:dyDescent="0.25">
      <c r="A111" s="894"/>
      <c r="B111" s="883"/>
      <c r="C111" s="883"/>
      <c r="D111" s="883"/>
      <c r="E111" s="883"/>
      <c r="F111" s="883"/>
      <c r="G111" s="884"/>
    </row>
    <row r="112" spans="1:7" ht="18" customHeight="1" thickBot="1" x14ac:dyDescent="0.3">
      <c r="A112" s="894"/>
      <c r="B112" s="883"/>
      <c r="C112" s="883"/>
      <c r="D112" s="883"/>
      <c r="E112" s="883"/>
      <c r="F112" s="883"/>
      <c r="G112" s="884"/>
    </row>
    <row r="113" spans="1:7" ht="18" customHeight="1" thickBot="1" x14ac:dyDescent="0.3">
      <c r="A113" s="896" t="s">
        <v>98</v>
      </c>
      <c r="B113" s="897"/>
      <c r="C113" s="897"/>
      <c r="D113" s="897"/>
      <c r="E113" s="897"/>
      <c r="F113" s="897"/>
      <c r="G113" s="898"/>
    </row>
    <row r="114" spans="1:7" ht="18" customHeight="1" x14ac:dyDescent="0.25">
      <c r="A114" s="982" t="s">
        <v>99</v>
      </c>
      <c r="B114" s="983"/>
      <c r="C114" s="983"/>
      <c r="D114" s="983"/>
      <c r="E114" s="983"/>
      <c r="F114" s="983"/>
      <c r="G114" s="984"/>
    </row>
    <row r="115" spans="1:7" ht="18" customHeight="1" x14ac:dyDescent="0.25">
      <c r="A115" s="977" t="s">
        <v>100</v>
      </c>
      <c r="B115" s="978"/>
      <c r="C115" s="978"/>
      <c r="D115" s="978"/>
      <c r="E115" s="978"/>
      <c r="F115" s="978"/>
      <c r="G115" s="979"/>
    </row>
    <row r="116" spans="1:7" ht="18" customHeight="1" x14ac:dyDescent="0.25">
      <c r="A116" s="977" t="s">
        <v>101</v>
      </c>
      <c r="B116" s="978"/>
      <c r="C116" s="978"/>
      <c r="D116" s="978"/>
      <c r="E116" s="978"/>
      <c r="F116" s="978"/>
      <c r="G116" s="979"/>
    </row>
    <row r="117" spans="1:7" ht="18" customHeight="1" x14ac:dyDescent="0.25">
      <c r="A117" s="977" t="s">
        <v>102</v>
      </c>
      <c r="B117" s="978"/>
      <c r="C117" s="978"/>
      <c r="D117" s="978"/>
      <c r="E117" s="978"/>
      <c r="F117" s="978"/>
      <c r="G117" s="979"/>
    </row>
    <row r="118" spans="1:7" ht="18" customHeight="1" x14ac:dyDescent="0.25">
      <c r="A118" s="977" t="s">
        <v>103</v>
      </c>
      <c r="B118" s="978"/>
      <c r="C118" s="978"/>
      <c r="D118" s="978"/>
      <c r="E118" s="978"/>
      <c r="F118" s="978"/>
      <c r="G118" s="979"/>
    </row>
    <row r="119" spans="1:7" ht="18" customHeight="1" thickBot="1" x14ac:dyDescent="0.3">
      <c r="A119" s="977" t="s">
        <v>104</v>
      </c>
      <c r="B119" s="978"/>
      <c r="C119" s="978"/>
      <c r="D119" s="978"/>
      <c r="E119" s="978"/>
      <c r="F119" s="978"/>
      <c r="G119" s="979"/>
    </row>
    <row r="120" spans="1:7" ht="18" customHeight="1" thickBot="1" x14ac:dyDescent="0.3">
      <c r="A120" s="896" t="s">
        <v>105</v>
      </c>
      <c r="B120" s="897"/>
      <c r="C120" s="897"/>
      <c r="D120" s="897"/>
      <c r="E120" s="897"/>
      <c r="F120" s="897"/>
      <c r="G120" s="898"/>
    </row>
    <row r="121" spans="1:7" ht="18" customHeight="1" x14ac:dyDescent="0.25">
      <c r="A121" s="982" t="s">
        <v>109</v>
      </c>
      <c r="B121" s="983"/>
      <c r="C121" s="983"/>
      <c r="D121" s="983"/>
      <c r="E121" s="983"/>
      <c r="F121" s="983"/>
      <c r="G121" s="984"/>
    </row>
    <row r="122" spans="1:7" ht="18" customHeight="1" x14ac:dyDescent="0.25">
      <c r="A122" s="977" t="s">
        <v>107</v>
      </c>
      <c r="B122" s="978"/>
      <c r="C122" s="978"/>
      <c r="D122" s="978"/>
      <c r="E122" s="978"/>
      <c r="F122" s="978"/>
      <c r="G122" s="979"/>
    </row>
    <row r="123" spans="1:7" ht="18" customHeight="1" x14ac:dyDescent="0.25">
      <c r="A123" s="977" t="s">
        <v>106</v>
      </c>
      <c r="B123" s="978"/>
      <c r="C123" s="978"/>
      <c r="D123" s="978"/>
      <c r="E123" s="978"/>
      <c r="F123" s="978"/>
      <c r="G123" s="979"/>
    </row>
    <row r="124" spans="1:7" ht="18" customHeight="1" x14ac:dyDescent="0.25">
      <c r="A124" s="977" t="s">
        <v>115</v>
      </c>
      <c r="B124" s="978"/>
      <c r="C124" s="978"/>
      <c r="D124" s="978"/>
      <c r="E124" s="978"/>
      <c r="F124" s="978"/>
      <c r="G124" s="979"/>
    </row>
    <row r="125" spans="1:7" ht="18" customHeight="1" x14ac:dyDescent="0.25">
      <c r="A125" s="977" t="s">
        <v>108</v>
      </c>
      <c r="B125" s="978"/>
      <c r="C125" s="978"/>
      <c r="D125" s="978"/>
      <c r="E125" s="978"/>
      <c r="F125" s="978"/>
      <c r="G125" s="979"/>
    </row>
    <row r="126" spans="1:7" ht="18" customHeight="1" x14ac:dyDescent="0.25">
      <c r="A126" s="977" t="s">
        <v>110</v>
      </c>
      <c r="B126" s="978"/>
      <c r="C126" s="978"/>
      <c r="D126" s="978"/>
      <c r="E126" s="978"/>
      <c r="F126" s="978"/>
      <c r="G126" s="979"/>
    </row>
    <row r="127" spans="1:7" ht="18" customHeight="1" x14ac:dyDescent="0.25">
      <c r="A127" s="977" t="s">
        <v>111</v>
      </c>
      <c r="B127" s="978"/>
      <c r="C127" s="978"/>
      <c r="D127" s="978"/>
      <c r="E127" s="978"/>
      <c r="F127" s="978"/>
      <c r="G127" s="979"/>
    </row>
    <row r="128" spans="1:7" ht="18" customHeight="1" x14ac:dyDescent="0.25">
      <c r="A128" s="977" t="s">
        <v>114</v>
      </c>
      <c r="B128" s="978"/>
      <c r="C128" s="978"/>
      <c r="D128" s="978"/>
      <c r="E128" s="978"/>
      <c r="F128" s="978"/>
      <c r="G128" s="979"/>
    </row>
    <row r="129" spans="1:7" ht="18" customHeight="1" x14ac:dyDescent="0.25">
      <c r="A129" s="977" t="s">
        <v>112</v>
      </c>
      <c r="B129" s="978"/>
      <c r="C129" s="978"/>
      <c r="D129" s="978"/>
      <c r="E129" s="978"/>
      <c r="F129" s="978"/>
      <c r="G129" s="979"/>
    </row>
    <row r="130" spans="1:7" ht="18" customHeight="1" thickBot="1" x14ac:dyDescent="0.3">
      <c r="A130" s="977" t="s">
        <v>113</v>
      </c>
      <c r="B130" s="978"/>
      <c r="C130" s="978"/>
      <c r="D130" s="978"/>
      <c r="E130" s="978"/>
      <c r="F130" s="978"/>
      <c r="G130" s="979"/>
    </row>
    <row r="131" spans="1:7" ht="18" customHeight="1" thickBot="1" x14ac:dyDescent="0.3">
      <c r="A131" s="896" t="s">
        <v>116</v>
      </c>
      <c r="B131" s="897"/>
      <c r="C131" s="897"/>
      <c r="D131" s="897"/>
      <c r="E131" s="897"/>
      <c r="F131" s="897"/>
      <c r="G131" s="898"/>
    </row>
    <row r="132" spans="1:7" ht="18" customHeight="1" x14ac:dyDescent="0.25">
      <c r="A132" s="962" t="s">
        <v>117</v>
      </c>
      <c r="B132" s="963"/>
      <c r="C132" s="963"/>
      <c r="D132" s="963"/>
      <c r="E132" s="963"/>
      <c r="F132" s="963"/>
      <c r="G132" s="964"/>
    </row>
    <row r="133" spans="1:7" ht="18" customHeight="1" x14ac:dyDescent="0.25">
      <c r="A133" s="962"/>
      <c r="B133" s="963"/>
      <c r="C133" s="963"/>
      <c r="D133" s="963"/>
      <c r="E133" s="963"/>
      <c r="F133" s="963"/>
      <c r="G133" s="964"/>
    </row>
    <row r="134" spans="1:7" ht="18" customHeight="1" x14ac:dyDescent="0.25">
      <c r="A134" s="962"/>
      <c r="B134" s="963"/>
      <c r="C134" s="963"/>
      <c r="D134" s="963"/>
      <c r="E134" s="963"/>
      <c r="F134" s="963"/>
      <c r="G134" s="964"/>
    </row>
    <row r="135" spans="1:7" ht="18" customHeight="1" x14ac:dyDescent="0.25">
      <c r="A135" s="962"/>
      <c r="B135" s="963"/>
      <c r="C135" s="963"/>
      <c r="D135" s="963"/>
      <c r="E135" s="963"/>
      <c r="F135" s="963"/>
      <c r="G135" s="964"/>
    </row>
    <row r="136" spans="1:7" ht="18" customHeight="1" thickBot="1" x14ac:dyDescent="0.3">
      <c r="A136" s="962"/>
      <c r="B136" s="963"/>
      <c r="C136" s="963"/>
      <c r="D136" s="963"/>
      <c r="E136" s="963"/>
      <c r="F136" s="963"/>
      <c r="G136" s="964"/>
    </row>
    <row r="137" spans="1:7" ht="18" customHeight="1" thickBot="1" x14ac:dyDescent="0.3">
      <c r="A137" s="896" t="s">
        <v>118</v>
      </c>
      <c r="B137" s="897"/>
      <c r="C137" s="897"/>
      <c r="D137" s="897"/>
      <c r="E137" s="897"/>
      <c r="F137" s="897"/>
      <c r="G137" s="898"/>
    </row>
    <row r="138" spans="1:7" ht="18" customHeight="1" x14ac:dyDescent="0.25">
      <c r="A138" s="894"/>
      <c r="B138" s="883"/>
      <c r="C138" s="883"/>
      <c r="D138" s="883"/>
      <c r="E138" s="883"/>
      <c r="F138" s="883"/>
      <c r="G138" s="884"/>
    </row>
    <row r="139" spans="1:7" ht="18" customHeight="1" thickBot="1" x14ac:dyDescent="0.3">
      <c r="A139" s="895"/>
      <c r="B139" s="885"/>
      <c r="C139" s="885"/>
      <c r="D139" s="885"/>
      <c r="E139" s="885"/>
      <c r="F139" s="885"/>
      <c r="G139" s="886"/>
    </row>
    <row r="140" spans="1:7" ht="24.95" customHeight="1" x14ac:dyDescent="0.25"/>
    <row r="141" spans="1:7" ht="24.95" customHeight="1" x14ac:dyDescent="0.25"/>
    <row r="142" spans="1:7" ht="24.95" customHeight="1" x14ac:dyDescent="0.25"/>
    <row r="143" spans="1:7" ht="24.95" customHeight="1" x14ac:dyDescent="0.25"/>
    <row r="144" spans="1:7" ht="24.95" customHeight="1" x14ac:dyDescent="0.25"/>
    <row r="145" ht="24.95" customHeight="1" x14ac:dyDescent="0.25"/>
  </sheetData>
  <mergeCells count="154">
    <mergeCell ref="A132:G136"/>
    <mergeCell ref="A138:G139"/>
    <mergeCell ref="A137:G137"/>
    <mergeCell ref="A131:G131"/>
    <mergeCell ref="D10:E10"/>
    <mergeCell ref="B10:C10"/>
    <mergeCell ref="F10:G10"/>
    <mergeCell ref="A127:G127"/>
    <mergeCell ref="A128:G128"/>
    <mergeCell ref="A129:G129"/>
    <mergeCell ref="A130:G130"/>
    <mergeCell ref="A121:G121"/>
    <mergeCell ref="A122:G122"/>
    <mergeCell ref="A123:G123"/>
    <mergeCell ref="A124:G124"/>
    <mergeCell ref="A125:G125"/>
    <mergeCell ref="A126:G126"/>
    <mergeCell ref="A119:G119"/>
    <mergeCell ref="A120:G120"/>
    <mergeCell ref="A113:G113"/>
    <mergeCell ref="A114:G114"/>
    <mergeCell ref="A115:G115"/>
    <mergeCell ref="A116:G116"/>
    <mergeCell ref="A117:G117"/>
    <mergeCell ref="A118:G118"/>
    <mergeCell ref="A108:G112"/>
    <mergeCell ref="A107:G107"/>
    <mergeCell ref="C103:D103"/>
    <mergeCell ref="C104:D104"/>
    <mergeCell ref="C105:D105"/>
    <mergeCell ref="C106:D106"/>
    <mergeCell ref="C93:D93"/>
    <mergeCell ref="E93:G93"/>
    <mergeCell ref="E94:G94"/>
    <mergeCell ref="E95:G95"/>
    <mergeCell ref="E96:G96"/>
    <mergeCell ref="E97:G97"/>
    <mergeCell ref="E98:G98"/>
    <mergeCell ref="E99:G99"/>
    <mergeCell ref="A99:B99"/>
    <mergeCell ref="A100:B100"/>
    <mergeCell ref="A101:B101"/>
    <mergeCell ref="A102:B102"/>
    <mergeCell ref="A103:B103"/>
    <mergeCell ref="A104:B104"/>
    <mergeCell ref="A93:B93"/>
    <mergeCell ref="A94:B94"/>
    <mergeCell ref="A95:B95"/>
    <mergeCell ref="A71:G71"/>
    <mergeCell ref="A73:G75"/>
    <mergeCell ref="A77:G77"/>
    <mergeCell ref="A78:G79"/>
    <mergeCell ref="E106:G106"/>
    <mergeCell ref="C94:D94"/>
    <mergeCell ref="C95:D95"/>
    <mergeCell ref="C96:D96"/>
    <mergeCell ref="C97:D97"/>
    <mergeCell ref="C98:D98"/>
    <mergeCell ref="C99:D99"/>
    <mergeCell ref="C100:D100"/>
    <mergeCell ref="C101:D101"/>
    <mergeCell ref="C102:D102"/>
    <mergeCell ref="E100:G100"/>
    <mergeCell ref="E101:G101"/>
    <mergeCell ref="E102:G102"/>
    <mergeCell ref="E103:G103"/>
    <mergeCell ref="E104:G104"/>
    <mergeCell ref="E105:G105"/>
    <mergeCell ref="A105:B105"/>
    <mergeCell ref="A106:B106"/>
    <mergeCell ref="A72:G72"/>
    <mergeCell ref="A76:G76"/>
    <mergeCell ref="A98:B98"/>
    <mergeCell ref="A81:G87"/>
    <mergeCell ref="A80:G80"/>
    <mergeCell ref="A88:G88"/>
    <mergeCell ref="A91:G91"/>
    <mergeCell ref="C92:D92"/>
    <mergeCell ref="A92:B92"/>
    <mergeCell ref="E92:G92"/>
    <mergeCell ref="A89:G90"/>
    <mergeCell ref="A96:B96"/>
    <mergeCell ref="A97:B97"/>
    <mergeCell ref="B66:G66"/>
    <mergeCell ref="B67:G67"/>
    <mergeCell ref="B68:G68"/>
    <mergeCell ref="A69:G69"/>
    <mergeCell ref="A70:G70"/>
    <mergeCell ref="B58:G58"/>
    <mergeCell ref="B59:G59"/>
    <mergeCell ref="B60:G60"/>
    <mergeCell ref="B61:G61"/>
    <mergeCell ref="B62:G62"/>
    <mergeCell ref="A64:A67"/>
    <mergeCell ref="A55:A63"/>
    <mergeCell ref="B63:G63"/>
    <mergeCell ref="B64:G64"/>
    <mergeCell ref="B65:G65"/>
    <mergeCell ref="A52:G52"/>
    <mergeCell ref="B53:G53"/>
    <mergeCell ref="B54:G54"/>
    <mergeCell ref="B55:G55"/>
    <mergeCell ref="B56:G56"/>
    <mergeCell ref="B57:G57"/>
    <mergeCell ref="A53:A54"/>
    <mergeCell ref="B38:G38"/>
    <mergeCell ref="A34:G34"/>
    <mergeCell ref="A40:G40"/>
    <mergeCell ref="A41:G45"/>
    <mergeCell ref="A47:G51"/>
    <mergeCell ref="A46:G46"/>
    <mergeCell ref="B31:G31"/>
    <mergeCell ref="B32:G32"/>
    <mergeCell ref="B33:G33"/>
    <mergeCell ref="B35:G35"/>
    <mergeCell ref="B36:G36"/>
    <mergeCell ref="B37:G37"/>
    <mergeCell ref="B39:G39"/>
    <mergeCell ref="B25:G25"/>
    <mergeCell ref="B26:G26"/>
    <mergeCell ref="A27:G27"/>
    <mergeCell ref="B30:C30"/>
    <mergeCell ref="E30:G30"/>
    <mergeCell ref="B29:G29"/>
    <mergeCell ref="B28:G28"/>
    <mergeCell ref="A19:G19"/>
    <mergeCell ref="B20:G20"/>
    <mergeCell ref="B21:G21"/>
    <mergeCell ref="B22:G22"/>
    <mergeCell ref="B23:G23"/>
    <mergeCell ref="B24:G24"/>
    <mergeCell ref="A16:G16"/>
    <mergeCell ref="B8:G8"/>
    <mergeCell ref="E18:G18"/>
    <mergeCell ref="C18:D18"/>
    <mergeCell ref="A17:B17"/>
    <mergeCell ref="C17:D17"/>
    <mergeCell ref="E17:G17"/>
    <mergeCell ref="B14:G14"/>
    <mergeCell ref="B9:G9"/>
    <mergeCell ref="A1:A5"/>
    <mergeCell ref="A18:B18"/>
    <mergeCell ref="A7:G7"/>
    <mergeCell ref="F11:G13"/>
    <mergeCell ref="A15:G15"/>
    <mergeCell ref="A6:G6"/>
    <mergeCell ref="A11:A13"/>
    <mergeCell ref="C11:C13"/>
    <mergeCell ref="E11:E13"/>
    <mergeCell ref="B11:B13"/>
    <mergeCell ref="D11:D13"/>
    <mergeCell ref="F1:G5"/>
    <mergeCell ref="D1:E5"/>
    <mergeCell ref="B1:C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dimension ref="A1:C6"/>
  <sheetViews>
    <sheetView workbookViewId="0">
      <selection activeCell="A33" sqref="A33:G57"/>
    </sheetView>
  </sheetViews>
  <sheetFormatPr baseColWidth="10" defaultRowHeight="15.75" x14ac:dyDescent="0.25"/>
  <cols>
    <col min="1" max="1" width="43.7109375" style="2" bestFit="1" customWidth="1"/>
    <col min="2" max="2" width="31" style="2" bestFit="1" customWidth="1"/>
    <col min="3" max="3" width="30.85546875" style="2" bestFit="1" customWidth="1"/>
    <col min="4" max="16384" width="11.42578125" style="2"/>
  </cols>
  <sheetData>
    <row r="1" spans="1:3" x14ac:dyDescent="0.25">
      <c r="A1" s="1249" t="s">
        <v>358</v>
      </c>
      <c r="B1" s="1250"/>
      <c r="C1" s="1251"/>
    </row>
    <row r="2" spans="1:3" x14ac:dyDescent="0.25">
      <c r="A2" s="33" t="s">
        <v>360</v>
      </c>
      <c r="B2" s="31"/>
      <c r="C2" s="33" t="s">
        <v>361</v>
      </c>
    </row>
    <row r="3" spans="1:3" x14ac:dyDescent="0.25">
      <c r="A3" s="31" t="s">
        <v>362</v>
      </c>
      <c r="B3" s="33" t="s">
        <v>359</v>
      </c>
      <c r="C3" s="31" t="s">
        <v>363</v>
      </c>
    </row>
    <row r="4" spans="1:3" x14ac:dyDescent="0.25">
      <c r="A4" s="31" t="s">
        <v>366</v>
      </c>
      <c r="B4" s="33" t="s">
        <v>364</v>
      </c>
      <c r="C4" s="31" t="s">
        <v>365</v>
      </c>
    </row>
    <row r="5" spans="1:3" ht="47.25" x14ac:dyDescent="0.25">
      <c r="A5" s="31" t="s">
        <v>368</v>
      </c>
      <c r="B5" s="33" t="s">
        <v>367</v>
      </c>
      <c r="C5" s="32" t="s">
        <v>371</v>
      </c>
    </row>
    <row r="6" spans="1:3" ht="78.75" x14ac:dyDescent="0.25">
      <c r="A6" s="31" t="s">
        <v>369</v>
      </c>
      <c r="B6" s="33" t="s">
        <v>370</v>
      </c>
      <c r="C6" s="32" t="s">
        <v>372</v>
      </c>
    </row>
  </sheetData>
  <mergeCells count="1">
    <mergeCell ref="A1:C1"/>
  </mergeCells>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E17"/>
  <sheetViews>
    <sheetView workbookViewId="0">
      <selection activeCell="A33" sqref="A33:G57"/>
    </sheetView>
  </sheetViews>
  <sheetFormatPr baseColWidth="10" defaultRowHeight="15" x14ac:dyDescent="0.25"/>
  <cols>
    <col min="2" max="2" width="16.28515625" bestFit="1" customWidth="1"/>
    <col min="3" max="3" width="13.28515625" customWidth="1"/>
    <col min="4" max="4" width="13.28515625" style="44" hidden="1" customWidth="1"/>
    <col min="5" max="5" width="13.28515625" style="45" customWidth="1"/>
  </cols>
  <sheetData>
    <row r="2" spans="2:5" ht="15.75" customHeight="1" x14ac:dyDescent="0.25">
      <c r="D2"/>
      <c r="E2"/>
    </row>
    <row r="3" spans="2:5" ht="25.5" customHeight="1" x14ac:dyDescent="0.25">
      <c r="B3" s="1252" t="s">
        <v>1629</v>
      </c>
      <c r="C3" s="1252"/>
      <c r="D3" s="1252"/>
      <c r="E3" s="1252"/>
    </row>
    <row r="4" spans="2:5" ht="25.5" customHeight="1" x14ac:dyDescent="0.25">
      <c r="B4" s="51" t="s">
        <v>497</v>
      </c>
      <c r="C4" s="51" t="s">
        <v>1628</v>
      </c>
      <c r="D4" s="51"/>
      <c r="E4" s="51" t="s">
        <v>499</v>
      </c>
    </row>
    <row r="5" spans="2:5" ht="25.5" customHeight="1" x14ac:dyDescent="0.25">
      <c r="B5" s="121" t="s">
        <v>500</v>
      </c>
      <c r="C5" s="510">
        <v>1500000</v>
      </c>
      <c r="D5" s="399">
        <v>1500000</v>
      </c>
      <c r="E5" s="509">
        <f>+D5*100/$D$8</f>
        <v>38.371385383520717</v>
      </c>
    </row>
    <row r="6" spans="2:5" ht="25.5" customHeight="1" x14ac:dyDescent="0.25">
      <c r="B6" s="121" t="s">
        <v>501</v>
      </c>
      <c r="C6" s="510">
        <v>397496</v>
      </c>
      <c r="D6" s="399">
        <v>397496</v>
      </c>
      <c r="E6" s="509">
        <f t="shared" ref="E6:E8" si="0">+D6*100/$D$8</f>
        <v>10.168314802938633</v>
      </c>
    </row>
    <row r="7" spans="2:5" ht="25.5" customHeight="1" x14ac:dyDescent="0.25">
      <c r="B7" s="121" t="s">
        <v>502</v>
      </c>
      <c r="C7" s="510">
        <v>2011667</v>
      </c>
      <c r="D7" s="399">
        <v>2011667</v>
      </c>
      <c r="E7" s="509">
        <f t="shared" si="0"/>
        <v>51.460299813540651</v>
      </c>
    </row>
    <row r="8" spans="2:5" ht="25.5" customHeight="1" x14ac:dyDescent="0.25">
      <c r="B8" s="511" t="s">
        <v>503</v>
      </c>
      <c r="C8" s="512">
        <f>SUM(C5:C7)</f>
        <v>3909163</v>
      </c>
      <c r="D8" s="513">
        <f>SUM(D5:D7)</f>
        <v>3909163</v>
      </c>
      <c r="E8" s="514">
        <f t="shared" si="0"/>
        <v>100</v>
      </c>
    </row>
    <row r="9" spans="2:5" x14ac:dyDescent="0.25">
      <c r="D9"/>
      <c r="E9"/>
    </row>
    <row r="10" spans="2:5" x14ac:dyDescent="0.25">
      <c r="D10"/>
      <c r="E10"/>
    </row>
    <row r="11" spans="2:5" x14ac:dyDescent="0.25">
      <c r="C11" s="44"/>
      <c r="D11"/>
      <c r="E11"/>
    </row>
    <row r="12" spans="2:5" x14ac:dyDescent="0.25">
      <c r="C12" s="44"/>
      <c r="D12"/>
      <c r="E12"/>
    </row>
    <row r="13" spans="2:5" x14ac:dyDescent="0.25">
      <c r="D13"/>
      <c r="E13"/>
    </row>
    <row r="14" spans="2:5" x14ac:dyDescent="0.25">
      <c r="D14"/>
      <c r="E14"/>
    </row>
    <row r="15" spans="2:5" x14ac:dyDescent="0.25">
      <c r="D15"/>
      <c r="E15"/>
    </row>
    <row r="16" spans="2:5" x14ac:dyDescent="0.25">
      <c r="D16"/>
      <c r="E16"/>
    </row>
    <row r="17" spans="4:5" x14ac:dyDescent="0.25">
      <c r="D17"/>
      <c r="E17"/>
    </row>
  </sheetData>
  <mergeCells count="1">
    <mergeCell ref="B3:E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M34"/>
  <sheetViews>
    <sheetView topLeftCell="A9" zoomScale="85" zoomScaleNormal="85" workbookViewId="0">
      <selection activeCell="A33" sqref="A33:G57"/>
    </sheetView>
  </sheetViews>
  <sheetFormatPr baseColWidth="10" defaultRowHeight="15" x14ac:dyDescent="0.25"/>
  <cols>
    <col min="2" max="2" width="5.42578125" customWidth="1"/>
    <col min="3" max="3" width="46.28515625" bestFit="1" customWidth="1"/>
    <col min="4" max="4" width="13.5703125" bestFit="1" customWidth="1"/>
    <col min="5" max="5" width="12.7109375" bestFit="1" customWidth="1"/>
    <col min="6" max="6" width="11.5703125" bestFit="1" customWidth="1"/>
    <col min="11" max="11" width="13.5703125" bestFit="1" customWidth="1"/>
    <col min="13" max="13" width="12" bestFit="1" customWidth="1"/>
  </cols>
  <sheetData>
    <row r="2" spans="2:6" s="390" customFormat="1" ht="33" customHeight="1" x14ac:dyDescent="0.25">
      <c r="B2" s="1254" t="s">
        <v>505</v>
      </c>
      <c r="C2" s="1254"/>
      <c r="D2" s="1254"/>
      <c r="E2" s="1254"/>
      <c r="F2" s="1254"/>
    </row>
    <row r="3" spans="2:6" s="390" customFormat="1" ht="33" customHeight="1" x14ac:dyDescent="0.25">
      <c r="B3" s="51" t="s">
        <v>0</v>
      </c>
      <c r="C3" s="51" t="s">
        <v>509</v>
      </c>
      <c r="D3" s="51" t="s">
        <v>506</v>
      </c>
      <c r="E3" s="51" t="s">
        <v>507</v>
      </c>
      <c r="F3" s="51" t="s">
        <v>508</v>
      </c>
    </row>
    <row r="4" spans="2:6" s="390" customFormat="1" ht="33" customHeight="1" x14ac:dyDescent="0.25">
      <c r="B4" s="399">
        <v>1</v>
      </c>
      <c r="C4" s="520" t="s">
        <v>510</v>
      </c>
      <c r="D4" s="399">
        <v>808</v>
      </c>
      <c r="E4" s="510">
        <v>450000</v>
      </c>
      <c r="F4" s="510">
        <f>+E4/D4</f>
        <v>556.93069306930693</v>
      </c>
    </row>
    <row r="5" spans="2:6" s="390" customFormat="1" ht="33" customHeight="1" x14ac:dyDescent="0.25">
      <c r="B5" s="399">
        <v>2</v>
      </c>
      <c r="C5" s="521" t="s">
        <v>511</v>
      </c>
      <c r="D5" s="399">
        <v>4656</v>
      </c>
      <c r="E5" s="510">
        <v>2560800</v>
      </c>
      <c r="F5" s="510">
        <f t="shared" ref="F5:F8" si="0">+E5/D5</f>
        <v>550</v>
      </c>
    </row>
    <row r="6" spans="2:6" s="390" customFormat="1" ht="33" customHeight="1" x14ac:dyDescent="0.25">
      <c r="B6" s="399">
        <v>3</v>
      </c>
      <c r="C6" s="121" t="s">
        <v>512</v>
      </c>
      <c r="D6" s="399">
        <v>561</v>
      </c>
      <c r="E6" s="510">
        <v>350000</v>
      </c>
      <c r="F6" s="510">
        <f t="shared" si="0"/>
        <v>623.88591800356505</v>
      </c>
    </row>
    <row r="7" spans="2:6" s="390" customFormat="1" ht="33" customHeight="1" x14ac:dyDescent="0.25">
      <c r="B7" s="399">
        <v>4</v>
      </c>
      <c r="C7" s="121" t="s">
        <v>513</v>
      </c>
      <c r="D7" s="399">
        <v>4656</v>
      </c>
      <c r="E7" s="510">
        <v>2793600</v>
      </c>
      <c r="F7" s="510">
        <f t="shared" si="0"/>
        <v>600</v>
      </c>
    </row>
    <row r="8" spans="2:6" s="390" customFormat="1" ht="33" customHeight="1" x14ac:dyDescent="0.25">
      <c r="B8" s="399">
        <v>5</v>
      </c>
      <c r="C8" s="121" t="s">
        <v>514</v>
      </c>
      <c r="D8" s="399">
        <v>1011</v>
      </c>
      <c r="E8" s="510">
        <v>650000</v>
      </c>
      <c r="F8" s="510">
        <f t="shared" si="0"/>
        <v>642.92779426310585</v>
      </c>
    </row>
    <row r="9" spans="2:6" s="390" customFormat="1" ht="33" customHeight="1" x14ac:dyDescent="0.25">
      <c r="B9" s="1255" t="s">
        <v>515</v>
      </c>
      <c r="C9" s="1255"/>
      <c r="D9" s="1255"/>
      <c r="E9" s="1255"/>
      <c r="F9" s="510">
        <f>AVERAGE(F4:F8)</f>
        <v>594.7488810671955</v>
      </c>
    </row>
    <row r="13" spans="2:6" x14ac:dyDescent="0.25">
      <c r="C13" s="51" t="s">
        <v>190</v>
      </c>
      <c r="D13" s="51" t="s">
        <v>519</v>
      </c>
    </row>
    <row r="14" spans="2:6" x14ac:dyDescent="0.25">
      <c r="C14" s="1" t="s">
        <v>516</v>
      </c>
      <c r="D14" s="510">
        <f>+F9</f>
        <v>594.7488810671955</v>
      </c>
    </row>
    <row r="15" spans="2:6" x14ac:dyDescent="0.25">
      <c r="C15" s="1" t="s">
        <v>517</v>
      </c>
      <c r="D15" s="510">
        <v>5486.65</v>
      </c>
    </row>
    <row r="16" spans="2:6" x14ac:dyDescent="0.25">
      <c r="C16" s="1" t="s">
        <v>518</v>
      </c>
      <c r="D16" s="515">
        <f>+D14*D15</f>
        <v>3263178.9483073279</v>
      </c>
    </row>
    <row r="17" spans="3:13" x14ac:dyDescent="0.25">
      <c r="C17" s="59"/>
      <c r="D17" s="60"/>
    </row>
    <row r="18" spans="3:13" s="61" customFormat="1" x14ac:dyDescent="0.25">
      <c r="C18" s="1257" t="s">
        <v>525</v>
      </c>
      <c r="D18" s="1257"/>
    </row>
    <row r="19" spans="3:13" x14ac:dyDescent="0.25">
      <c r="C19" s="51" t="s">
        <v>190</v>
      </c>
      <c r="D19" s="51" t="s">
        <v>519</v>
      </c>
    </row>
    <row r="20" spans="3:13" x14ac:dyDescent="0.25">
      <c r="C20" s="1" t="s">
        <v>520</v>
      </c>
      <c r="D20" s="47">
        <v>5486.65</v>
      </c>
    </row>
    <row r="21" spans="3:13" x14ac:dyDescent="0.25">
      <c r="C21" s="1" t="s">
        <v>526</v>
      </c>
      <c r="D21" s="47">
        <v>1500</v>
      </c>
    </row>
    <row r="22" spans="3:13" x14ac:dyDescent="0.25">
      <c r="C22" s="1" t="s">
        <v>523</v>
      </c>
      <c r="D22" s="56">
        <v>2</v>
      </c>
      <c r="K22" s="52"/>
    </row>
    <row r="23" spans="3:13" x14ac:dyDescent="0.25">
      <c r="C23" s="1" t="s">
        <v>521</v>
      </c>
      <c r="D23" s="56">
        <v>0.5</v>
      </c>
      <c r="K23" s="52"/>
      <c r="M23" s="52"/>
    </row>
    <row r="24" spans="3:13" x14ac:dyDescent="0.25">
      <c r="C24" s="1" t="s">
        <v>524</v>
      </c>
      <c r="D24" s="62">
        <v>0.85</v>
      </c>
      <c r="M24" s="52"/>
    </row>
    <row r="25" spans="3:13" x14ac:dyDescent="0.25">
      <c r="C25" s="1" t="s">
        <v>522</v>
      </c>
      <c r="D25" s="56">
        <v>0.1</v>
      </c>
      <c r="M25" s="55"/>
    </row>
    <row r="26" spans="3:13" x14ac:dyDescent="0.25">
      <c r="C26" s="1256" t="s">
        <v>527</v>
      </c>
      <c r="D26" s="1256"/>
    </row>
    <row r="27" spans="3:13" x14ac:dyDescent="0.25">
      <c r="C27" s="57" t="s">
        <v>528</v>
      </c>
      <c r="D27" s="58">
        <f>+D20*D23*4</f>
        <v>10973.3</v>
      </c>
    </row>
    <row r="28" spans="3:13" x14ac:dyDescent="0.25">
      <c r="C28" s="57" t="s">
        <v>529</v>
      </c>
      <c r="D28" s="63">
        <f>+D27*D24</f>
        <v>9327.3049999999985</v>
      </c>
    </row>
    <row r="29" spans="3:13" x14ac:dyDescent="0.25">
      <c r="C29" s="516" t="s">
        <v>530</v>
      </c>
      <c r="D29" s="517">
        <f>+D28*D21</f>
        <v>13990957.499999998</v>
      </c>
    </row>
    <row r="30" spans="3:13" x14ac:dyDescent="0.25">
      <c r="C30" s="516" t="s">
        <v>531</v>
      </c>
      <c r="D30" s="518">
        <f>+(D29*D25)/D20</f>
        <v>255.00000000000003</v>
      </c>
    </row>
    <row r="31" spans="3:13" x14ac:dyDescent="0.25">
      <c r="C31" s="519" t="s">
        <v>532</v>
      </c>
      <c r="D31" s="518">
        <f>+D30*D20</f>
        <v>1399095.75</v>
      </c>
    </row>
    <row r="33" spans="3:4" s="61" customFormat="1" x14ac:dyDescent="0.25"/>
    <row r="34" spans="3:4" x14ac:dyDescent="0.25">
      <c r="C34" s="1253"/>
      <c r="D34" s="1253"/>
    </row>
  </sheetData>
  <mergeCells count="5">
    <mergeCell ref="C34:D34"/>
    <mergeCell ref="B2:F2"/>
    <mergeCell ref="B9:E9"/>
    <mergeCell ref="C26:D26"/>
    <mergeCell ref="C18:D18"/>
  </mergeCells>
  <pageMargins left="0.7" right="0.7" top="0.75" bottom="0.75" header="0.3" footer="0.3"/>
  <pageSetup paperSize="9"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265"/>
  <sheetViews>
    <sheetView zoomScaleNormal="100" workbookViewId="0">
      <selection activeCell="A33" sqref="A33:G57"/>
    </sheetView>
  </sheetViews>
  <sheetFormatPr baseColWidth="10" defaultColWidth="11.5703125" defaultRowHeight="15" x14ac:dyDescent="0.25"/>
  <cols>
    <col min="1" max="1" width="7.28515625" style="49" customWidth="1"/>
    <col min="2" max="2" width="56.28515625" customWidth="1"/>
    <col min="3" max="3" width="0" hidden="1" customWidth="1"/>
    <col min="4" max="4" width="15" hidden="1" customWidth="1"/>
    <col min="5" max="5" width="14.85546875" style="107" hidden="1" customWidth="1"/>
    <col min="6" max="6" width="24.28515625" style="107" hidden="1" customWidth="1"/>
    <col min="7" max="7" width="22.42578125" hidden="1" customWidth="1"/>
    <col min="8" max="8" width="28.140625" style="76" bestFit="1" customWidth="1"/>
    <col min="9" max="9" width="11.7109375" style="108" bestFit="1" customWidth="1"/>
    <col min="10" max="10" width="11.7109375" style="108" customWidth="1"/>
  </cols>
  <sheetData>
    <row r="1" spans="1:10" ht="18.75" x14ac:dyDescent="0.3">
      <c r="A1" s="1259" t="s">
        <v>533</v>
      </c>
      <c r="B1" s="1259"/>
      <c r="C1" s="1259"/>
      <c r="D1" s="1259"/>
      <c r="E1" s="1259"/>
      <c r="F1" s="1259"/>
      <c r="G1" s="1259"/>
      <c r="H1" s="1259"/>
      <c r="I1" s="1259"/>
    </row>
    <row r="2" spans="1:10" s="49" customFormat="1" x14ac:dyDescent="0.25">
      <c r="A2" s="109" t="s">
        <v>534</v>
      </c>
      <c r="B2" s="110" t="s">
        <v>535</v>
      </c>
      <c r="C2" s="109"/>
      <c r="D2" s="109"/>
      <c r="E2" s="111"/>
      <c r="F2" s="109" t="s">
        <v>536</v>
      </c>
      <c r="G2" s="109" t="s">
        <v>537</v>
      </c>
      <c r="H2" s="109" t="s">
        <v>538</v>
      </c>
      <c r="I2" s="109" t="s">
        <v>504</v>
      </c>
      <c r="J2" s="108"/>
    </row>
    <row r="3" spans="1:10" s="93" customFormat="1" x14ac:dyDescent="0.25">
      <c r="A3" s="112" t="s">
        <v>539</v>
      </c>
      <c r="B3" s="113" t="s">
        <v>540</v>
      </c>
      <c r="C3" s="114"/>
      <c r="D3" s="115" t="s">
        <v>541</v>
      </c>
      <c r="E3" s="115"/>
      <c r="F3" s="116">
        <f>SUM(F4:F9)</f>
        <v>70596.24960000001</v>
      </c>
      <c r="G3" s="116">
        <f>SUM(G4:G10)</f>
        <v>2222.54</v>
      </c>
      <c r="H3" s="522">
        <f>+F3+G3</f>
        <v>72818.789600000004</v>
      </c>
      <c r="I3" s="523">
        <f>+H3*100/$H$251</f>
        <v>5.0879872961915558</v>
      </c>
      <c r="J3" s="108"/>
    </row>
    <row r="4" spans="1:10" ht="15" hidden="1" customHeight="1" x14ac:dyDescent="0.25">
      <c r="A4" s="46" t="s">
        <v>542</v>
      </c>
      <c r="B4" s="117" t="s">
        <v>543</v>
      </c>
      <c r="C4" s="47" t="str">
        <f>[1]PRESUPUESTO!E15</f>
        <v>M2</v>
      </c>
      <c r="D4" s="118">
        <f>+D68</f>
        <v>2746.98</v>
      </c>
      <c r="E4" s="118">
        <v>1.1300000000000001</v>
      </c>
      <c r="F4" s="119">
        <f t="shared" ref="F4:F9" si="0">E4*D4</f>
        <v>3104.0874000000003</v>
      </c>
      <c r="G4" s="120"/>
      <c r="H4" s="522">
        <f t="shared" ref="H4:H67" si="1">+F4+G4</f>
        <v>3104.0874000000003</v>
      </c>
      <c r="I4" s="509">
        <f t="shared" ref="I4:I67" si="2">+H4*100/$H$251</f>
        <v>0.21688848914165801</v>
      </c>
    </row>
    <row r="5" spans="1:10" ht="15" hidden="1" customHeight="1" x14ac:dyDescent="0.25">
      <c r="A5" s="46" t="s">
        <v>544</v>
      </c>
      <c r="B5" s="117" t="s">
        <v>545</v>
      </c>
      <c r="C5" s="47" t="str">
        <f>[1]PRESUPUESTO!E16</f>
        <v>M2</v>
      </c>
      <c r="D5" s="118">
        <v>800</v>
      </c>
      <c r="E5" s="118">
        <v>0.1</v>
      </c>
      <c r="F5" s="119">
        <f t="shared" si="0"/>
        <v>80</v>
      </c>
      <c r="G5" s="120"/>
      <c r="H5" s="522">
        <f t="shared" si="1"/>
        <v>80</v>
      </c>
      <c r="I5" s="509">
        <f t="shared" si="2"/>
        <v>5.589752122099602E-3</v>
      </c>
    </row>
    <row r="6" spans="1:10" ht="15" hidden="1" customHeight="1" x14ac:dyDescent="0.25">
      <c r="A6" s="46" t="s">
        <v>546</v>
      </c>
      <c r="B6" s="117" t="s">
        <v>547</v>
      </c>
      <c r="C6" s="47" t="str">
        <f>[1]PRESUPUESTO!E17</f>
        <v>M3</v>
      </c>
      <c r="D6" s="118">
        <v>11399.17</v>
      </c>
      <c r="E6" s="118">
        <v>5.66</v>
      </c>
      <c r="F6" s="119">
        <f t="shared" si="0"/>
        <v>64519.302200000006</v>
      </c>
      <c r="G6" s="120"/>
      <c r="H6" s="522">
        <f t="shared" si="1"/>
        <v>64519.302200000006</v>
      </c>
      <c r="I6" s="509">
        <f t="shared" si="2"/>
        <v>4.5080863298604452</v>
      </c>
    </row>
    <row r="7" spans="1:10" ht="15" hidden="1" customHeight="1" x14ac:dyDescent="0.25">
      <c r="A7" s="46" t="s">
        <v>548</v>
      </c>
      <c r="B7" s="117" t="s">
        <v>549</v>
      </c>
      <c r="C7" s="47" t="str">
        <f>[1]PRESUPUESTO!E18</f>
        <v>GL</v>
      </c>
      <c r="D7" s="118">
        <v>1</v>
      </c>
      <c r="E7" s="118">
        <v>2217.86</v>
      </c>
      <c r="F7" s="119">
        <f t="shared" si="0"/>
        <v>2217.86</v>
      </c>
      <c r="G7" s="120"/>
      <c r="H7" s="522">
        <f t="shared" si="1"/>
        <v>2217.86</v>
      </c>
      <c r="I7" s="509">
        <f t="shared" si="2"/>
        <v>0.15496609551899782</v>
      </c>
    </row>
    <row r="8" spans="1:10" ht="15" hidden="1" customHeight="1" x14ac:dyDescent="0.25">
      <c r="A8" s="46" t="s">
        <v>550</v>
      </c>
      <c r="B8" s="117" t="s">
        <v>551</v>
      </c>
      <c r="C8" s="47" t="str">
        <f>[1]PRESUPUESTO!E19</f>
        <v>GL</v>
      </c>
      <c r="D8" s="118">
        <v>1</v>
      </c>
      <c r="E8" s="118">
        <v>675</v>
      </c>
      <c r="F8" s="119">
        <f t="shared" si="0"/>
        <v>675</v>
      </c>
      <c r="G8" s="120"/>
      <c r="H8" s="522">
        <f t="shared" si="1"/>
        <v>675</v>
      </c>
      <c r="I8" s="509">
        <f t="shared" si="2"/>
        <v>4.7163533530215393E-2</v>
      </c>
    </row>
    <row r="9" spans="1:10" ht="15" hidden="1" customHeight="1" x14ac:dyDescent="0.25">
      <c r="A9" s="46" t="s">
        <v>552</v>
      </c>
      <c r="B9" s="117" t="s">
        <v>553</v>
      </c>
      <c r="C9" s="47" t="str">
        <f>[1]PRESUPUESTO!E20</f>
        <v>M3</v>
      </c>
      <c r="D9" s="118">
        <v>0</v>
      </c>
      <c r="E9" s="118">
        <v>5.79</v>
      </c>
      <c r="F9" s="119">
        <f t="shared" si="0"/>
        <v>0</v>
      </c>
      <c r="G9" s="120"/>
      <c r="H9" s="522">
        <f t="shared" si="1"/>
        <v>0</v>
      </c>
      <c r="I9" s="509">
        <f t="shared" si="2"/>
        <v>0</v>
      </c>
    </row>
    <row r="10" spans="1:10" ht="15" hidden="1" customHeight="1" x14ac:dyDescent="0.25">
      <c r="A10" s="46" t="s">
        <v>554</v>
      </c>
      <c r="B10" s="121" t="s">
        <v>555</v>
      </c>
      <c r="C10" s="47" t="s">
        <v>556</v>
      </c>
      <c r="D10" s="118">
        <v>1</v>
      </c>
      <c r="E10" s="118">
        <v>2222.54</v>
      </c>
      <c r="F10" s="119"/>
      <c r="G10" s="122">
        <f>+D10*E10</f>
        <v>2222.54</v>
      </c>
      <c r="H10" s="522">
        <f t="shared" si="1"/>
        <v>2222.54</v>
      </c>
      <c r="I10" s="509">
        <f t="shared" si="2"/>
        <v>0.15529309601814062</v>
      </c>
    </row>
    <row r="11" spans="1:10" s="93" customFormat="1" x14ac:dyDescent="0.25">
      <c r="A11" s="112" t="s">
        <v>557</v>
      </c>
      <c r="B11" s="113" t="s">
        <v>558</v>
      </c>
      <c r="C11" s="113" t="s">
        <v>541</v>
      </c>
      <c r="D11" s="113"/>
      <c r="E11" s="123"/>
      <c r="F11" s="123">
        <f>SUM(F12:F28)</f>
        <v>255177.55120000005</v>
      </c>
      <c r="G11" s="123">
        <f>SUM(G12:G29)</f>
        <v>1659.5858000000001</v>
      </c>
      <c r="H11" s="522">
        <f t="shared" si="1"/>
        <v>256837.13700000005</v>
      </c>
      <c r="I11" s="523">
        <f t="shared" si="2"/>
        <v>17.945699144746705</v>
      </c>
      <c r="J11" s="108"/>
    </row>
    <row r="12" spans="1:10" ht="15" hidden="1" customHeight="1" x14ac:dyDescent="0.25">
      <c r="A12" s="46" t="s">
        <v>559</v>
      </c>
      <c r="B12" s="117" t="s">
        <v>560</v>
      </c>
      <c r="C12" s="124" t="str">
        <f>[1]PRESUPUESTO!E22</f>
        <v>M3</v>
      </c>
      <c r="D12" s="125">
        <v>340.06</v>
      </c>
      <c r="E12" s="125">
        <v>5.66</v>
      </c>
      <c r="F12" s="126">
        <f t="shared" ref="F12:F20" si="3">E12*D12</f>
        <v>1924.7396000000001</v>
      </c>
      <c r="G12" s="120"/>
      <c r="H12" s="522">
        <f t="shared" si="1"/>
        <v>1924.7396000000001</v>
      </c>
      <c r="I12" s="523">
        <f t="shared" si="2"/>
        <v>0.13448521579486428</v>
      </c>
    </row>
    <row r="13" spans="1:10" ht="15" hidden="1" customHeight="1" x14ac:dyDescent="0.25">
      <c r="A13" s="46" t="s">
        <v>561</v>
      </c>
      <c r="B13" s="121" t="s">
        <v>562</v>
      </c>
      <c r="C13" s="47" t="str">
        <f>[1]PRESUPUESTO!E23</f>
        <v>M3</v>
      </c>
      <c r="D13" s="118">
        <v>31.408000000000001</v>
      </c>
      <c r="E13" s="118">
        <v>10.4</v>
      </c>
      <c r="F13" s="119">
        <f t="shared" si="3"/>
        <v>326.64320000000004</v>
      </c>
      <c r="G13" s="120"/>
      <c r="H13" s="522">
        <f t="shared" si="1"/>
        <v>326.64320000000004</v>
      </c>
      <c r="I13" s="523">
        <f t="shared" si="2"/>
        <v>2.2823181504617564E-2</v>
      </c>
    </row>
    <row r="14" spans="1:10" ht="15" hidden="1" customHeight="1" x14ac:dyDescent="0.25">
      <c r="A14" s="46" t="s">
        <v>563</v>
      </c>
      <c r="B14" s="117" t="s">
        <v>564</v>
      </c>
      <c r="C14" s="124" t="str">
        <f>[1]PRESUPUESTO!E24</f>
        <v>M2</v>
      </c>
      <c r="D14" s="125">
        <v>874.02</v>
      </c>
      <c r="E14" s="125">
        <v>1.93</v>
      </c>
      <c r="F14" s="126">
        <f t="shared" si="3"/>
        <v>1686.8586</v>
      </c>
      <c r="G14" s="120"/>
      <c r="H14" s="522">
        <f t="shared" si="1"/>
        <v>1686.8586</v>
      </c>
      <c r="I14" s="523">
        <f t="shared" si="2"/>
        <v>0.11786401798789957</v>
      </c>
    </row>
    <row r="15" spans="1:10" ht="15" hidden="1" customHeight="1" x14ac:dyDescent="0.25">
      <c r="A15" s="46" t="s">
        <v>565</v>
      </c>
      <c r="B15" s="117" t="s">
        <v>566</v>
      </c>
      <c r="C15" s="124" t="str">
        <f>[1]PRESUPUESTO!E25</f>
        <v>M2</v>
      </c>
      <c r="D15" s="125">
        <v>43.2</v>
      </c>
      <c r="E15" s="125">
        <v>0.96</v>
      </c>
      <c r="F15" s="126">
        <f t="shared" si="3"/>
        <v>41.472000000000001</v>
      </c>
      <c r="G15" s="120"/>
      <c r="H15" s="522">
        <f t="shared" si="1"/>
        <v>41.472000000000001</v>
      </c>
      <c r="I15" s="523">
        <f t="shared" si="2"/>
        <v>2.8977275000964336E-3</v>
      </c>
    </row>
    <row r="16" spans="1:10" ht="15" hidden="1" customHeight="1" x14ac:dyDescent="0.25">
      <c r="A16" s="46" t="s">
        <v>567</v>
      </c>
      <c r="B16" s="117" t="s">
        <v>568</v>
      </c>
      <c r="C16" s="124" t="str">
        <f>[1]PRESUPUESTO!E26</f>
        <v>M3</v>
      </c>
      <c r="D16" s="125">
        <v>8.0299999999999994</v>
      </c>
      <c r="E16" s="125">
        <v>96.43</v>
      </c>
      <c r="F16" s="126">
        <f t="shared" si="3"/>
        <v>774.3329</v>
      </c>
      <c r="G16" s="120"/>
      <c r="H16" s="522">
        <f t="shared" si="1"/>
        <v>774.3329</v>
      </c>
      <c r="I16" s="523">
        <f t="shared" si="2"/>
        <v>5.4104112137331739E-2</v>
      </c>
    </row>
    <row r="17" spans="1:10" ht="15" hidden="1" customHeight="1" x14ac:dyDescent="0.25">
      <c r="A17" s="127" t="s">
        <v>569</v>
      </c>
      <c r="B17" s="128" t="s">
        <v>570</v>
      </c>
      <c r="C17" s="129" t="s">
        <v>571</v>
      </c>
      <c r="D17" s="130">
        <v>1194.77</v>
      </c>
      <c r="E17" s="125">
        <v>1.39</v>
      </c>
      <c r="F17" s="131">
        <f t="shared" si="3"/>
        <v>1660.7302999999999</v>
      </c>
      <c r="G17" s="120"/>
      <c r="H17" s="522">
        <f t="shared" si="1"/>
        <v>1660.7302999999999</v>
      </c>
      <c r="I17" s="523">
        <f t="shared" si="2"/>
        <v>0.11603838398325136</v>
      </c>
    </row>
    <row r="18" spans="1:10" ht="15" hidden="1" customHeight="1" x14ac:dyDescent="0.25">
      <c r="A18" s="127" t="s">
        <v>572</v>
      </c>
      <c r="B18" s="128" t="s">
        <v>573</v>
      </c>
      <c r="C18" s="129" t="str">
        <f>[1]PRESUPUESTO!E28</f>
        <v>M3</v>
      </c>
      <c r="D18" s="130">
        <v>249.09</v>
      </c>
      <c r="E18" s="125">
        <v>173.57</v>
      </c>
      <c r="F18" s="131">
        <f t="shared" si="3"/>
        <v>43234.551299999999</v>
      </c>
      <c r="G18" s="120"/>
      <c r="H18" s="522">
        <f t="shared" si="1"/>
        <v>43234.551299999999</v>
      </c>
      <c r="I18" s="523">
        <f t="shared" si="2"/>
        <v>3.0208803109649889</v>
      </c>
    </row>
    <row r="19" spans="1:10" ht="15" hidden="1" customHeight="1" x14ac:dyDescent="0.25">
      <c r="A19" s="127" t="s">
        <v>574</v>
      </c>
      <c r="B19" s="117" t="s">
        <v>575</v>
      </c>
      <c r="C19" s="124" t="str">
        <f>[1]PRESUPUESTO!E29</f>
        <v>M3</v>
      </c>
      <c r="D19" s="125">
        <v>67.290000000000006</v>
      </c>
      <c r="E19" s="125">
        <v>173.57</v>
      </c>
      <c r="F19" s="126">
        <f t="shared" si="3"/>
        <v>11679.525300000001</v>
      </c>
      <c r="G19" s="120"/>
      <c r="H19" s="522">
        <f t="shared" si="1"/>
        <v>11679.525300000001</v>
      </c>
      <c r="I19" s="523">
        <f t="shared" si="2"/>
        <v>0.81607064163488752</v>
      </c>
    </row>
    <row r="20" spans="1:10" ht="15" hidden="1" customHeight="1" x14ac:dyDescent="0.25">
      <c r="A20" s="127" t="s">
        <v>576</v>
      </c>
      <c r="B20" s="117" t="s">
        <v>577</v>
      </c>
      <c r="C20" s="124" t="str">
        <f>[1]PRESUPUESTO!E30</f>
        <v>M3</v>
      </c>
      <c r="D20" s="125">
        <v>35.799999999999997</v>
      </c>
      <c r="E20" s="125">
        <v>173.57</v>
      </c>
      <c r="F20" s="126">
        <f t="shared" si="3"/>
        <v>6213.8059999999996</v>
      </c>
      <c r="G20" s="120"/>
      <c r="H20" s="522">
        <f t="shared" si="1"/>
        <v>6213.8059999999996</v>
      </c>
      <c r="I20" s="523">
        <f t="shared" si="2"/>
        <v>0.43417044093519053</v>
      </c>
    </row>
    <row r="21" spans="1:10" ht="15" hidden="1" customHeight="1" x14ac:dyDescent="0.25">
      <c r="A21" s="132" t="s">
        <v>578</v>
      </c>
      <c r="B21" s="133" t="s">
        <v>579</v>
      </c>
      <c r="C21" s="134" t="str">
        <f>[1]PRESUPUESTO!E31</f>
        <v>M3</v>
      </c>
      <c r="D21" s="135">
        <f>+D20</f>
        <v>35.799999999999997</v>
      </c>
      <c r="E21" s="135">
        <v>16.13</v>
      </c>
      <c r="F21" s="136"/>
      <c r="G21" s="137">
        <f>+D21*E21</f>
        <v>577.45399999999995</v>
      </c>
      <c r="H21" s="522">
        <f t="shared" si="1"/>
        <v>577.45399999999995</v>
      </c>
      <c r="I21" s="523">
        <f t="shared" si="2"/>
        <v>4.0347809023936296E-2</v>
      </c>
    </row>
    <row r="22" spans="1:10" ht="15" hidden="1" customHeight="1" x14ac:dyDescent="0.25">
      <c r="A22" s="127" t="s">
        <v>580</v>
      </c>
      <c r="B22" s="117" t="s">
        <v>581</v>
      </c>
      <c r="C22" s="124" t="str">
        <f>[1]PRESUPUESTO!E31</f>
        <v>M3</v>
      </c>
      <c r="D22" s="125">
        <v>308.5</v>
      </c>
      <c r="E22" s="125">
        <v>173.57</v>
      </c>
      <c r="F22" s="126">
        <f t="shared" ref="F22:F27" si="4">E22*D22</f>
        <v>53546.345000000001</v>
      </c>
      <c r="G22" s="120"/>
      <c r="H22" s="522">
        <f t="shared" si="1"/>
        <v>53546.345000000001</v>
      </c>
      <c r="I22" s="523">
        <f t="shared" si="2"/>
        <v>3.7413849449303429</v>
      </c>
    </row>
    <row r="23" spans="1:10" ht="15" hidden="1" customHeight="1" x14ac:dyDescent="0.25">
      <c r="A23" s="127" t="s">
        <v>582</v>
      </c>
      <c r="B23" s="117" t="s">
        <v>583</v>
      </c>
      <c r="C23" s="124" t="str">
        <f>[1]PRESUPUESTO!E32</f>
        <v>M</v>
      </c>
      <c r="D23" s="125">
        <v>819.6</v>
      </c>
      <c r="E23" s="125">
        <v>40.78</v>
      </c>
      <c r="F23" s="126">
        <f t="shared" si="4"/>
        <v>33423.288</v>
      </c>
      <c r="G23" s="120"/>
      <c r="H23" s="522">
        <f t="shared" si="1"/>
        <v>33423.288</v>
      </c>
      <c r="I23" s="523">
        <f t="shared" si="2"/>
        <v>2.335348687819327</v>
      </c>
    </row>
    <row r="24" spans="1:10" ht="15" hidden="1" customHeight="1" x14ac:dyDescent="0.25">
      <c r="A24" s="127" t="s">
        <v>584</v>
      </c>
      <c r="B24" s="117" t="s">
        <v>585</v>
      </c>
      <c r="C24" s="124" t="str">
        <f>[1]PRESUPUESTO!E33</f>
        <v>M3</v>
      </c>
      <c r="D24" s="125">
        <v>0</v>
      </c>
      <c r="E24" s="125">
        <v>173.57</v>
      </c>
      <c r="F24" s="126">
        <f t="shared" si="4"/>
        <v>0</v>
      </c>
      <c r="G24" s="120"/>
      <c r="H24" s="522">
        <f t="shared" si="1"/>
        <v>0</v>
      </c>
      <c r="I24" s="523">
        <f t="shared" si="2"/>
        <v>0</v>
      </c>
    </row>
    <row r="25" spans="1:10" ht="15" hidden="1" customHeight="1" x14ac:dyDescent="0.25">
      <c r="A25" s="127" t="s">
        <v>586</v>
      </c>
      <c r="B25" s="117" t="s">
        <v>587</v>
      </c>
      <c r="C25" s="124" t="str">
        <f>[1]PRESUPUESTO!E34</f>
        <v>KG</v>
      </c>
      <c r="D25" s="125">
        <v>73721.95</v>
      </c>
      <c r="E25" s="125">
        <v>1.3</v>
      </c>
      <c r="F25" s="126">
        <f t="shared" si="4"/>
        <v>95838.535000000003</v>
      </c>
      <c r="G25" s="120"/>
      <c r="H25" s="522">
        <f t="shared" si="1"/>
        <v>95838.535000000003</v>
      </c>
      <c r="I25" s="523">
        <f t="shared" si="2"/>
        <v>6.696420679939588</v>
      </c>
    </row>
    <row r="26" spans="1:10" ht="15" hidden="1" customHeight="1" x14ac:dyDescent="0.25">
      <c r="A26" s="127" t="s">
        <v>588</v>
      </c>
      <c r="B26" s="117" t="s">
        <v>589</v>
      </c>
      <c r="C26" s="124" t="str">
        <f>[1]PRESUPUESTO!E35</f>
        <v>KG</v>
      </c>
      <c r="D26" s="125">
        <v>1974.06</v>
      </c>
      <c r="E26" s="125">
        <v>1.4</v>
      </c>
      <c r="F26" s="126">
        <f t="shared" si="4"/>
        <v>2763.6839999999997</v>
      </c>
      <c r="G26" s="120"/>
      <c r="H26" s="522">
        <f t="shared" si="1"/>
        <v>2763.6839999999997</v>
      </c>
      <c r="I26" s="523">
        <f t="shared" si="2"/>
        <v>0.19310385629765894</v>
      </c>
    </row>
    <row r="27" spans="1:10" ht="15" hidden="1" customHeight="1" x14ac:dyDescent="0.25">
      <c r="A27" s="127" t="s">
        <v>590</v>
      </c>
      <c r="B27" s="117" t="s">
        <v>591</v>
      </c>
      <c r="C27" s="129" t="str">
        <f>[1]PRESUPUESTO!E36</f>
        <v>M2</v>
      </c>
      <c r="D27" s="130">
        <f>+'[1]planilla  14'!$L$244</f>
        <v>672</v>
      </c>
      <c r="E27" s="125">
        <v>3.07</v>
      </c>
      <c r="F27" s="126">
        <f t="shared" si="4"/>
        <v>2063.04</v>
      </c>
      <c r="G27" s="120"/>
      <c r="H27" s="522">
        <f t="shared" si="1"/>
        <v>2063.04</v>
      </c>
      <c r="I27" s="523">
        <f t="shared" si="2"/>
        <v>0.14414852772470454</v>
      </c>
    </row>
    <row r="28" spans="1:10" ht="15" hidden="1" customHeight="1" x14ac:dyDescent="0.25">
      <c r="A28" s="127" t="s">
        <v>592</v>
      </c>
      <c r="B28" s="121" t="s">
        <v>593</v>
      </c>
      <c r="C28" s="138" t="s">
        <v>594</v>
      </c>
      <c r="D28" s="139">
        <v>69.459999999999994</v>
      </c>
      <c r="E28" s="140">
        <v>3.15</v>
      </c>
      <c r="F28" s="139"/>
      <c r="G28" s="122">
        <f>+D28*E28</f>
        <v>218.79899999999998</v>
      </c>
      <c r="H28" s="522">
        <f t="shared" si="1"/>
        <v>218.79899999999998</v>
      </c>
      <c r="I28" s="523">
        <f t="shared" si="2"/>
        <v>1.5287902182040885E-2</v>
      </c>
    </row>
    <row r="29" spans="1:10" ht="15" hidden="1" customHeight="1" x14ac:dyDescent="0.25">
      <c r="A29" s="127" t="s">
        <v>595</v>
      </c>
      <c r="B29" s="121" t="s">
        <v>596</v>
      </c>
      <c r="C29" s="141" t="s">
        <v>597</v>
      </c>
      <c r="D29" s="142">
        <v>146.08000000000001</v>
      </c>
      <c r="E29" s="118">
        <v>5.91</v>
      </c>
      <c r="F29" s="119"/>
      <c r="G29" s="122">
        <f>+D29*E29</f>
        <v>863.33280000000013</v>
      </c>
      <c r="H29" s="522">
        <f t="shared" si="1"/>
        <v>863.33280000000013</v>
      </c>
      <c r="I29" s="523">
        <f t="shared" si="2"/>
        <v>6.0322704385977408E-2</v>
      </c>
    </row>
    <row r="30" spans="1:10" s="93" customFormat="1" x14ac:dyDescent="0.25">
      <c r="A30" s="112">
        <v>1.3</v>
      </c>
      <c r="B30" s="113" t="s">
        <v>598</v>
      </c>
      <c r="C30" s="113" t="s">
        <v>541</v>
      </c>
      <c r="D30" s="113" t="s">
        <v>541</v>
      </c>
      <c r="E30" s="123" t="s">
        <v>541</v>
      </c>
      <c r="F30" s="123">
        <f>SUM(F31:F45)</f>
        <v>168472.62766214841</v>
      </c>
      <c r="G30" s="123">
        <f>SUM(G31:G45)</f>
        <v>6102.7644906749993</v>
      </c>
      <c r="H30" s="522">
        <f t="shared" si="1"/>
        <v>174575.39215282342</v>
      </c>
      <c r="I30" s="523">
        <f t="shared" si="2"/>
        <v>12.197914609407688</v>
      </c>
      <c r="J30" s="108"/>
    </row>
    <row r="31" spans="1:10" ht="15" hidden="1" customHeight="1" x14ac:dyDescent="0.25">
      <c r="A31" s="46" t="s">
        <v>599</v>
      </c>
      <c r="B31" s="117" t="s">
        <v>600</v>
      </c>
      <c r="C31" s="124" t="s">
        <v>597</v>
      </c>
      <c r="D31" s="125">
        <v>50.76</v>
      </c>
      <c r="E31" s="125">
        <v>173.57</v>
      </c>
      <c r="F31" s="126">
        <f>+D31*E31</f>
        <v>8810.4131999999991</v>
      </c>
      <c r="G31" s="120"/>
      <c r="H31" s="522">
        <f t="shared" si="1"/>
        <v>8810.4131999999991</v>
      </c>
      <c r="I31" s="523">
        <f t="shared" si="2"/>
        <v>0.6156003235159293</v>
      </c>
    </row>
    <row r="32" spans="1:10" ht="15" hidden="1" customHeight="1" x14ac:dyDescent="0.25">
      <c r="A32" s="127" t="s">
        <v>601</v>
      </c>
      <c r="B32" s="117" t="s">
        <v>602</v>
      </c>
      <c r="C32" s="124" t="str">
        <f>[1]PRESUPUESTO!E39</f>
        <v>M3</v>
      </c>
      <c r="D32" s="125">
        <f>58.14+'[1]planilla  14'!$L$237</f>
        <v>62.54</v>
      </c>
      <c r="E32" s="125">
        <v>173.57</v>
      </c>
      <c r="F32" s="126">
        <f>E32*D32</f>
        <v>10855.067799999999</v>
      </c>
      <c r="G32" s="120"/>
      <c r="H32" s="522">
        <f t="shared" si="1"/>
        <v>10855.067799999999</v>
      </c>
      <c r="I32" s="523">
        <f t="shared" si="2"/>
        <v>0.75846422838231309</v>
      </c>
    </row>
    <row r="33" spans="1:10" ht="15" hidden="1" customHeight="1" x14ac:dyDescent="0.25">
      <c r="A33" s="132" t="s">
        <v>603</v>
      </c>
      <c r="B33" s="133" t="s">
        <v>604</v>
      </c>
      <c r="C33" s="134" t="s">
        <v>597</v>
      </c>
      <c r="D33" s="135">
        <f>+D31+D32</f>
        <v>113.3</v>
      </c>
      <c r="E33" s="135">
        <v>16.13</v>
      </c>
      <c r="F33" s="136"/>
      <c r="G33" s="143">
        <f>+D33*E33</f>
        <v>1827.5289999999998</v>
      </c>
      <c r="H33" s="522">
        <f t="shared" si="1"/>
        <v>1827.5289999999998</v>
      </c>
      <c r="I33" s="523">
        <f t="shared" si="2"/>
        <v>0.12769292632435703</v>
      </c>
    </row>
    <row r="34" spans="1:10" ht="15" hidden="1" customHeight="1" x14ac:dyDescent="0.25">
      <c r="A34" s="127" t="s">
        <v>605</v>
      </c>
      <c r="B34" s="117" t="s">
        <v>606</v>
      </c>
      <c r="C34" s="124" t="str">
        <f>[1]PRESUPUESTO!E40</f>
        <v>M3</v>
      </c>
      <c r="D34" s="125">
        <v>0</v>
      </c>
      <c r="E34" s="125">
        <v>0</v>
      </c>
      <c r="F34" s="126">
        <f>E34*D34</f>
        <v>0</v>
      </c>
      <c r="G34" s="120"/>
      <c r="H34" s="522">
        <f t="shared" si="1"/>
        <v>0</v>
      </c>
      <c r="I34" s="523">
        <f t="shared" si="2"/>
        <v>0</v>
      </c>
    </row>
    <row r="35" spans="1:10" ht="15" hidden="1" customHeight="1" x14ac:dyDescent="0.25">
      <c r="A35" s="127" t="s">
        <v>607</v>
      </c>
      <c r="B35" s="117" t="s">
        <v>608</v>
      </c>
      <c r="C35" s="124" t="str">
        <f>[1]PRESUPUESTO!E41</f>
        <v>M3</v>
      </c>
      <c r="D35" s="125">
        <f>161.0786975+'[1]planilla  14'!$L$238</f>
        <v>168.2986975</v>
      </c>
      <c r="E35" s="125">
        <v>173.57</v>
      </c>
      <c r="F35" s="126">
        <f>E35*D35</f>
        <v>29211.604925075</v>
      </c>
      <c r="G35" s="120"/>
      <c r="H35" s="522">
        <f t="shared" si="1"/>
        <v>29211.604925075</v>
      </c>
      <c r="I35" s="523">
        <f t="shared" si="2"/>
        <v>2.0410703827484147</v>
      </c>
    </row>
    <row r="36" spans="1:10" ht="15" hidden="1" customHeight="1" x14ac:dyDescent="0.25">
      <c r="A36" s="132" t="s">
        <v>609</v>
      </c>
      <c r="B36" s="133" t="s">
        <v>610</v>
      </c>
      <c r="C36" s="134" t="s">
        <v>597</v>
      </c>
      <c r="D36" s="135">
        <f>+D35</f>
        <v>168.2986975</v>
      </c>
      <c r="E36" s="135">
        <v>16.13</v>
      </c>
      <c r="F36" s="136"/>
      <c r="G36" s="137">
        <f>+D36*E36</f>
        <v>2714.6579906749998</v>
      </c>
      <c r="H36" s="522">
        <f t="shared" si="1"/>
        <v>2714.6579906749998</v>
      </c>
      <c r="I36" s="523">
        <f t="shared" si="2"/>
        <v>0.1896783158018778</v>
      </c>
    </row>
    <row r="37" spans="1:10" ht="15" hidden="1" customHeight="1" x14ac:dyDescent="0.25">
      <c r="A37" s="127" t="s">
        <v>611</v>
      </c>
      <c r="B37" s="117" t="s">
        <v>577</v>
      </c>
      <c r="C37" s="124" t="str">
        <f>[1]PRESUPUESTO!E42</f>
        <v>M3</v>
      </c>
      <c r="D37" s="125">
        <f>63.59+'[1]planilla  14'!$L$239</f>
        <v>64.180000000000007</v>
      </c>
      <c r="E37" s="125">
        <v>173.57</v>
      </c>
      <c r="F37" s="126">
        <f>E37*D37</f>
        <v>11139.722600000001</v>
      </c>
      <c r="G37" s="120"/>
      <c r="H37" s="522">
        <f t="shared" si="1"/>
        <v>11139.722600000001</v>
      </c>
      <c r="I37" s="523">
        <f t="shared" si="2"/>
        <v>0.77835360053688629</v>
      </c>
    </row>
    <row r="38" spans="1:10" ht="15" hidden="1" customHeight="1" x14ac:dyDescent="0.25">
      <c r="A38" s="132" t="s">
        <v>612</v>
      </c>
      <c r="B38" s="133" t="s">
        <v>579</v>
      </c>
      <c r="C38" s="134" t="str">
        <f>[1]PRESUPUESTO!E48</f>
        <v>M2</v>
      </c>
      <c r="D38" s="135">
        <f>+D37</f>
        <v>64.180000000000007</v>
      </c>
      <c r="E38" s="135">
        <v>16.13</v>
      </c>
      <c r="F38" s="136"/>
      <c r="G38" s="137">
        <f>+D38*E38</f>
        <v>1035.2234000000001</v>
      </c>
      <c r="H38" s="522">
        <f t="shared" si="1"/>
        <v>1035.2234000000001</v>
      </c>
      <c r="I38" s="523">
        <f t="shared" si="2"/>
        <v>7.2333027462464575E-2</v>
      </c>
    </row>
    <row r="39" spans="1:10" ht="15" hidden="1" customHeight="1" x14ac:dyDescent="0.25">
      <c r="A39" s="127" t="s">
        <v>613</v>
      </c>
      <c r="B39" s="117" t="s">
        <v>614</v>
      </c>
      <c r="C39" s="124" t="str">
        <f>[1]PRESUPUESTO!E43</f>
        <v>M3</v>
      </c>
      <c r="D39" s="125">
        <v>32.57</v>
      </c>
      <c r="E39" s="125">
        <v>173.57</v>
      </c>
      <c r="F39" s="126">
        <f>E39*D39</f>
        <v>5653.1749</v>
      </c>
      <c r="G39" s="120"/>
      <c r="H39" s="522">
        <f t="shared" si="1"/>
        <v>5653.1749</v>
      </c>
      <c r="I39" s="523">
        <f t="shared" si="2"/>
        <v>0.3949980799234401</v>
      </c>
    </row>
    <row r="40" spans="1:10" ht="15" hidden="1" customHeight="1" x14ac:dyDescent="0.25">
      <c r="A40" s="132" t="s">
        <v>615</v>
      </c>
      <c r="B40" s="133" t="s">
        <v>616</v>
      </c>
      <c r="C40" s="134" t="s">
        <v>597</v>
      </c>
      <c r="D40" s="135">
        <f>+D39</f>
        <v>32.57</v>
      </c>
      <c r="E40" s="135">
        <v>16.13</v>
      </c>
      <c r="F40" s="136"/>
      <c r="G40" s="137">
        <f>+D40*E40</f>
        <v>525.35410000000002</v>
      </c>
      <c r="H40" s="522">
        <f t="shared" si="1"/>
        <v>525.35410000000002</v>
      </c>
      <c r="I40" s="523">
        <f t="shared" si="2"/>
        <v>3.6707489941609085E-2</v>
      </c>
    </row>
    <row r="41" spans="1:10" ht="15" hidden="1" customHeight="1" x14ac:dyDescent="0.25">
      <c r="A41" s="127" t="s">
        <v>617</v>
      </c>
      <c r="B41" s="117" t="s">
        <v>618</v>
      </c>
      <c r="C41" s="124" t="str">
        <f>[1]PRESUPUESTO!E44</f>
        <v>KG</v>
      </c>
      <c r="D41" s="125">
        <f>53314.57+'[1]planilla  14'!$L$241</f>
        <v>55609.75</v>
      </c>
      <c r="E41" s="125">
        <v>1.3</v>
      </c>
      <c r="F41" s="126">
        <f>E41*D41</f>
        <v>72292.675000000003</v>
      </c>
      <c r="G41" s="120"/>
      <c r="H41" s="522">
        <f t="shared" si="1"/>
        <v>72292.675000000003</v>
      </c>
      <c r="I41" s="523">
        <f t="shared" si="2"/>
        <v>5.0512266686688356</v>
      </c>
    </row>
    <row r="42" spans="1:10" ht="15" hidden="1" customHeight="1" x14ac:dyDescent="0.25">
      <c r="A42" s="127" t="s">
        <v>619</v>
      </c>
      <c r="B42" s="117" t="s">
        <v>620</v>
      </c>
      <c r="C42" s="124" t="str">
        <f>[1]PRESUPUESTO!E45</f>
        <v>KG</v>
      </c>
      <c r="D42" s="125">
        <f>15845.9846198104+'[1]planilla  14'!$L$240</f>
        <v>16577.560543981017</v>
      </c>
      <c r="E42" s="125">
        <v>1.4</v>
      </c>
      <c r="F42" s="126">
        <f>E42*D42</f>
        <v>23208.584761573424</v>
      </c>
      <c r="G42" s="120"/>
      <c r="H42" s="522">
        <f t="shared" si="1"/>
        <v>23208.584761573424</v>
      </c>
      <c r="I42" s="523">
        <f t="shared" si="2"/>
        <v>1.6216279490241694</v>
      </c>
    </row>
    <row r="43" spans="1:10" ht="15" hidden="1" customHeight="1" x14ac:dyDescent="0.25">
      <c r="A43" s="127" t="s">
        <v>621</v>
      </c>
      <c r="B43" s="117" t="s">
        <v>622</v>
      </c>
      <c r="C43" s="124" t="str">
        <f>[1]PRESUPUESTO!E46</f>
        <v>Gl</v>
      </c>
      <c r="D43" s="125">
        <v>200</v>
      </c>
      <c r="E43" s="125">
        <v>0.25</v>
      </c>
      <c r="F43" s="126">
        <f>E43*D43</f>
        <v>50</v>
      </c>
      <c r="G43" s="120"/>
      <c r="H43" s="522">
        <f t="shared" si="1"/>
        <v>50</v>
      </c>
      <c r="I43" s="523">
        <f t="shared" si="2"/>
        <v>3.4935950763122516E-3</v>
      </c>
    </row>
    <row r="44" spans="1:10" ht="15" hidden="1" customHeight="1" x14ac:dyDescent="0.25">
      <c r="A44" s="127" t="s">
        <v>623</v>
      </c>
      <c r="B44" s="117" t="s">
        <v>624</v>
      </c>
      <c r="C44" s="124" t="str">
        <f>[1]PRESUPUESTO!E47</f>
        <v>Gl</v>
      </c>
      <c r="D44" s="125">
        <v>1</v>
      </c>
      <c r="E44" s="125">
        <v>1446.43</v>
      </c>
      <c r="F44" s="126">
        <f>E44*D44</f>
        <v>1446.43</v>
      </c>
      <c r="G44" s="120"/>
      <c r="H44" s="522">
        <f t="shared" si="1"/>
        <v>1446.43</v>
      </c>
      <c r="I44" s="523">
        <f t="shared" si="2"/>
        <v>0.1010648145246066</v>
      </c>
    </row>
    <row r="45" spans="1:10" ht="15" hidden="1" customHeight="1" x14ac:dyDescent="0.25">
      <c r="A45" s="127" t="s">
        <v>625</v>
      </c>
      <c r="B45" s="117" t="s">
        <v>591</v>
      </c>
      <c r="C45" s="124" t="str">
        <f>[1]PRESUPUESTO!E48</f>
        <v>M2</v>
      </c>
      <c r="D45" s="125">
        <f>1218.86465+'[1]planilla  14'!$L$244</f>
        <v>1890.86465</v>
      </c>
      <c r="E45" s="125">
        <v>3.07</v>
      </c>
      <c r="F45" s="126">
        <f>E45*D45</f>
        <v>5804.9544754999997</v>
      </c>
      <c r="G45" s="120"/>
      <c r="H45" s="522">
        <f t="shared" si="1"/>
        <v>5804.9544754999997</v>
      </c>
      <c r="I45" s="523">
        <f t="shared" si="2"/>
        <v>0.40560320747647133</v>
      </c>
    </row>
    <row r="46" spans="1:10" s="93" customFormat="1" x14ac:dyDescent="0.25">
      <c r="A46" s="112">
        <v>1.4</v>
      </c>
      <c r="B46" s="113" t="s">
        <v>626</v>
      </c>
      <c r="C46" s="113"/>
      <c r="D46" s="113"/>
      <c r="E46" s="123"/>
      <c r="F46" s="123">
        <f>+F47+F59</f>
        <v>327464.13253840624</v>
      </c>
      <c r="G46" s="144">
        <f>+G47+G59</f>
        <v>19746.165779999999</v>
      </c>
      <c r="H46" s="522">
        <f t="shared" si="1"/>
        <v>347210.29831840622</v>
      </c>
      <c r="I46" s="523">
        <f t="shared" si="2"/>
        <v>24.260243773001839</v>
      </c>
      <c r="J46" s="108"/>
    </row>
    <row r="47" spans="1:10" s="93" customFormat="1" x14ac:dyDescent="0.25">
      <c r="A47" s="112" t="s">
        <v>627</v>
      </c>
      <c r="B47" s="113" t="s">
        <v>628</v>
      </c>
      <c r="C47" s="113"/>
      <c r="D47" s="113"/>
      <c r="E47" s="123"/>
      <c r="F47" s="123">
        <f>SUM(F48:F58)</f>
        <v>98045.3207005</v>
      </c>
      <c r="G47" s="123">
        <f>SUM(G48:G58)</f>
        <v>3631.6695</v>
      </c>
      <c r="H47" s="522">
        <f t="shared" si="1"/>
        <v>101676.9902005</v>
      </c>
      <c r="I47" s="523">
        <f t="shared" si="2"/>
        <v>7.1043646467743171</v>
      </c>
      <c r="J47" s="108"/>
    </row>
    <row r="48" spans="1:10" ht="15" hidden="1" customHeight="1" x14ac:dyDescent="0.25">
      <c r="A48" s="127" t="s">
        <v>629</v>
      </c>
      <c r="B48" s="117" t="s">
        <v>630</v>
      </c>
      <c r="C48" s="124" t="str">
        <f>[1]PRESUPUESTO!E51</f>
        <v>M3</v>
      </c>
      <c r="D48" s="125">
        <v>45.300000000000004</v>
      </c>
      <c r="E48" s="125">
        <v>173.57</v>
      </c>
      <c r="F48" s="126">
        <f>E48*D48</f>
        <v>7862.7210000000005</v>
      </c>
      <c r="G48" s="120"/>
      <c r="H48" s="522">
        <f t="shared" si="1"/>
        <v>7862.7210000000005</v>
      </c>
      <c r="I48" s="523">
        <f t="shared" si="2"/>
        <v>0.54938326744033894</v>
      </c>
    </row>
    <row r="49" spans="1:12" ht="15" hidden="1" customHeight="1" x14ac:dyDescent="0.25">
      <c r="A49" s="132" t="s">
        <v>631</v>
      </c>
      <c r="B49" s="133" t="s">
        <v>632</v>
      </c>
      <c r="C49" s="134" t="s">
        <v>597</v>
      </c>
      <c r="D49" s="135">
        <f>+D48</f>
        <v>45.300000000000004</v>
      </c>
      <c r="E49" s="135">
        <v>16.13</v>
      </c>
      <c r="F49" s="136"/>
      <c r="G49" s="137">
        <f>+D49*E49</f>
        <v>730.68900000000008</v>
      </c>
      <c r="H49" s="522">
        <f t="shared" si="1"/>
        <v>730.68900000000008</v>
      </c>
      <c r="I49" s="523">
        <f t="shared" si="2"/>
        <v>5.105462985431046E-2</v>
      </c>
    </row>
    <row r="50" spans="1:12" ht="15" hidden="1" customHeight="1" x14ac:dyDescent="0.25">
      <c r="A50" s="127" t="s">
        <v>633</v>
      </c>
      <c r="B50" s="117" t="s">
        <v>634</v>
      </c>
      <c r="C50" s="124" t="str">
        <f>[1]PRESUPUESTO!E52</f>
        <v>M3</v>
      </c>
      <c r="D50" s="125">
        <v>77.540000000000006</v>
      </c>
      <c r="E50" s="125">
        <v>173.57</v>
      </c>
      <c r="F50" s="126">
        <f>E50*D50</f>
        <v>13458.6178</v>
      </c>
      <c r="G50" s="120"/>
      <c r="H50" s="522">
        <f t="shared" si="1"/>
        <v>13458.6178</v>
      </c>
      <c r="I50" s="523">
        <f t="shared" si="2"/>
        <v>0.94037921760096854</v>
      </c>
    </row>
    <row r="51" spans="1:12" ht="15" hidden="1" customHeight="1" x14ac:dyDescent="0.25">
      <c r="A51" s="132" t="s">
        <v>635</v>
      </c>
      <c r="B51" s="133" t="s">
        <v>636</v>
      </c>
      <c r="C51" s="134" t="s">
        <v>597</v>
      </c>
      <c r="D51" s="135">
        <f>+D50</f>
        <v>77.540000000000006</v>
      </c>
      <c r="E51" s="135">
        <v>16.13</v>
      </c>
      <c r="F51" s="136"/>
      <c r="G51" s="137">
        <f>+D51*E51</f>
        <v>1250.7202</v>
      </c>
      <c r="H51" s="522">
        <f t="shared" si="1"/>
        <v>1250.7202</v>
      </c>
      <c r="I51" s="523">
        <f t="shared" si="2"/>
        <v>8.7390198651285486E-2</v>
      </c>
    </row>
    <row r="52" spans="1:12" ht="15" hidden="1" customHeight="1" x14ac:dyDescent="0.25">
      <c r="A52" s="127" t="s">
        <v>637</v>
      </c>
      <c r="B52" s="117" t="s">
        <v>638</v>
      </c>
      <c r="C52" s="124" t="str">
        <f>[1]PRESUPUESTO!E53</f>
        <v>M3</v>
      </c>
      <c r="D52" s="125">
        <f>81.32+'[1]planilla  14'!$L$247</f>
        <v>102.30999999999999</v>
      </c>
      <c r="E52" s="125">
        <v>173.57</v>
      </c>
      <c r="F52" s="126">
        <f>E52*D52</f>
        <v>17757.946699999997</v>
      </c>
      <c r="G52" s="120"/>
      <c r="H52" s="522">
        <f t="shared" si="1"/>
        <v>17757.946699999997</v>
      </c>
      <c r="I52" s="523">
        <f t="shared" si="2"/>
        <v>1.2407815031307077</v>
      </c>
    </row>
    <row r="53" spans="1:12" ht="15" hidden="1" customHeight="1" x14ac:dyDescent="0.25">
      <c r="A53" s="132" t="s">
        <v>639</v>
      </c>
      <c r="B53" s="133" t="s">
        <v>640</v>
      </c>
      <c r="C53" s="134" t="s">
        <v>597</v>
      </c>
      <c r="D53" s="135">
        <f>+D52</f>
        <v>102.30999999999999</v>
      </c>
      <c r="E53" s="135">
        <v>16.13</v>
      </c>
      <c r="F53" s="136"/>
      <c r="G53" s="137">
        <f>+D53*E53</f>
        <v>1650.2602999999997</v>
      </c>
      <c r="H53" s="522">
        <f t="shared" si="1"/>
        <v>1650.2602999999997</v>
      </c>
      <c r="I53" s="523">
        <f t="shared" si="2"/>
        <v>0.11530682517427156</v>
      </c>
    </row>
    <row r="54" spans="1:12" ht="15" hidden="1" customHeight="1" x14ac:dyDescent="0.25">
      <c r="A54" s="127" t="s">
        <v>641</v>
      </c>
      <c r="B54" s="117" t="s">
        <v>642</v>
      </c>
      <c r="C54" s="124" t="str">
        <f>[1]PRESUPUESTO!E54</f>
        <v>KG</v>
      </c>
      <c r="D54" s="125">
        <f>5832.37+'[1]planilla  14'!$L$248</f>
        <v>10106.93</v>
      </c>
      <c r="E54" s="125">
        <v>1.4</v>
      </c>
      <c r="F54" s="126">
        <f>E54*D54</f>
        <v>14149.701999999999</v>
      </c>
      <c r="G54" s="120"/>
      <c r="H54" s="522">
        <f t="shared" si="1"/>
        <v>14149.701999999999</v>
      </c>
      <c r="I54" s="523">
        <f t="shared" si="2"/>
        <v>0.98866658476971236</v>
      </c>
    </row>
    <row r="55" spans="1:12" ht="15" hidden="1" customHeight="1" x14ac:dyDescent="0.25">
      <c r="A55" s="127" t="s">
        <v>643</v>
      </c>
      <c r="B55" s="117" t="s">
        <v>644</v>
      </c>
      <c r="C55" s="124" t="str">
        <f>[1]PRESUPUESTO!E55</f>
        <v>KG</v>
      </c>
      <c r="D55" s="125">
        <v>31538.36</v>
      </c>
      <c r="E55" s="125">
        <v>1.3</v>
      </c>
      <c r="F55" s="126">
        <f>E55*D55</f>
        <v>40999.868000000002</v>
      </c>
      <c r="G55" s="120"/>
      <c r="H55" s="522">
        <f t="shared" si="1"/>
        <v>40999.868000000002</v>
      </c>
      <c r="I55" s="523">
        <f t="shared" si="2"/>
        <v>2.8647387394850448</v>
      </c>
    </row>
    <row r="56" spans="1:12" ht="15" hidden="1" customHeight="1" x14ac:dyDescent="0.25">
      <c r="A56" s="127" t="s">
        <v>645</v>
      </c>
      <c r="B56" s="117" t="s">
        <v>622</v>
      </c>
      <c r="C56" s="124" t="str">
        <f>[1]PRESUPUESTO!E56</f>
        <v>Gl</v>
      </c>
      <c r="D56" s="125">
        <v>233.33</v>
      </c>
      <c r="E56" s="125">
        <v>0.25</v>
      </c>
      <c r="F56" s="126">
        <f>E56*D56</f>
        <v>58.332500000000003</v>
      </c>
      <c r="G56" s="120"/>
      <c r="H56" s="522">
        <f t="shared" si="1"/>
        <v>58.332500000000003</v>
      </c>
      <c r="I56" s="523">
        <f t="shared" si="2"/>
        <v>4.0758026957796881E-3</v>
      </c>
    </row>
    <row r="57" spans="1:12" ht="15" hidden="1" customHeight="1" x14ac:dyDescent="0.25">
      <c r="A57" s="127" t="s">
        <v>646</v>
      </c>
      <c r="B57" s="117" t="s">
        <v>624</v>
      </c>
      <c r="C57" s="124" t="str">
        <f>[1]PRESUPUESTO!E57</f>
        <v>Gl</v>
      </c>
      <c r="D57" s="125">
        <v>1.17</v>
      </c>
      <c r="E57" s="125">
        <v>1446.43</v>
      </c>
      <c r="F57" s="126">
        <f>E57*D57</f>
        <v>1692.3231000000001</v>
      </c>
      <c r="G57" s="120"/>
      <c r="H57" s="522">
        <f t="shared" si="1"/>
        <v>1692.3231000000001</v>
      </c>
      <c r="I57" s="523">
        <f t="shared" si="2"/>
        <v>0.11824583299378973</v>
      </c>
    </row>
    <row r="58" spans="1:12" ht="15" hidden="1" customHeight="1" x14ac:dyDescent="0.25">
      <c r="A58" s="127" t="s">
        <v>647</v>
      </c>
      <c r="B58" s="117" t="s">
        <v>648</v>
      </c>
      <c r="C58" s="124" t="str">
        <f>[1]PRESUPUESTO!E58</f>
        <v>M2</v>
      </c>
      <c r="D58" s="125">
        <v>672.90215000000001</v>
      </c>
      <c r="E58" s="125">
        <v>3.07</v>
      </c>
      <c r="F58" s="126">
        <f>E58*D58</f>
        <v>2065.8096004999998</v>
      </c>
      <c r="G58" s="120"/>
      <c r="H58" s="522">
        <f t="shared" si="1"/>
        <v>2065.8096004999998</v>
      </c>
      <c r="I58" s="523">
        <f t="shared" si="2"/>
        <v>0.14434204497810757</v>
      </c>
    </row>
    <row r="59" spans="1:12" s="93" customFormat="1" ht="15" hidden="1" customHeight="1" x14ac:dyDescent="0.25">
      <c r="A59" s="112" t="s">
        <v>649</v>
      </c>
      <c r="B59" s="113" t="s">
        <v>650</v>
      </c>
      <c r="C59" s="113" t="s">
        <v>541</v>
      </c>
      <c r="D59" s="113" t="s">
        <v>541</v>
      </c>
      <c r="E59" s="123"/>
      <c r="F59" s="123">
        <f>SUM(F60:F68)</f>
        <v>229418.81183790622</v>
      </c>
      <c r="G59" s="123">
        <f>SUM(G60:G68)</f>
        <v>16114.496279999999</v>
      </c>
      <c r="H59" s="522">
        <f t="shared" si="1"/>
        <v>245533.30811790621</v>
      </c>
      <c r="I59" s="523">
        <f t="shared" si="2"/>
        <v>17.155879126227525</v>
      </c>
      <c r="J59" s="108"/>
      <c r="K59" s="1260"/>
      <c r="L59" s="1260"/>
    </row>
    <row r="60" spans="1:12" ht="15" hidden="1" customHeight="1" x14ac:dyDescent="0.25">
      <c r="A60" s="127" t="s">
        <v>651</v>
      </c>
      <c r="B60" s="117" t="s">
        <v>652</v>
      </c>
      <c r="C60" s="124" t="str">
        <f>[1]PRESUPUESTO!E60</f>
        <v>M3</v>
      </c>
      <c r="D60" s="125">
        <f>+'[2]Muros Portantes'!$AR$11</f>
        <v>310.46803999999997</v>
      </c>
      <c r="E60" s="125">
        <v>173.57</v>
      </c>
      <c r="F60" s="126">
        <f>E60*D60</f>
        <v>53887.937702799994</v>
      </c>
      <c r="G60" s="120"/>
      <c r="H60" s="522">
        <f t="shared" si="1"/>
        <v>53887.937702799994</v>
      </c>
      <c r="I60" s="523">
        <f t="shared" si="2"/>
        <v>3.7652526766224681</v>
      </c>
      <c r="L60" s="54"/>
    </row>
    <row r="61" spans="1:12" ht="15" hidden="1" customHeight="1" x14ac:dyDescent="0.25">
      <c r="A61" s="132" t="s">
        <v>653</v>
      </c>
      <c r="B61" s="133" t="s">
        <v>654</v>
      </c>
      <c r="C61" s="134" t="s">
        <v>597</v>
      </c>
      <c r="D61" s="135">
        <f>+D60+D62</f>
        <v>640.10563999999999</v>
      </c>
      <c r="E61" s="135">
        <v>12</v>
      </c>
      <c r="F61" s="136"/>
      <c r="G61" s="137">
        <f>+D61*E61</f>
        <v>7681.2676799999999</v>
      </c>
      <c r="H61" s="522">
        <f t="shared" si="1"/>
        <v>7681.2676799999999</v>
      </c>
      <c r="I61" s="523">
        <f t="shared" si="2"/>
        <v>0.53670477893368862</v>
      </c>
      <c r="L61" s="54"/>
    </row>
    <row r="62" spans="1:12" ht="15" hidden="1" customHeight="1" x14ac:dyDescent="0.25">
      <c r="A62" s="127" t="s">
        <v>655</v>
      </c>
      <c r="B62" s="117" t="s">
        <v>656</v>
      </c>
      <c r="C62" s="124" t="str">
        <f>[1]PRESUPUESTO!E61</f>
        <v>M3</v>
      </c>
      <c r="D62" s="125">
        <f>+'[2]Muros Portantes'!$AU$11</f>
        <v>329.63760000000002</v>
      </c>
      <c r="E62" s="125">
        <v>173.57</v>
      </c>
      <c r="F62" s="126">
        <f t="shared" ref="F62:F67" si="5">E62*D62</f>
        <v>57215.198232000002</v>
      </c>
      <c r="G62" s="120"/>
      <c r="H62" s="522">
        <f t="shared" si="1"/>
        <v>57215.198232000002</v>
      </c>
      <c r="I62" s="523">
        <f t="shared" si="2"/>
        <v>3.9977346966708929</v>
      </c>
    </row>
    <row r="63" spans="1:12" ht="15" hidden="1" customHeight="1" x14ac:dyDescent="0.25">
      <c r="A63" s="127" t="s">
        <v>657</v>
      </c>
      <c r="B63" s="117" t="s">
        <v>658</v>
      </c>
      <c r="C63" s="124" t="str">
        <f>[1]PRESUPUESTO!E62</f>
        <v>KG</v>
      </c>
      <c r="D63" s="125">
        <f>((+'[2]Muros Portantes'!$J$77+'[2]Muros Portantes'!$O$70+'[2]Muros Portantes'!$S$70+'[2]Muros Portantes'!$W$70)+(3360.58))*5.7</f>
        <v>41362.768502218751</v>
      </c>
      <c r="E63" s="125">
        <v>1.4</v>
      </c>
      <c r="F63" s="126">
        <f t="shared" si="5"/>
        <v>57907.875903106244</v>
      </c>
      <c r="G63" s="120"/>
      <c r="H63" s="522">
        <f t="shared" si="1"/>
        <v>57907.875903106244</v>
      </c>
      <c r="I63" s="523">
        <f t="shared" si="2"/>
        <v>4.0461334026958573</v>
      </c>
    </row>
    <row r="64" spans="1:12" ht="15" hidden="1" customHeight="1" x14ac:dyDescent="0.25">
      <c r="A64" s="127" t="s">
        <v>659</v>
      </c>
      <c r="B64" s="117" t="s">
        <v>660</v>
      </c>
      <c r="C64" s="124" t="str">
        <f>[1]PRESUPUESTO!E63</f>
        <v>KG</v>
      </c>
      <c r="D64" s="125">
        <v>6400</v>
      </c>
      <c r="E64" s="125">
        <v>1.3</v>
      </c>
      <c r="F64" s="145">
        <f t="shared" si="5"/>
        <v>8320</v>
      </c>
      <c r="G64" s="120"/>
      <c r="H64" s="522">
        <f t="shared" si="1"/>
        <v>8320</v>
      </c>
      <c r="I64" s="523">
        <f t="shared" si="2"/>
        <v>0.58133422069835861</v>
      </c>
    </row>
    <row r="65" spans="1:10" ht="15" hidden="1" customHeight="1" x14ac:dyDescent="0.25">
      <c r="A65" s="127" t="s">
        <v>661</v>
      </c>
      <c r="B65" s="117" t="s">
        <v>662</v>
      </c>
      <c r="C65" s="124" t="str">
        <f>[1]PRESUPUESTO!E64</f>
        <v>APTO</v>
      </c>
      <c r="D65" s="125">
        <v>34</v>
      </c>
      <c r="E65" s="125">
        <v>1446.43</v>
      </c>
      <c r="F65" s="126">
        <f t="shared" si="5"/>
        <v>49178.62</v>
      </c>
      <c r="G65" s="120"/>
      <c r="H65" s="522">
        <f t="shared" si="1"/>
        <v>49178.62</v>
      </c>
      <c r="I65" s="523">
        <f t="shared" si="2"/>
        <v>3.4362036938366245</v>
      </c>
    </row>
    <row r="66" spans="1:10" ht="16.5" hidden="1" customHeight="1" x14ac:dyDescent="0.3">
      <c r="A66" s="127" t="s">
        <v>663</v>
      </c>
      <c r="B66" s="117" t="s">
        <v>622</v>
      </c>
      <c r="C66" s="124" t="str">
        <f>[1]PRESUPUESTO!E65</f>
        <v>Gl</v>
      </c>
      <c r="D66" s="146">
        <v>5851</v>
      </c>
      <c r="E66" s="125">
        <v>0.25</v>
      </c>
      <c r="F66" s="126">
        <f t="shared" si="5"/>
        <v>1462.75</v>
      </c>
      <c r="G66" s="120"/>
      <c r="H66" s="522">
        <f t="shared" si="1"/>
        <v>1462.75</v>
      </c>
      <c r="I66" s="523">
        <f t="shared" si="2"/>
        <v>0.10220512395751492</v>
      </c>
    </row>
    <row r="67" spans="1:10" ht="15" hidden="1" customHeight="1" x14ac:dyDescent="0.25">
      <c r="A67" s="46" t="s">
        <v>664</v>
      </c>
      <c r="B67" s="117" t="s">
        <v>624</v>
      </c>
      <c r="C67" s="124" t="str">
        <f>[1]PRESUPUESTO!E66</f>
        <v>Gl</v>
      </c>
      <c r="D67" s="125">
        <v>1</v>
      </c>
      <c r="E67" s="125">
        <v>1446.43</v>
      </c>
      <c r="F67" s="126">
        <f t="shared" si="5"/>
        <v>1446.43</v>
      </c>
      <c r="G67" s="120"/>
      <c r="H67" s="522">
        <f t="shared" si="1"/>
        <v>1446.43</v>
      </c>
      <c r="I67" s="523">
        <f t="shared" si="2"/>
        <v>0.1010648145246066</v>
      </c>
    </row>
    <row r="68" spans="1:10" ht="15" hidden="1" customHeight="1" x14ac:dyDescent="0.25">
      <c r="A68" s="46" t="s">
        <v>665</v>
      </c>
      <c r="B68" s="121" t="s">
        <v>666</v>
      </c>
      <c r="C68" s="47" t="s">
        <v>667</v>
      </c>
      <c r="D68" s="118">
        <f>+'[2]Muros Portantes'!$AS$16</f>
        <v>2746.98</v>
      </c>
      <c r="E68" s="118">
        <f>+E58</f>
        <v>3.07</v>
      </c>
      <c r="F68" s="119"/>
      <c r="G68" s="122">
        <f>+D68*E68</f>
        <v>8433.2286000000004</v>
      </c>
      <c r="H68" s="522">
        <f t="shared" ref="H68:H131" si="6">+F68+G68</f>
        <v>8433.2286000000004</v>
      </c>
      <c r="I68" s="523">
        <f t="shared" ref="I68:I131" si="7">+H68*100/$H$251</f>
        <v>0.58924571828751326</v>
      </c>
    </row>
    <row r="69" spans="1:10" s="93" customFormat="1" x14ac:dyDescent="0.25">
      <c r="A69" s="112">
        <v>1.5</v>
      </c>
      <c r="B69" s="113" t="s">
        <v>668</v>
      </c>
      <c r="C69" s="113" t="s">
        <v>541</v>
      </c>
      <c r="D69" s="113" t="s">
        <v>541</v>
      </c>
      <c r="E69" s="123"/>
      <c r="F69" s="123">
        <f>SUM(F70:F75)</f>
        <v>68619.6921</v>
      </c>
      <c r="G69" s="123">
        <f>SUM(G70:G80)</f>
        <v>10290.702000000001</v>
      </c>
      <c r="H69" s="522">
        <f t="shared" si="6"/>
        <v>78910.394100000005</v>
      </c>
      <c r="I69" s="523">
        <f t="shared" si="7"/>
        <v>5.5136192859523874</v>
      </c>
      <c r="J69" s="108"/>
    </row>
    <row r="70" spans="1:10" ht="15" hidden="1" customHeight="1" x14ac:dyDescent="0.25">
      <c r="A70" s="46" t="s">
        <v>669</v>
      </c>
      <c r="B70" s="121" t="s">
        <v>670</v>
      </c>
      <c r="C70" s="47" t="str">
        <f>[1]PRESUPUESTO!E68</f>
        <v>M2</v>
      </c>
      <c r="D70" s="118">
        <f>588.43+1200</f>
        <v>1788.4299999999998</v>
      </c>
      <c r="E70" s="118">
        <v>17.170000000000002</v>
      </c>
      <c r="F70" s="119">
        <f t="shared" ref="F70:F75" si="8">E70*D70</f>
        <v>30707.343100000002</v>
      </c>
      <c r="G70" s="120"/>
      <c r="H70" s="522">
        <f t="shared" si="6"/>
        <v>30707.343100000002</v>
      </c>
      <c r="I70" s="523">
        <f t="shared" si="7"/>
        <v>2.1455804532158198</v>
      </c>
    </row>
    <row r="71" spans="1:10" ht="15" hidden="1" customHeight="1" x14ac:dyDescent="0.25">
      <c r="A71" s="46" t="s">
        <v>671</v>
      </c>
      <c r="B71" s="117" t="s">
        <v>672</v>
      </c>
      <c r="C71" s="124" t="str">
        <f>[1]PRESUPUESTO!E69</f>
        <v>M2</v>
      </c>
      <c r="D71" s="125">
        <f>+[3]Presupuesto!$E$95+[3]Presupuesto!$E$94</f>
        <v>777.31000000000006</v>
      </c>
      <c r="E71" s="125">
        <v>18.04</v>
      </c>
      <c r="F71" s="126">
        <f t="shared" si="8"/>
        <v>14022.672400000001</v>
      </c>
      <c r="G71" s="120"/>
      <c r="H71" s="522">
        <f t="shared" si="6"/>
        <v>14022.672400000001</v>
      </c>
      <c r="I71" s="523">
        <f t="shared" si="7"/>
        <v>0.97979078506759421</v>
      </c>
    </row>
    <row r="72" spans="1:10" ht="15" hidden="1" customHeight="1" x14ac:dyDescent="0.25">
      <c r="A72" s="46" t="s">
        <v>673</v>
      </c>
      <c r="B72" s="117" t="s">
        <v>674</v>
      </c>
      <c r="C72" s="124" t="str">
        <f>[1]PRESUPUESTO!E70</f>
        <v>M2</v>
      </c>
      <c r="D72" s="125">
        <f>+D70*2</f>
        <v>3576.8599999999997</v>
      </c>
      <c r="E72" s="125">
        <v>5.33</v>
      </c>
      <c r="F72" s="126">
        <f t="shared" si="8"/>
        <v>19064.663799999998</v>
      </c>
      <c r="G72" s="120"/>
      <c r="H72" s="522">
        <f t="shared" si="6"/>
        <v>19064.663799999998</v>
      </c>
      <c r="I72" s="523">
        <f t="shared" si="7"/>
        <v>1.3320843116645682</v>
      </c>
    </row>
    <row r="73" spans="1:10" ht="15" hidden="1" customHeight="1" x14ac:dyDescent="0.25">
      <c r="A73" s="46" t="s">
        <v>675</v>
      </c>
      <c r="B73" s="117" t="s">
        <v>676</v>
      </c>
      <c r="C73" s="124" t="str">
        <f>+[1]PRESUPUESTO!E71</f>
        <v>M2</v>
      </c>
      <c r="D73" s="147">
        <f>1.5*27*2</f>
        <v>81</v>
      </c>
      <c r="E73" s="125">
        <v>19.899999999999999</v>
      </c>
      <c r="F73" s="126">
        <f t="shared" si="8"/>
        <v>1611.8999999999999</v>
      </c>
      <c r="G73" s="120"/>
      <c r="H73" s="522">
        <f t="shared" si="6"/>
        <v>1611.8999999999999</v>
      </c>
      <c r="I73" s="523">
        <f t="shared" si="7"/>
        <v>0.11262651807015436</v>
      </c>
    </row>
    <row r="74" spans="1:10" ht="15" hidden="1" customHeight="1" x14ac:dyDescent="0.25">
      <c r="A74" s="46" t="s">
        <v>677</v>
      </c>
      <c r="B74" s="117" t="s">
        <v>678</v>
      </c>
      <c r="C74" s="124" t="str">
        <f>[1]PRESUPUESTO!E72</f>
        <v>ML</v>
      </c>
      <c r="D74" s="125">
        <f>16*(2.56*6)</f>
        <v>245.76</v>
      </c>
      <c r="E74" s="125">
        <v>8.7800000000000011</v>
      </c>
      <c r="F74" s="126">
        <f t="shared" si="8"/>
        <v>2157.7728000000002</v>
      </c>
      <c r="G74" s="120"/>
      <c r="H74" s="522">
        <f t="shared" si="6"/>
        <v>2157.7728000000002</v>
      </c>
      <c r="I74" s="523">
        <f t="shared" si="7"/>
        <v>0.15076768859761003</v>
      </c>
    </row>
    <row r="75" spans="1:10" ht="15" hidden="1" customHeight="1" x14ac:dyDescent="0.25">
      <c r="A75" s="46" t="s">
        <v>679</v>
      </c>
      <c r="B75" s="117" t="s">
        <v>680</v>
      </c>
      <c r="C75" s="124" t="str">
        <f>[1]PRESUPUESTO!E73</f>
        <v>ML</v>
      </c>
      <c r="D75" s="125">
        <v>198</v>
      </c>
      <c r="E75" s="125">
        <v>5.33</v>
      </c>
      <c r="F75" s="126">
        <f t="shared" si="8"/>
        <v>1055.3399999999999</v>
      </c>
      <c r="G75" s="120"/>
      <c r="H75" s="522">
        <f t="shared" si="6"/>
        <v>1055.3399999999999</v>
      </c>
      <c r="I75" s="523">
        <f t="shared" si="7"/>
        <v>7.3738612556707425E-2</v>
      </c>
    </row>
    <row r="76" spans="1:10" ht="15" hidden="1" customHeight="1" x14ac:dyDescent="0.25">
      <c r="A76" s="46" t="s">
        <v>681</v>
      </c>
      <c r="B76" s="148" t="s">
        <v>682</v>
      </c>
      <c r="C76" s="138" t="s">
        <v>683</v>
      </c>
      <c r="D76" s="139">
        <v>253.3</v>
      </c>
      <c r="E76" s="140">
        <v>11.68</v>
      </c>
      <c r="F76" s="139"/>
      <c r="G76" s="122">
        <f>+D76*E76</f>
        <v>2958.5439999999999</v>
      </c>
      <c r="H76" s="522">
        <f t="shared" si="6"/>
        <v>2958.5439999999999</v>
      </c>
      <c r="I76" s="523">
        <f t="shared" si="7"/>
        <v>0.20671909502906305</v>
      </c>
    </row>
    <row r="77" spans="1:10" ht="15" hidden="1" customHeight="1" x14ac:dyDescent="0.25">
      <c r="A77" s="46" t="s">
        <v>684</v>
      </c>
      <c r="B77" s="148" t="s">
        <v>685</v>
      </c>
      <c r="C77" s="138" t="s">
        <v>683</v>
      </c>
      <c r="D77" s="139">
        <v>253.3</v>
      </c>
      <c r="E77" s="140">
        <v>13.78</v>
      </c>
      <c r="F77" s="139"/>
      <c r="G77" s="122">
        <f>+D77*E77</f>
        <v>3490.4740000000002</v>
      </c>
      <c r="H77" s="522">
        <f t="shared" si="6"/>
        <v>3490.4740000000002</v>
      </c>
      <c r="I77" s="523">
        <f t="shared" si="7"/>
        <v>0.24388605560791862</v>
      </c>
    </row>
    <row r="78" spans="1:10" ht="15" hidden="1" customHeight="1" x14ac:dyDescent="0.25">
      <c r="A78" s="46" t="s">
        <v>686</v>
      </c>
      <c r="B78" s="148" t="s">
        <v>687</v>
      </c>
      <c r="C78" s="138" t="s">
        <v>683</v>
      </c>
      <c r="D78" s="139">
        <v>253.3</v>
      </c>
      <c r="E78" s="140">
        <v>5.1300000000000008</v>
      </c>
      <c r="F78" s="139"/>
      <c r="G78" s="122">
        <f>+D78*E78</f>
        <v>1299.4290000000003</v>
      </c>
      <c r="H78" s="522">
        <f t="shared" si="6"/>
        <v>1299.4290000000003</v>
      </c>
      <c r="I78" s="523">
        <f t="shared" si="7"/>
        <v>9.0793575128347084E-2</v>
      </c>
    </row>
    <row r="79" spans="1:10" ht="15" hidden="1" customHeight="1" x14ac:dyDescent="0.25">
      <c r="A79" s="46" t="s">
        <v>688</v>
      </c>
      <c r="B79" s="148" t="s">
        <v>689</v>
      </c>
      <c r="C79" s="138" t="s">
        <v>683</v>
      </c>
      <c r="D79" s="139">
        <v>158.18</v>
      </c>
      <c r="E79" s="140">
        <v>9.75</v>
      </c>
      <c r="F79" s="139"/>
      <c r="G79" s="122">
        <f>+D79*E79</f>
        <v>1542.2550000000001</v>
      </c>
      <c r="H79" s="522">
        <f t="shared" si="6"/>
        <v>1542.2550000000001</v>
      </c>
      <c r="I79" s="523">
        <f t="shared" si="7"/>
        <v>0.10776028948835903</v>
      </c>
    </row>
    <row r="80" spans="1:10" ht="15" hidden="1" customHeight="1" x14ac:dyDescent="0.25">
      <c r="A80" s="132" t="s">
        <v>690</v>
      </c>
      <c r="B80" s="149" t="s">
        <v>691</v>
      </c>
      <c r="C80" s="150" t="s">
        <v>556</v>
      </c>
      <c r="D80" s="151">
        <v>1</v>
      </c>
      <c r="E80" s="152">
        <v>1000</v>
      </c>
      <c r="F80" s="151"/>
      <c r="G80" s="137">
        <f>+D80*E80</f>
        <v>1000</v>
      </c>
      <c r="H80" s="522">
        <f t="shared" si="6"/>
        <v>1000</v>
      </c>
      <c r="I80" s="523">
        <f t="shared" si="7"/>
        <v>6.9871901526245034E-2</v>
      </c>
    </row>
    <row r="81" spans="1:10" s="93" customFormat="1" ht="15" hidden="1" customHeight="1" x14ac:dyDescent="0.25">
      <c r="A81" s="112">
        <v>1.6</v>
      </c>
      <c r="B81" s="113" t="s">
        <v>692</v>
      </c>
      <c r="C81" s="113" t="s">
        <v>541</v>
      </c>
      <c r="D81" s="113" t="s">
        <v>541</v>
      </c>
      <c r="E81" s="123"/>
      <c r="F81" s="123">
        <f>SUM(F82:F83)</f>
        <v>0</v>
      </c>
      <c r="G81" s="123">
        <f>SUM(G82:G83)</f>
        <v>0</v>
      </c>
      <c r="H81" s="522">
        <f t="shared" si="6"/>
        <v>0</v>
      </c>
      <c r="I81" s="523">
        <f t="shared" si="7"/>
        <v>0</v>
      </c>
      <c r="J81" s="108"/>
    </row>
    <row r="82" spans="1:10" ht="15" hidden="1" customHeight="1" x14ac:dyDescent="0.25">
      <c r="A82" s="46" t="s">
        <v>693</v>
      </c>
      <c r="B82" s="117" t="s">
        <v>694</v>
      </c>
      <c r="C82" s="124" t="str">
        <f>[1]PRESUPUESTO!E75</f>
        <v>ML</v>
      </c>
      <c r="D82" s="125">
        <v>0</v>
      </c>
      <c r="E82" s="125">
        <v>66.44</v>
      </c>
      <c r="F82" s="126">
        <f>E82*D82</f>
        <v>0</v>
      </c>
      <c r="G82" s="120"/>
      <c r="H82" s="522">
        <f t="shared" si="6"/>
        <v>0</v>
      </c>
      <c r="I82" s="523">
        <f t="shared" si="7"/>
        <v>0</v>
      </c>
    </row>
    <row r="83" spans="1:10" ht="15" hidden="1" customHeight="1" x14ac:dyDescent="0.25">
      <c r="A83" s="46" t="s">
        <v>695</v>
      </c>
      <c r="B83" s="117" t="s">
        <v>696</v>
      </c>
      <c r="C83" s="124" t="str">
        <f>[1]PRESUPUESTO!E76</f>
        <v>M2</v>
      </c>
      <c r="D83" s="125">
        <v>0</v>
      </c>
      <c r="E83" s="125">
        <v>49.08</v>
      </c>
      <c r="F83" s="126">
        <f>E83*D83</f>
        <v>0</v>
      </c>
      <c r="G83" s="120"/>
      <c r="H83" s="522">
        <f t="shared" si="6"/>
        <v>0</v>
      </c>
      <c r="I83" s="523">
        <f t="shared" si="7"/>
        <v>0</v>
      </c>
    </row>
    <row r="84" spans="1:10" s="93" customFormat="1" x14ac:dyDescent="0.25">
      <c r="A84" s="112">
        <v>1.7</v>
      </c>
      <c r="B84" s="113" t="s">
        <v>697</v>
      </c>
      <c r="C84" s="113"/>
      <c r="D84" s="113" t="s">
        <v>541</v>
      </c>
      <c r="E84" s="123"/>
      <c r="F84" s="123">
        <f>SUM(F85:F89)</f>
        <v>45788.09859999999</v>
      </c>
      <c r="G84" s="123">
        <f>SUM(G85:G89)</f>
        <v>0</v>
      </c>
      <c r="H84" s="522">
        <f t="shared" si="6"/>
        <v>45788.09859999999</v>
      </c>
      <c r="I84" s="523">
        <f t="shared" si="7"/>
        <v>3.1993015164531977</v>
      </c>
      <c r="J84" s="108"/>
    </row>
    <row r="85" spans="1:10" ht="15" hidden="1" customHeight="1" x14ac:dyDescent="0.25">
      <c r="A85" s="46" t="s">
        <v>698</v>
      </c>
      <c r="B85" s="117" t="s">
        <v>699</v>
      </c>
      <c r="C85" s="124" t="str">
        <f>[1]PRESUPUESTO!E78</f>
        <v>M2</v>
      </c>
      <c r="D85" s="125">
        <f>+(1.5*2*51)+(1.5*1.5*6)+(0.6*0.6*35)+(0.9*0.4*6)+(1.5*0.8*11)+(2.33*2*27)+(2.33*2*6)+(2.33*0.8*10)+(1.5*1.5*5)+(0.6*2*5)+(70.25+10)</f>
        <v>464.37999999999994</v>
      </c>
      <c r="E85" s="125">
        <v>74.97</v>
      </c>
      <c r="F85" s="126">
        <f>E85*D85</f>
        <v>34814.568599999991</v>
      </c>
      <c r="G85" s="120"/>
      <c r="H85" s="522">
        <f t="shared" si="6"/>
        <v>34814.568599999991</v>
      </c>
      <c r="I85" s="523">
        <f t="shared" si="7"/>
        <v>2.4325601088979014</v>
      </c>
    </row>
    <row r="86" spans="1:10" ht="15" hidden="1" customHeight="1" x14ac:dyDescent="0.25">
      <c r="A86" s="46" t="s">
        <v>700</v>
      </c>
      <c r="B86" s="117" t="s">
        <v>701</v>
      </c>
      <c r="C86" s="124" t="str">
        <f>[1]PRESUPUESTO!E79</f>
        <v>ML</v>
      </c>
      <c r="D86" s="125">
        <v>0</v>
      </c>
      <c r="E86" s="125">
        <v>30.86</v>
      </c>
      <c r="F86" s="126">
        <f>E86*D86</f>
        <v>0</v>
      </c>
      <c r="G86" s="120"/>
      <c r="H86" s="522">
        <f t="shared" si="6"/>
        <v>0</v>
      </c>
      <c r="I86" s="523">
        <f t="shared" si="7"/>
        <v>0</v>
      </c>
    </row>
    <row r="87" spans="1:10" ht="15" hidden="1" customHeight="1" x14ac:dyDescent="0.25">
      <c r="A87" s="46" t="s">
        <v>702</v>
      </c>
      <c r="B87" s="117" t="s">
        <v>703</v>
      </c>
      <c r="C87" s="124" t="str">
        <f>[1]PRESUPUESTO!E80</f>
        <v>ML</v>
      </c>
      <c r="D87" s="125">
        <v>0</v>
      </c>
      <c r="E87" s="125">
        <v>38.57</v>
      </c>
      <c r="F87" s="126">
        <f>E87*D87</f>
        <v>0</v>
      </c>
      <c r="G87" s="120"/>
      <c r="H87" s="522">
        <f t="shared" si="6"/>
        <v>0</v>
      </c>
      <c r="I87" s="523">
        <f t="shared" si="7"/>
        <v>0</v>
      </c>
    </row>
    <row r="88" spans="1:10" ht="15" hidden="1" customHeight="1" x14ac:dyDescent="0.25">
      <c r="A88" s="46" t="s">
        <v>704</v>
      </c>
      <c r="B88" s="117" t="s">
        <v>705</v>
      </c>
      <c r="C88" s="124" t="str">
        <f>[1]PRESUPUESTO!E81</f>
        <v>U</v>
      </c>
      <c r="D88" s="125">
        <v>34</v>
      </c>
      <c r="E88" s="125">
        <v>144.94</v>
      </c>
      <c r="F88" s="126">
        <f>E88*D88</f>
        <v>4927.96</v>
      </c>
      <c r="G88" s="120"/>
      <c r="H88" s="522">
        <f t="shared" si="6"/>
        <v>4927.96</v>
      </c>
      <c r="I88" s="523">
        <f t="shared" si="7"/>
        <v>0.34432593584527443</v>
      </c>
    </row>
    <row r="89" spans="1:10" ht="15" hidden="1" customHeight="1" x14ac:dyDescent="0.25">
      <c r="A89" s="46" t="s">
        <v>706</v>
      </c>
      <c r="B89" s="117" t="s">
        <v>707</v>
      </c>
      <c r="C89" s="124" t="str">
        <f>[1]PRESUPUESTO!E82</f>
        <v>U</v>
      </c>
      <c r="D89" s="125">
        <v>9</v>
      </c>
      <c r="E89" s="125">
        <v>671.73</v>
      </c>
      <c r="F89" s="126">
        <f>E89*D89</f>
        <v>6045.57</v>
      </c>
      <c r="G89" s="120"/>
      <c r="H89" s="522">
        <f t="shared" si="6"/>
        <v>6045.57</v>
      </c>
      <c r="I89" s="523">
        <f t="shared" si="7"/>
        <v>0.4224154717100212</v>
      </c>
    </row>
    <row r="90" spans="1:10" s="93" customFormat="1" x14ac:dyDescent="0.25">
      <c r="A90" s="112">
        <v>1.8</v>
      </c>
      <c r="B90" s="113" t="s">
        <v>708</v>
      </c>
      <c r="C90" s="113" t="s">
        <v>541</v>
      </c>
      <c r="D90" s="113" t="s">
        <v>541</v>
      </c>
      <c r="E90" s="123"/>
      <c r="F90" s="123">
        <f>SUM(F91:F95)</f>
        <v>10819.14</v>
      </c>
      <c r="G90" s="123">
        <f>SUM(G91:G95)</f>
        <v>0</v>
      </c>
      <c r="H90" s="522">
        <f t="shared" si="6"/>
        <v>10819.14</v>
      </c>
      <c r="I90" s="523">
        <f t="shared" si="7"/>
        <v>0.75595388467865865</v>
      </c>
      <c r="J90" s="108"/>
    </row>
    <row r="91" spans="1:10" ht="15" hidden="1" customHeight="1" x14ac:dyDescent="0.25">
      <c r="A91" s="46" t="s">
        <v>709</v>
      </c>
      <c r="B91" s="117" t="s">
        <v>710</v>
      </c>
      <c r="C91" s="124" t="str">
        <f>[1]PRESUPUESTO!E84</f>
        <v>UN</v>
      </c>
      <c r="D91" s="125">
        <v>34</v>
      </c>
      <c r="E91" s="125">
        <v>318.20999999999998</v>
      </c>
      <c r="F91" s="126">
        <f>E91*D91</f>
        <v>10819.14</v>
      </c>
      <c r="G91" s="120"/>
      <c r="H91" s="522">
        <f t="shared" si="6"/>
        <v>10819.14</v>
      </c>
      <c r="I91" s="523">
        <f t="shared" si="7"/>
        <v>0.75595388467865865</v>
      </c>
    </row>
    <row r="92" spans="1:10" ht="15" hidden="1" customHeight="1" x14ac:dyDescent="0.25">
      <c r="A92" s="46" t="s">
        <v>711</v>
      </c>
      <c r="B92" s="117" t="s">
        <v>712</v>
      </c>
      <c r="C92" s="124" t="str">
        <f>[1]PRESUPUESTO!E85</f>
        <v>UN</v>
      </c>
      <c r="D92" s="125">
        <v>0</v>
      </c>
      <c r="E92" s="125">
        <v>250</v>
      </c>
      <c r="F92" s="126">
        <f>E92*D92</f>
        <v>0</v>
      </c>
      <c r="G92" s="120"/>
      <c r="H92" s="522">
        <f t="shared" si="6"/>
        <v>0</v>
      </c>
      <c r="I92" s="523">
        <f t="shared" si="7"/>
        <v>0</v>
      </c>
    </row>
    <row r="93" spans="1:10" ht="15" hidden="1" customHeight="1" x14ac:dyDescent="0.25">
      <c r="A93" s="46" t="s">
        <v>713</v>
      </c>
      <c r="B93" s="117" t="s">
        <v>714</v>
      </c>
      <c r="C93" s="124" t="str">
        <f>[1]PRESUPUESTO!E86</f>
        <v>UN</v>
      </c>
      <c r="D93" s="125">
        <v>0</v>
      </c>
      <c r="E93" s="125">
        <v>250</v>
      </c>
      <c r="F93" s="126">
        <f>E93*D93</f>
        <v>0</v>
      </c>
      <c r="G93" s="120"/>
      <c r="H93" s="522">
        <f t="shared" si="6"/>
        <v>0</v>
      </c>
      <c r="I93" s="523">
        <f t="shared" si="7"/>
        <v>0</v>
      </c>
    </row>
    <row r="94" spans="1:10" ht="15" hidden="1" customHeight="1" x14ac:dyDescent="0.25">
      <c r="A94" s="46" t="s">
        <v>715</v>
      </c>
      <c r="B94" s="117" t="s">
        <v>716</v>
      </c>
      <c r="C94" s="124" t="str">
        <f>[1]PRESUPUESTO!E87</f>
        <v>UN</v>
      </c>
      <c r="D94" s="125">
        <v>0</v>
      </c>
      <c r="E94" s="125">
        <v>74.97</v>
      </c>
      <c r="F94" s="126">
        <f>E94*D94</f>
        <v>0</v>
      </c>
      <c r="G94" s="120"/>
      <c r="H94" s="522">
        <f t="shared" si="6"/>
        <v>0</v>
      </c>
      <c r="I94" s="523">
        <f t="shared" si="7"/>
        <v>0</v>
      </c>
    </row>
    <row r="95" spans="1:10" ht="15" hidden="1" customHeight="1" x14ac:dyDescent="0.25">
      <c r="A95" s="46" t="s">
        <v>717</v>
      </c>
      <c r="B95" s="117" t="s">
        <v>718</v>
      </c>
      <c r="C95" s="124" t="str">
        <f>[1]PRESUPUESTO!E88</f>
        <v>UN</v>
      </c>
      <c r="D95" s="125">
        <v>0</v>
      </c>
      <c r="E95" s="125">
        <v>867.86</v>
      </c>
      <c r="F95" s="126">
        <f>E95*D95</f>
        <v>0</v>
      </c>
      <c r="G95" s="120"/>
      <c r="H95" s="522">
        <f t="shared" si="6"/>
        <v>0</v>
      </c>
      <c r="I95" s="523">
        <f t="shared" si="7"/>
        <v>0</v>
      </c>
    </row>
    <row r="96" spans="1:10" s="93" customFormat="1" x14ac:dyDescent="0.25">
      <c r="A96" s="112">
        <v>1.9</v>
      </c>
      <c r="B96" s="113" t="s">
        <v>719</v>
      </c>
      <c r="C96" s="113"/>
      <c r="D96" s="113" t="s">
        <v>541</v>
      </c>
      <c r="E96" s="123"/>
      <c r="F96" s="123">
        <f>SUM(F97:F104)</f>
        <v>23830.854907000001</v>
      </c>
      <c r="G96" s="123">
        <f>SUM(G97:G104)</f>
        <v>0</v>
      </c>
      <c r="H96" s="522">
        <f t="shared" si="6"/>
        <v>23830.854907000001</v>
      </c>
      <c r="I96" s="523">
        <f t="shared" si="7"/>
        <v>1.6651071473481371</v>
      </c>
      <c r="J96" s="108"/>
    </row>
    <row r="97" spans="1:10" ht="15" hidden="1" customHeight="1" x14ac:dyDescent="0.25">
      <c r="A97" s="46" t="s">
        <v>720</v>
      </c>
      <c r="B97" s="117" t="s">
        <v>721</v>
      </c>
      <c r="C97" s="124" t="str">
        <f>[1]PRESUPUESTO!E90</f>
        <v>M2</v>
      </c>
      <c r="D97" s="125">
        <v>0</v>
      </c>
      <c r="E97" s="125">
        <v>29.990000000000002</v>
      </c>
      <c r="F97" s="126">
        <f t="shared" ref="F97:F104" si="9">E97*D97</f>
        <v>0</v>
      </c>
      <c r="G97" s="120"/>
      <c r="H97" s="522">
        <f t="shared" si="6"/>
        <v>0</v>
      </c>
      <c r="I97" s="523">
        <f t="shared" si="7"/>
        <v>0</v>
      </c>
    </row>
    <row r="98" spans="1:10" ht="15" hidden="1" customHeight="1" x14ac:dyDescent="0.25">
      <c r="A98" s="46" t="s">
        <v>722</v>
      </c>
      <c r="B98" s="117" t="s">
        <v>723</v>
      </c>
      <c r="C98" s="124" t="str">
        <f>[1]PRESUPUESTO!E91</f>
        <v>M2</v>
      </c>
      <c r="D98" s="125">
        <v>0</v>
      </c>
      <c r="E98" s="125">
        <v>29.990000000000002</v>
      </c>
      <c r="F98" s="126">
        <f t="shared" si="9"/>
        <v>0</v>
      </c>
      <c r="G98" s="120"/>
      <c r="H98" s="522">
        <f t="shared" si="6"/>
        <v>0</v>
      </c>
      <c r="I98" s="523">
        <f t="shared" si="7"/>
        <v>0</v>
      </c>
    </row>
    <row r="99" spans="1:10" ht="15" hidden="1" customHeight="1" x14ac:dyDescent="0.25">
      <c r="A99" s="46" t="s">
        <v>724</v>
      </c>
      <c r="B99" s="117" t="s">
        <v>725</v>
      </c>
      <c r="C99" s="124" t="str">
        <f>[1]PRESUPUESTO!E92</f>
        <v>M2</v>
      </c>
      <c r="D99" s="125">
        <f>+D58+(16.74*6)</f>
        <v>773.34214999999995</v>
      </c>
      <c r="E99" s="125">
        <v>24.98</v>
      </c>
      <c r="F99" s="126">
        <f t="shared" si="9"/>
        <v>19318.086907000001</v>
      </c>
      <c r="G99" s="120"/>
      <c r="H99" s="522">
        <f t="shared" si="6"/>
        <v>19318.086907000001</v>
      </c>
      <c r="I99" s="523">
        <f t="shared" si="7"/>
        <v>1.3497914660413475</v>
      </c>
    </row>
    <row r="100" spans="1:10" ht="15" hidden="1" customHeight="1" x14ac:dyDescent="0.25">
      <c r="A100" s="46" t="s">
        <v>726</v>
      </c>
      <c r="B100" s="117" t="s">
        <v>727</v>
      </c>
      <c r="C100" s="124" t="str">
        <f>[1]PRESUPUESTO!E93</f>
        <v>M2</v>
      </c>
      <c r="D100" s="125"/>
      <c r="E100" s="125">
        <v>13.799999999999999</v>
      </c>
      <c r="F100" s="126">
        <f t="shared" si="9"/>
        <v>0</v>
      </c>
      <c r="G100" s="120"/>
      <c r="H100" s="522">
        <f t="shared" si="6"/>
        <v>0</v>
      </c>
      <c r="I100" s="523">
        <f t="shared" si="7"/>
        <v>0</v>
      </c>
    </row>
    <row r="101" spans="1:10" ht="15" hidden="1" customHeight="1" x14ac:dyDescent="0.25">
      <c r="A101" s="46" t="s">
        <v>728</v>
      </c>
      <c r="B101" s="117" t="s">
        <v>729</v>
      </c>
      <c r="C101" s="124" t="str">
        <f>[1]PRESUPUESTO!E94</f>
        <v>M2</v>
      </c>
      <c r="D101" s="125">
        <v>0</v>
      </c>
      <c r="E101" s="125">
        <v>13.799999999999999</v>
      </c>
      <c r="F101" s="126">
        <f t="shared" si="9"/>
        <v>0</v>
      </c>
      <c r="G101" s="120"/>
      <c r="H101" s="522">
        <f t="shared" si="6"/>
        <v>0</v>
      </c>
      <c r="I101" s="523">
        <f t="shared" si="7"/>
        <v>0</v>
      </c>
    </row>
    <row r="102" spans="1:10" ht="15" hidden="1" customHeight="1" x14ac:dyDescent="0.25">
      <c r="A102" s="46" t="s">
        <v>730</v>
      </c>
      <c r="B102" s="117" t="s">
        <v>731</v>
      </c>
      <c r="C102" s="124" t="str">
        <f>[1]PRESUPUESTO!E95</f>
        <v>M2</v>
      </c>
      <c r="D102" s="125">
        <f>9.75*6.4</f>
        <v>62.400000000000006</v>
      </c>
      <c r="E102" s="125">
        <v>72.319999999999993</v>
      </c>
      <c r="F102" s="126">
        <f t="shared" si="9"/>
        <v>4512.768</v>
      </c>
      <c r="G102" s="120"/>
      <c r="H102" s="522">
        <f t="shared" si="6"/>
        <v>4512.768</v>
      </c>
      <c r="I102" s="523">
        <f t="shared" si="7"/>
        <v>0.31531568130678972</v>
      </c>
    </row>
    <row r="103" spans="1:10" ht="15" hidden="1" customHeight="1" x14ac:dyDescent="0.25">
      <c r="A103" s="46" t="s">
        <v>732</v>
      </c>
      <c r="B103" s="117" t="s">
        <v>733</v>
      </c>
      <c r="C103" s="124" t="str">
        <f>[1]PRESUPUESTO!E96</f>
        <v>ML</v>
      </c>
      <c r="D103" s="125">
        <v>0</v>
      </c>
      <c r="E103" s="125">
        <v>30.19</v>
      </c>
      <c r="F103" s="126">
        <f t="shared" si="9"/>
        <v>0</v>
      </c>
      <c r="G103" s="120"/>
      <c r="H103" s="522">
        <f t="shared" si="6"/>
        <v>0</v>
      </c>
      <c r="I103" s="523">
        <f t="shared" si="7"/>
        <v>0</v>
      </c>
    </row>
    <row r="104" spans="1:10" ht="15" hidden="1" customHeight="1" x14ac:dyDescent="0.25">
      <c r="A104" s="46" t="s">
        <v>734</v>
      </c>
      <c r="B104" s="117" t="s">
        <v>735</v>
      </c>
      <c r="C104" s="124" t="str">
        <f>[1]PRESUPUESTO!E97</f>
        <v>M2</v>
      </c>
      <c r="D104" s="125">
        <v>0</v>
      </c>
      <c r="E104" s="125">
        <v>0</v>
      </c>
      <c r="F104" s="126">
        <f t="shared" si="9"/>
        <v>0</v>
      </c>
      <c r="G104" s="120"/>
      <c r="H104" s="522">
        <f t="shared" si="6"/>
        <v>0</v>
      </c>
      <c r="I104" s="523">
        <f t="shared" si="7"/>
        <v>0</v>
      </c>
    </row>
    <row r="105" spans="1:10" s="93" customFormat="1" x14ac:dyDescent="0.25">
      <c r="A105" s="112">
        <v>1.1000000000000001</v>
      </c>
      <c r="B105" s="113" t="s">
        <v>736</v>
      </c>
      <c r="C105" s="113"/>
      <c r="D105" s="113" t="s">
        <v>541</v>
      </c>
      <c r="E105" s="123"/>
      <c r="F105" s="123">
        <f>SUM(F106:F114)</f>
        <v>5527.5867000000007</v>
      </c>
      <c r="G105" s="123">
        <f>SUM(G106:G114)</f>
        <v>0</v>
      </c>
      <c r="H105" s="522">
        <f t="shared" si="6"/>
        <v>5527.5867000000007</v>
      </c>
      <c r="I105" s="523">
        <f t="shared" si="7"/>
        <v>0.38622299358018175</v>
      </c>
      <c r="J105" s="108"/>
    </row>
    <row r="106" spans="1:10" ht="15" hidden="1" customHeight="1" x14ac:dyDescent="0.25">
      <c r="A106" s="46" t="s">
        <v>737</v>
      </c>
      <c r="B106" s="117" t="s">
        <v>738</v>
      </c>
      <c r="C106" s="124" t="str">
        <f>[1]PRESUPUESTO!E99</f>
        <v>UN</v>
      </c>
      <c r="D106" s="125">
        <v>0</v>
      </c>
      <c r="E106" s="125">
        <v>3.5</v>
      </c>
      <c r="F106" s="126">
        <f>E106*D106</f>
        <v>0</v>
      </c>
      <c r="G106" s="120"/>
      <c r="H106" s="522">
        <f t="shared" si="6"/>
        <v>0</v>
      </c>
      <c r="I106" s="523">
        <f t="shared" si="7"/>
        <v>0</v>
      </c>
    </row>
    <row r="107" spans="1:10" ht="15" hidden="1" customHeight="1" x14ac:dyDescent="0.25">
      <c r="A107" s="46" t="s">
        <v>739</v>
      </c>
      <c r="B107" s="117" t="s">
        <v>740</v>
      </c>
      <c r="C107" s="124"/>
      <c r="D107" s="125">
        <v>0</v>
      </c>
      <c r="E107" s="125">
        <v>0</v>
      </c>
      <c r="F107" s="126"/>
      <c r="G107" s="120"/>
      <c r="H107" s="522">
        <f t="shared" si="6"/>
        <v>0</v>
      </c>
      <c r="I107" s="523">
        <f t="shared" si="7"/>
        <v>0</v>
      </c>
    </row>
    <row r="108" spans="1:10" ht="15" hidden="1" customHeight="1" x14ac:dyDescent="0.25">
      <c r="A108" s="46" t="s">
        <v>741</v>
      </c>
      <c r="B108" s="117" t="s">
        <v>742</v>
      </c>
      <c r="C108" s="124" t="str">
        <f>[1]PRESUPUESTO!E101</f>
        <v>M2</v>
      </c>
      <c r="D108" s="125">
        <f>+[3]Presupuesto!$E$99</f>
        <v>594.13</v>
      </c>
      <c r="E108" s="125">
        <v>7.18</v>
      </c>
      <c r="F108" s="126">
        <f t="shared" ref="F108:F114" si="10">E108*D108</f>
        <v>4265.8534</v>
      </c>
      <c r="G108" s="120"/>
      <c r="H108" s="522">
        <f t="shared" si="6"/>
        <v>4265.8534</v>
      </c>
      <c r="I108" s="523">
        <f t="shared" si="7"/>
        <v>0.29806328869019755</v>
      </c>
    </row>
    <row r="109" spans="1:10" ht="15" hidden="1" customHeight="1" x14ac:dyDescent="0.25">
      <c r="A109" s="46" t="s">
        <v>743</v>
      </c>
      <c r="B109" s="117" t="s">
        <v>744</v>
      </c>
      <c r="C109" s="124" t="str">
        <f>[1]PRESUPUESTO!E102</f>
        <v>M2</v>
      </c>
      <c r="D109" s="125"/>
      <c r="E109" s="125">
        <v>5.23</v>
      </c>
      <c r="F109" s="126">
        <f t="shared" si="10"/>
        <v>0</v>
      </c>
      <c r="G109" s="120"/>
      <c r="H109" s="522">
        <f t="shared" si="6"/>
        <v>0</v>
      </c>
      <c r="I109" s="523">
        <f t="shared" si="7"/>
        <v>0</v>
      </c>
    </row>
    <row r="110" spans="1:10" ht="15" hidden="1" customHeight="1" x14ac:dyDescent="0.25">
      <c r="A110" s="46" t="s">
        <v>745</v>
      </c>
      <c r="B110" s="117" t="s">
        <v>746</v>
      </c>
      <c r="C110" s="124" t="str">
        <f>[1]PRESUPUESTO!E103</f>
        <v>M2</v>
      </c>
      <c r="D110" s="125">
        <v>0</v>
      </c>
      <c r="E110" s="125">
        <v>0</v>
      </c>
      <c r="F110" s="126">
        <f t="shared" si="10"/>
        <v>0</v>
      </c>
      <c r="G110" s="120"/>
      <c r="H110" s="522">
        <f t="shared" si="6"/>
        <v>0</v>
      </c>
      <c r="I110" s="523">
        <f t="shared" si="7"/>
        <v>0</v>
      </c>
    </row>
    <row r="111" spans="1:10" ht="15" hidden="1" customHeight="1" x14ac:dyDescent="0.25">
      <c r="A111" s="46" t="s">
        <v>747</v>
      </c>
      <c r="B111" s="117" t="s">
        <v>748</v>
      </c>
      <c r="C111" s="124" t="str">
        <f>[1]PRESUPUESTO!E104</f>
        <v>ML</v>
      </c>
      <c r="D111" s="125">
        <v>151.66999999999999</v>
      </c>
      <c r="E111" s="125">
        <v>4.99</v>
      </c>
      <c r="F111" s="126">
        <f t="shared" si="10"/>
        <v>756.83330000000001</v>
      </c>
      <c r="G111" s="120"/>
      <c r="H111" s="522">
        <f t="shared" si="6"/>
        <v>756.83330000000001</v>
      </c>
      <c r="I111" s="523">
        <f t="shared" si="7"/>
        <v>5.2881381809383066E-2</v>
      </c>
    </row>
    <row r="112" spans="1:10" ht="15" hidden="1" customHeight="1" x14ac:dyDescent="0.25">
      <c r="A112" s="46" t="s">
        <v>749</v>
      </c>
      <c r="B112" s="117" t="s">
        <v>750</v>
      </c>
      <c r="C112" s="124" t="str">
        <f>[1]PRESUPUESTO!E105</f>
        <v>M2</v>
      </c>
      <c r="D112" s="125"/>
      <c r="E112" s="125">
        <v>5.23</v>
      </c>
      <c r="F112" s="126">
        <f t="shared" si="10"/>
        <v>0</v>
      </c>
      <c r="G112" s="120"/>
      <c r="H112" s="522">
        <f t="shared" si="6"/>
        <v>0</v>
      </c>
      <c r="I112" s="523">
        <f t="shared" si="7"/>
        <v>0</v>
      </c>
    </row>
    <row r="113" spans="1:10" ht="15" hidden="1" customHeight="1" x14ac:dyDescent="0.25">
      <c r="A113" s="46" t="s">
        <v>751</v>
      </c>
      <c r="B113" s="117" t="s">
        <v>752</v>
      </c>
      <c r="C113" s="124" t="str">
        <f>[1]PRESUPUESTO!E106</f>
        <v>ML</v>
      </c>
      <c r="D113" s="125">
        <f>+[3]Presupuesto!$E$98*0.65</f>
        <v>165.75</v>
      </c>
      <c r="E113" s="125">
        <v>1.98</v>
      </c>
      <c r="F113" s="126">
        <f t="shared" si="10"/>
        <v>328.185</v>
      </c>
      <c r="G113" s="120"/>
      <c r="H113" s="522">
        <f t="shared" si="6"/>
        <v>328.185</v>
      </c>
      <c r="I113" s="523">
        <f t="shared" si="7"/>
        <v>2.2930910002390725E-2</v>
      </c>
    </row>
    <row r="114" spans="1:10" ht="15" hidden="1" customHeight="1" x14ac:dyDescent="0.25">
      <c r="A114" s="46" t="s">
        <v>753</v>
      </c>
      <c r="B114" s="117" t="s">
        <v>754</v>
      </c>
      <c r="C114" s="124" t="str">
        <f>[1]PRESUPUESTO!E107</f>
        <v>ML</v>
      </c>
      <c r="D114" s="125">
        <f>+[3]Presupuesto!$E$98*0.35</f>
        <v>89.25</v>
      </c>
      <c r="E114" s="125">
        <v>1.98</v>
      </c>
      <c r="F114" s="126">
        <f t="shared" si="10"/>
        <v>176.715</v>
      </c>
      <c r="G114" s="120"/>
      <c r="H114" s="522">
        <f t="shared" si="6"/>
        <v>176.715</v>
      </c>
      <c r="I114" s="523">
        <f t="shared" si="7"/>
        <v>1.2347413078210391E-2</v>
      </c>
    </row>
    <row r="115" spans="1:10" s="93" customFormat="1" ht="15" hidden="1" customHeight="1" x14ac:dyDescent="0.25">
      <c r="A115" s="112">
        <v>1.1100000000000001</v>
      </c>
      <c r="B115" s="113" t="s">
        <v>755</v>
      </c>
      <c r="C115" s="113" t="s">
        <v>541</v>
      </c>
      <c r="D115" s="113" t="s">
        <v>541</v>
      </c>
      <c r="E115" s="123"/>
      <c r="F115" s="123">
        <f>SUM(F116:F124)</f>
        <v>0</v>
      </c>
      <c r="G115" s="123">
        <f>SUM(G116:G124)</f>
        <v>0</v>
      </c>
      <c r="H115" s="522">
        <f t="shared" si="6"/>
        <v>0</v>
      </c>
      <c r="I115" s="523">
        <f t="shared" si="7"/>
        <v>0</v>
      </c>
      <c r="J115" s="108"/>
    </row>
    <row r="116" spans="1:10" ht="15" hidden="1" customHeight="1" x14ac:dyDescent="0.25">
      <c r="A116" s="46" t="s">
        <v>756</v>
      </c>
      <c r="B116" s="117" t="s">
        <v>757</v>
      </c>
      <c r="C116" s="117"/>
      <c r="D116" s="117"/>
      <c r="E116" s="153">
        <v>270</v>
      </c>
      <c r="F116" s="153"/>
      <c r="G116" s="120"/>
      <c r="H116" s="522">
        <f t="shared" si="6"/>
        <v>0</v>
      </c>
      <c r="I116" s="523">
        <f t="shared" si="7"/>
        <v>0</v>
      </c>
    </row>
    <row r="117" spans="1:10" ht="15" hidden="1" customHeight="1" x14ac:dyDescent="0.25">
      <c r="A117" s="46" t="s">
        <v>758</v>
      </c>
      <c r="B117" s="117" t="s">
        <v>759</v>
      </c>
      <c r="C117" s="124" t="str">
        <f>[1]PRESUPUESTO!E110</f>
        <v>UN</v>
      </c>
      <c r="D117" s="125">
        <v>0</v>
      </c>
      <c r="E117" s="153">
        <v>308.57</v>
      </c>
      <c r="F117" s="126">
        <f>E117*D117</f>
        <v>0</v>
      </c>
      <c r="G117" s="120"/>
      <c r="H117" s="522">
        <f t="shared" si="6"/>
        <v>0</v>
      </c>
      <c r="I117" s="523">
        <f t="shared" si="7"/>
        <v>0</v>
      </c>
    </row>
    <row r="118" spans="1:10" ht="15" hidden="1" customHeight="1" x14ac:dyDescent="0.25">
      <c r="A118" s="46" t="s">
        <v>760</v>
      </c>
      <c r="B118" s="117" t="s">
        <v>761</v>
      </c>
      <c r="C118" s="124" t="str">
        <f>[1]PRESUPUESTO!E111</f>
        <v>UN</v>
      </c>
      <c r="D118" s="125">
        <v>0</v>
      </c>
      <c r="E118" s="153">
        <v>119.57000000000001</v>
      </c>
      <c r="F118" s="126">
        <f>E118*D118</f>
        <v>0</v>
      </c>
      <c r="G118" s="120"/>
      <c r="H118" s="522">
        <f t="shared" si="6"/>
        <v>0</v>
      </c>
      <c r="I118" s="523">
        <f t="shared" si="7"/>
        <v>0</v>
      </c>
    </row>
    <row r="119" spans="1:10" ht="15" hidden="1" customHeight="1" x14ac:dyDescent="0.25">
      <c r="A119" s="46" t="s">
        <v>762</v>
      </c>
      <c r="B119" s="117" t="s">
        <v>763</v>
      </c>
      <c r="C119" s="124"/>
      <c r="D119" s="125">
        <v>0</v>
      </c>
      <c r="E119" s="153">
        <v>13.69</v>
      </c>
      <c r="F119" s="126"/>
      <c r="G119" s="120"/>
      <c r="H119" s="522">
        <f t="shared" si="6"/>
        <v>0</v>
      </c>
      <c r="I119" s="523">
        <f t="shared" si="7"/>
        <v>0</v>
      </c>
    </row>
    <row r="120" spans="1:10" ht="15" hidden="1" customHeight="1" x14ac:dyDescent="0.25">
      <c r="A120" s="46" t="s">
        <v>764</v>
      </c>
      <c r="B120" s="117" t="s">
        <v>765</v>
      </c>
      <c r="C120" s="124" t="str">
        <f>[1]PRESUPUESTO!E113</f>
        <v>UN</v>
      </c>
      <c r="D120" s="125">
        <v>0</v>
      </c>
      <c r="E120" s="153">
        <v>13.69</v>
      </c>
      <c r="F120" s="126">
        <f>E120*D120</f>
        <v>0</v>
      </c>
      <c r="G120" s="120"/>
      <c r="H120" s="522">
        <f t="shared" si="6"/>
        <v>0</v>
      </c>
      <c r="I120" s="523">
        <f t="shared" si="7"/>
        <v>0</v>
      </c>
    </row>
    <row r="121" spans="1:10" ht="15" hidden="1" customHeight="1" x14ac:dyDescent="0.25">
      <c r="A121" s="46" t="s">
        <v>766</v>
      </c>
      <c r="B121" s="117" t="s">
        <v>767</v>
      </c>
      <c r="C121" s="124" t="str">
        <f>[1]PRESUPUESTO!E114</f>
        <v>UN</v>
      </c>
      <c r="D121" s="125">
        <v>0</v>
      </c>
      <c r="E121" s="153">
        <v>16.87</v>
      </c>
      <c r="F121" s="126">
        <f>E121*D121</f>
        <v>0</v>
      </c>
      <c r="G121" s="120"/>
      <c r="H121" s="522">
        <f t="shared" si="6"/>
        <v>0</v>
      </c>
      <c r="I121" s="523">
        <f t="shared" si="7"/>
        <v>0</v>
      </c>
    </row>
    <row r="122" spans="1:10" ht="15" hidden="1" customHeight="1" x14ac:dyDescent="0.25">
      <c r="A122" s="46" t="s">
        <v>768</v>
      </c>
      <c r="B122" s="117" t="s">
        <v>769</v>
      </c>
      <c r="C122" s="124" t="str">
        <f>[1]PRESUPUESTO!E115</f>
        <v>UN</v>
      </c>
      <c r="D122" s="125">
        <v>0</v>
      </c>
      <c r="E122" s="153">
        <v>150.35</v>
      </c>
      <c r="F122" s="126">
        <f>E122*D122</f>
        <v>0</v>
      </c>
      <c r="G122" s="120"/>
      <c r="H122" s="522">
        <f t="shared" si="6"/>
        <v>0</v>
      </c>
      <c r="I122" s="523">
        <f t="shared" si="7"/>
        <v>0</v>
      </c>
    </row>
    <row r="123" spans="1:10" ht="15" hidden="1" customHeight="1" x14ac:dyDescent="0.25">
      <c r="A123" s="46" t="s">
        <v>770</v>
      </c>
      <c r="B123" s="117" t="s">
        <v>771</v>
      </c>
      <c r="C123" s="124" t="str">
        <f>[1]PRESUPUESTO!E116</f>
        <v>UN</v>
      </c>
      <c r="D123" s="125">
        <v>0</v>
      </c>
      <c r="E123" s="153">
        <v>1330.71</v>
      </c>
      <c r="F123" s="126">
        <f>E123*D123</f>
        <v>0</v>
      </c>
      <c r="G123" s="120"/>
      <c r="H123" s="522">
        <f t="shared" si="6"/>
        <v>0</v>
      </c>
      <c r="I123" s="523">
        <f t="shared" si="7"/>
        <v>0</v>
      </c>
    </row>
    <row r="124" spans="1:10" ht="15" hidden="1" customHeight="1" x14ac:dyDescent="0.25">
      <c r="A124" s="46" t="s">
        <v>772</v>
      </c>
      <c r="B124" s="117" t="s">
        <v>773</v>
      </c>
      <c r="C124" s="124" t="str">
        <f>[1]PRESUPUESTO!E117</f>
        <v>UN</v>
      </c>
      <c r="D124" s="125">
        <v>0</v>
      </c>
      <c r="E124" s="153">
        <v>1446.43</v>
      </c>
      <c r="F124" s="126">
        <f>E124*D124</f>
        <v>0</v>
      </c>
      <c r="G124" s="120"/>
      <c r="H124" s="522">
        <f t="shared" si="6"/>
        <v>0</v>
      </c>
      <c r="I124" s="523">
        <f t="shared" si="7"/>
        <v>0</v>
      </c>
    </row>
    <row r="125" spans="1:10" s="93" customFormat="1" ht="15" hidden="1" customHeight="1" x14ac:dyDescent="0.25">
      <c r="A125" s="112">
        <v>1.1200000000000001</v>
      </c>
      <c r="B125" s="113" t="s">
        <v>774</v>
      </c>
      <c r="C125" s="113" t="s">
        <v>541</v>
      </c>
      <c r="D125" s="113" t="s">
        <v>541</v>
      </c>
      <c r="E125" s="123"/>
      <c r="F125" s="123">
        <f>SUM(F126:F127)</f>
        <v>0</v>
      </c>
      <c r="G125" s="123">
        <f>SUM(G126:G127)</f>
        <v>0</v>
      </c>
      <c r="H125" s="522">
        <f t="shared" si="6"/>
        <v>0</v>
      </c>
      <c r="I125" s="523">
        <f t="shared" si="7"/>
        <v>0</v>
      </c>
      <c r="J125" s="108"/>
    </row>
    <row r="126" spans="1:10" ht="15" hidden="1" customHeight="1" x14ac:dyDescent="0.25">
      <c r="A126" s="46" t="s">
        <v>775</v>
      </c>
      <c r="B126" s="117" t="s">
        <v>776</v>
      </c>
      <c r="C126" s="124" t="str">
        <f>[1]PRESUPUESTO!E119</f>
        <v>Gl</v>
      </c>
      <c r="D126" s="125">
        <v>0</v>
      </c>
      <c r="E126" s="125">
        <v>14.46</v>
      </c>
      <c r="F126" s="126">
        <f>E126*D126</f>
        <v>0</v>
      </c>
      <c r="G126" s="120"/>
      <c r="H126" s="522">
        <f t="shared" si="6"/>
        <v>0</v>
      </c>
      <c r="I126" s="523">
        <f t="shared" si="7"/>
        <v>0</v>
      </c>
    </row>
    <row r="127" spans="1:10" ht="15" hidden="1" customHeight="1" x14ac:dyDescent="0.25">
      <c r="A127" s="46" t="s">
        <v>777</v>
      </c>
      <c r="B127" s="117" t="s">
        <v>778</v>
      </c>
      <c r="C127" s="124" t="str">
        <f>[1]PRESUPUESTO!E120</f>
        <v>UN</v>
      </c>
      <c r="D127" s="125">
        <v>0</v>
      </c>
      <c r="E127" s="125">
        <v>149.46</v>
      </c>
      <c r="F127" s="126">
        <f>E127*D127</f>
        <v>0</v>
      </c>
      <c r="G127" s="120"/>
      <c r="H127" s="522">
        <f t="shared" si="6"/>
        <v>0</v>
      </c>
      <c r="I127" s="523">
        <f t="shared" si="7"/>
        <v>0</v>
      </c>
    </row>
    <row r="128" spans="1:10" s="93" customFormat="1" x14ac:dyDescent="0.25">
      <c r="A128" s="112">
        <v>1.1299999999999999</v>
      </c>
      <c r="B128" s="113" t="s">
        <v>779</v>
      </c>
      <c r="C128" s="113"/>
      <c r="D128" s="113" t="s">
        <v>541</v>
      </c>
      <c r="E128" s="123"/>
      <c r="F128" s="123">
        <f>+F129</f>
        <v>96954.73000000001</v>
      </c>
      <c r="G128" s="154">
        <f>+G129</f>
        <v>5668.0500000000011</v>
      </c>
      <c r="H128" s="522">
        <f t="shared" si="6"/>
        <v>102622.78000000001</v>
      </c>
      <c r="I128" s="523">
        <f t="shared" si="7"/>
        <v>7.1704487785095097</v>
      </c>
      <c r="J128" s="108"/>
    </row>
    <row r="129" spans="1:10" s="93" customFormat="1" ht="15" hidden="1" customHeight="1" x14ac:dyDescent="0.25">
      <c r="A129" s="112" t="s">
        <v>780</v>
      </c>
      <c r="B129" s="113" t="s">
        <v>781</v>
      </c>
      <c r="C129" s="113" t="s">
        <v>541</v>
      </c>
      <c r="D129" s="113" t="s">
        <v>541</v>
      </c>
      <c r="E129" s="123"/>
      <c r="F129" s="123">
        <f>SUM(F130:F166)</f>
        <v>96954.73000000001</v>
      </c>
      <c r="G129" s="123">
        <f>SUM(G130:G168)</f>
        <v>5668.0500000000011</v>
      </c>
      <c r="H129" s="522">
        <f t="shared" si="6"/>
        <v>102622.78000000001</v>
      </c>
      <c r="I129" s="523">
        <f t="shared" si="7"/>
        <v>7.1704487785095097</v>
      </c>
      <c r="J129" s="108"/>
    </row>
    <row r="130" spans="1:10" ht="15" hidden="1" customHeight="1" x14ac:dyDescent="0.25">
      <c r="A130" s="127" t="s">
        <v>782</v>
      </c>
      <c r="B130" s="117" t="s">
        <v>783</v>
      </c>
      <c r="C130" s="124" t="str">
        <f>[1]PRESUPUESTO!E123</f>
        <v>UN</v>
      </c>
      <c r="D130" s="125">
        <v>326</v>
      </c>
      <c r="E130" s="125">
        <v>30.85</v>
      </c>
      <c r="F130" s="126">
        <f t="shared" ref="F130:F138" si="11">E130*D130</f>
        <v>10057.1</v>
      </c>
      <c r="G130" s="120"/>
      <c r="H130" s="522">
        <f t="shared" si="6"/>
        <v>10057.1</v>
      </c>
      <c r="I130" s="523">
        <f t="shared" si="7"/>
        <v>0.70270870083959891</v>
      </c>
    </row>
    <row r="131" spans="1:10" ht="15" hidden="1" customHeight="1" x14ac:dyDescent="0.25">
      <c r="A131" s="127" t="s">
        <v>784</v>
      </c>
      <c r="B131" s="117" t="s">
        <v>785</v>
      </c>
      <c r="C131" s="124" t="str">
        <f>[1]PRESUPUESTO!E124</f>
        <v>UN</v>
      </c>
      <c r="D131" s="125">
        <v>90</v>
      </c>
      <c r="E131" s="125">
        <v>30.85</v>
      </c>
      <c r="F131" s="126">
        <f t="shared" si="11"/>
        <v>2776.5</v>
      </c>
      <c r="G131" s="120"/>
      <c r="H131" s="522">
        <f t="shared" si="6"/>
        <v>2776.5</v>
      </c>
      <c r="I131" s="523">
        <f t="shared" si="7"/>
        <v>0.19399933458761934</v>
      </c>
    </row>
    <row r="132" spans="1:10" ht="15" hidden="1" customHeight="1" x14ac:dyDescent="0.25">
      <c r="A132" s="46" t="s">
        <v>786</v>
      </c>
      <c r="B132" s="117" t="s">
        <v>787</v>
      </c>
      <c r="C132" s="124" t="str">
        <f>[1]PRESUPUESTO!E125</f>
        <v>UN</v>
      </c>
      <c r="D132" s="125">
        <v>136</v>
      </c>
      <c r="E132" s="125">
        <v>30.85</v>
      </c>
      <c r="F132" s="126">
        <f t="shared" si="11"/>
        <v>4195.6000000000004</v>
      </c>
      <c r="G132" s="120"/>
      <c r="H132" s="522">
        <f t="shared" ref="H132:H195" si="12">+F132+G132</f>
        <v>4195.6000000000004</v>
      </c>
      <c r="I132" s="523">
        <f t="shared" ref="I132:I195" si="13">+H132*100/$H$251</f>
        <v>0.29315455004351371</v>
      </c>
    </row>
    <row r="133" spans="1:10" ht="15" hidden="1" customHeight="1" x14ac:dyDescent="0.25">
      <c r="A133" s="46" t="s">
        <v>788</v>
      </c>
      <c r="B133" s="117" t="s">
        <v>789</v>
      </c>
      <c r="C133" s="124" t="str">
        <f>[1]PRESUPUESTO!E126</f>
        <v>UN</v>
      </c>
      <c r="D133" s="125">
        <v>190</v>
      </c>
      <c r="E133" s="125">
        <v>30.85</v>
      </c>
      <c r="F133" s="126">
        <f t="shared" si="11"/>
        <v>5861.5</v>
      </c>
      <c r="G133" s="120"/>
      <c r="H133" s="522">
        <f t="shared" si="12"/>
        <v>5861.5</v>
      </c>
      <c r="I133" s="523">
        <f t="shared" si="13"/>
        <v>0.40955415079608526</v>
      </c>
    </row>
    <row r="134" spans="1:10" ht="15" hidden="1" customHeight="1" x14ac:dyDescent="0.25">
      <c r="A134" s="46" t="s">
        <v>790</v>
      </c>
      <c r="B134" s="117" t="s">
        <v>791</v>
      </c>
      <c r="C134" s="124" t="str">
        <f>[1]PRESUPUESTO!E127</f>
        <v>UN</v>
      </c>
      <c r="D134" s="125">
        <f>88+34</f>
        <v>122</v>
      </c>
      <c r="E134" s="125">
        <v>30.85</v>
      </c>
      <c r="F134" s="126">
        <f t="shared" si="11"/>
        <v>3763.7000000000003</v>
      </c>
      <c r="G134" s="120"/>
      <c r="H134" s="522">
        <f t="shared" si="12"/>
        <v>3763.7000000000003</v>
      </c>
      <c r="I134" s="523">
        <f t="shared" si="13"/>
        <v>0.26297687577432843</v>
      </c>
    </row>
    <row r="135" spans="1:10" ht="15" hidden="1" customHeight="1" x14ac:dyDescent="0.25">
      <c r="A135" s="46" t="s">
        <v>792</v>
      </c>
      <c r="B135" s="117" t="s">
        <v>793</v>
      </c>
      <c r="C135" s="124" t="str">
        <f>[1]PRESUPUESTO!E128</f>
        <v>UN</v>
      </c>
      <c r="D135" s="125">
        <v>68</v>
      </c>
      <c r="E135" s="125">
        <v>30.85</v>
      </c>
      <c r="F135" s="126">
        <f t="shared" si="11"/>
        <v>2097.8000000000002</v>
      </c>
      <c r="G135" s="120"/>
      <c r="H135" s="522">
        <f t="shared" si="12"/>
        <v>2097.8000000000002</v>
      </c>
      <c r="I135" s="523">
        <f t="shared" si="13"/>
        <v>0.14657727502175685</v>
      </c>
    </row>
    <row r="136" spans="1:10" ht="15" hidden="1" customHeight="1" x14ac:dyDescent="0.25">
      <c r="A136" s="46" t="s">
        <v>794</v>
      </c>
      <c r="B136" s="117" t="s">
        <v>795</v>
      </c>
      <c r="C136" s="124" t="str">
        <f>[1]PRESUPUESTO!E129</f>
        <v>ML</v>
      </c>
      <c r="D136" s="125">
        <v>470</v>
      </c>
      <c r="E136" s="125">
        <v>2.6</v>
      </c>
      <c r="F136" s="126">
        <f t="shared" si="11"/>
        <v>1222</v>
      </c>
      <c r="G136" s="120"/>
      <c r="H136" s="522">
        <f t="shared" si="12"/>
        <v>1222</v>
      </c>
      <c r="I136" s="523">
        <f t="shared" si="13"/>
        <v>8.5383463665071421E-2</v>
      </c>
    </row>
    <row r="137" spans="1:10" ht="15" hidden="1" customHeight="1" x14ac:dyDescent="0.25">
      <c r="A137" s="46" t="s">
        <v>796</v>
      </c>
      <c r="B137" s="117" t="s">
        <v>797</v>
      </c>
      <c r="C137" s="124" t="str">
        <f>[1]PRESUPUESTO!E130</f>
        <v>ML</v>
      </c>
      <c r="D137" s="125">
        <v>780</v>
      </c>
      <c r="E137" s="125">
        <v>1.93</v>
      </c>
      <c r="F137" s="126">
        <f t="shared" si="11"/>
        <v>1505.3999999999999</v>
      </c>
      <c r="G137" s="120"/>
      <c r="H137" s="522">
        <f t="shared" si="12"/>
        <v>1505.3999999999999</v>
      </c>
      <c r="I137" s="523">
        <f t="shared" si="13"/>
        <v>0.10518516055760926</v>
      </c>
    </row>
    <row r="138" spans="1:10" ht="15" hidden="1" customHeight="1" x14ac:dyDescent="0.25">
      <c r="A138" s="46" t="s">
        <v>798</v>
      </c>
      <c r="B138" s="117" t="s">
        <v>799</v>
      </c>
      <c r="C138" s="124" t="str">
        <f>[1]PRESUPUESTO!E131</f>
        <v>ML</v>
      </c>
      <c r="D138" s="125">
        <v>462</v>
      </c>
      <c r="E138" s="125">
        <v>2.2999999999999998</v>
      </c>
      <c r="F138" s="126">
        <f t="shared" si="11"/>
        <v>1062.5999999999999</v>
      </c>
      <c r="G138" s="120"/>
      <c r="H138" s="522">
        <f t="shared" si="12"/>
        <v>1062.5999999999999</v>
      </c>
      <c r="I138" s="523">
        <f t="shared" si="13"/>
        <v>7.4245882561787963E-2</v>
      </c>
    </row>
    <row r="139" spans="1:10" ht="15" hidden="1" customHeight="1" x14ac:dyDescent="0.25">
      <c r="A139" s="132" t="s">
        <v>800</v>
      </c>
      <c r="B139" s="133" t="s">
        <v>801</v>
      </c>
      <c r="C139" s="134" t="s">
        <v>594</v>
      </c>
      <c r="D139" s="135">
        <v>45</v>
      </c>
      <c r="E139" s="135">
        <v>12.97</v>
      </c>
      <c r="F139" s="136"/>
      <c r="G139" s="155">
        <f>+E139*D139</f>
        <v>583.65</v>
      </c>
      <c r="H139" s="522">
        <f t="shared" si="12"/>
        <v>583.65</v>
      </c>
      <c r="I139" s="523">
        <f t="shared" si="13"/>
        <v>4.0780735325792912E-2</v>
      </c>
    </row>
    <row r="140" spans="1:10" ht="15" hidden="1" customHeight="1" x14ac:dyDescent="0.25">
      <c r="A140" s="127" t="s">
        <v>802</v>
      </c>
      <c r="B140" s="117" t="s">
        <v>803</v>
      </c>
      <c r="C140" s="124" t="str">
        <f>[1]PRESUPUESTO!E132</f>
        <v>UN</v>
      </c>
      <c r="D140" s="125">
        <v>95</v>
      </c>
      <c r="E140" s="125">
        <v>30.85</v>
      </c>
      <c r="F140" s="126">
        <f t="shared" ref="F140:F146" si="14">E140*D140</f>
        <v>2930.75</v>
      </c>
      <c r="G140" s="120"/>
      <c r="H140" s="522">
        <f t="shared" si="12"/>
        <v>2930.75</v>
      </c>
      <c r="I140" s="523">
        <f t="shared" si="13"/>
        <v>0.20477707539804263</v>
      </c>
    </row>
    <row r="141" spans="1:10" ht="15" hidden="1" customHeight="1" x14ac:dyDescent="0.25">
      <c r="A141" s="127" t="s">
        <v>804</v>
      </c>
      <c r="B141" s="117" t="s">
        <v>805</v>
      </c>
      <c r="C141" s="124" t="str">
        <f>[1]PRESUPUESTO!E133</f>
        <v>UN</v>
      </c>
      <c r="D141" s="125">
        <v>90</v>
      </c>
      <c r="E141" s="125">
        <v>30.85</v>
      </c>
      <c r="F141" s="126">
        <f t="shared" si="14"/>
        <v>2776.5</v>
      </c>
      <c r="G141" s="120"/>
      <c r="H141" s="522">
        <f t="shared" si="12"/>
        <v>2776.5</v>
      </c>
      <c r="I141" s="523">
        <f t="shared" si="13"/>
        <v>0.19399933458761934</v>
      </c>
    </row>
    <row r="142" spans="1:10" ht="15" hidden="1" customHeight="1" x14ac:dyDescent="0.25">
      <c r="A142" s="127" t="s">
        <v>806</v>
      </c>
      <c r="B142" s="117" t="s">
        <v>807</v>
      </c>
      <c r="C142" s="124" t="str">
        <f>[1]PRESUPUESTO!E134</f>
        <v>UN</v>
      </c>
      <c r="D142" s="125">
        <v>34</v>
      </c>
      <c r="E142" s="125">
        <v>30.85</v>
      </c>
      <c r="F142" s="126">
        <f t="shared" si="14"/>
        <v>1048.9000000000001</v>
      </c>
      <c r="G142" s="120"/>
      <c r="H142" s="522">
        <f t="shared" si="12"/>
        <v>1048.9000000000001</v>
      </c>
      <c r="I142" s="523">
        <f t="shared" si="13"/>
        <v>7.3288637510878427E-2</v>
      </c>
    </row>
    <row r="143" spans="1:10" ht="15" hidden="1" customHeight="1" x14ac:dyDescent="0.25">
      <c r="A143" s="127" t="s">
        <v>808</v>
      </c>
      <c r="B143" s="117" t="s">
        <v>809</v>
      </c>
      <c r="C143" s="124" t="str">
        <f>[1]PRESUPUESTO!E135</f>
        <v>UN</v>
      </c>
      <c r="D143" s="125">
        <v>56</v>
      </c>
      <c r="E143" s="125">
        <v>30.85</v>
      </c>
      <c r="F143" s="126">
        <f t="shared" si="14"/>
        <v>1727.6000000000001</v>
      </c>
      <c r="G143" s="120"/>
      <c r="H143" s="522">
        <f t="shared" si="12"/>
        <v>1727.6000000000001</v>
      </c>
      <c r="I143" s="523">
        <f t="shared" si="13"/>
        <v>0.12071069707674091</v>
      </c>
    </row>
    <row r="144" spans="1:10" ht="15" hidden="1" customHeight="1" x14ac:dyDescent="0.25">
      <c r="A144" s="127" t="s">
        <v>810</v>
      </c>
      <c r="B144" s="117" t="s">
        <v>811</v>
      </c>
      <c r="C144" s="124" t="str">
        <f>[1]PRESUPUESTO!E136</f>
        <v>UN</v>
      </c>
      <c r="D144" s="125">
        <v>56</v>
      </c>
      <c r="E144" s="125">
        <v>30.85</v>
      </c>
      <c r="F144" s="126">
        <f t="shared" si="14"/>
        <v>1727.6000000000001</v>
      </c>
      <c r="G144" s="120"/>
      <c r="H144" s="522">
        <f t="shared" si="12"/>
        <v>1727.6000000000001</v>
      </c>
      <c r="I144" s="523">
        <f t="shared" si="13"/>
        <v>0.12071069707674091</v>
      </c>
    </row>
    <row r="145" spans="1:9" ht="15" hidden="1" customHeight="1" x14ac:dyDescent="0.25">
      <c r="A145" s="127" t="s">
        <v>812</v>
      </c>
      <c r="B145" s="117" t="s">
        <v>813</v>
      </c>
      <c r="C145" s="124" t="str">
        <f>[1]PRESUPUESTO!E137</f>
        <v>UN</v>
      </c>
      <c r="D145" s="125">
        <v>163</v>
      </c>
      <c r="E145" s="125">
        <v>30.85</v>
      </c>
      <c r="F145" s="126">
        <f t="shared" si="14"/>
        <v>5028.55</v>
      </c>
      <c r="G145" s="120"/>
      <c r="H145" s="522">
        <f t="shared" si="12"/>
        <v>5028.55</v>
      </c>
      <c r="I145" s="523">
        <f t="shared" si="13"/>
        <v>0.35135435041979945</v>
      </c>
    </row>
    <row r="146" spans="1:9" ht="15" hidden="1" customHeight="1" x14ac:dyDescent="0.25">
      <c r="A146" s="127" t="s">
        <v>814</v>
      </c>
      <c r="B146" s="117" t="s">
        <v>815</v>
      </c>
      <c r="C146" s="124" t="str">
        <f>[1]PRESUPUESTO!E138</f>
        <v>UN</v>
      </c>
      <c r="D146" s="125">
        <f>+D141</f>
        <v>90</v>
      </c>
      <c r="E146" s="125">
        <v>30.85</v>
      </c>
      <c r="F146" s="126">
        <f t="shared" si="14"/>
        <v>2776.5</v>
      </c>
      <c r="G146" s="120"/>
      <c r="H146" s="522">
        <f t="shared" si="12"/>
        <v>2776.5</v>
      </c>
      <c r="I146" s="523">
        <f t="shared" si="13"/>
        <v>0.19399933458761934</v>
      </c>
    </row>
    <row r="147" spans="1:9" ht="15" hidden="1" customHeight="1" x14ac:dyDescent="0.25">
      <c r="A147" s="132" t="s">
        <v>816</v>
      </c>
      <c r="B147" s="133" t="s">
        <v>817</v>
      </c>
      <c r="C147" s="134" t="s">
        <v>818</v>
      </c>
      <c r="D147" s="135">
        <v>63</v>
      </c>
      <c r="E147" s="135">
        <v>30.85</v>
      </c>
      <c r="F147" s="136"/>
      <c r="G147" s="155">
        <f>+E147*D147</f>
        <v>1943.5500000000002</v>
      </c>
      <c r="H147" s="522">
        <f t="shared" si="12"/>
        <v>1943.5500000000002</v>
      </c>
      <c r="I147" s="523">
        <f t="shared" si="13"/>
        <v>0.13579953421133356</v>
      </c>
    </row>
    <row r="148" spans="1:9" ht="15" hidden="1" customHeight="1" x14ac:dyDescent="0.25">
      <c r="A148" s="132" t="s">
        <v>819</v>
      </c>
      <c r="B148" s="133" t="s">
        <v>820</v>
      </c>
      <c r="C148" s="134" t="s">
        <v>818</v>
      </c>
      <c r="D148" s="135">
        <v>34</v>
      </c>
      <c r="E148" s="135">
        <v>30.85</v>
      </c>
      <c r="F148" s="136"/>
      <c r="G148" s="155">
        <f>+E148*D148</f>
        <v>1048.9000000000001</v>
      </c>
      <c r="H148" s="522">
        <f t="shared" si="12"/>
        <v>1048.9000000000001</v>
      </c>
      <c r="I148" s="523">
        <f t="shared" si="13"/>
        <v>7.3288637510878427E-2</v>
      </c>
    </row>
    <row r="149" spans="1:9" ht="15" hidden="1" customHeight="1" x14ac:dyDescent="0.25">
      <c r="A149" s="127" t="s">
        <v>821</v>
      </c>
      <c r="B149" s="26" t="s">
        <v>822</v>
      </c>
      <c r="C149" s="47"/>
      <c r="D149" s="118"/>
      <c r="E149" s="118">
        <v>0</v>
      </c>
      <c r="F149" s="119">
        <f>E149*D149</f>
        <v>0</v>
      </c>
      <c r="G149" s="120"/>
      <c r="H149" s="522">
        <f t="shared" si="12"/>
        <v>0</v>
      </c>
      <c r="I149" s="523">
        <f t="shared" si="13"/>
        <v>0</v>
      </c>
    </row>
    <row r="150" spans="1:9" ht="15" hidden="1" customHeight="1" x14ac:dyDescent="0.25">
      <c r="A150" s="127" t="s">
        <v>823</v>
      </c>
      <c r="B150" s="117" t="s">
        <v>824</v>
      </c>
      <c r="C150" s="124" t="str">
        <f>[1]PRESUPUESTO!E140</f>
        <v>ML</v>
      </c>
      <c r="D150" s="125">
        <v>256</v>
      </c>
      <c r="E150" s="125">
        <v>27.96</v>
      </c>
      <c r="F150" s="126">
        <f>E150*D150</f>
        <v>7157.76</v>
      </c>
      <c r="G150" s="120"/>
      <c r="H150" s="522">
        <f t="shared" si="12"/>
        <v>7157.76</v>
      </c>
      <c r="I150" s="523">
        <f t="shared" si="13"/>
        <v>0.5001263018684956</v>
      </c>
    </row>
    <row r="151" spans="1:9" ht="15" hidden="1" customHeight="1" x14ac:dyDescent="0.25">
      <c r="A151" s="46" t="s">
        <v>825</v>
      </c>
      <c r="B151" s="117" t="s">
        <v>826</v>
      </c>
      <c r="C151" s="124" t="str">
        <f>[1]PRESUPUESTO!E141</f>
        <v>ML</v>
      </c>
      <c r="D151" s="118">
        <f>15*30</f>
        <v>450</v>
      </c>
      <c r="E151" s="125">
        <v>4.82</v>
      </c>
      <c r="F151" s="126">
        <f>E151*D151</f>
        <v>2169</v>
      </c>
      <c r="G151" s="120"/>
      <c r="H151" s="522">
        <f t="shared" si="12"/>
        <v>2169</v>
      </c>
      <c r="I151" s="523">
        <f t="shared" si="13"/>
        <v>0.15155215441042547</v>
      </c>
    </row>
    <row r="152" spans="1:9" ht="15" hidden="1" customHeight="1" x14ac:dyDescent="0.25">
      <c r="A152" s="46" t="s">
        <v>827</v>
      </c>
      <c r="B152" s="117" t="s">
        <v>828</v>
      </c>
      <c r="C152" s="124" t="str">
        <f>[1]PRESUPUESTO!E142</f>
        <v>ML</v>
      </c>
      <c r="D152" s="118">
        <f>15*30</f>
        <v>450</v>
      </c>
      <c r="E152" s="125">
        <v>4.82</v>
      </c>
      <c r="F152" s="126">
        <f>E152*D152</f>
        <v>2169</v>
      </c>
      <c r="G152" s="120"/>
      <c r="H152" s="522">
        <f t="shared" si="12"/>
        <v>2169</v>
      </c>
      <c r="I152" s="523">
        <f t="shared" si="13"/>
        <v>0.15155215441042547</v>
      </c>
    </row>
    <row r="153" spans="1:9" ht="15" hidden="1" customHeight="1" x14ac:dyDescent="0.25">
      <c r="A153" s="46" t="s">
        <v>829</v>
      </c>
      <c r="B153" s="117" t="s">
        <v>830</v>
      </c>
      <c r="C153" s="124" t="str">
        <f>[1]PRESUPUESTO!E143</f>
        <v>ML</v>
      </c>
      <c r="D153" s="125">
        <f>450+(15*2.5)</f>
        <v>487.5</v>
      </c>
      <c r="E153" s="125">
        <v>4.82</v>
      </c>
      <c r="F153" s="126">
        <f>E153*D153</f>
        <v>2349.75</v>
      </c>
      <c r="G153" s="120"/>
      <c r="H153" s="522">
        <f t="shared" si="12"/>
        <v>2349.75</v>
      </c>
      <c r="I153" s="523">
        <f t="shared" si="13"/>
        <v>0.16418150061129427</v>
      </c>
    </row>
    <row r="154" spans="1:9" ht="15" hidden="1" customHeight="1" x14ac:dyDescent="0.25">
      <c r="A154" s="132" t="s">
        <v>831</v>
      </c>
      <c r="B154" s="133" t="s">
        <v>832</v>
      </c>
      <c r="C154" s="134" t="s">
        <v>833</v>
      </c>
      <c r="D154" s="135">
        <f>15*11</f>
        <v>165</v>
      </c>
      <c r="E154" s="135">
        <v>4.82</v>
      </c>
      <c r="F154" s="136"/>
      <c r="G154" s="155">
        <f>+E154*D154</f>
        <v>795.30000000000007</v>
      </c>
      <c r="H154" s="522">
        <f t="shared" si="12"/>
        <v>795.30000000000007</v>
      </c>
      <c r="I154" s="523">
        <f t="shared" si="13"/>
        <v>5.5569123283822672E-2</v>
      </c>
    </row>
    <row r="155" spans="1:9" ht="15" hidden="1" customHeight="1" x14ac:dyDescent="0.25">
      <c r="A155" s="132" t="s">
        <v>834</v>
      </c>
      <c r="B155" s="133" t="s">
        <v>835</v>
      </c>
      <c r="C155" s="134" t="s">
        <v>833</v>
      </c>
      <c r="D155" s="135">
        <f>+D154</f>
        <v>165</v>
      </c>
      <c r="E155" s="135">
        <v>4.82</v>
      </c>
      <c r="F155" s="136"/>
      <c r="G155" s="155">
        <f>+E155*D155</f>
        <v>795.30000000000007</v>
      </c>
      <c r="H155" s="522">
        <f t="shared" si="12"/>
        <v>795.30000000000007</v>
      </c>
      <c r="I155" s="523">
        <f t="shared" si="13"/>
        <v>5.5569123283822672E-2</v>
      </c>
    </row>
    <row r="156" spans="1:9" ht="15" hidden="1" customHeight="1" x14ac:dyDescent="0.25">
      <c r="A156" s="46" t="s">
        <v>836</v>
      </c>
      <c r="B156" s="117" t="s">
        <v>837</v>
      </c>
      <c r="C156" s="124" t="str">
        <f>[1]PRESUPUESTO!E144</f>
        <v>ML</v>
      </c>
      <c r="D156" s="125">
        <v>450</v>
      </c>
      <c r="E156" s="125">
        <v>2.8899999999999997</v>
      </c>
      <c r="F156" s="126">
        <f>E156*D156</f>
        <v>1300.4999999999998</v>
      </c>
      <c r="G156" s="120"/>
      <c r="H156" s="522">
        <f t="shared" si="12"/>
        <v>1300.4999999999998</v>
      </c>
      <c r="I156" s="523">
        <f t="shared" si="13"/>
        <v>9.0868407934881643E-2</v>
      </c>
    </row>
    <row r="157" spans="1:9" ht="15" hidden="1" customHeight="1" x14ac:dyDescent="0.25">
      <c r="A157" s="46" t="s">
        <v>838</v>
      </c>
      <c r="B157" s="117" t="s">
        <v>748</v>
      </c>
      <c r="C157" s="124" t="str">
        <f>[1]PRESUPUESTO!E145</f>
        <v>UN</v>
      </c>
      <c r="D157" s="125">
        <v>32</v>
      </c>
      <c r="E157" s="125">
        <v>15.420000000000002</v>
      </c>
      <c r="F157" s="126">
        <f>E157*D157</f>
        <v>493.44000000000005</v>
      </c>
      <c r="G157" s="120"/>
      <c r="H157" s="522">
        <f t="shared" si="12"/>
        <v>493.44000000000005</v>
      </c>
      <c r="I157" s="523">
        <f t="shared" si="13"/>
        <v>3.4477591089110353E-2</v>
      </c>
    </row>
    <row r="158" spans="1:9" ht="15" hidden="1" customHeight="1" x14ac:dyDescent="0.25">
      <c r="A158" s="46" t="s">
        <v>839</v>
      </c>
      <c r="B158" s="117" t="s">
        <v>840</v>
      </c>
      <c r="C158" s="124" t="str">
        <f>[1]PRESUPUESTO!E146</f>
        <v>UN</v>
      </c>
      <c r="D158" s="125">
        <v>12</v>
      </c>
      <c r="E158" s="125">
        <v>7.71</v>
      </c>
      <c r="F158" s="126">
        <f>E158*D158</f>
        <v>92.52</v>
      </c>
      <c r="G158" s="120"/>
      <c r="H158" s="522">
        <f t="shared" si="12"/>
        <v>92.52</v>
      </c>
      <c r="I158" s="523">
        <f t="shared" si="13"/>
        <v>6.4645483292081899E-3</v>
      </c>
    </row>
    <row r="159" spans="1:9" ht="15" hidden="1" customHeight="1" x14ac:dyDescent="0.25">
      <c r="A159" s="46" t="s">
        <v>841</v>
      </c>
      <c r="B159" s="117" t="s">
        <v>842</v>
      </c>
      <c r="C159" s="124">
        <f>[1]PRESUPUESTO!E147</f>
        <v>0</v>
      </c>
      <c r="D159" s="125">
        <v>0</v>
      </c>
      <c r="E159" s="125">
        <v>0</v>
      </c>
      <c r="F159" s="126">
        <f>E159*D159</f>
        <v>0</v>
      </c>
      <c r="G159" s="120"/>
      <c r="H159" s="522">
        <f t="shared" si="12"/>
        <v>0</v>
      </c>
      <c r="I159" s="523">
        <f t="shared" si="13"/>
        <v>0</v>
      </c>
    </row>
    <row r="160" spans="1:9" ht="15" hidden="1" customHeight="1" x14ac:dyDescent="0.25">
      <c r="A160" s="46" t="s">
        <v>843</v>
      </c>
      <c r="B160" s="117" t="s">
        <v>844</v>
      </c>
      <c r="C160" s="124"/>
      <c r="D160" s="125">
        <v>0</v>
      </c>
      <c r="E160" s="125">
        <v>30.85</v>
      </c>
      <c r="F160" s="126"/>
      <c r="G160" s="120"/>
      <c r="H160" s="522">
        <f t="shared" si="12"/>
        <v>0</v>
      </c>
      <c r="I160" s="523">
        <f t="shared" si="13"/>
        <v>0</v>
      </c>
    </row>
    <row r="161" spans="1:10" ht="15" hidden="1" customHeight="1" x14ac:dyDescent="0.25">
      <c r="A161" s="46" t="s">
        <v>845</v>
      </c>
      <c r="B161" s="117" t="s">
        <v>846</v>
      </c>
      <c r="C161" s="124" t="str">
        <f>[1]PRESUPUESTO!E149</f>
        <v>UN</v>
      </c>
      <c r="D161" s="125">
        <v>0</v>
      </c>
      <c r="E161" s="125">
        <v>30.85</v>
      </c>
      <c r="F161" s="126">
        <f t="shared" ref="F161:F166" si="15">E161*D161</f>
        <v>0</v>
      </c>
      <c r="G161" s="120"/>
      <c r="H161" s="522">
        <f t="shared" si="12"/>
        <v>0</v>
      </c>
      <c r="I161" s="523">
        <f t="shared" si="13"/>
        <v>0</v>
      </c>
    </row>
    <row r="162" spans="1:10" ht="15" hidden="1" customHeight="1" x14ac:dyDescent="0.25">
      <c r="A162" s="46" t="s">
        <v>847</v>
      </c>
      <c r="B162" s="117" t="s">
        <v>848</v>
      </c>
      <c r="C162" s="124" t="str">
        <f>[1]PRESUPUESTO!E150</f>
        <v>UN</v>
      </c>
      <c r="D162" s="125">
        <v>0</v>
      </c>
      <c r="E162" s="125">
        <v>119.57</v>
      </c>
      <c r="F162" s="126">
        <f t="shared" si="15"/>
        <v>0</v>
      </c>
      <c r="G162" s="120"/>
      <c r="H162" s="522">
        <f t="shared" si="12"/>
        <v>0</v>
      </c>
      <c r="I162" s="523">
        <f t="shared" si="13"/>
        <v>0</v>
      </c>
    </row>
    <row r="163" spans="1:10" ht="15" hidden="1" customHeight="1" x14ac:dyDescent="0.25">
      <c r="A163" s="46" t="s">
        <v>849</v>
      </c>
      <c r="B163" s="117" t="s">
        <v>850</v>
      </c>
      <c r="C163" s="124" t="str">
        <f>+[1]PRESUPUESTO!E151</f>
        <v>UN</v>
      </c>
      <c r="D163" s="125">
        <v>0</v>
      </c>
      <c r="E163" s="125">
        <v>30.85</v>
      </c>
      <c r="F163" s="126">
        <f t="shared" si="15"/>
        <v>0</v>
      </c>
      <c r="G163" s="120"/>
      <c r="H163" s="522">
        <f t="shared" si="12"/>
        <v>0</v>
      </c>
      <c r="I163" s="523">
        <f t="shared" si="13"/>
        <v>0</v>
      </c>
    </row>
    <row r="164" spans="1:10" ht="15" hidden="1" customHeight="1" x14ac:dyDescent="0.25">
      <c r="A164" s="46" t="s">
        <v>851</v>
      </c>
      <c r="B164" s="117" t="s">
        <v>852</v>
      </c>
      <c r="C164" s="124" t="str">
        <f>+[1]PRESUPUESTO!E152</f>
        <v>M3</v>
      </c>
      <c r="D164" s="125">
        <v>90</v>
      </c>
      <c r="E164" s="125">
        <v>308.57</v>
      </c>
      <c r="F164" s="126">
        <f t="shared" si="15"/>
        <v>27771.3</v>
      </c>
      <c r="G164" s="120"/>
      <c r="H164" s="522">
        <f t="shared" si="12"/>
        <v>27771.3</v>
      </c>
      <c r="I164" s="523">
        <f t="shared" si="13"/>
        <v>1.9404335388558087</v>
      </c>
    </row>
    <row r="165" spans="1:10" ht="15" hidden="1" customHeight="1" x14ac:dyDescent="0.25">
      <c r="A165" s="46" t="s">
        <v>853</v>
      </c>
      <c r="B165" s="117" t="s">
        <v>854</v>
      </c>
      <c r="C165" s="124" t="str">
        <f>+[1]PRESUPUESTO!E153</f>
        <v>GL</v>
      </c>
      <c r="D165" s="125">
        <v>1</v>
      </c>
      <c r="E165" s="125">
        <v>2892.86</v>
      </c>
      <c r="F165" s="126">
        <f t="shared" si="15"/>
        <v>2892.86</v>
      </c>
      <c r="G165" s="120"/>
      <c r="H165" s="522">
        <f t="shared" si="12"/>
        <v>2892.86</v>
      </c>
      <c r="I165" s="523">
        <f t="shared" si="13"/>
        <v>0.20212962904921319</v>
      </c>
    </row>
    <row r="166" spans="1:10" ht="15" hidden="1" customHeight="1" x14ac:dyDescent="0.25">
      <c r="A166" s="46" t="s">
        <v>855</v>
      </c>
      <c r="B166" s="117" t="s">
        <v>856</v>
      </c>
      <c r="C166" s="124" t="str">
        <f>+[1]PRESUPUESTO!E154</f>
        <v>UN</v>
      </c>
      <c r="D166" s="125">
        <v>0</v>
      </c>
      <c r="E166" s="125">
        <v>89.68</v>
      </c>
      <c r="F166" s="126">
        <f t="shared" si="15"/>
        <v>0</v>
      </c>
      <c r="G166" s="120"/>
      <c r="H166" s="522">
        <f t="shared" si="12"/>
        <v>0</v>
      </c>
      <c r="I166" s="523">
        <f t="shared" si="13"/>
        <v>0</v>
      </c>
    </row>
    <row r="167" spans="1:10" ht="15" hidden="1" customHeight="1" x14ac:dyDescent="0.25">
      <c r="A167" s="132" t="s">
        <v>857</v>
      </c>
      <c r="B167" s="133" t="s">
        <v>858</v>
      </c>
      <c r="C167" s="134" t="s">
        <v>818</v>
      </c>
      <c r="D167" s="135">
        <v>125</v>
      </c>
      <c r="E167" s="135">
        <v>3.25</v>
      </c>
      <c r="F167" s="136"/>
      <c r="G167" s="155">
        <f>+D167*E167</f>
        <v>406.25</v>
      </c>
      <c r="H167" s="522">
        <f t="shared" si="12"/>
        <v>406.25</v>
      </c>
      <c r="I167" s="523">
        <f t="shared" si="13"/>
        <v>2.8385459995037044E-2</v>
      </c>
    </row>
    <row r="168" spans="1:10" ht="15" hidden="1" customHeight="1" x14ac:dyDescent="0.25">
      <c r="A168" s="132" t="s">
        <v>859</v>
      </c>
      <c r="B168" s="133" t="s">
        <v>860</v>
      </c>
      <c r="C168" s="134" t="s">
        <v>818</v>
      </c>
      <c r="D168" s="135">
        <v>15</v>
      </c>
      <c r="E168" s="135">
        <v>6.34</v>
      </c>
      <c r="F168" s="136"/>
      <c r="G168" s="155">
        <f>+D168*E168</f>
        <v>95.1</v>
      </c>
      <c r="H168" s="522">
        <f t="shared" si="12"/>
        <v>95.1</v>
      </c>
      <c r="I168" s="523">
        <f t="shared" si="13"/>
        <v>6.644817835145902E-3</v>
      </c>
    </row>
    <row r="169" spans="1:10" s="93" customFormat="1" x14ac:dyDescent="0.25">
      <c r="A169" s="112">
        <v>1.1399999999999999</v>
      </c>
      <c r="B169" s="113" t="s">
        <v>861</v>
      </c>
      <c r="C169" s="113" t="s">
        <v>541</v>
      </c>
      <c r="D169" s="113" t="s">
        <v>541</v>
      </c>
      <c r="E169" s="123"/>
      <c r="F169" s="123">
        <f>SUM(F170:F174)</f>
        <v>22371.429399999997</v>
      </c>
      <c r="G169" s="123">
        <f>SUM(G170:G174)</f>
        <v>0</v>
      </c>
      <c r="H169" s="522">
        <f t="shared" si="12"/>
        <v>22371.429399999997</v>
      </c>
      <c r="I169" s="523">
        <f t="shared" si="13"/>
        <v>1.5631343120381429</v>
      </c>
      <c r="J169" s="108"/>
    </row>
    <row r="170" spans="1:10" ht="15" hidden="1" customHeight="1" x14ac:dyDescent="0.25">
      <c r="A170" s="46" t="s">
        <v>862</v>
      </c>
      <c r="B170" s="117" t="s">
        <v>863</v>
      </c>
      <c r="C170" s="124" t="str">
        <f>+[1]PRESUPUESTO!E156</f>
        <v>APTO</v>
      </c>
      <c r="D170" s="125">
        <v>0</v>
      </c>
      <c r="E170" s="125">
        <v>433.91999999999996</v>
      </c>
      <c r="F170" s="126">
        <f>+D170*E170</f>
        <v>0</v>
      </c>
      <c r="G170" s="120"/>
      <c r="H170" s="522">
        <f t="shared" si="12"/>
        <v>0</v>
      </c>
      <c r="I170" s="523">
        <f t="shared" si="13"/>
        <v>0</v>
      </c>
    </row>
    <row r="171" spans="1:10" ht="15" hidden="1" customHeight="1" x14ac:dyDescent="0.25">
      <c r="A171" s="46" t="s">
        <v>864</v>
      </c>
      <c r="B171" s="156" t="s">
        <v>865</v>
      </c>
      <c r="C171" s="124" t="str">
        <f>+[1]PRESUPUESTO!E157</f>
        <v>gl</v>
      </c>
      <c r="D171" s="125">
        <v>0.57999999999999996</v>
      </c>
      <c r="E171" s="125">
        <v>38571.43</v>
      </c>
      <c r="F171" s="126">
        <f>+D171*E171</f>
        <v>22371.429399999997</v>
      </c>
      <c r="G171" s="120"/>
      <c r="H171" s="522">
        <f t="shared" si="12"/>
        <v>22371.429399999997</v>
      </c>
      <c r="I171" s="523">
        <f t="shared" si="13"/>
        <v>1.5631343120381429</v>
      </c>
    </row>
    <row r="172" spans="1:10" ht="15" hidden="1" customHeight="1" x14ac:dyDescent="0.25">
      <c r="A172" s="46" t="s">
        <v>866</v>
      </c>
      <c r="B172" s="156" t="s">
        <v>867</v>
      </c>
      <c r="C172" s="124" t="str">
        <f>+[1]PRESUPUESTO!E158</f>
        <v>UN</v>
      </c>
      <c r="D172" s="125">
        <v>0</v>
      </c>
      <c r="E172" s="125">
        <v>497.57</v>
      </c>
      <c r="F172" s="126">
        <f>+D172*E172</f>
        <v>0</v>
      </c>
      <c r="G172" s="120"/>
      <c r="H172" s="522">
        <f t="shared" si="12"/>
        <v>0</v>
      </c>
      <c r="I172" s="523">
        <f t="shared" si="13"/>
        <v>0</v>
      </c>
    </row>
    <row r="173" spans="1:10" ht="15" hidden="1" customHeight="1" x14ac:dyDescent="0.25">
      <c r="A173" s="46" t="s">
        <v>868</v>
      </c>
      <c r="B173" s="156" t="s">
        <v>869</v>
      </c>
      <c r="C173" s="124" t="str">
        <f>+[1]PRESUPUESTO!E159</f>
        <v>UN</v>
      </c>
      <c r="D173" s="125">
        <v>0</v>
      </c>
      <c r="E173" s="125">
        <v>749.24</v>
      </c>
      <c r="F173" s="126">
        <f>+D173*E173</f>
        <v>0</v>
      </c>
      <c r="G173" s="120"/>
      <c r="H173" s="522">
        <f t="shared" si="12"/>
        <v>0</v>
      </c>
      <c r="I173" s="523">
        <f t="shared" si="13"/>
        <v>0</v>
      </c>
    </row>
    <row r="174" spans="1:10" ht="15" hidden="1" customHeight="1" x14ac:dyDescent="0.25">
      <c r="A174" s="46" t="s">
        <v>870</v>
      </c>
      <c r="B174" s="156" t="s">
        <v>871</v>
      </c>
      <c r="C174" s="124" t="str">
        <f>+[1]PRESUPUESTO!E160</f>
        <v>UN</v>
      </c>
      <c r="D174" s="125">
        <v>0</v>
      </c>
      <c r="E174" s="125">
        <v>144.64000000000001</v>
      </c>
      <c r="F174" s="126">
        <f>+D174*E174</f>
        <v>0</v>
      </c>
      <c r="G174" s="120"/>
      <c r="H174" s="522">
        <f t="shared" si="12"/>
        <v>0</v>
      </c>
      <c r="I174" s="523">
        <f t="shared" si="13"/>
        <v>0</v>
      </c>
    </row>
    <row r="175" spans="1:10" s="93" customFormat="1" ht="15" hidden="1" customHeight="1" x14ac:dyDescent="0.25">
      <c r="A175" s="112">
        <v>1.1499999999999999</v>
      </c>
      <c r="B175" s="113" t="s">
        <v>872</v>
      </c>
      <c r="C175" s="113"/>
      <c r="D175" s="113" t="s">
        <v>541</v>
      </c>
      <c r="E175" s="123"/>
      <c r="F175" s="123">
        <f>SUM(F177:F240)</f>
        <v>0</v>
      </c>
      <c r="G175" s="123">
        <f>SUM(G177:G240)</f>
        <v>0</v>
      </c>
      <c r="H175" s="522">
        <f t="shared" si="12"/>
        <v>0</v>
      </c>
      <c r="I175" s="523">
        <f t="shared" si="13"/>
        <v>0</v>
      </c>
      <c r="J175" s="108"/>
    </row>
    <row r="176" spans="1:10" s="93" customFormat="1" ht="15" hidden="1" customHeight="1" x14ac:dyDescent="0.25">
      <c r="A176" s="112" t="s">
        <v>873</v>
      </c>
      <c r="B176" s="113" t="s">
        <v>874</v>
      </c>
      <c r="C176" s="113"/>
      <c r="D176" s="113" t="s">
        <v>541</v>
      </c>
      <c r="E176" s="123"/>
      <c r="F176" s="113"/>
      <c r="G176" s="157"/>
      <c r="H176" s="522">
        <f t="shared" si="12"/>
        <v>0</v>
      </c>
      <c r="I176" s="523">
        <f t="shared" si="13"/>
        <v>0</v>
      </c>
      <c r="J176" s="108"/>
    </row>
    <row r="177" spans="1:9" ht="15" hidden="1" customHeight="1" x14ac:dyDescent="0.25">
      <c r="A177" s="46" t="s">
        <v>875</v>
      </c>
      <c r="B177" s="158" t="s">
        <v>876</v>
      </c>
      <c r="C177" s="124"/>
      <c r="D177" s="125">
        <v>0</v>
      </c>
      <c r="E177" s="125">
        <v>0</v>
      </c>
      <c r="F177" s="126">
        <f t="shared" ref="F177:F208" si="16">+D177*E177</f>
        <v>0</v>
      </c>
      <c r="G177" s="120"/>
      <c r="H177" s="522">
        <f t="shared" si="12"/>
        <v>0</v>
      </c>
      <c r="I177" s="523">
        <f t="shared" si="13"/>
        <v>0</v>
      </c>
    </row>
    <row r="178" spans="1:9" ht="15" hidden="1" customHeight="1" x14ac:dyDescent="0.25">
      <c r="A178" s="46" t="s">
        <v>877</v>
      </c>
      <c r="B178" s="156" t="s">
        <v>878</v>
      </c>
      <c r="C178" s="124" t="str">
        <f>+[1]PRESUPUESTO!E163</f>
        <v>UN</v>
      </c>
      <c r="D178" s="125">
        <v>0</v>
      </c>
      <c r="E178" s="125">
        <v>34.56</v>
      </c>
      <c r="F178" s="126">
        <f t="shared" si="16"/>
        <v>0</v>
      </c>
      <c r="G178" s="120"/>
      <c r="H178" s="522">
        <f t="shared" si="12"/>
        <v>0</v>
      </c>
      <c r="I178" s="523">
        <f t="shared" si="13"/>
        <v>0</v>
      </c>
    </row>
    <row r="179" spans="1:9" ht="15" hidden="1" customHeight="1" x14ac:dyDescent="0.25">
      <c r="A179" s="46" t="s">
        <v>879</v>
      </c>
      <c r="B179" s="117" t="s">
        <v>880</v>
      </c>
      <c r="C179" s="124" t="str">
        <f>+[1]PRESUPUESTO!E164</f>
        <v>UN</v>
      </c>
      <c r="D179" s="125">
        <v>0</v>
      </c>
      <c r="E179" s="125">
        <v>34.56</v>
      </c>
      <c r="F179" s="126">
        <f t="shared" si="16"/>
        <v>0</v>
      </c>
      <c r="G179" s="120"/>
      <c r="H179" s="522">
        <f t="shared" si="12"/>
        <v>0</v>
      </c>
      <c r="I179" s="523">
        <f t="shared" si="13"/>
        <v>0</v>
      </c>
    </row>
    <row r="180" spans="1:9" ht="15" hidden="1" customHeight="1" x14ac:dyDescent="0.25">
      <c r="A180" s="46" t="s">
        <v>881</v>
      </c>
      <c r="B180" s="156" t="s">
        <v>882</v>
      </c>
      <c r="C180" s="124" t="s">
        <v>818</v>
      </c>
      <c r="D180" s="125">
        <v>0</v>
      </c>
      <c r="E180" s="125">
        <v>34.56</v>
      </c>
      <c r="F180" s="126">
        <f t="shared" si="16"/>
        <v>0</v>
      </c>
      <c r="G180" s="120"/>
      <c r="H180" s="522">
        <f t="shared" si="12"/>
        <v>0</v>
      </c>
      <c r="I180" s="523">
        <f t="shared" si="13"/>
        <v>0</v>
      </c>
    </row>
    <row r="181" spans="1:9" ht="15" hidden="1" customHeight="1" x14ac:dyDescent="0.25">
      <c r="A181" s="46" t="s">
        <v>883</v>
      </c>
      <c r="B181" s="156" t="s">
        <v>884</v>
      </c>
      <c r="C181" s="124" t="str">
        <f>+[1]PRESUPUESTO!E167</f>
        <v>ML</v>
      </c>
      <c r="D181" s="125">
        <v>0</v>
      </c>
      <c r="E181" s="125">
        <v>0.43</v>
      </c>
      <c r="F181" s="126">
        <f t="shared" si="16"/>
        <v>0</v>
      </c>
      <c r="G181" s="120"/>
      <c r="H181" s="522">
        <f t="shared" si="12"/>
        <v>0</v>
      </c>
      <c r="I181" s="523">
        <f t="shared" si="13"/>
        <v>0</v>
      </c>
    </row>
    <row r="182" spans="1:9" ht="15" hidden="1" customHeight="1" x14ac:dyDescent="0.25">
      <c r="A182" s="46" t="s">
        <v>885</v>
      </c>
      <c r="B182" s="156" t="s">
        <v>886</v>
      </c>
      <c r="C182" s="124" t="str">
        <f>+[1]PRESUPUESTO!E168</f>
        <v>ML</v>
      </c>
      <c r="D182" s="125">
        <v>0</v>
      </c>
      <c r="E182" s="125">
        <v>0.76</v>
      </c>
      <c r="F182" s="126">
        <f t="shared" si="16"/>
        <v>0</v>
      </c>
      <c r="G182" s="120"/>
      <c r="H182" s="522">
        <f t="shared" si="12"/>
        <v>0</v>
      </c>
      <c r="I182" s="523">
        <f t="shared" si="13"/>
        <v>0</v>
      </c>
    </row>
    <row r="183" spans="1:9" ht="15" hidden="1" customHeight="1" x14ac:dyDescent="0.25">
      <c r="A183" s="46" t="s">
        <v>887</v>
      </c>
      <c r="B183" s="156" t="s">
        <v>888</v>
      </c>
      <c r="C183" s="124" t="str">
        <f>+[1]PRESUPUESTO!E169</f>
        <v>ML</v>
      </c>
      <c r="D183" s="125">
        <v>0</v>
      </c>
      <c r="E183" s="125">
        <v>0.43</v>
      </c>
      <c r="F183" s="126">
        <f t="shared" si="16"/>
        <v>0</v>
      </c>
      <c r="G183" s="120"/>
      <c r="H183" s="522">
        <f t="shared" si="12"/>
        <v>0</v>
      </c>
      <c r="I183" s="523">
        <f t="shared" si="13"/>
        <v>0</v>
      </c>
    </row>
    <row r="184" spans="1:9" ht="15" hidden="1" customHeight="1" x14ac:dyDescent="0.25">
      <c r="A184" s="46" t="s">
        <v>889</v>
      </c>
      <c r="B184" s="156" t="s">
        <v>890</v>
      </c>
      <c r="C184" s="124" t="str">
        <f>+[1]PRESUPUESTO!E170</f>
        <v>ML</v>
      </c>
      <c r="D184" s="125">
        <v>0</v>
      </c>
      <c r="E184" s="125">
        <v>0.76</v>
      </c>
      <c r="F184" s="126">
        <f t="shared" si="16"/>
        <v>0</v>
      </c>
      <c r="G184" s="120"/>
      <c r="H184" s="522">
        <f t="shared" si="12"/>
        <v>0</v>
      </c>
      <c r="I184" s="523">
        <f t="shared" si="13"/>
        <v>0</v>
      </c>
    </row>
    <row r="185" spans="1:9" ht="15" hidden="1" customHeight="1" x14ac:dyDescent="0.25">
      <c r="A185" s="46" t="s">
        <v>891</v>
      </c>
      <c r="B185" s="156" t="s">
        <v>892</v>
      </c>
      <c r="C185" s="124" t="str">
        <f>+[1]PRESUPUESTO!E171</f>
        <v>ML</v>
      </c>
      <c r="D185" s="125">
        <v>0</v>
      </c>
      <c r="E185" s="125">
        <v>1.62</v>
      </c>
      <c r="F185" s="126">
        <f t="shared" si="16"/>
        <v>0</v>
      </c>
      <c r="G185" s="120"/>
      <c r="H185" s="522">
        <f t="shared" si="12"/>
        <v>0</v>
      </c>
      <c r="I185" s="523">
        <f t="shared" si="13"/>
        <v>0</v>
      </c>
    </row>
    <row r="186" spans="1:9" ht="15" hidden="1" customHeight="1" x14ac:dyDescent="0.25">
      <c r="A186" s="46" t="s">
        <v>893</v>
      </c>
      <c r="B186" s="156" t="s">
        <v>894</v>
      </c>
      <c r="C186" s="124" t="str">
        <f>+[1]PRESUPUESTO!E172</f>
        <v>UN</v>
      </c>
      <c r="D186" s="125">
        <v>0</v>
      </c>
      <c r="E186" s="125">
        <v>0.76</v>
      </c>
      <c r="F186" s="126">
        <f t="shared" si="16"/>
        <v>0</v>
      </c>
      <c r="G186" s="120"/>
      <c r="H186" s="522">
        <f t="shared" si="12"/>
        <v>0</v>
      </c>
      <c r="I186" s="523">
        <f t="shared" si="13"/>
        <v>0</v>
      </c>
    </row>
    <row r="187" spans="1:9" ht="15" hidden="1" customHeight="1" x14ac:dyDescent="0.25">
      <c r="A187" s="46" t="s">
        <v>895</v>
      </c>
      <c r="B187" s="156" t="s">
        <v>896</v>
      </c>
      <c r="C187" s="124" t="str">
        <f>+[1]PRESUPUESTO!E173</f>
        <v>UN</v>
      </c>
      <c r="D187" s="125">
        <v>0</v>
      </c>
      <c r="E187" s="125">
        <v>7.4</v>
      </c>
      <c r="F187" s="126">
        <f t="shared" si="16"/>
        <v>0</v>
      </c>
      <c r="G187" s="120"/>
      <c r="H187" s="522">
        <f t="shared" si="12"/>
        <v>0</v>
      </c>
      <c r="I187" s="523">
        <f t="shared" si="13"/>
        <v>0</v>
      </c>
    </row>
    <row r="188" spans="1:9" ht="15" hidden="1" customHeight="1" x14ac:dyDescent="0.25">
      <c r="A188" s="46" t="s">
        <v>897</v>
      </c>
      <c r="B188" s="156" t="s">
        <v>898</v>
      </c>
      <c r="C188" s="124" t="str">
        <f>+[1]PRESUPUESTO!E174</f>
        <v>UN</v>
      </c>
      <c r="D188" s="125">
        <v>0</v>
      </c>
      <c r="E188" s="125">
        <v>12.96</v>
      </c>
      <c r="F188" s="126">
        <f t="shared" si="16"/>
        <v>0</v>
      </c>
      <c r="G188" s="120"/>
      <c r="H188" s="522">
        <f t="shared" si="12"/>
        <v>0</v>
      </c>
      <c r="I188" s="523">
        <f t="shared" si="13"/>
        <v>0</v>
      </c>
    </row>
    <row r="189" spans="1:9" ht="15" hidden="1" customHeight="1" x14ac:dyDescent="0.25">
      <c r="A189" s="46" t="s">
        <v>899</v>
      </c>
      <c r="B189" s="156" t="s">
        <v>900</v>
      </c>
      <c r="C189" s="124" t="str">
        <f>+[1]PRESUPUESTO!E175</f>
        <v>UN</v>
      </c>
      <c r="D189" s="125">
        <v>0</v>
      </c>
      <c r="E189" s="125">
        <v>4.32</v>
      </c>
      <c r="F189" s="126">
        <f t="shared" si="16"/>
        <v>0</v>
      </c>
      <c r="G189" s="120"/>
      <c r="H189" s="522">
        <f t="shared" si="12"/>
        <v>0</v>
      </c>
      <c r="I189" s="523">
        <f t="shared" si="13"/>
        <v>0</v>
      </c>
    </row>
    <row r="190" spans="1:9" ht="15" hidden="1" customHeight="1" x14ac:dyDescent="0.25">
      <c r="A190" s="46" t="s">
        <v>901</v>
      </c>
      <c r="B190" s="156" t="s">
        <v>902</v>
      </c>
      <c r="C190" s="124" t="str">
        <f>+[1]PRESUPUESTO!E176</f>
        <v>UN</v>
      </c>
      <c r="D190" s="125">
        <v>0</v>
      </c>
      <c r="E190" s="125">
        <v>2.92</v>
      </c>
      <c r="F190" s="126">
        <f t="shared" si="16"/>
        <v>0</v>
      </c>
      <c r="G190" s="120"/>
      <c r="H190" s="522">
        <f t="shared" si="12"/>
        <v>0</v>
      </c>
      <c r="I190" s="523">
        <f t="shared" si="13"/>
        <v>0</v>
      </c>
    </row>
    <row r="191" spans="1:9" ht="15" hidden="1" customHeight="1" x14ac:dyDescent="0.25">
      <c r="A191" s="46" t="s">
        <v>903</v>
      </c>
      <c r="B191" s="156" t="s">
        <v>904</v>
      </c>
      <c r="C191" s="124" t="str">
        <f>+[1]PRESUPUESTO!E177</f>
        <v>UN</v>
      </c>
      <c r="D191" s="125">
        <v>0</v>
      </c>
      <c r="E191" s="125">
        <v>5.04</v>
      </c>
      <c r="F191" s="126">
        <f t="shared" si="16"/>
        <v>0</v>
      </c>
      <c r="G191" s="120"/>
      <c r="H191" s="522">
        <f t="shared" si="12"/>
        <v>0</v>
      </c>
      <c r="I191" s="523">
        <f t="shared" si="13"/>
        <v>0</v>
      </c>
    </row>
    <row r="192" spans="1:9" ht="15" hidden="1" customHeight="1" x14ac:dyDescent="0.25">
      <c r="A192" s="46" t="s">
        <v>905</v>
      </c>
      <c r="B192" s="156" t="s">
        <v>906</v>
      </c>
      <c r="C192" s="124" t="str">
        <f>+[1]PRESUPUESTO!E178</f>
        <v>UN</v>
      </c>
      <c r="D192" s="125">
        <v>0</v>
      </c>
      <c r="E192" s="125">
        <v>2.92</v>
      </c>
      <c r="F192" s="126">
        <f t="shared" si="16"/>
        <v>0</v>
      </c>
      <c r="G192" s="120"/>
      <c r="H192" s="522">
        <f t="shared" si="12"/>
        <v>0</v>
      </c>
      <c r="I192" s="523">
        <f t="shared" si="13"/>
        <v>0</v>
      </c>
    </row>
    <row r="193" spans="1:9" ht="15" hidden="1" customHeight="1" x14ac:dyDescent="0.25">
      <c r="A193" s="46" t="s">
        <v>907</v>
      </c>
      <c r="B193" s="156" t="s">
        <v>908</v>
      </c>
      <c r="C193" s="124" t="str">
        <f>+[1]PRESUPUESTO!E179</f>
        <v>UN</v>
      </c>
      <c r="D193" s="125">
        <v>0</v>
      </c>
      <c r="E193" s="125">
        <v>4</v>
      </c>
      <c r="F193" s="126">
        <f t="shared" si="16"/>
        <v>0</v>
      </c>
      <c r="G193" s="120"/>
      <c r="H193" s="522">
        <f t="shared" si="12"/>
        <v>0</v>
      </c>
      <c r="I193" s="523">
        <f t="shared" si="13"/>
        <v>0</v>
      </c>
    </row>
    <row r="194" spans="1:9" ht="15" hidden="1" customHeight="1" x14ac:dyDescent="0.25">
      <c r="A194" s="46" t="s">
        <v>909</v>
      </c>
      <c r="B194" s="156" t="s">
        <v>910</v>
      </c>
      <c r="C194" s="124" t="str">
        <f>+[1]PRESUPUESTO!E180</f>
        <v>UN</v>
      </c>
      <c r="D194" s="125">
        <v>0</v>
      </c>
      <c r="E194" s="125">
        <v>3.06</v>
      </c>
      <c r="F194" s="126">
        <f t="shared" si="16"/>
        <v>0</v>
      </c>
      <c r="G194" s="120"/>
      <c r="H194" s="522">
        <f t="shared" si="12"/>
        <v>0</v>
      </c>
      <c r="I194" s="523">
        <f t="shared" si="13"/>
        <v>0</v>
      </c>
    </row>
    <row r="195" spans="1:9" ht="15" hidden="1" customHeight="1" x14ac:dyDescent="0.25">
      <c r="A195" s="46" t="s">
        <v>911</v>
      </c>
      <c r="B195" s="156" t="s">
        <v>912</v>
      </c>
      <c r="C195" s="124" t="str">
        <f>+[1]PRESUPUESTO!E181</f>
        <v>UN</v>
      </c>
      <c r="D195" s="125">
        <v>0</v>
      </c>
      <c r="E195" s="125">
        <v>3.32</v>
      </c>
      <c r="F195" s="126">
        <f t="shared" si="16"/>
        <v>0</v>
      </c>
      <c r="G195" s="120"/>
      <c r="H195" s="522">
        <f t="shared" si="12"/>
        <v>0</v>
      </c>
      <c r="I195" s="523">
        <f t="shared" si="13"/>
        <v>0</v>
      </c>
    </row>
    <row r="196" spans="1:9" ht="15" hidden="1" customHeight="1" x14ac:dyDescent="0.25">
      <c r="A196" s="46" t="s">
        <v>913</v>
      </c>
      <c r="B196" s="156" t="s">
        <v>914</v>
      </c>
      <c r="C196" s="124" t="str">
        <f>+[1]PRESUPUESTO!E182</f>
        <v>UN</v>
      </c>
      <c r="D196" s="125">
        <v>0</v>
      </c>
      <c r="E196" s="125">
        <v>21.6</v>
      </c>
      <c r="F196" s="126">
        <f t="shared" si="16"/>
        <v>0</v>
      </c>
      <c r="G196" s="120"/>
      <c r="H196" s="522">
        <f t="shared" ref="H196:H249" si="17">+F196+G196</f>
        <v>0</v>
      </c>
      <c r="I196" s="523">
        <f t="shared" ref="I196:I248" si="18">+H196*100/$H$251</f>
        <v>0</v>
      </c>
    </row>
    <row r="197" spans="1:9" ht="15" hidden="1" customHeight="1" x14ac:dyDescent="0.25">
      <c r="A197" s="46" t="s">
        <v>915</v>
      </c>
      <c r="B197" s="156" t="s">
        <v>916</v>
      </c>
      <c r="C197" s="124" t="str">
        <f>+[1]PRESUPUESTO!E183</f>
        <v>UN</v>
      </c>
      <c r="D197" s="125">
        <v>0</v>
      </c>
      <c r="E197" s="125">
        <v>5.4</v>
      </c>
      <c r="F197" s="126">
        <f t="shared" si="16"/>
        <v>0</v>
      </c>
      <c r="G197" s="120"/>
      <c r="H197" s="522">
        <f t="shared" si="17"/>
        <v>0</v>
      </c>
      <c r="I197" s="523">
        <f t="shared" si="18"/>
        <v>0</v>
      </c>
    </row>
    <row r="198" spans="1:9" ht="15" hidden="1" customHeight="1" x14ac:dyDescent="0.25">
      <c r="A198" s="46" t="s">
        <v>917</v>
      </c>
      <c r="B198" s="156" t="s">
        <v>918</v>
      </c>
      <c r="C198" s="124" t="str">
        <f>+[1]PRESUPUESTO!E184</f>
        <v>UN</v>
      </c>
      <c r="D198" s="125">
        <v>0</v>
      </c>
      <c r="E198" s="125">
        <v>2.92</v>
      </c>
      <c r="F198" s="126">
        <f t="shared" si="16"/>
        <v>0</v>
      </c>
      <c r="G198" s="120"/>
      <c r="H198" s="522">
        <f t="shared" si="17"/>
        <v>0</v>
      </c>
      <c r="I198" s="523">
        <f t="shared" si="18"/>
        <v>0</v>
      </c>
    </row>
    <row r="199" spans="1:9" ht="15" hidden="1" customHeight="1" x14ac:dyDescent="0.25">
      <c r="A199" s="46" t="s">
        <v>919</v>
      </c>
      <c r="B199" s="156" t="s">
        <v>920</v>
      </c>
      <c r="C199" s="124" t="str">
        <f>+[1]PRESUPUESTO!E185</f>
        <v>UN</v>
      </c>
      <c r="D199" s="125">
        <v>0</v>
      </c>
      <c r="E199" s="125">
        <v>5.01</v>
      </c>
      <c r="F199" s="126">
        <f t="shared" si="16"/>
        <v>0</v>
      </c>
      <c r="G199" s="120"/>
      <c r="H199" s="522">
        <f t="shared" si="17"/>
        <v>0</v>
      </c>
      <c r="I199" s="523">
        <f t="shared" si="18"/>
        <v>0</v>
      </c>
    </row>
    <row r="200" spans="1:9" ht="15" hidden="1" customHeight="1" x14ac:dyDescent="0.25">
      <c r="A200" s="46" t="s">
        <v>921</v>
      </c>
      <c r="B200" s="121" t="s">
        <v>922</v>
      </c>
      <c r="C200" s="124" t="str">
        <f>+[1]PRESUPUESTO!E186</f>
        <v>UN</v>
      </c>
      <c r="D200" s="125">
        <v>0</v>
      </c>
      <c r="E200" s="125">
        <v>5.08</v>
      </c>
      <c r="F200" s="126">
        <f t="shared" si="16"/>
        <v>0</v>
      </c>
      <c r="G200" s="120"/>
      <c r="H200" s="522">
        <f t="shared" si="17"/>
        <v>0</v>
      </c>
      <c r="I200" s="523">
        <f t="shared" si="18"/>
        <v>0</v>
      </c>
    </row>
    <row r="201" spans="1:9" ht="15" hidden="1" customHeight="1" x14ac:dyDescent="0.25">
      <c r="A201" s="46" t="s">
        <v>923</v>
      </c>
      <c r="B201" s="26" t="s">
        <v>924</v>
      </c>
      <c r="C201" s="124">
        <f>+[1]PRESUPUESTO!E187</f>
        <v>0</v>
      </c>
      <c r="D201" s="125">
        <v>0</v>
      </c>
      <c r="E201" s="125">
        <v>0</v>
      </c>
      <c r="F201" s="126">
        <f t="shared" si="16"/>
        <v>0</v>
      </c>
      <c r="G201" s="120"/>
      <c r="H201" s="522">
        <f t="shared" si="17"/>
        <v>0</v>
      </c>
      <c r="I201" s="523">
        <f t="shared" si="18"/>
        <v>0</v>
      </c>
    </row>
    <row r="202" spans="1:9" ht="15" hidden="1" customHeight="1" x14ac:dyDescent="0.25">
      <c r="A202" s="46" t="s">
        <v>925</v>
      </c>
      <c r="B202" s="159" t="s">
        <v>926</v>
      </c>
      <c r="C202" s="124" t="str">
        <f>+[1]PRESUPUESTO!E188</f>
        <v>ML</v>
      </c>
      <c r="D202" s="125">
        <v>0</v>
      </c>
      <c r="E202" s="125">
        <v>1.73</v>
      </c>
      <c r="F202" s="126">
        <f t="shared" si="16"/>
        <v>0</v>
      </c>
      <c r="G202" s="120"/>
      <c r="H202" s="522">
        <f t="shared" si="17"/>
        <v>0</v>
      </c>
      <c r="I202" s="523">
        <f t="shared" si="18"/>
        <v>0</v>
      </c>
    </row>
    <row r="203" spans="1:9" ht="15" hidden="1" customHeight="1" x14ac:dyDescent="0.25">
      <c r="A203" s="46" t="s">
        <v>927</v>
      </c>
      <c r="B203" s="159" t="s">
        <v>928</v>
      </c>
      <c r="C203" s="124" t="str">
        <f>+[1]PRESUPUESTO!E189</f>
        <v>ML</v>
      </c>
      <c r="D203" s="125">
        <v>0</v>
      </c>
      <c r="E203" s="125">
        <v>1.73</v>
      </c>
      <c r="F203" s="126">
        <f t="shared" si="16"/>
        <v>0</v>
      </c>
      <c r="G203" s="120"/>
      <c r="H203" s="522">
        <f t="shared" si="17"/>
        <v>0</v>
      </c>
      <c r="I203" s="523">
        <f t="shared" si="18"/>
        <v>0</v>
      </c>
    </row>
    <row r="204" spans="1:9" ht="15" hidden="1" customHeight="1" x14ac:dyDescent="0.25">
      <c r="A204" s="46" t="s">
        <v>929</v>
      </c>
      <c r="B204" s="26" t="s">
        <v>930</v>
      </c>
      <c r="C204" s="124">
        <f>+[1]PRESUPUESTO!E190</f>
        <v>0</v>
      </c>
      <c r="D204" s="125">
        <v>0</v>
      </c>
      <c r="E204" s="125">
        <v>0</v>
      </c>
      <c r="F204" s="126">
        <f t="shared" si="16"/>
        <v>0</v>
      </c>
      <c r="G204" s="120"/>
      <c r="H204" s="522">
        <f t="shared" si="17"/>
        <v>0</v>
      </c>
      <c r="I204" s="523">
        <f t="shared" si="18"/>
        <v>0</v>
      </c>
    </row>
    <row r="205" spans="1:9" ht="15" hidden="1" customHeight="1" x14ac:dyDescent="0.25">
      <c r="A205" s="46" t="s">
        <v>931</v>
      </c>
      <c r="B205" s="159" t="s">
        <v>932</v>
      </c>
      <c r="C205" s="124" t="str">
        <f>+[1]PRESUPUESTO!E191</f>
        <v>UN</v>
      </c>
      <c r="D205" s="125">
        <v>0</v>
      </c>
      <c r="E205" s="125">
        <v>201.96</v>
      </c>
      <c r="F205" s="126">
        <f t="shared" si="16"/>
        <v>0</v>
      </c>
      <c r="G205" s="120"/>
      <c r="H205" s="522">
        <f t="shared" si="17"/>
        <v>0</v>
      </c>
      <c r="I205" s="523">
        <f t="shared" si="18"/>
        <v>0</v>
      </c>
    </row>
    <row r="206" spans="1:9" ht="15" hidden="1" customHeight="1" x14ac:dyDescent="0.25">
      <c r="A206" s="46" t="s">
        <v>933</v>
      </c>
      <c r="B206" s="121" t="s">
        <v>934</v>
      </c>
      <c r="C206" s="124" t="str">
        <f>+[1]PRESUPUESTO!E192</f>
        <v>UN</v>
      </c>
      <c r="D206" s="125">
        <v>0</v>
      </c>
      <c r="E206" s="125">
        <v>38.880000000000003</v>
      </c>
      <c r="F206" s="126">
        <f t="shared" si="16"/>
        <v>0</v>
      </c>
      <c r="G206" s="120"/>
      <c r="H206" s="522">
        <f t="shared" si="17"/>
        <v>0</v>
      </c>
      <c r="I206" s="523">
        <f t="shared" si="18"/>
        <v>0</v>
      </c>
    </row>
    <row r="207" spans="1:9" ht="15" hidden="1" customHeight="1" x14ac:dyDescent="0.25">
      <c r="A207" s="46" t="s">
        <v>935</v>
      </c>
      <c r="B207" s="159" t="s">
        <v>936</v>
      </c>
      <c r="C207" s="124" t="str">
        <f>+[1]PRESUPUESTO!E193</f>
        <v>UN</v>
      </c>
      <c r="D207" s="125">
        <v>0</v>
      </c>
      <c r="E207" s="125">
        <v>12960</v>
      </c>
      <c r="F207" s="126">
        <f t="shared" si="16"/>
        <v>0</v>
      </c>
      <c r="G207" s="120"/>
      <c r="H207" s="522">
        <f t="shared" si="17"/>
        <v>0</v>
      </c>
      <c r="I207" s="523">
        <f t="shared" si="18"/>
        <v>0</v>
      </c>
    </row>
    <row r="208" spans="1:9" ht="15" hidden="1" customHeight="1" x14ac:dyDescent="0.25">
      <c r="A208" s="46" t="s">
        <v>937</v>
      </c>
      <c r="B208" s="121" t="s">
        <v>938</v>
      </c>
      <c r="C208" s="124" t="str">
        <f>+[1]PRESUPUESTO!E194</f>
        <v>UN</v>
      </c>
      <c r="D208" s="125">
        <v>0</v>
      </c>
      <c r="E208" s="125">
        <v>7560</v>
      </c>
      <c r="F208" s="126">
        <f t="shared" si="16"/>
        <v>0</v>
      </c>
      <c r="G208" s="120"/>
      <c r="H208" s="522">
        <f t="shared" si="17"/>
        <v>0</v>
      </c>
      <c r="I208" s="523">
        <f t="shared" si="18"/>
        <v>0</v>
      </c>
    </row>
    <row r="209" spans="1:9" ht="15" hidden="1" customHeight="1" x14ac:dyDescent="0.25">
      <c r="A209" s="46" t="s">
        <v>939</v>
      </c>
      <c r="B209" s="159" t="s">
        <v>940</v>
      </c>
      <c r="C209" s="124" t="str">
        <f>+[1]PRESUPUESTO!E195</f>
        <v>UN</v>
      </c>
      <c r="D209" s="125">
        <v>0</v>
      </c>
      <c r="E209" s="125">
        <v>162</v>
      </c>
      <c r="F209" s="126">
        <f t="shared" ref="F209:F226" si="19">+D209*E209</f>
        <v>0</v>
      </c>
      <c r="G209" s="120"/>
      <c r="H209" s="522">
        <f t="shared" si="17"/>
        <v>0</v>
      </c>
      <c r="I209" s="523">
        <f t="shared" si="18"/>
        <v>0</v>
      </c>
    </row>
    <row r="210" spans="1:9" ht="15" hidden="1" customHeight="1" x14ac:dyDescent="0.25">
      <c r="A210" s="46" t="s">
        <v>941</v>
      </c>
      <c r="B210" s="159" t="s">
        <v>942</v>
      </c>
      <c r="C210" s="124" t="str">
        <f>+[1]PRESUPUESTO!E196</f>
        <v>UN</v>
      </c>
      <c r="D210" s="125">
        <v>0</v>
      </c>
      <c r="E210" s="125">
        <v>10800</v>
      </c>
      <c r="F210" s="126">
        <f t="shared" si="19"/>
        <v>0</v>
      </c>
      <c r="G210" s="120"/>
      <c r="H210" s="522">
        <f t="shared" si="17"/>
        <v>0</v>
      </c>
      <c r="I210" s="523">
        <f t="shared" si="18"/>
        <v>0</v>
      </c>
    </row>
    <row r="211" spans="1:9" ht="15" hidden="1" customHeight="1" x14ac:dyDescent="0.25">
      <c r="A211" s="46" t="s">
        <v>943</v>
      </c>
      <c r="B211" s="26" t="s">
        <v>944</v>
      </c>
      <c r="C211" s="124">
        <f>+[1]PRESUPUESTO!E197</f>
        <v>0</v>
      </c>
      <c r="D211" s="125">
        <v>0</v>
      </c>
      <c r="E211" s="125">
        <v>0</v>
      </c>
      <c r="F211" s="126">
        <f t="shared" si="19"/>
        <v>0</v>
      </c>
      <c r="G211" s="120"/>
      <c r="H211" s="522">
        <f t="shared" si="17"/>
        <v>0</v>
      </c>
      <c r="I211" s="523">
        <f t="shared" si="18"/>
        <v>0</v>
      </c>
    </row>
    <row r="212" spans="1:9" ht="15" hidden="1" customHeight="1" x14ac:dyDescent="0.25">
      <c r="A212" s="46" t="s">
        <v>945</v>
      </c>
      <c r="B212" s="159" t="s">
        <v>946</v>
      </c>
      <c r="C212" s="124" t="str">
        <f>+[1]PRESUPUESTO!E198</f>
        <v>UN</v>
      </c>
      <c r="D212" s="125">
        <v>0</v>
      </c>
      <c r="E212" s="125">
        <v>216</v>
      </c>
      <c r="F212" s="126">
        <f t="shared" si="19"/>
        <v>0</v>
      </c>
      <c r="G212" s="120"/>
      <c r="H212" s="522">
        <f t="shared" si="17"/>
        <v>0</v>
      </c>
      <c r="I212" s="523">
        <f t="shared" si="18"/>
        <v>0</v>
      </c>
    </row>
    <row r="213" spans="1:9" ht="15" hidden="1" customHeight="1" x14ac:dyDescent="0.25">
      <c r="A213" s="46" t="s">
        <v>947</v>
      </c>
      <c r="B213" s="159" t="s">
        <v>948</v>
      </c>
      <c r="C213" s="124" t="str">
        <f>+[1]PRESUPUESTO!E199</f>
        <v>UN</v>
      </c>
      <c r="D213" s="125">
        <v>0</v>
      </c>
      <c r="E213" s="125">
        <v>226.8</v>
      </c>
      <c r="F213" s="126">
        <f t="shared" si="19"/>
        <v>0</v>
      </c>
      <c r="G213" s="120"/>
      <c r="H213" s="522">
        <f t="shared" si="17"/>
        <v>0</v>
      </c>
      <c r="I213" s="523">
        <f t="shared" si="18"/>
        <v>0</v>
      </c>
    </row>
    <row r="214" spans="1:9" ht="15" hidden="1" customHeight="1" x14ac:dyDescent="0.25">
      <c r="A214" s="46" t="s">
        <v>949</v>
      </c>
      <c r="B214" s="159" t="s">
        <v>950</v>
      </c>
      <c r="C214" s="124" t="str">
        <f>+[1]PRESUPUESTO!E200</f>
        <v>UN</v>
      </c>
      <c r="D214" s="125">
        <v>0</v>
      </c>
      <c r="E214" s="125">
        <v>248.4</v>
      </c>
      <c r="F214" s="126">
        <f t="shared" si="19"/>
        <v>0</v>
      </c>
      <c r="G214" s="120"/>
      <c r="H214" s="522">
        <f t="shared" si="17"/>
        <v>0</v>
      </c>
      <c r="I214" s="523">
        <f t="shared" si="18"/>
        <v>0</v>
      </c>
    </row>
    <row r="215" spans="1:9" ht="15" hidden="1" customHeight="1" x14ac:dyDescent="0.25">
      <c r="A215" s="46" t="s">
        <v>951</v>
      </c>
      <c r="B215" s="159" t="s">
        <v>952</v>
      </c>
      <c r="C215" s="124" t="str">
        <f>+[1]PRESUPUESTO!E201</f>
        <v>UN</v>
      </c>
      <c r="D215" s="125">
        <v>0</v>
      </c>
      <c r="E215" s="125">
        <v>16.2</v>
      </c>
      <c r="F215" s="126">
        <f t="shared" si="19"/>
        <v>0</v>
      </c>
      <c r="G215" s="120"/>
      <c r="H215" s="522">
        <f t="shared" si="17"/>
        <v>0</v>
      </c>
      <c r="I215" s="523">
        <f t="shared" si="18"/>
        <v>0</v>
      </c>
    </row>
    <row r="216" spans="1:9" ht="15" hidden="1" customHeight="1" x14ac:dyDescent="0.25">
      <c r="A216" s="46" t="s">
        <v>953</v>
      </c>
      <c r="B216" s="159" t="s">
        <v>954</v>
      </c>
      <c r="C216" s="124" t="str">
        <f>+[1]PRESUPUESTO!E202</f>
        <v>UN</v>
      </c>
      <c r="D216" s="125">
        <v>0</v>
      </c>
      <c r="E216" s="125">
        <v>324</v>
      </c>
      <c r="F216" s="126">
        <f t="shared" si="19"/>
        <v>0</v>
      </c>
      <c r="G216" s="120"/>
      <c r="H216" s="522">
        <f t="shared" si="17"/>
        <v>0</v>
      </c>
      <c r="I216" s="523">
        <f t="shared" si="18"/>
        <v>0</v>
      </c>
    </row>
    <row r="217" spans="1:9" ht="15" hidden="1" customHeight="1" x14ac:dyDescent="0.25">
      <c r="A217" s="46" t="s">
        <v>955</v>
      </c>
      <c r="B217" s="26" t="s">
        <v>956</v>
      </c>
      <c r="C217" s="124">
        <f>+[1]PRESUPUESTO!E203</f>
        <v>0</v>
      </c>
      <c r="D217" s="125">
        <v>0</v>
      </c>
      <c r="E217" s="125">
        <v>0</v>
      </c>
      <c r="F217" s="126">
        <f t="shared" si="19"/>
        <v>0</v>
      </c>
      <c r="G217" s="120"/>
      <c r="H217" s="522">
        <f t="shared" si="17"/>
        <v>0</v>
      </c>
      <c r="I217" s="523">
        <f t="shared" si="18"/>
        <v>0</v>
      </c>
    </row>
    <row r="218" spans="1:9" ht="15" hidden="1" customHeight="1" x14ac:dyDescent="0.25">
      <c r="A218" s="46" t="s">
        <v>957</v>
      </c>
      <c r="B218" s="159" t="s">
        <v>958</v>
      </c>
      <c r="C218" s="124" t="str">
        <f>+[1]PRESUPUESTO!E204</f>
        <v>GL</v>
      </c>
      <c r="D218" s="125">
        <v>0</v>
      </c>
      <c r="E218" s="125">
        <v>2160</v>
      </c>
      <c r="F218" s="126">
        <f t="shared" si="19"/>
        <v>0</v>
      </c>
      <c r="G218" s="120"/>
      <c r="H218" s="522">
        <f t="shared" si="17"/>
        <v>0</v>
      </c>
      <c r="I218" s="523">
        <f t="shared" si="18"/>
        <v>0</v>
      </c>
    </row>
    <row r="219" spans="1:9" ht="15" hidden="1" customHeight="1" x14ac:dyDescent="0.25">
      <c r="A219" s="46" t="s">
        <v>959</v>
      </c>
      <c r="B219" s="159" t="s">
        <v>960</v>
      </c>
      <c r="C219" s="124" t="str">
        <f>+[1]PRESUPUESTO!E205</f>
        <v>UN</v>
      </c>
      <c r="D219" s="125">
        <v>0</v>
      </c>
      <c r="E219" s="125">
        <v>102.6</v>
      </c>
      <c r="F219" s="126">
        <f t="shared" si="19"/>
        <v>0</v>
      </c>
      <c r="G219" s="120"/>
      <c r="H219" s="522">
        <f t="shared" si="17"/>
        <v>0</v>
      </c>
      <c r="I219" s="523">
        <f t="shared" si="18"/>
        <v>0</v>
      </c>
    </row>
    <row r="220" spans="1:9" ht="15" hidden="1" customHeight="1" x14ac:dyDescent="0.25">
      <c r="A220" s="46" t="s">
        <v>961</v>
      </c>
      <c r="B220" s="159" t="s">
        <v>962</v>
      </c>
      <c r="C220" s="124" t="str">
        <f>+[1]PRESUPUESTO!E206</f>
        <v>UN</v>
      </c>
      <c r="D220" s="125">
        <v>0</v>
      </c>
      <c r="E220" s="125">
        <v>162</v>
      </c>
      <c r="F220" s="126">
        <f t="shared" si="19"/>
        <v>0</v>
      </c>
      <c r="G220" s="120"/>
      <c r="H220" s="522">
        <f t="shared" si="17"/>
        <v>0</v>
      </c>
      <c r="I220" s="523">
        <f t="shared" si="18"/>
        <v>0</v>
      </c>
    </row>
    <row r="221" spans="1:9" ht="15" hidden="1" customHeight="1" x14ac:dyDescent="0.25">
      <c r="A221" s="46" t="s">
        <v>963</v>
      </c>
      <c r="B221" s="159" t="s">
        <v>964</v>
      </c>
      <c r="C221" s="124" t="str">
        <f>+[1]PRESUPUESTO!E207</f>
        <v>ML</v>
      </c>
      <c r="D221" s="125">
        <v>0</v>
      </c>
      <c r="E221" s="125">
        <v>10.8</v>
      </c>
      <c r="F221" s="126">
        <f t="shared" si="19"/>
        <v>0</v>
      </c>
      <c r="G221" s="120"/>
      <c r="H221" s="522">
        <f t="shared" si="17"/>
        <v>0</v>
      </c>
      <c r="I221" s="523">
        <f t="shared" si="18"/>
        <v>0</v>
      </c>
    </row>
    <row r="222" spans="1:9" ht="15" hidden="1" customHeight="1" x14ac:dyDescent="0.25">
      <c r="A222" s="46" t="s">
        <v>965</v>
      </c>
      <c r="B222" s="121" t="s">
        <v>966</v>
      </c>
      <c r="C222" s="124" t="str">
        <f>+[1]PRESUPUESTO!E208</f>
        <v>ML</v>
      </c>
      <c r="D222" s="125">
        <v>0</v>
      </c>
      <c r="E222" s="125">
        <v>64.8</v>
      </c>
      <c r="F222" s="126">
        <f t="shared" si="19"/>
        <v>0</v>
      </c>
      <c r="G222" s="120"/>
      <c r="H222" s="522">
        <f t="shared" si="17"/>
        <v>0</v>
      </c>
      <c r="I222" s="523">
        <f t="shared" si="18"/>
        <v>0</v>
      </c>
    </row>
    <row r="223" spans="1:9" ht="15" hidden="1" customHeight="1" x14ac:dyDescent="0.25">
      <c r="A223" s="46" t="s">
        <v>967</v>
      </c>
      <c r="B223" s="26" t="s">
        <v>968</v>
      </c>
      <c r="C223" s="124">
        <f>+[1]PRESUPUESTO!E209</f>
        <v>0</v>
      </c>
      <c r="D223" s="125">
        <v>0</v>
      </c>
      <c r="E223" s="125">
        <v>0</v>
      </c>
      <c r="F223" s="126">
        <f t="shared" si="19"/>
        <v>0</v>
      </c>
      <c r="G223" s="120"/>
      <c r="H223" s="522">
        <f t="shared" si="17"/>
        <v>0</v>
      </c>
      <c r="I223" s="523">
        <f t="shared" si="18"/>
        <v>0</v>
      </c>
    </row>
    <row r="224" spans="1:9" ht="15" hidden="1" customHeight="1" x14ac:dyDescent="0.25">
      <c r="A224" s="46" t="s">
        <v>969</v>
      </c>
      <c r="B224" s="156" t="s">
        <v>970</v>
      </c>
      <c r="C224" s="124" t="str">
        <f>+[1]PRESUPUESTO!E210</f>
        <v>ML</v>
      </c>
      <c r="D224" s="125">
        <v>0</v>
      </c>
      <c r="E224" s="125">
        <v>129.6</v>
      </c>
      <c r="F224" s="126">
        <f t="shared" si="19"/>
        <v>0</v>
      </c>
      <c r="G224" s="120"/>
      <c r="H224" s="522">
        <f t="shared" si="17"/>
        <v>0</v>
      </c>
      <c r="I224" s="523">
        <f t="shared" si="18"/>
        <v>0</v>
      </c>
    </row>
    <row r="225" spans="1:9" ht="15" hidden="1" customHeight="1" x14ac:dyDescent="0.25">
      <c r="A225" s="46" t="s">
        <v>971</v>
      </c>
      <c r="B225" s="156" t="s">
        <v>972</v>
      </c>
      <c r="C225" s="124" t="str">
        <f>+[1]PRESUPUESTO!E211</f>
        <v>ML</v>
      </c>
      <c r="D225" s="125">
        <v>0</v>
      </c>
      <c r="E225" s="125">
        <v>129.6</v>
      </c>
      <c r="F225" s="126">
        <f t="shared" si="19"/>
        <v>0</v>
      </c>
      <c r="G225" s="120"/>
      <c r="H225" s="522">
        <f t="shared" si="17"/>
        <v>0</v>
      </c>
      <c r="I225" s="523">
        <f t="shared" si="18"/>
        <v>0</v>
      </c>
    </row>
    <row r="226" spans="1:9" ht="15" hidden="1" customHeight="1" x14ac:dyDescent="0.25">
      <c r="A226" s="46" t="s">
        <v>973</v>
      </c>
      <c r="B226" s="156" t="s">
        <v>974</v>
      </c>
      <c r="C226" s="124" t="str">
        <f>+[1]PRESUPUESTO!E212</f>
        <v>ML</v>
      </c>
      <c r="D226" s="125">
        <v>0</v>
      </c>
      <c r="E226" s="125">
        <v>432</v>
      </c>
      <c r="F226" s="126">
        <f t="shared" si="19"/>
        <v>0</v>
      </c>
      <c r="G226" s="120"/>
      <c r="H226" s="522">
        <f t="shared" si="17"/>
        <v>0</v>
      </c>
      <c r="I226" s="523">
        <f t="shared" si="18"/>
        <v>0</v>
      </c>
    </row>
    <row r="227" spans="1:9" ht="15" hidden="1" customHeight="1" x14ac:dyDescent="0.25">
      <c r="A227" s="46" t="s">
        <v>975</v>
      </c>
      <c r="B227" s="26" t="s">
        <v>976</v>
      </c>
      <c r="C227" s="26" t="s">
        <v>541</v>
      </c>
      <c r="D227" s="125">
        <v>0</v>
      </c>
      <c r="E227" s="118">
        <v>0</v>
      </c>
      <c r="F227" s="160">
        <v>0</v>
      </c>
      <c r="G227" s="120"/>
      <c r="H227" s="522">
        <f t="shared" si="17"/>
        <v>0</v>
      </c>
      <c r="I227" s="523">
        <f t="shared" si="18"/>
        <v>0</v>
      </c>
    </row>
    <row r="228" spans="1:9" ht="15" hidden="1" customHeight="1" x14ac:dyDescent="0.25">
      <c r="A228" s="46" t="s">
        <v>977</v>
      </c>
      <c r="B228" s="159" t="s">
        <v>978</v>
      </c>
      <c r="C228" s="47" t="str">
        <f>+[1]PRESUPUESTO!E214</f>
        <v>Un</v>
      </c>
      <c r="D228" s="125">
        <v>0</v>
      </c>
      <c r="E228" s="118">
        <v>16.2</v>
      </c>
      <c r="F228" s="119">
        <f>+D228*E228</f>
        <v>0</v>
      </c>
      <c r="G228" s="120"/>
      <c r="H228" s="522">
        <f t="shared" si="17"/>
        <v>0</v>
      </c>
      <c r="I228" s="523">
        <f t="shared" si="18"/>
        <v>0</v>
      </c>
    </row>
    <row r="229" spans="1:9" ht="15" hidden="1" customHeight="1" x14ac:dyDescent="0.25">
      <c r="A229" s="46" t="s">
        <v>979</v>
      </c>
      <c r="B229" s="161" t="s">
        <v>980</v>
      </c>
      <c r="C229" s="161" t="s">
        <v>541</v>
      </c>
      <c r="D229" s="125">
        <v>0</v>
      </c>
      <c r="E229" s="142">
        <v>0</v>
      </c>
      <c r="F229" s="162">
        <v>0</v>
      </c>
      <c r="G229" s="120"/>
      <c r="H229" s="522">
        <f t="shared" si="17"/>
        <v>0</v>
      </c>
      <c r="I229" s="523">
        <f t="shared" si="18"/>
        <v>0</v>
      </c>
    </row>
    <row r="230" spans="1:9" ht="15" hidden="1" customHeight="1" x14ac:dyDescent="0.25">
      <c r="A230" s="46" t="s">
        <v>981</v>
      </c>
      <c r="B230" s="163" t="s">
        <v>982</v>
      </c>
      <c r="C230" s="141" t="str">
        <f>+[1]PRESUPUESTO!E216</f>
        <v>UN</v>
      </c>
      <c r="D230" s="125">
        <v>0</v>
      </c>
      <c r="E230" s="142">
        <v>54</v>
      </c>
      <c r="F230" s="140">
        <f>+D230*E230</f>
        <v>0</v>
      </c>
      <c r="G230" s="120"/>
      <c r="H230" s="522">
        <f t="shared" si="17"/>
        <v>0</v>
      </c>
      <c r="I230" s="523">
        <f t="shared" si="18"/>
        <v>0</v>
      </c>
    </row>
    <row r="231" spans="1:9" ht="15" hidden="1" customHeight="1" x14ac:dyDescent="0.25">
      <c r="A231" s="46" t="s">
        <v>983</v>
      </c>
      <c r="B231" s="163" t="s">
        <v>984</v>
      </c>
      <c r="C231" s="141" t="str">
        <f>+[1]PRESUPUESTO!E217</f>
        <v>UN</v>
      </c>
      <c r="D231" s="125">
        <v>0</v>
      </c>
      <c r="E231" s="142">
        <v>184.46</v>
      </c>
      <c r="F231" s="140">
        <f>+D231*E231</f>
        <v>0</v>
      </c>
      <c r="G231" s="120"/>
      <c r="H231" s="522">
        <f t="shared" si="17"/>
        <v>0</v>
      </c>
      <c r="I231" s="523">
        <f t="shared" si="18"/>
        <v>0</v>
      </c>
    </row>
    <row r="232" spans="1:9" ht="15" hidden="1" customHeight="1" x14ac:dyDescent="0.25">
      <c r="A232" s="46" t="s">
        <v>985</v>
      </c>
      <c r="B232" s="161" t="s">
        <v>986</v>
      </c>
      <c r="C232" s="161" t="s">
        <v>541</v>
      </c>
      <c r="D232" s="125">
        <v>0</v>
      </c>
      <c r="E232" s="142">
        <v>0</v>
      </c>
      <c r="F232" s="162">
        <v>0</v>
      </c>
      <c r="G232" s="120"/>
      <c r="H232" s="522">
        <f t="shared" si="17"/>
        <v>0</v>
      </c>
      <c r="I232" s="523">
        <f t="shared" si="18"/>
        <v>0</v>
      </c>
    </row>
    <row r="233" spans="1:9" ht="15" hidden="1" customHeight="1" x14ac:dyDescent="0.25">
      <c r="A233" s="46" t="s">
        <v>987</v>
      </c>
      <c r="B233" s="164" t="s">
        <v>986</v>
      </c>
      <c r="C233" s="141" t="str">
        <f>+[1]PRESUPUESTO!E219</f>
        <v>UN</v>
      </c>
      <c r="D233" s="125">
        <v>0</v>
      </c>
      <c r="E233" s="142">
        <v>54</v>
      </c>
      <c r="F233" s="140">
        <f t="shared" ref="F233:F239" si="20">+D233*E233</f>
        <v>0</v>
      </c>
      <c r="G233" s="120"/>
      <c r="H233" s="522">
        <f t="shared" si="17"/>
        <v>0</v>
      </c>
      <c r="I233" s="523">
        <f t="shared" si="18"/>
        <v>0</v>
      </c>
    </row>
    <row r="234" spans="1:9" ht="15" hidden="1" customHeight="1" x14ac:dyDescent="0.25">
      <c r="A234" s="46" t="s">
        <v>988</v>
      </c>
      <c r="B234" s="163" t="s">
        <v>989</v>
      </c>
      <c r="C234" s="141" t="str">
        <f>+[1]PRESUPUESTO!E220</f>
        <v>UN</v>
      </c>
      <c r="D234" s="125">
        <v>0</v>
      </c>
      <c r="E234" s="142">
        <v>184.46</v>
      </c>
      <c r="F234" s="140">
        <f t="shared" si="20"/>
        <v>0</v>
      </c>
      <c r="G234" s="120"/>
      <c r="H234" s="522">
        <f t="shared" si="17"/>
        <v>0</v>
      </c>
      <c r="I234" s="523">
        <f t="shared" si="18"/>
        <v>0</v>
      </c>
    </row>
    <row r="235" spans="1:9" ht="15" hidden="1" customHeight="1" x14ac:dyDescent="0.25">
      <c r="A235" s="46" t="s">
        <v>990</v>
      </c>
      <c r="B235" s="26" t="s">
        <v>991</v>
      </c>
      <c r="C235" s="47">
        <f>+[1]PRESUPUESTO!E221</f>
        <v>0</v>
      </c>
      <c r="D235" s="125">
        <v>0</v>
      </c>
      <c r="E235" s="118">
        <v>0</v>
      </c>
      <c r="F235" s="119">
        <f t="shared" si="20"/>
        <v>0</v>
      </c>
      <c r="G235" s="120"/>
      <c r="H235" s="522">
        <f t="shared" si="17"/>
        <v>0</v>
      </c>
      <c r="I235" s="523">
        <f t="shared" si="18"/>
        <v>0</v>
      </c>
    </row>
    <row r="236" spans="1:9" ht="15" hidden="1" customHeight="1" x14ac:dyDescent="0.25">
      <c r="A236" s="46" t="s">
        <v>992</v>
      </c>
      <c r="B236" s="159" t="s">
        <v>993</v>
      </c>
      <c r="C236" s="47" t="str">
        <f>+[1]PRESUPUESTO!E222</f>
        <v>UN</v>
      </c>
      <c r="D236" s="125">
        <v>0</v>
      </c>
      <c r="E236" s="118">
        <v>216</v>
      </c>
      <c r="F236" s="119">
        <f t="shared" si="20"/>
        <v>0</v>
      </c>
      <c r="G236" s="120"/>
      <c r="H236" s="522">
        <f t="shared" si="17"/>
        <v>0</v>
      </c>
      <c r="I236" s="523">
        <f t="shared" si="18"/>
        <v>0</v>
      </c>
    </row>
    <row r="237" spans="1:9" ht="15" hidden="1" customHeight="1" x14ac:dyDescent="0.25">
      <c r="A237" s="46" t="s">
        <v>994</v>
      </c>
      <c r="B237" s="159" t="s">
        <v>995</v>
      </c>
      <c r="C237" s="47" t="str">
        <f>+[1]PRESUPUESTO!E223</f>
        <v>UN</v>
      </c>
      <c r="D237" s="125">
        <v>0</v>
      </c>
      <c r="E237" s="118">
        <v>0</v>
      </c>
      <c r="F237" s="119">
        <f t="shared" si="20"/>
        <v>0</v>
      </c>
      <c r="G237" s="120"/>
      <c r="H237" s="522">
        <f t="shared" si="17"/>
        <v>0</v>
      </c>
      <c r="I237" s="523">
        <f t="shared" si="18"/>
        <v>0</v>
      </c>
    </row>
    <row r="238" spans="1:9" ht="15" hidden="1" customHeight="1" x14ac:dyDescent="0.25">
      <c r="A238" s="46" t="s">
        <v>996</v>
      </c>
      <c r="B238" s="121" t="s">
        <v>997</v>
      </c>
      <c r="C238" s="47" t="str">
        <f>+[1]PRESUPUESTO!E224</f>
        <v>UN</v>
      </c>
      <c r="D238" s="125">
        <v>0</v>
      </c>
      <c r="E238" s="118">
        <v>86.4</v>
      </c>
      <c r="F238" s="119">
        <f t="shared" si="20"/>
        <v>0</v>
      </c>
      <c r="G238" s="120"/>
      <c r="H238" s="522">
        <f t="shared" si="17"/>
        <v>0</v>
      </c>
      <c r="I238" s="523">
        <f t="shared" si="18"/>
        <v>0</v>
      </c>
    </row>
    <row r="239" spans="1:9" ht="15" hidden="1" customHeight="1" x14ac:dyDescent="0.25">
      <c r="A239" s="46" t="s">
        <v>998</v>
      </c>
      <c r="B239" s="121" t="s">
        <v>999</v>
      </c>
      <c r="C239" s="47" t="str">
        <f>+[1]PRESUPUESTO!E225</f>
        <v>UN</v>
      </c>
      <c r="D239" s="125">
        <v>0</v>
      </c>
      <c r="E239" s="118">
        <v>7128</v>
      </c>
      <c r="F239" s="119">
        <f t="shared" si="20"/>
        <v>0</v>
      </c>
      <c r="G239" s="120"/>
      <c r="H239" s="522">
        <f t="shared" si="17"/>
        <v>0</v>
      </c>
      <c r="I239" s="523">
        <f t="shared" si="18"/>
        <v>0</v>
      </c>
    </row>
    <row r="240" spans="1:9" ht="15" hidden="1" customHeight="1" x14ac:dyDescent="0.25">
      <c r="A240" s="46" t="s">
        <v>1000</v>
      </c>
      <c r="B240" s="26" t="s">
        <v>1001</v>
      </c>
      <c r="C240" s="47"/>
      <c r="D240" s="118"/>
      <c r="E240" s="118"/>
      <c r="F240" s="119"/>
      <c r="G240" s="120"/>
      <c r="H240" s="522">
        <f t="shared" si="17"/>
        <v>0</v>
      </c>
      <c r="I240" s="523">
        <f t="shared" si="18"/>
        <v>0</v>
      </c>
    </row>
    <row r="241" spans="1:10" s="93" customFormat="1" ht="15" hidden="1" customHeight="1" x14ac:dyDescent="0.25">
      <c r="A241" s="112">
        <v>1.1599999999999999</v>
      </c>
      <c r="B241" s="113" t="s">
        <v>1002</v>
      </c>
      <c r="C241" s="114" t="s">
        <v>541</v>
      </c>
      <c r="D241" s="115" t="s">
        <v>541</v>
      </c>
      <c r="E241" s="115">
        <v>0</v>
      </c>
      <c r="F241" s="116">
        <f>SUM(F242:F243)</f>
        <v>0</v>
      </c>
      <c r="G241" s="157"/>
      <c r="H241" s="522">
        <f t="shared" si="17"/>
        <v>0</v>
      </c>
      <c r="I241" s="523">
        <f t="shared" si="18"/>
        <v>0</v>
      </c>
      <c r="J241" s="108"/>
    </row>
    <row r="242" spans="1:10" ht="15" hidden="1" customHeight="1" x14ac:dyDescent="0.25">
      <c r="A242" s="46" t="s">
        <v>1003</v>
      </c>
      <c r="B242" s="117" t="s">
        <v>1004</v>
      </c>
      <c r="C242" s="124" t="str">
        <f>+[1]PRESUPUESTO!E227</f>
        <v>M2</v>
      </c>
      <c r="D242" s="125">
        <v>0</v>
      </c>
      <c r="E242" s="125">
        <v>2.66</v>
      </c>
      <c r="F242" s="126">
        <f>+D242*E242</f>
        <v>0</v>
      </c>
      <c r="G242" s="120"/>
      <c r="H242" s="522">
        <f t="shared" si="17"/>
        <v>0</v>
      </c>
      <c r="I242" s="523">
        <f t="shared" si="18"/>
        <v>0</v>
      </c>
    </row>
    <row r="243" spans="1:10" ht="15" hidden="1" customHeight="1" x14ac:dyDescent="0.25">
      <c r="A243" s="46" t="s">
        <v>1005</v>
      </c>
      <c r="B243" s="117" t="s">
        <v>1006</v>
      </c>
      <c r="C243" s="124" t="str">
        <f>+[1]PRESUPUESTO!E228</f>
        <v>APTO</v>
      </c>
      <c r="D243" s="125">
        <v>0</v>
      </c>
      <c r="E243" s="125">
        <v>27.96</v>
      </c>
      <c r="F243" s="126">
        <f>+D243*E243</f>
        <v>0</v>
      </c>
      <c r="G243" s="120"/>
      <c r="H243" s="522">
        <f t="shared" si="17"/>
        <v>0</v>
      </c>
      <c r="I243" s="523">
        <f t="shared" si="18"/>
        <v>0</v>
      </c>
    </row>
    <row r="244" spans="1:10" s="93" customFormat="1" x14ac:dyDescent="0.25">
      <c r="A244" s="112">
        <v>1.17</v>
      </c>
      <c r="B244" s="113" t="s">
        <v>1007</v>
      </c>
      <c r="C244" s="114" t="s">
        <v>541</v>
      </c>
      <c r="D244" s="115" t="s">
        <v>541</v>
      </c>
      <c r="E244" s="115"/>
      <c r="F244" s="116">
        <f>SUM(F245)</f>
        <v>4212.0360000000001</v>
      </c>
      <c r="G244" s="157"/>
      <c r="H244" s="522">
        <f t="shared" si="17"/>
        <v>4212.0360000000001</v>
      </c>
      <c r="I244" s="523">
        <f t="shared" si="18"/>
        <v>0.29430296461699901</v>
      </c>
      <c r="J244" s="108"/>
    </row>
    <row r="245" spans="1:10" ht="15" hidden="1" customHeight="1" x14ac:dyDescent="0.25">
      <c r="A245" s="46" t="s">
        <v>1008</v>
      </c>
      <c r="B245" s="117" t="s">
        <v>1009</v>
      </c>
      <c r="C245" s="124" t="str">
        <f>+[1]PRESUPUESTO!E230</f>
        <v>MTS 2</v>
      </c>
      <c r="D245" s="125">
        <f>+D68/5.7</f>
        <v>481.92631578947368</v>
      </c>
      <c r="E245" s="125">
        <v>8.74</v>
      </c>
      <c r="F245" s="126">
        <f>+D245*E245</f>
        <v>4212.0360000000001</v>
      </c>
      <c r="G245" s="120"/>
      <c r="H245" s="522">
        <f t="shared" si="17"/>
        <v>4212.0360000000001</v>
      </c>
      <c r="I245" s="523">
        <f t="shared" si="18"/>
        <v>0.29430296461699901</v>
      </c>
    </row>
    <row r="246" spans="1:10" s="93" customFormat="1" ht="15" hidden="1" customHeight="1" x14ac:dyDescent="0.25">
      <c r="A246" s="112">
        <v>1.18</v>
      </c>
      <c r="B246" s="113" t="s">
        <v>1010</v>
      </c>
      <c r="C246" s="114" t="s">
        <v>541</v>
      </c>
      <c r="D246" s="115" t="s">
        <v>541</v>
      </c>
      <c r="E246" s="115"/>
      <c r="F246" s="116">
        <f>SUM(F247)</f>
        <v>0</v>
      </c>
      <c r="G246" s="157"/>
      <c r="H246" s="522">
        <f t="shared" si="17"/>
        <v>0</v>
      </c>
      <c r="I246" s="523">
        <f t="shared" si="18"/>
        <v>0</v>
      </c>
      <c r="J246" s="108"/>
    </row>
    <row r="247" spans="1:10" ht="15" hidden="1" customHeight="1" x14ac:dyDescent="0.25">
      <c r="A247" s="46" t="s">
        <v>1011</v>
      </c>
      <c r="B247" s="165" t="s">
        <v>1012</v>
      </c>
      <c r="C247" s="124" t="str">
        <f>+[1]PRESUPUESTO!E232</f>
        <v>gl</v>
      </c>
      <c r="D247" s="125">
        <v>0</v>
      </c>
      <c r="E247" s="125">
        <v>22287.67</v>
      </c>
      <c r="F247" s="126">
        <f>+D247*E247</f>
        <v>0</v>
      </c>
      <c r="G247" s="120"/>
      <c r="H247" s="522">
        <f t="shared" si="17"/>
        <v>0</v>
      </c>
      <c r="I247" s="523">
        <f t="shared" si="18"/>
        <v>0</v>
      </c>
    </row>
    <row r="248" spans="1:10" s="93" customFormat="1" x14ac:dyDescent="0.25">
      <c r="A248" s="112">
        <v>1.19</v>
      </c>
      <c r="B248" s="113" t="s">
        <v>1013</v>
      </c>
      <c r="C248" s="114" t="s">
        <v>541</v>
      </c>
      <c r="D248" s="115" t="s">
        <v>541</v>
      </c>
      <c r="E248" s="115"/>
      <c r="F248" s="116">
        <f>SUM(F249)</f>
        <v>60750</v>
      </c>
      <c r="G248" s="157"/>
      <c r="H248" s="522">
        <f t="shared" si="17"/>
        <v>60750</v>
      </c>
      <c r="I248" s="523">
        <f t="shared" si="18"/>
        <v>4.2447180177193857</v>
      </c>
      <c r="J248" s="108"/>
    </row>
    <row r="249" spans="1:10" ht="15.75" hidden="1" customHeight="1" thickBot="1" x14ac:dyDescent="0.3">
      <c r="A249" s="127" t="s">
        <v>1014</v>
      </c>
      <c r="B249" s="117" t="s">
        <v>1015</v>
      </c>
      <c r="C249" s="124" t="str">
        <f>+[1]PRESUPUESTO!E234</f>
        <v>GL</v>
      </c>
      <c r="D249" s="125">
        <v>1</v>
      </c>
      <c r="E249" s="125">
        <v>60750</v>
      </c>
      <c r="F249" s="126">
        <f>+D249*E249</f>
        <v>60750</v>
      </c>
      <c r="G249" s="120"/>
      <c r="H249" s="177">
        <f t="shared" si="17"/>
        <v>60750</v>
      </c>
      <c r="I249" s="524"/>
    </row>
    <row r="250" spans="1:10" ht="24" hidden="1" customHeight="1" thickBot="1" x14ac:dyDescent="0.3">
      <c r="A250" s="166" t="s">
        <v>1016</v>
      </c>
      <c r="B250" s="166"/>
      <c r="C250" s="166"/>
      <c r="D250" s="166"/>
      <c r="E250" s="166"/>
      <c r="F250" s="167">
        <f>SUM(F3:F249)/2</f>
        <v>1372793.5599767568</v>
      </c>
      <c r="G250" s="167">
        <f>SUM(G3:G249)/2</f>
        <v>58396.915960675011</v>
      </c>
      <c r="H250" s="53"/>
      <c r="I250" s="524"/>
    </row>
    <row r="251" spans="1:10" ht="26.25" x14ac:dyDescent="0.25">
      <c r="A251" s="166" t="s">
        <v>1017</v>
      </c>
      <c r="B251" s="166"/>
      <c r="C251" s="166"/>
      <c r="D251" s="166"/>
      <c r="E251" s="166"/>
      <c r="F251" s="1261">
        <f>+F250+G250</f>
        <v>1431190.4759374319</v>
      </c>
      <c r="G251" s="1261"/>
      <c r="H251" s="178">
        <f>+F251</f>
        <v>1431190.4759374319</v>
      </c>
      <c r="I251" s="525">
        <v>100</v>
      </c>
    </row>
    <row r="252" spans="1:10" ht="27" hidden="1" thickBot="1" x14ac:dyDescent="0.3">
      <c r="A252" s="168"/>
      <c r="B252" s="105"/>
      <c r="C252" s="169"/>
      <c r="D252" s="170" t="s">
        <v>1129</v>
      </c>
      <c r="E252" s="171"/>
      <c r="F252" s="1262">
        <f>+F251*0.12</f>
        <v>171742.85711249182</v>
      </c>
      <c r="G252" s="1263"/>
      <c r="H252" s="172">
        <f>+F252</f>
        <v>171742.85711249182</v>
      </c>
    </row>
    <row r="253" spans="1:10" ht="29.25" hidden="1" thickBot="1" x14ac:dyDescent="0.5">
      <c r="A253" s="81"/>
      <c r="B253" s="82" t="s">
        <v>1130</v>
      </c>
      <c r="C253" s="83"/>
      <c r="D253" s="173" t="s">
        <v>1267</v>
      </c>
      <c r="E253" s="174"/>
      <c r="F253" s="1264">
        <f>+F251+F252</f>
        <v>1602933.3330499236</v>
      </c>
      <c r="G253" s="1265"/>
      <c r="H253" s="175">
        <f>+H251+H252</f>
        <v>1602933.3330499236</v>
      </c>
    </row>
    <row r="254" spans="1:10" hidden="1" x14ac:dyDescent="0.25">
      <c r="A254" s="1266" t="s">
        <v>1268</v>
      </c>
      <c r="B254" s="1266"/>
      <c r="C254" s="1266"/>
      <c r="D254" s="1266"/>
      <c r="E254" s="1266"/>
      <c r="F254" s="1266"/>
      <c r="G254" s="1266"/>
    </row>
    <row r="255" spans="1:10" hidden="1" x14ac:dyDescent="0.25">
      <c r="A255"/>
      <c r="E255"/>
      <c r="F255"/>
    </row>
    <row r="256" spans="1:10" ht="14.45" hidden="1" customHeight="1" x14ac:dyDescent="0.25">
      <c r="B256" s="49" t="s">
        <v>1133</v>
      </c>
      <c r="E256" s="1258" t="s">
        <v>1134</v>
      </c>
      <c r="F256" s="1258"/>
      <c r="G256" s="1258"/>
    </row>
    <row r="257" spans="2:7" hidden="1" x14ac:dyDescent="0.25">
      <c r="B257" s="49" t="s">
        <v>1135</v>
      </c>
      <c r="E257"/>
      <c r="F257" s="49" t="s">
        <v>1136</v>
      </c>
    </row>
    <row r="258" spans="2:7" hidden="1" x14ac:dyDescent="0.25">
      <c r="E258"/>
      <c r="F258"/>
    </row>
    <row r="259" spans="2:7" hidden="1" x14ac:dyDescent="0.25">
      <c r="E259"/>
      <c r="F259"/>
    </row>
    <row r="260" spans="2:7" hidden="1" x14ac:dyDescent="0.25">
      <c r="E260"/>
      <c r="F260"/>
    </row>
    <row r="261" spans="2:7" ht="15.75" hidden="1" thickBot="1" x14ac:dyDescent="0.3">
      <c r="B261" s="84"/>
      <c r="F261" s="176"/>
      <c r="G261" s="84"/>
    </row>
    <row r="262" spans="2:7" hidden="1" x14ac:dyDescent="0.25">
      <c r="B262" s="49" t="s">
        <v>1137</v>
      </c>
      <c r="E262"/>
      <c r="F262" t="s">
        <v>1139</v>
      </c>
    </row>
    <row r="263" spans="2:7" hidden="1" x14ac:dyDescent="0.25">
      <c r="E263"/>
      <c r="F263"/>
    </row>
    <row r="264" spans="2:7" x14ac:dyDescent="0.25">
      <c r="E264"/>
    </row>
    <row r="265" spans="2:7" x14ac:dyDescent="0.25">
      <c r="E265"/>
    </row>
  </sheetData>
  <mergeCells count="7">
    <mergeCell ref="E256:G256"/>
    <mergeCell ref="A1:I1"/>
    <mergeCell ref="K59:L59"/>
    <mergeCell ref="F251:G251"/>
    <mergeCell ref="F252:G252"/>
    <mergeCell ref="F253:G253"/>
    <mergeCell ref="A254:G254"/>
  </mergeCells>
  <pageMargins left="0.70866141732283472" right="0.70866141732283472" top="0.74803149606299213" bottom="0.74803149606299213" header="0.31496062992125984" footer="0.31496062992125984"/>
  <pageSetup paperSize="9" scale="34"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HS86"/>
  <sheetViews>
    <sheetView view="pageBreakPreview" zoomScale="82" zoomScaleNormal="85" zoomScaleSheetLayoutView="82" workbookViewId="0">
      <selection activeCell="A33" sqref="A33:G57"/>
    </sheetView>
  </sheetViews>
  <sheetFormatPr baseColWidth="10" defaultRowHeight="15" x14ac:dyDescent="0.25"/>
  <cols>
    <col min="1" max="1" width="0.7109375" customWidth="1"/>
    <col min="2" max="2" width="7.28515625" style="49" customWidth="1"/>
    <col min="3" max="3" width="72.140625" bestFit="1" customWidth="1"/>
    <col min="4" max="4" width="39.28515625" hidden="1" customWidth="1"/>
    <col min="5" max="5" width="0" hidden="1" customWidth="1"/>
    <col min="6" max="6" width="15" hidden="1" customWidth="1"/>
    <col min="7" max="7" width="14.85546875" style="107" hidden="1" customWidth="1"/>
    <col min="8" max="8" width="26.85546875" style="107" customWidth="1"/>
    <col min="9" max="9" width="12.7109375" customWidth="1"/>
    <col min="10" max="10" width="11.7109375" bestFit="1" customWidth="1"/>
    <col min="11" max="11" width="11.7109375" customWidth="1"/>
  </cols>
  <sheetData>
    <row r="1" spans="1:1579" ht="19.5" thickBot="1" x14ac:dyDescent="0.35">
      <c r="A1" s="86"/>
      <c r="B1" s="1275" t="s">
        <v>1140</v>
      </c>
      <c r="C1" s="1276"/>
      <c r="D1" s="1276"/>
      <c r="E1" s="1276"/>
      <c r="F1" s="1276"/>
      <c r="G1" s="1276"/>
      <c r="H1" s="1276"/>
      <c r="I1" s="1276"/>
    </row>
    <row r="2" spans="1:1579" s="49" customFormat="1" ht="15.75" thickBot="1" x14ac:dyDescent="0.3">
      <c r="A2" s="87"/>
      <c r="B2" s="64" t="s">
        <v>534</v>
      </c>
      <c r="C2" s="1277" t="s">
        <v>535</v>
      </c>
      <c r="D2" s="1278"/>
      <c r="E2" s="65" t="s">
        <v>1020</v>
      </c>
      <c r="F2" s="66" t="s">
        <v>1021</v>
      </c>
      <c r="G2" s="88" t="s">
        <v>1141</v>
      </c>
      <c r="H2" s="67" t="s">
        <v>536</v>
      </c>
      <c r="I2" s="67" t="s">
        <v>536</v>
      </c>
    </row>
    <row r="3" spans="1:1579" s="94" customFormat="1" hidden="1" x14ac:dyDescent="0.25">
      <c r="A3" s="89"/>
      <c r="B3" s="68">
        <v>1.1499999999999999</v>
      </c>
      <c r="C3" s="70" t="s">
        <v>872</v>
      </c>
      <c r="D3" s="90"/>
      <c r="E3" s="71"/>
      <c r="F3" s="72" t="s">
        <v>541</v>
      </c>
      <c r="G3" s="91"/>
      <c r="H3" s="92"/>
      <c r="I3" s="92">
        <f>+H3*100/$H$75</f>
        <v>0</v>
      </c>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93"/>
      <c r="DZ3" s="93"/>
      <c r="EA3" s="93"/>
      <c r="EB3" s="93"/>
      <c r="EC3" s="93"/>
      <c r="ED3" s="93"/>
      <c r="EE3" s="93"/>
      <c r="EF3" s="93"/>
      <c r="EG3" s="93"/>
      <c r="EH3" s="93"/>
      <c r="EI3" s="93"/>
      <c r="EJ3" s="93"/>
      <c r="EK3" s="93"/>
      <c r="EL3" s="93"/>
      <c r="EM3" s="93"/>
      <c r="EN3" s="93"/>
      <c r="EO3" s="93"/>
      <c r="EP3" s="93"/>
      <c r="EQ3" s="93"/>
      <c r="ER3" s="93"/>
      <c r="ES3" s="93"/>
      <c r="ET3" s="93"/>
      <c r="EU3" s="93"/>
      <c r="EV3" s="93"/>
      <c r="EW3" s="93"/>
      <c r="EX3" s="93"/>
      <c r="EY3" s="93"/>
      <c r="EZ3" s="93"/>
      <c r="FA3" s="93"/>
      <c r="FB3" s="93"/>
      <c r="FC3" s="93"/>
      <c r="FD3" s="93"/>
      <c r="FE3" s="93"/>
      <c r="FF3" s="93"/>
      <c r="FG3" s="93"/>
      <c r="FH3" s="93"/>
      <c r="FI3" s="93"/>
      <c r="FJ3" s="93"/>
      <c r="FK3" s="93"/>
      <c r="FL3" s="93"/>
      <c r="FM3" s="93"/>
      <c r="FN3" s="93"/>
      <c r="FO3" s="93"/>
      <c r="FP3" s="93"/>
      <c r="FQ3" s="93"/>
      <c r="FR3" s="93"/>
      <c r="FS3" s="93"/>
      <c r="FT3" s="93"/>
      <c r="FU3" s="93"/>
      <c r="FV3" s="93"/>
      <c r="FW3" s="93"/>
      <c r="FX3" s="93"/>
      <c r="FY3" s="93"/>
      <c r="FZ3" s="93"/>
      <c r="GA3" s="93"/>
      <c r="GB3" s="93"/>
      <c r="GC3" s="93"/>
      <c r="GD3" s="93"/>
      <c r="GE3" s="93"/>
      <c r="GF3" s="93"/>
      <c r="GG3" s="93"/>
      <c r="GH3" s="93"/>
      <c r="GI3" s="93"/>
      <c r="GJ3" s="93"/>
      <c r="GK3" s="93"/>
      <c r="GL3" s="93"/>
      <c r="GM3" s="93"/>
      <c r="GN3" s="93"/>
      <c r="GO3" s="93"/>
      <c r="GP3" s="93"/>
      <c r="GQ3" s="93"/>
      <c r="GR3" s="93"/>
      <c r="GS3" s="93"/>
      <c r="GT3" s="93"/>
      <c r="GU3" s="93"/>
      <c r="GV3" s="93"/>
      <c r="GW3" s="93"/>
      <c r="GX3" s="93"/>
      <c r="GY3" s="93"/>
      <c r="GZ3" s="93"/>
      <c r="HA3" s="93"/>
      <c r="HB3" s="93"/>
      <c r="HC3" s="93"/>
      <c r="HD3" s="93"/>
      <c r="HE3" s="93"/>
      <c r="HF3" s="93"/>
      <c r="HG3" s="93"/>
      <c r="HH3" s="93"/>
      <c r="HI3" s="93"/>
      <c r="HJ3" s="93"/>
      <c r="HK3" s="93"/>
      <c r="HL3" s="93"/>
      <c r="HM3" s="93"/>
      <c r="HN3" s="93"/>
      <c r="HO3" s="93"/>
      <c r="HP3" s="93"/>
      <c r="HQ3" s="93"/>
      <c r="HR3" s="93"/>
      <c r="HS3" s="93"/>
      <c r="HT3" s="93"/>
      <c r="HU3" s="93"/>
      <c r="HV3" s="93"/>
      <c r="HW3" s="93"/>
      <c r="HX3" s="93"/>
      <c r="HY3" s="93"/>
      <c r="HZ3" s="93"/>
      <c r="IA3" s="93"/>
      <c r="IB3" s="93"/>
      <c r="IC3" s="93"/>
      <c r="ID3" s="93"/>
      <c r="IE3" s="93"/>
      <c r="IF3" s="93"/>
      <c r="IG3" s="93"/>
      <c r="IH3" s="93"/>
      <c r="II3" s="93"/>
      <c r="IJ3" s="93"/>
      <c r="IK3" s="93"/>
      <c r="IL3" s="93"/>
      <c r="IM3" s="93"/>
      <c r="IN3" s="93"/>
      <c r="IO3" s="93"/>
      <c r="IP3" s="93"/>
      <c r="IQ3" s="93"/>
      <c r="IR3" s="93"/>
      <c r="IS3" s="93"/>
      <c r="IT3" s="93"/>
      <c r="IU3" s="93"/>
      <c r="IV3" s="93"/>
      <c r="IW3" s="93"/>
      <c r="IX3" s="93"/>
      <c r="IY3" s="93"/>
      <c r="IZ3" s="93"/>
      <c r="JA3" s="93"/>
      <c r="JB3" s="93"/>
      <c r="JC3" s="93"/>
      <c r="JD3" s="93"/>
      <c r="JE3" s="93"/>
      <c r="JF3" s="93"/>
      <c r="JG3" s="93"/>
      <c r="JH3" s="93"/>
      <c r="JI3" s="93"/>
      <c r="JJ3" s="93"/>
      <c r="JK3" s="93"/>
      <c r="JL3" s="93"/>
      <c r="JM3" s="93"/>
      <c r="JN3" s="93"/>
      <c r="JO3" s="93"/>
      <c r="JP3" s="93"/>
      <c r="JQ3" s="93"/>
      <c r="JR3" s="93"/>
      <c r="JS3" s="93"/>
      <c r="JT3" s="93"/>
      <c r="JU3" s="93"/>
      <c r="JV3" s="93"/>
      <c r="JW3" s="93"/>
      <c r="JX3" s="93"/>
      <c r="JY3" s="93"/>
      <c r="JZ3" s="93"/>
      <c r="KA3" s="93"/>
      <c r="KB3" s="93"/>
      <c r="KC3" s="93"/>
      <c r="KD3" s="93"/>
      <c r="KE3" s="93"/>
      <c r="KF3" s="93"/>
      <c r="KG3" s="93"/>
      <c r="KH3" s="93"/>
      <c r="KI3" s="93"/>
      <c r="KJ3" s="93"/>
      <c r="KK3" s="93"/>
      <c r="KL3" s="93"/>
      <c r="KM3" s="93"/>
      <c r="KN3" s="93"/>
      <c r="KO3" s="93"/>
      <c r="KP3" s="93"/>
      <c r="KQ3" s="93"/>
      <c r="KR3" s="93"/>
      <c r="KS3" s="93"/>
      <c r="KT3" s="93"/>
      <c r="KU3" s="93"/>
      <c r="KV3" s="93"/>
      <c r="KW3" s="93"/>
      <c r="KX3" s="93"/>
      <c r="KY3" s="93"/>
      <c r="KZ3" s="93"/>
      <c r="LA3" s="93"/>
      <c r="LB3" s="93"/>
      <c r="LC3" s="93"/>
      <c r="LD3" s="93"/>
      <c r="LE3" s="93"/>
      <c r="LF3" s="93"/>
      <c r="LG3" s="93"/>
      <c r="LH3" s="93"/>
      <c r="LI3" s="93"/>
      <c r="LJ3" s="93"/>
      <c r="LK3" s="93"/>
      <c r="LL3" s="93"/>
      <c r="LM3" s="93"/>
      <c r="LN3" s="93"/>
      <c r="LO3" s="93"/>
      <c r="LP3" s="93"/>
      <c r="LQ3" s="93"/>
      <c r="LR3" s="93"/>
      <c r="LS3" s="93"/>
      <c r="LT3" s="93"/>
      <c r="LU3" s="93"/>
      <c r="LV3" s="93"/>
      <c r="LW3" s="93"/>
      <c r="LX3" s="93"/>
      <c r="LY3" s="93"/>
      <c r="LZ3" s="93"/>
      <c r="MA3" s="93"/>
      <c r="MB3" s="93"/>
      <c r="MC3" s="93"/>
      <c r="MD3" s="93"/>
      <c r="ME3" s="93"/>
      <c r="MF3" s="93"/>
      <c r="MG3" s="93"/>
      <c r="MH3" s="93"/>
      <c r="MI3" s="93"/>
      <c r="MJ3" s="93"/>
      <c r="MK3" s="93"/>
      <c r="ML3" s="93"/>
      <c r="MM3" s="93"/>
      <c r="MN3" s="93"/>
      <c r="MO3" s="93"/>
      <c r="MP3" s="93"/>
      <c r="MQ3" s="93"/>
      <c r="MR3" s="93"/>
      <c r="MS3" s="93"/>
      <c r="MT3" s="93"/>
      <c r="MU3" s="93"/>
      <c r="MV3" s="93"/>
      <c r="MW3" s="93"/>
      <c r="MX3" s="93"/>
      <c r="MY3" s="93"/>
      <c r="MZ3" s="93"/>
      <c r="NA3" s="93"/>
      <c r="NB3" s="93"/>
      <c r="NC3" s="93"/>
      <c r="ND3" s="93"/>
      <c r="NE3" s="93"/>
      <c r="NF3" s="93"/>
      <c r="NG3" s="93"/>
      <c r="NH3" s="93"/>
      <c r="NI3" s="93"/>
      <c r="NJ3" s="93"/>
      <c r="NK3" s="93"/>
      <c r="NL3" s="93"/>
      <c r="NM3" s="93"/>
      <c r="NN3" s="93"/>
      <c r="NO3" s="93"/>
      <c r="NP3" s="93"/>
      <c r="NQ3" s="93"/>
      <c r="NR3" s="93"/>
      <c r="NS3" s="93"/>
      <c r="NT3" s="93"/>
      <c r="NU3" s="93"/>
      <c r="NV3" s="93"/>
      <c r="NW3" s="93"/>
      <c r="NX3" s="93"/>
      <c r="NY3" s="93"/>
      <c r="NZ3" s="93"/>
      <c r="OA3" s="93"/>
      <c r="OB3" s="93"/>
      <c r="OC3" s="93"/>
      <c r="OD3" s="93"/>
      <c r="OE3" s="93"/>
      <c r="OF3" s="93"/>
      <c r="OG3" s="93"/>
      <c r="OH3" s="93"/>
      <c r="OI3" s="93"/>
      <c r="OJ3" s="93"/>
      <c r="OK3" s="93"/>
      <c r="OL3" s="93"/>
      <c r="OM3" s="93"/>
      <c r="ON3" s="93"/>
      <c r="OO3" s="93"/>
      <c r="OP3" s="93"/>
      <c r="OQ3" s="93"/>
      <c r="OR3" s="93"/>
      <c r="OS3" s="93"/>
      <c r="OT3" s="93"/>
      <c r="OU3" s="93"/>
      <c r="OV3" s="93"/>
      <c r="OW3" s="93"/>
      <c r="OX3" s="93"/>
      <c r="OY3" s="93"/>
      <c r="OZ3" s="93"/>
      <c r="PA3" s="93"/>
      <c r="PB3" s="93"/>
      <c r="PC3" s="93"/>
      <c r="PD3" s="93"/>
      <c r="PE3" s="93"/>
      <c r="PF3" s="93"/>
      <c r="PG3" s="93"/>
      <c r="PH3" s="93"/>
      <c r="PI3" s="93"/>
      <c r="PJ3" s="93"/>
      <c r="PK3" s="93"/>
      <c r="PL3" s="93"/>
      <c r="PM3" s="93"/>
      <c r="PN3" s="93"/>
      <c r="PO3" s="93"/>
      <c r="PP3" s="93"/>
      <c r="PQ3" s="93"/>
      <c r="PR3" s="93"/>
      <c r="PS3" s="93"/>
      <c r="PT3" s="93"/>
      <c r="PU3" s="93"/>
      <c r="PV3" s="93"/>
      <c r="PW3" s="93"/>
      <c r="PX3" s="93"/>
      <c r="PY3" s="93"/>
      <c r="PZ3" s="93"/>
      <c r="QA3" s="93"/>
      <c r="QB3" s="93"/>
      <c r="QC3" s="93"/>
      <c r="QD3" s="93"/>
      <c r="QE3" s="93"/>
      <c r="QF3" s="93"/>
      <c r="QG3" s="93"/>
      <c r="QH3" s="93"/>
      <c r="QI3" s="93"/>
      <c r="QJ3" s="93"/>
      <c r="QK3" s="93"/>
      <c r="QL3" s="93"/>
      <c r="QM3" s="93"/>
      <c r="QN3" s="93"/>
      <c r="QO3" s="93"/>
      <c r="QP3" s="93"/>
      <c r="QQ3" s="93"/>
      <c r="QR3" s="93"/>
      <c r="QS3" s="93"/>
      <c r="QT3" s="93"/>
      <c r="QU3" s="93"/>
      <c r="QV3" s="93"/>
      <c r="QW3" s="93"/>
      <c r="QX3" s="93"/>
      <c r="QY3" s="93"/>
      <c r="QZ3" s="93"/>
      <c r="RA3" s="93"/>
      <c r="RB3" s="93"/>
      <c r="RC3" s="93"/>
      <c r="RD3" s="93"/>
      <c r="RE3" s="93"/>
      <c r="RF3" s="93"/>
      <c r="RG3" s="93"/>
      <c r="RH3" s="93"/>
      <c r="RI3" s="93"/>
      <c r="RJ3" s="93"/>
      <c r="RK3" s="93"/>
      <c r="RL3" s="93"/>
      <c r="RM3" s="93"/>
      <c r="RN3" s="93"/>
      <c r="RO3" s="93"/>
      <c r="RP3" s="93"/>
      <c r="RQ3" s="93"/>
      <c r="RR3" s="93"/>
      <c r="RS3" s="93"/>
      <c r="RT3" s="93"/>
      <c r="RU3" s="93"/>
      <c r="RV3" s="93"/>
      <c r="RW3" s="93"/>
      <c r="RX3" s="93"/>
      <c r="RY3" s="93"/>
      <c r="RZ3" s="93"/>
      <c r="SA3" s="93"/>
      <c r="SB3" s="93"/>
      <c r="SC3" s="93"/>
      <c r="SD3" s="93"/>
      <c r="SE3" s="93"/>
      <c r="SF3" s="93"/>
      <c r="SG3" s="93"/>
      <c r="SH3" s="93"/>
      <c r="SI3" s="93"/>
      <c r="SJ3" s="93"/>
      <c r="SK3" s="93"/>
      <c r="SL3" s="93"/>
      <c r="SM3" s="93"/>
      <c r="SN3" s="93"/>
      <c r="SO3" s="93"/>
      <c r="SP3" s="93"/>
      <c r="SQ3" s="93"/>
      <c r="SR3" s="93"/>
      <c r="SS3" s="93"/>
      <c r="ST3" s="93"/>
      <c r="SU3" s="93"/>
      <c r="SV3" s="93"/>
      <c r="SW3" s="93"/>
      <c r="SX3" s="93"/>
      <c r="SY3" s="93"/>
      <c r="SZ3" s="93"/>
      <c r="TA3" s="93"/>
      <c r="TB3" s="93"/>
      <c r="TC3" s="93"/>
      <c r="TD3" s="93"/>
      <c r="TE3" s="93"/>
      <c r="TF3" s="93"/>
      <c r="TG3" s="93"/>
      <c r="TH3" s="93"/>
      <c r="TI3" s="93"/>
      <c r="TJ3" s="93"/>
      <c r="TK3" s="93"/>
      <c r="TL3" s="93"/>
      <c r="TM3" s="93"/>
      <c r="TN3" s="93"/>
      <c r="TO3" s="93"/>
      <c r="TP3" s="93"/>
      <c r="TQ3" s="93"/>
      <c r="TR3" s="93"/>
      <c r="TS3" s="93"/>
      <c r="TT3" s="93"/>
      <c r="TU3" s="93"/>
      <c r="TV3" s="93"/>
      <c r="TW3" s="93"/>
      <c r="TX3" s="93"/>
      <c r="TY3" s="93"/>
      <c r="TZ3" s="93"/>
      <c r="UA3" s="93"/>
      <c r="UB3" s="93"/>
      <c r="UC3" s="93"/>
      <c r="UD3" s="93"/>
      <c r="UE3" s="93"/>
      <c r="UF3" s="93"/>
      <c r="UG3" s="93"/>
      <c r="UH3" s="93"/>
      <c r="UI3" s="93"/>
      <c r="UJ3" s="93"/>
      <c r="UK3" s="93"/>
      <c r="UL3" s="93"/>
      <c r="UM3" s="93"/>
      <c r="UN3" s="93"/>
      <c r="UO3" s="93"/>
      <c r="UP3" s="93"/>
      <c r="UQ3" s="93"/>
      <c r="UR3" s="93"/>
      <c r="US3" s="93"/>
      <c r="UT3" s="93"/>
      <c r="UU3" s="93"/>
      <c r="UV3" s="93"/>
      <c r="UW3" s="93"/>
      <c r="UX3" s="93"/>
      <c r="UY3" s="93"/>
      <c r="UZ3" s="93"/>
      <c r="VA3" s="93"/>
      <c r="VB3" s="93"/>
      <c r="VC3" s="93"/>
      <c r="VD3" s="93"/>
      <c r="VE3" s="93"/>
      <c r="VF3" s="93"/>
      <c r="VG3" s="93"/>
      <c r="VH3" s="93"/>
      <c r="VI3" s="93"/>
      <c r="VJ3" s="93"/>
      <c r="VK3" s="93"/>
      <c r="VL3" s="93"/>
      <c r="VM3" s="93"/>
      <c r="VN3" s="93"/>
      <c r="VO3" s="93"/>
      <c r="VP3" s="93"/>
      <c r="VQ3" s="93"/>
      <c r="VR3" s="93"/>
      <c r="VS3" s="93"/>
      <c r="VT3" s="93"/>
      <c r="VU3" s="93"/>
      <c r="VV3" s="93"/>
      <c r="VW3" s="93"/>
      <c r="VX3" s="93"/>
      <c r="VY3" s="93"/>
      <c r="VZ3" s="93"/>
      <c r="WA3" s="93"/>
      <c r="WB3" s="93"/>
      <c r="WC3" s="93"/>
      <c r="WD3" s="93"/>
      <c r="WE3" s="93"/>
      <c r="WF3" s="93"/>
      <c r="WG3" s="93"/>
      <c r="WH3" s="93"/>
      <c r="WI3" s="93"/>
      <c r="WJ3" s="93"/>
      <c r="WK3" s="93"/>
      <c r="WL3" s="93"/>
      <c r="WM3" s="93"/>
      <c r="WN3" s="93"/>
      <c r="WO3" s="93"/>
      <c r="WP3" s="93"/>
      <c r="WQ3" s="93"/>
      <c r="WR3" s="93"/>
      <c r="WS3" s="93"/>
      <c r="WT3" s="93"/>
      <c r="WU3" s="93"/>
      <c r="WV3" s="93"/>
      <c r="WW3" s="93"/>
      <c r="WX3" s="93"/>
      <c r="WY3" s="93"/>
      <c r="WZ3" s="93"/>
      <c r="XA3" s="93"/>
      <c r="XB3" s="93"/>
      <c r="XC3" s="93"/>
      <c r="XD3" s="93"/>
      <c r="XE3" s="93"/>
      <c r="XF3" s="93"/>
      <c r="XG3" s="93"/>
      <c r="XH3" s="93"/>
      <c r="XI3" s="93"/>
      <c r="XJ3" s="93"/>
      <c r="XK3" s="93"/>
      <c r="XL3" s="93"/>
      <c r="XM3" s="93"/>
      <c r="XN3" s="93"/>
      <c r="XO3" s="93"/>
      <c r="XP3" s="93"/>
      <c r="XQ3" s="93"/>
      <c r="XR3" s="93"/>
      <c r="XS3" s="93"/>
      <c r="XT3" s="93"/>
      <c r="XU3" s="93"/>
      <c r="XV3" s="93"/>
      <c r="XW3" s="93"/>
      <c r="XX3" s="93"/>
      <c r="XY3" s="93"/>
      <c r="XZ3" s="93"/>
      <c r="YA3" s="93"/>
      <c r="YB3" s="93"/>
      <c r="YC3" s="93"/>
      <c r="YD3" s="93"/>
      <c r="YE3" s="93"/>
      <c r="YF3" s="93"/>
      <c r="YG3" s="93"/>
      <c r="YH3" s="93"/>
      <c r="YI3" s="93"/>
      <c r="YJ3" s="93"/>
      <c r="YK3" s="93"/>
      <c r="YL3" s="93"/>
      <c r="YM3" s="93"/>
      <c r="YN3" s="93"/>
      <c r="YO3" s="93"/>
      <c r="YP3" s="93"/>
      <c r="YQ3" s="93"/>
      <c r="YR3" s="93"/>
      <c r="YS3" s="93"/>
      <c r="YT3" s="93"/>
      <c r="YU3" s="93"/>
      <c r="YV3" s="93"/>
      <c r="YW3" s="93"/>
      <c r="YX3" s="93"/>
      <c r="YY3" s="93"/>
      <c r="YZ3" s="93"/>
      <c r="ZA3" s="93"/>
      <c r="ZB3" s="93"/>
      <c r="ZC3" s="93"/>
      <c r="ZD3" s="93"/>
      <c r="ZE3" s="93"/>
      <c r="ZF3" s="93"/>
      <c r="ZG3" s="93"/>
      <c r="ZH3" s="93"/>
      <c r="ZI3" s="93"/>
      <c r="ZJ3" s="93"/>
      <c r="ZK3" s="93"/>
      <c r="ZL3" s="93"/>
      <c r="ZM3" s="93"/>
      <c r="ZN3" s="93"/>
      <c r="ZO3" s="93"/>
      <c r="ZP3" s="93"/>
      <c r="ZQ3" s="93"/>
      <c r="ZR3" s="93"/>
      <c r="ZS3" s="93"/>
      <c r="ZT3" s="93"/>
      <c r="ZU3" s="93"/>
      <c r="ZV3" s="93"/>
      <c r="ZW3" s="93"/>
      <c r="ZX3" s="93"/>
      <c r="ZY3" s="93"/>
      <c r="ZZ3" s="93"/>
      <c r="AAA3" s="93"/>
      <c r="AAB3" s="93"/>
      <c r="AAC3" s="93"/>
      <c r="AAD3" s="93"/>
      <c r="AAE3" s="93"/>
      <c r="AAF3" s="93"/>
      <c r="AAG3" s="93"/>
      <c r="AAH3" s="93"/>
      <c r="AAI3" s="93"/>
      <c r="AAJ3" s="93"/>
      <c r="AAK3" s="93"/>
      <c r="AAL3" s="93"/>
      <c r="AAM3" s="93"/>
      <c r="AAN3" s="93"/>
      <c r="AAO3" s="93"/>
      <c r="AAP3" s="93"/>
      <c r="AAQ3" s="93"/>
      <c r="AAR3" s="93"/>
      <c r="AAS3" s="93"/>
      <c r="AAT3" s="93"/>
      <c r="AAU3" s="93"/>
      <c r="AAV3" s="93"/>
      <c r="AAW3" s="93"/>
      <c r="AAX3" s="93"/>
      <c r="AAY3" s="93"/>
      <c r="AAZ3" s="93"/>
      <c r="ABA3" s="93"/>
      <c r="ABB3" s="93"/>
      <c r="ABC3" s="93"/>
      <c r="ABD3" s="93"/>
      <c r="ABE3" s="93"/>
      <c r="ABF3" s="93"/>
      <c r="ABG3" s="93"/>
      <c r="ABH3" s="93"/>
      <c r="ABI3" s="93"/>
      <c r="ABJ3" s="93"/>
      <c r="ABK3" s="93"/>
      <c r="ABL3" s="93"/>
      <c r="ABM3" s="93"/>
      <c r="ABN3" s="93"/>
      <c r="ABO3" s="93"/>
      <c r="ABP3" s="93"/>
      <c r="ABQ3" s="93"/>
      <c r="ABR3" s="93"/>
      <c r="ABS3" s="93"/>
      <c r="ABT3" s="93"/>
      <c r="ABU3" s="93"/>
      <c r="ABV3" s="93"/>
      <c r="ABW3" s="93"/>
      <c r="ABX3" s="93"/>
      <c r="ABY3" s="93"/>
      <c r="ABZ3" s="93"/>
      <c r="ACA3" s="93"/>
      <c r="ACB3" s="93"/>
      <c r="ACC3" s="93"/>
      <c r="ACD3" s="93"/>
      <c r="ACE3" s="93"/>
      <c r="ACF3" s="93"/>
      <c r="ACG3" s="93"/>
      <c r="ACH3" s="93"/>
      <c r="ACI3" s="93"/>
      <c r="ACJ3" s="93"/>
      <c r="ACK3" s="93"/>
      <c r="ACL3" s="93"/>
      <c r="ACM3" s="93"/>
      <c r="ACN3" s="93"/>
      <c r="ACO3" s="93"/>
      <c r="ACP3" s="93"/>
      <c r="ACQ3" s="93"/>
      <c r="ACR3" s="93"/>
      <c r="ACS3" s="93"/>
      <c r="ACT3" s="93"/>
      <c r="ACU3" s="93"/>
      <c r="ACV3" s="93"/>
      <c r="ACW3" s="93"/>
      <c r="ACX3" s="93"/>
      <c r="ACY3" s="93"/>
      <c r="ACZ3" s="93"/>
      <c r="ADA3" s="93"/>
      <c r="ADB3" s="93"/>
      <c r="ADC3" s="93"/>
      <c r="ADD3" s="93"/>
      <c r="ADE3" s="93"/>
      <c r="ADF3" s="93"/>
      <c r="ADG3" s="93"/>
      <c r="ADH3" s="93"/>
      <c r="ADI3" s="93"/>
      <c r="ADJ3" s="93"/>
      <c r="ADK3" s="93"/>
      <c r="ADL3" s="93"/>
      <c r="ADM3" s="93"/>
      <c r="ADN3" s="93"/>
      <c r="ADO3" s="93"/>
      <c r="ADP3" s="93"/>
      <c r="ADQ3" s="93"/>
      <c r="ADR3" s="93"/>
      <c r="ADS3" s="93"/>
      <c r="ADT3" s="93"/>
      <c r="ADU3" s="93"/>
      <c r="ADV3" s="93"/>
      <c r="ADW3" s="93"/>
      <c r="ADX3" s="93"/>
      <c r="ADY3" s="93"/>
      <c r="ADZ3" s="93"/>
      <c r="AEA3" s="93"/>
      <c r="AEB3" s="93"/>
      <c r="AEC3" s="93"/>
      <c r="AED3" s="93"/>
      <c r="AEE3" s="93"/>
      <c r="AEF3" s="93"/>
      <c r="AEG3" s="93"/>
      <c r="AEH3" s="93"/>
      <c r="AEI3" s="93"/>
      <c r="AEJ3" s="93"/>
      <c r="AEK3" s="93"/>
      <c r="AEL3" s="93"/>
      <c r="AEM3" s="93"/>
      <c r="AEN3" s="93"/>
      <c r="AEO3" s="93"/>
      <c r="AEP3" s="93"/>
      <c r="AEQ3" s="93"/>
      <c r="AER3" s="93"/>
      <c r="AES3" s="93"/>
      <c r="AET3" s="93"/>
      <c r="AEU3" s="93"/>
      <c r="AEV3" s="93"/>
      <c r="AEW3" s="93"/>
      <c r="AEX3" s="93"/>
      <c r="AEY3" s="93"/>
      <c r="AEZ3" s="93"/>
      <c r="AFA3" s="93"/>
      <c r="AFB3" s="93"/>
      <c r="AFC3" s="93"/>
      <c r="AFD3" s="93"/>
      <c r="AFE3" s="93"/>
      <c r="AFF3" s="93"/>
      <c r="AFG3" s="93"/>
      <c r="AFH3" s="93"/>
      <c r="AFI3" s="93"/>
      <c r="AFJ3" s="93"/>
      <c r="AFK3" s="93"/>
      <c r="AFL3" s="93"/>
      <c r="AFM3" s="93"/>
      <c r="AFN3" s="93"/>
      <c r="AFO3" s="93"/>
      <c r="AFP3" s="93"/>
      <c r="AFQ3" s="93"/>
      <c r="AFR3" s="93"/>
      <c r="AFS3" s="93"/>
      <c r="AFT3" s="93"/>
      <c r="AFU3" s="93"/>
      <c r="AFV3" s="93"/>
      <c r="AFW3" s="93"/>
      <c r="AFX3" s="93"/>
      <c r="AFY3" s="93"/>
      <c r="AFZ3" s="93"/>
      <c r="AGA3" s="93"/>
      <c r="AGB3" s="93"/>
      <c r="AGC3" s="93"/>
      <c r="AGD3" s="93"/>
      <c r="AGE3" s="93"/>
      <c r="AGF3" s="93"/>
      <c r="AGG3" s="93"/>
      <c r="AGH3" s="93"/>
      <c r="AGI3" s="93"/>
      <c r="AGJ3" s="93"/>
      <c r="AGK3" s="93"/>
      <c r="AGL3" s="93"/>
      <c r="AGM3" s="93"/>
      <c r="AGN3" s="93"/>
      <c r="AGO3" s="93"/>
      <c r="AGP3" s="93"/>
      <c r="AGQ3" s="93"/>
      <c r="AGR3" s="93"/>
      <c r="AGS3" s="93"/>
      <c r="AGT3" s="93"/>
      <c r="AGU3" s="93"/>
      <c r="AGV3" s="93"/>
      <c r="AGW3" s="93"/>
      <c r="AGX3" s="93"/>
      <c r="AGY3" s="93"/>
      <c r="AGZ3" s="93"/>
      <c r="AHA3" s="93"/>
      <c r="AHB3" s="93"/>
      <c r="AHC3" s="93"/>
      <c r="AHD3" s="93"/>
      <c r="AHE3" s="93"/>
      <c r="AHF3" s="93"/>
      <c r="AHG3" s="93"/>
      <c r="AHH3" s="93"/>
      <c r="AHI3" s="93"/>
      <c r="AHJ3" s="93"/>
      <c r="AHK3" s="93"/>
      <c r="AHL3" s="93"/>
      <c r="AHM3" s="93"/>
      <c r="AHN3" s="93"/>
      <c r="AHO3" s="93"/>
      <c r="AHP3" s="93"/>
      <c r="AHQ3" s="93"/>
      <c r="AHR3" s="93"/>
      <c r="AHS3" s="93"/>
      <c r="AHT3" s="93"/>
      <c r="AHU3" s="93"/>
      <c r="AHV3" s="93"/>
      <c r="AHW3" s="93"/>
      <c r="AHX3" s="93"/>
      <c r="AHY3" s="93"/>
      <c r="AHZ3" s="93"/>
      <c r="AIA3" s="93"/>
      <c r="AIB3" s="93"/>
      <c r="AIC3" s="93"/>
      <c r="AID3" s="93"/>
      <c r="AIE3" s="93"/>
      <c r="AIF3" s="93"/>
      <c r="AIG3" s="93"/>
      <c r="AIH3" s="93"/>
      <c r="AII3" s="93"/>
      <c r="AIJ3" s="93"/>
      <c r="AIK3" s="93"/>
      <c r="AIL3" s="93"/>
      <c r="AIM3" s="93"/>
      <c r="AIN3" s="93"/>
      <c r="AIO3" s="93"/>
      <c r="AIP3" s="93"/>
      <c r="AIQ3" s="93"/>
      <c r="AIR3" s="93"/>
      <c r="AIS3" s="93"/>
      <c r="AIT3" s="93"/>
      <c r="AIU3" s="93"/>
      <c r="AIV3" s="93"/>
      <c r="AIW3" s="93"/>
      <c r="AIX3" s="93"/>
      <c r="AIY3" s="93"/>
      <c r="AIZ3" s="93"/>
      <c r="AJA3" s="93"/>
      <c r="AJB3" s="93"/>
      <c r="AJC3" s="93"/>
      <c r="AJD3" s="93"/>
      <c r="AJE3" s="93"/>
      <c r="AJF3" s="93"/>
      <c r="AJG3" s="93"/>
      <c r="AJH3" s="93"/>
      <c r="AJI3" s="93"/>
      <c r="AJJ3" s="93"/>
      <c r="AJK3" s="93"/>
      <c r="AJL3" s="93"/>
      <c r="AJM3" s="93"/>
      <c r="AJN3" s="93"/>
      <c r="AJO3" s="93"/>
      <c r="AJP3" s="93"/>
      <c r="AJQ3" s="93"/>
      <c r="AJR3" s="93"/>
      <c r="AJS3" s="93"/>
      <c r="AJT3" s="93"/>
      <c r="AJU3" s="93"/>
      <c r="AJV3" s="93"/>
      <c r="AJW3" s="93"/>
      <c r="AJX3" s="93"/>
      <c r="AJY3" s="93"/>
      <c r="AJZ3" s="93"/>
      <c r="AKA3" s="93"/>
      <c r="AKB3" s="93"/>
      <c r="AKC3" s="93"/>
      <c r="AKD3" s="93"/>
      <c r="AKE3" s="93"/>
      <c r="AKF3" s="93"/>
      <c r="AKG3" s="93"/>
      <c r="AKH3" s="93"/>
      <c r="AKI3" s="93"/>
      <c r="AKJ3" s="93"/>
      <c r="AKK3" s="93"/>
      <c r="AKL3" s="93"/>
      <c r="AKM3" s="93"/>
      <c r="AKN3" s="93"/>
      <c r="AKO3" s="93"/>
      <c r="AKP3" s="93"/>
      <c r="AKQ3" s="93"/>
      <c r="AKR3" s="93"/>
      <c r="AKS3" s="93"/>
      <c r="AKT3" s="93"/>
      <c r="AKU3" s="93"/>
      <c r="AKV3" s="93"/>
      <c r="AKW3" s="93"/>
      <c r="AKX3" s="93"/>
      <c r="AKY3" s="93"/>
      <c r="AKZ3" s="93"/>
      <c r="ALA3" s="93"/>
      <c r="ALB3" s="93"/>
      <c r="ALC3" s="93"/>
      <c r="ALD3" s="93"/>
      <c r="ALE3" s="93"/>
      <c r="ALF3" s="93"/>
      <c r="ALG3" s="93"/>
      <c r="ALH3" s="93"/>
      <c r="ALI3" s="93"/>
      <c r="ALJ3" s="93"/>
      <c r="ALK3" s="93"/>
      <c r="ALL3" s="93"/>
      <c r="ALM3" s="93"/>
      <c r="ALN3" s="93"/>
      <c r="ALO3" s="93"/>
      <c r="ALP3" s="93"/>
      <c r="ALQ3" s="93"/>
      <c r="ALR3" s="93"/>
      <c r="ALS3" s="93"/>
      <c r="ALT3" s="93"/>
      <c r="ALU3" s="93"/>
      <c r="ALV3" s="93"/>
      <c r="ALW3" s="93"/>
      <c r="ALX3" s="93"/>
      <c r="ALY3" s="93"/>
      <c r="ALZ3" s="93"/>
      <c r="AMA3" s="93"/>
      <c r="AMB3" s="93"/>
      <c r="AMC3" s="93"/>
      <c r="AMD3" s="93"/>
      <c r="AME3" s="93"/>
      <c r="AMF3" s="93"/>
      <c r="AMG3" s="93"/>
      <c r="AMH3" s="93"/>
      <c r="AMI3" s="93"/>
      <c r="AMJ3" s="93"/>
      <c r="AMK3" s="93"/>
      <c r="AML3" s="93"/>
      <c r="AMM3" s="93"/>
      <c r="AMN3" s="93"/>
      <c r="AMO3" s="93"/>
      <c r="AMP3" s="93"/>
      <c r="AMQ3" s="93"/>
      <c r="AMR3" s="93"/>
      <c r="AMS3" s="93"/>
      <c r="AMT3" s="93"/>
      <c r="AMU3" s="93"/>
      <c r="AMV3" s="93"/>
      <c r="AMW3" s="93"/>
      <c r="AMX3" s="93"/>
      <c r="AMY3" s="93"/>
      <c r="AMZ3" s="93"/>
      <c r="ANA3" s="93"/>
      <c r="ANB3" s="93"/>
      <c r="ANC3" s="93"/>
      <c r="AND3" s="93"/>
      <c r="ANE3" s="93"/>
      <c r="ANF3" s="93"/>
      <c r="ANG3" s="93"/>
      <c r="ANH3" s="93"/>
      <c r="ANI3" s="93"/>
      <c r="ANJ3" s="93"/>
      <c r="ANK3" s="93"/>
      <c r="ANL3" s="93"/>
      <c r="ANM3" s="93"/>
      <c r="ANN3" s="93"/>
      <c r="ANO3" s="93"/>
      <c r="ANP3" s="93"/>
      <c r="ANQ3" s="93"/>
      <c r="ANR3" s="93"/>
      <c r="ANS3" s="93"/>
      <c r="ANT3" s="93"/>
      <c r="ANU3" s="93"/>
      <c r="ANV3" s="93"/>
      <c r="ANW3" s="93"/>
      <c r="ANX3" s="93"/>
      <c r="ANY3" s="93"/>
      <c r="ANZ3" s="93"/>
      <c r="AOA3" s="93"/>
      <c r="AOB3" s="93"/>
      <c r="AOC3" s="93"/>
      <c r="AOD3" s="93"/>
      <c r="AOE3" s="93"/>
      <c r="AOF3" s="93"/>
      <c r="AOG3" s="93"/>
      <c r="AOH3" s="93"/>
      <c r="AOI3" s="93"/>
      <c r="AOJ3" s="93"/>
      <c r="AOK3" s="93"/>
      <c r="AOL3" s="93"/>
      <c r="AOM3" s="93"/>
      <c r="AON3" s="93"/>
      <c r="AOO3" s="93"/>
      <c r="AOP3" s="93"/>
      <c r="AOQ3" s="93"/>
      <c r="AOR3" s="93"/>
      <c r="AOS3" s="93"/>
      <c r="AOT3" s="93"/>
      <c r="AOU3" s="93"/>
      <c r="AOV3" s="93"/>
      <c r="AOW3" s="93"/>
      <c r="AOX3" s="93"/>
      <c r="AOY3" s="93"/>
      <c r="AOZ3" s="93"/>
      <c r="APA3" s="93"/>
      <c r="APB3" s="93"/>
      <c r="APC3" s="93"/>
      <c r="APD3" s="93"/>
      <c r="APE3" s="93"/>
      <c r="APF3" s="93"/>
      <c r="APG3" s="93"/>
      <c r="APH3" s="93"/>
      <c r="API3" s="93"/>
      <c r="APJ3" s="93"/>
      <c r="APK3" s="93"/>
      <c r="APL3" s="93"/>
      <c r="APM3" s="93"/>
      <c r="APN3" s="93"/>
      <c r="APO3" s="93"/>
      <c r="APP3" s="93"/>
      <c r="APQ3" s="93"/>
      <c r="APR3" s="93"/>
      <c r="APS3" s="93"/>
      <c r="APT3" s="93"/>
      <c r="APU3" s="93"/>
      <c r="APV3" s="93"/>
      <c r="APW3" s="93"/>
      <c r="APX3" s="93"/>
      <c r="APY3" s="93"/>
      <c r="APZ3" s="93"/>
      <c r="AQA3" s="93"/>
      <c r="AQB3" s="93"/>
      <c r="AQC3" s="93"/>
      <c r="AQD3" s="93"/>
      <c r="AQE3" s="93"/>
      <c r="AQF3" s="93"/>
      <c r="AQG3" s="93"/>
      <c r="AQH3" s="93"/>
      <c r="AQI3" s="93"/>
      <c r="AQJ3" s="93"/>
      <c r="AQK3" s="93"/>
      <c r="AQL3" s="93"/>
      <c r="AQM3" s="93"/>
      <c r="AQN3" s="93"/>
      <c r="AQO3" s="93"/>
      <c r="AQP3" s="93"/>
      <c r="AQQ3" s="93"/>
      <c r="AQR3" s="93"/>
      <c r="AQS3" s="93"/>
      <c r="AQT3" s="93"/>
      <c r="AQU3" s="93"/>
      <c r="AQV3" s="93"/>
      <c r="AQW3" s="93"/>
      <c r="AQX3" s="93"/>
      <c r="AQY3" s="93"/>
      <c r="AQZ3" s="93"/>
      <c r="ARA3" s="93"/>
      <c r="ARB3" s="93"/>
      <c r="ARC3" s="93"/>
      <c r="ARD3" s="93"/>
      <c r="ARE3" s="93"/>
      <c r="ARF3" s="93"/>
      <c r="ARG3" s="93"/>
      <c r="ARH3" s="93"/>
      <c r="ARI3" s="93"/>
      <c r="ARJ3" s="93"/>
      <c r="ARK3" s="93"/>
      <c r="ARL3" s="93"/>
      <c r="ARM3" s="93"/>
      <c r="ARN3" s="93"/>
      <c r="ARO3" s="93"/>
      <c r="ARP3" s="93"/>
      <c r="ARQ3" s="93"/>
      <c r="ARR3" s="93"/>
      <c r="ARS3" s="93"/>
      <c r="ART3" s="93"/>
      <c r="ARU3" s="93"/>
      <c r="ARV3" s="93"/>
      <c r="ARW3" s="93"/>
      <c r="ARX3" s="93"/>
      <c r="ARY3" s="93"/>
      <c r="ARZ3" s="93"/>
      <c r="ASA3" s="93"/>
      <c r="ASB3" s="93"/>
      <c r="ASC3" s="93"/>
      <c r="ASD3" s="93"/>
      <c r="ASE3" s="93"/>
      <c r="ASF3" s="93"/>
      <c r="ASG3" s="93"/>
      <c r="ASH3" s="93"/>
      <c r="ASI3" s="93"/>
      <c r="ASJ3" s="93"/>
      <c r="ASK3" s="93"/>
      <c r="ASL3" s="93"/>
      <c r="ASM3" s="93"/>
      <c r="ASN3" s="93"/>
      <c r="ASO3" s="93"/>
      <c r="ASP3" s="93"/>
      <c r="ASQ3" s="93"/>
      <c r="ASR3" s="93"/>
      <c r="ASS3" s="93"/>
      <c r="AST3" s="93"/>
      <c r="ASU3" s="93"/>
      <c r="ASV3" s="93"/>
      <c r="ASW3" s="93"/>
      <c r="ASX3" s="93"/>
      <c r="ASY3" s="93"/>
      <c r="ASZ3" s="93"/>
      <c r="ATA3" s="93"/>
      <c r="ATB3" s="93"/>
      <c r="ATC3" s="93"/>
      <c r="ATD3" s="93"/>
      <c r="ATE3" s="93"/>
      <c r="ATF3" s="93"/>
      <c r="ATG3" s="93"/>
      <c r="ATH3" s="93"/>
      <c r="ATI3" s="93"/>
      <c r="ATJ3" s="93"/>
      <c r="ATK3" s="93"/>
      <c r="ATL3" s="93"/>
      <c r="ATM3" s="93"/>
      <c r="ATN3" s="93"/>
      <c r="ATO3" s="93"/>
      <c r="ATP3" s="93"/>
      <c r="ATQ3" s="93"/>
      <c r="ATR3" s="93"/>
      <c r="ATS3" s="93"/>
      <c r="ATT3" s="93"/>
      <c r="ATU3" s="93"/>
      <c r="ATV3" s="93"/>
      <c r="ATW3" s="93"/>
      <c r="ATX3" s="93"/>
      <c r="ATY3" s="93"/>
      <c r="ATZ3" s="93"/>
      <c r="AUA3" s="93"/>
      <c r="AUB3" s="93"/>
      <c r="AUC3" s="93"/>
      <c r="AUD3" s="93"/>
      <c r="AUE3" s="93"/>
      <c r="AUF3" s="93"/>
      <c r="AUG3" s="93"/>
      <c r="AUH3" s="93"/>
      <c r="AUI3" s="93"/>
      <c r="AUJ3" s="93"/>
      <c r="AUK3" s="93"/>
      <c r="AUL3" s="93"/>
      <c r="AUM3" s="93"/>
      <c r="AUN3" s="93"/>
      <c r="AUO3" s="93"/>
      <c r="AUP3" s="93"/>
      <c r="AUQ3" s="93"/>
      <c r="AUR3" s="93"/>
      <c r="AUS3" s="93"/>
      <c r="AUT3" s="93"/>
      <c r="AUU3" s="93"/>
      <c r="AUV3" s="93"/>
      <c r="AUW3" s="93"/>
      <c r="AUX3" s="93"/>
      <c r="AUY3" s="93"/>
      <c r="AUZ3" s="93"/>
      <c r="AVA3" s="93"/>
      <c r="AVB3" s="93"/>
      <c r="AVC3" s="93"/>
      <c r="AVD3" s="93"/>
      <c r="AVE3" s="93"/>
      <c r="AVF3" s="93"/>
      <c r="AVG3" s="93"/>
      <c r="AVH3" s="93"/>
      <c r="AVI3" s="93"/>
      <c r="AVJ3" s="93"/>
      <c r="AVK3" s="93"/>
      <c r="AVL3" s="93"/>
      <c r="AVM3" s="93"/>
      <c r="AVN3" s="93"/>
      <c r="AVO3" s="93"/>
      <c r="AVP3" s="93"/>
      <c r="AVQ3" s="93"/>
      <c r="AVR3" s="93"/>
      <c r="AVS3" s="93"/>
      <c r="AVT3" s="93"/>
      <c r="AVU3" s="93"/>
      <c r="AVV3" s="93"/>
      <c r="AVW3" s="93"/>
      <c r="AVX3" s="93"/>
      <c r="AVY3" s="93"/>
      <c r="AVZ3" s="93"/>
      <c r="AWA3" s="93"/>
      <c r="AWB3" s="93"/>
      <c r="AWC3" s="93"/>
      <c r="AWD3" s="93"/>
      <c r="AWE3" s="93"/>
      <c r="AWF3" s="93"/>
      <c r="AWG3" s="93"/>
      <c r="AWH3" s="93"/>
      <c r="AWI3" s="93"/>
      <c r="AWJ3" s="93"/>
      <c r="AWK3" s="93"/>
      <c r="AWL3" s="93"/>
      <c r="AWM3" s="93"/>
      <c r="AWN3" s="93"/>
      <c r="AWO3" s="93"/>
      <c r="AWP3" s="93"/>
      <c r="AWQ3" s="93"/>
      <c r="AWR3" s="93"/>
      <c r="AWS3" s="93"/>
      <c r="AWT3" s="93"/>
      <c r="AWU3" s="93"/>
      <c r="AWV3" s="93"/>
      <c r="AWW3" s="93"/>
      <c r="AWX3" s="93"/>
      <c r="AWY3" s="93"/>
      <c r="AWZ3" s="93"/>
      <c r="AXA3" s="93"/>
      <c r="AXB3" s="93"/>
      <c r="AXC3" s="93"/>
      <c r="AXD3" s="93"/>
      <c r="AXE3" s="93"/>
      <c r="AXF3" s="93"/>
      <c r="AXG3" s="93"/>
      <c r="AXH3" s="93"/>
      <c r="AXI3" s="93"/>
      <c r="AXJ3" s="93"/>
      <c r="AXK3" s="93"/>
      <c r="AXL3" s="93"/>
      <c r="AXM3" s="93"/>
      <c r="AXN3" s="93"/>
      <c r="AXO3" s="93"/>
      <c r="AXP3" s="93"/>
      <c r="AXQ3" s="93"/>
      <c r="AXR3" s="93"/>
      <c r="AXS3" s="93"/>
      <c r="AXT3" s="93"/>
      <c r="AXU3" s="93"/>
      <c r="AXV3" s="93"/>
      <c r="AXW3" s="93"/>
      <c r="AXX3" s="93"/>
      <c r="AXY3" s="93"/>
      <c r="AXZ3" s="93"/>
      <c r="AYA3" s="93"/>
      <c r="AYB3" s="93"/>
      <c r="AYC3" s="93"/>
      <c r="AYD3" s="93"/>
      <c r="AYE3" s="93"/>
      <c r="AYF3" s="93"/>
      <c r="AYG3" s="93"/>
      <c r="AYH3" s="93"/>
      <c r="AYI3" s="93"/>
      <c r="AYJ3" s="93"/>
      <c r="AYK3" s="93"/>
      <c r="AYL3" s="93"/>
      <c r="AYM3" s="93"/>
      <c r="AYN3" s="93"/>
      <c r="AYO3" s="93"/>
      <c r="AYP3" s="93"/>
      <c r="AYQ3" s="93"/>
      <c r="AYR3" s="93"/>
      <c r="AYS3" s="93"/>
      <c r="AYT3" s="93"/>
      <c r="AYU3" s="93"/>
      <c r="AYV3" s="93"/>
      <c r="AYW3" s="93"/>
      <c r="AYX3" s="93"/>
      <c r="AYY3" s="93"/>
      <c r="AYZ3" s="93"/>
      <c r="AZA3" s="93"/>
      <c r="AZB3" s="93"/>
      <c r="AZC3" s="93"/>
      <c r="AZD3" s="93"/>
      <c r="AZE3" s="93"/>
      <c r="AZF3" s="93"/>
      <c r="AZG3" s="93"/>
      <c r="AZH3" s="93"/>
      <c r="AZI3" s="93"/>
      <c r="AZJ3" s="93"/>
      <c r="AZK3" s="93"/>
      <c r="AZL3" s="93"/>
      <c r="AZM3" s="93"/>
      <c r="AZN3" s="93"/>
      <c r="AZO3" s="93"/>
      <c r="AZP3" s="93"/>
      <c r="AZQ3" s="93"/>
      <c r="AZR3" s="93"/>
      <c r="AZS3" s="93"/>
      <c r="AZT3" s="93"/>
      <c r="AZU3" s="93"/>
      <c r="AZV3" s="93"/>
      <c r="AZW3" s="93"/>
      <c r="AZX3" s="93"/>
      <c r="AZY3" s="93"/>
      <c r="AZZ3" s="93"/>
      <c r="BAA3" s="93"/>
      <c r="BAB3" s="93"/>
      <c r="BAC3" s="93"/>
      <c r="BAD3" s="93"/>
      <c r="BAE3" s="93"/>
      <c r="BAF3" s="93"/>
      <c r="BAG3" s="93"/>
      <c r="BAH3" s="93"/>
      <c r="BAI3" s="93"/>
      <c r="BAJ3" s="93"/>
      <c r="BAK3" s="93"/>
      <c r="BAL3" s="93"/>
      <c r="BAM3" s="93"/>
      <c r="BAN3" s="93"/>
      <c r="BAO3" s="93"/>
      <c r="BAP3" s="93"/>
      <c r="BAQ3" s="93"/>
      <c r="BAR3" s="93"/>
      <c r="BAS3" s="93"/>
      <c r="BAT3" s="93"/>
      <c r="BAU3" s="93"/>
      <c r="BAV3" s="93"/>
      <c r="BAW3" s="93"/>
      <c r="BAX3" s="93"/>
      <c r="BAY3" s="93"/>
      <c r="BAZ3" s="93"/>
      <c r="BBA3" s="93"/>
      <c r="BBB3" s="93"/>
      <c r="BBC3" s="93"/>
      <c r="BBD3" s="93"/>
      <c r="BBE3" s="93"/>
      <c r="BBF3" s="93"/>
      <c r="BBG3" s="93"/>
      <c r="BBH3" s="93"/>
      <c r="BBI3" s="93"/>
      <c r="BBJ3" s="93"/>
      <c r="BBK3" s="93"/>
      <c r="BBL3" s="93"/>
      <c r="BBM3" s="93"/>
      <c r="BBN3" s="93"/>
      <c r="BBO3" s="93"/>
      <c r="BBP3" s="93"/>
      <c r="BBQ3" s="93"/>
      <c r="BBR3" s="93"/>
      <c r="BBS3" s="93"/>
      <c r="BBT3" s="93"/>
      <c r="BBU3" s="93"/>
      <c r="BBV3" s="93"/>
      <c r="BBW3" s="93"/>
      <c r="BBX3" s="93"/>
      <c r="BBY3" s="93"/>
      <c r="BBZ3" s="93"/>
      <c r="BCA3" s="93"/>
      <c r="BCB3" s="93"/>
      <c r="BCC3" s="93"/>
      <c r="BCD3" s="93"/>
      <c r="BCE3" s="93"/>
      <c r="BCF3" s="93"/>
      <c r="BCG3" s="93"/>
      <c r="BCH3" s="93"/>
      <c r="BCI3" s="93"/>
      <c r="BCJ3" s="93"/>
      <c r="BCK3" s="93"/>
      <c r="BCL3" s="93"/>
      <c r="BCM3" s="93"/>
      <c r="BCN3" s="93"/>
      <c r="BCO3" s="93"/>
      <c r="BCP3" s="93"/>
      <c r="BCQ3" s="93"/>
      <c r="BCR3" s="93"/>
      <c r="BCS3" s="93"/>
      <c r="BCT3" s="93"/>
      <c r="BCU3" s="93"/>
      <c r="BCV3" s="93"/>
      <c r="BCW3" s="93"/>
      <c r="BCX3" s="93"/>
      <c r="BCY3" s="93"/>
      <c r="BCZ3" s="93"/>
      <c r="BDA3" s="93"/>
      <c r="BDB3" s="93"/>
      <c r="BDC3" s="93"/>
      <c r="BDD3" s="93"/>
      <c r="BDE3" s="93"/>
      <c r="BDF3" s="93"/>
      <c r="BDG3" s="93"/>
      <c r="BDH3" s="93"/>
      <c r="BDI3" s="93"/>
      <c r="BDJ3" s="93"/>
      <c r="BDK3" s="93"/>
      <c r="BDL3" s="93"/>
      <c r="BDM3" s="93"/>
      <c r="BDN3" s="93"/>
      <c r="BDO3" s="93"/>
      <c r="BDP3" s="93"/>
      <c r="BDQ3" s="93"/>
      <c r="BDR3" s="93"/>
      <c r="BDS3" s="93"/>
      <c r="BDT3" s="93"/>
      <c r="BDU3" s="93"/>
      <c r="BDV3" s="93"/>
      <c r="BDW3" s="93"/>
      <c r="BDX3" s="93"/>
      <c r="BDY3" s="93"/>
      <c r="BDZ3" s="93"/>
      <c r="BEA3" s="93"/>
      <c r="BEB3" s="93"/>
      <c r="BEC3" s="93"/>
      <c r="BED3" s="93"/>
      <c r="BEE3" s="93"/>
      <c r="BEF3" s="93"/>
      <c r="BEG3" s="93"/>
      <c r="BEH3" s="93"/>
      <c r="BEI3" s="93"/>
      <c r="BEJ3" s="93"/>
      <c r="BEK3" s="93"/>
      <c r="BEL3" s="93"/>
      <c r="BEM3" s="93"/>
      <c r="BEN3" s="93"/>
      <c r="BEO3" s="93"/>
      <c r="BEP3" s="93"/>
      <c r="BEQ3" s="93"/>
      <c r="BER3" s="93"/>
      <c r="BES3" s="93"/>
      <c r="BET3" s="93"/>
      <c r="BEU3" s="93"/>
      <c r="BEV3" s="93"/>
      <c r="BEW3" s="93"/>
      <c r="BEX3" s="93"/>
      <c r="BEY3" s="93"/>
      <c r="BEZ3" s="93"/>
      <c r="BFA3" s="93"/>
      <c r="BFB3" s="93"/>
      <c r="BFC3" s="93"/>
      <c r="BFD3" s="93"/>
      <c r="BFE3" s="93"/>
      <c r="BFF3" s="93"/>
      <c r="BFG3" s="93"/>
      <c r="BFH3" s="93"/>
      <c r="BFI3" s="93"/>
      <c r="BFJ3" s="93"/>
      <c r="BFK3" s="93"/>
      <c r="BFL3" s="93"/>
      <c r="BFM3" s="93"/>
      <c r="BFN3" s="93"/>
      <c r="BFO3" s="93"/>
      <c r="BFP3" s="93"/>
      <c r="BFQ3" s="93"/>
      <c r="BFR3" s="93"/>
      <c r="BFS3" s="93"/>
      <c r="BFT3" s="93"/>
      <c r="BFU3" s="93"/>
      <c r="BFV3" s="93"/>
      <c r="BFW3" s="93"/>
      <c r="BFX3" s="93"/>
      <c r="BFY3" s="93"/>
      <c r="BFZ3" s="93"/>
      <c r="BGA3" s="93"/>
      <c r="BGB3" s="93"/>
      <c r="BGC3" s="93"/>
      <c r="BGD3" s="93"/>
      <c r="BGE3" s="93"/>
      <c r="BGF3" s="93"/>
      <c r="BGG3" s="93"/>
      <c r="BGH3" s="93"/>
      <c r="BGI3" s="93"/>
      <c r="BGJ3" s="93"/>
      <c r="BGK3" s="93"/>
      <c r="BGL3" s="93"/>
      <c r="BGM3" s="93"/>
      <c r="BGN3" s="93"/>
      <c r="BGO3" s="93"/>
      <c r="BGP3" s="93"/>
      <c r="BGQ3" s="93"/>
      <c r="BGR3" s="93"/>
      <c r="BGS3" s="93"/>
      <c r="BGT3" s="93"/>
      <c r="BGU3" s="93"/>
      <c r="BGV3" s="93"/>
      <c r="BGW3" s="93"/>
      <c r="BGX3" s="93"/>
      <c r="BGY3" s="93"/>
      <c r="BGZ3" s="93"/>
      <c r="BHA3" s="93"/>
      <c r="BHB3" s="93"/>
      <c r="BHC3" s="93"/>
      <c r="BHD3" s="93"/>
      <c r="BHE3" s="93"/>
      <c r="BHF3" s="93"/>
      <c r="BHG3" s="93"/>
      <c r="BHH3" s="93"/>
      <c r="BHI3" s="93"/>
      <c r="BHJ3" s="93"/>
      <c r="BHK3" s="93"/>
      <c r="BHL3" s="93"/>
      <c r="BHM3" s="93"/>
      <c r="BHN3" s="93"/>
      <c r="BHO3" s="93"/>
      <c r="BHP3" s="93"/>
      <c r="BHQ3" s="93"/>
      <c r="BHR3" s="93"/>
      <c r="BHS3" s="93"/>
    </row>
    <row r="4" spans="1:1579" s="94" customFormat="1" x14ac:dyDescent="0.25">
      <c r="A4" s="89"/>
      <c r="B4" s="68" t="s">
        <v>873</v>
      </c>
      <c r="C4" s="526" t="s">
        <v>1142</v>
      </c>
      <c r="D4" s="527"/>
      <c r="E4" s="71"/>
      <c r="F4" s="72"/>
      <c r="G4" s="91"/>
      <c r="H4" s="179">
        <f>SUM(H5:H9)</f>
        <v>19378.285714285717</v>
      </c>
      <c r="I4" s="550">
        <f t="shared" ref="I4:I59" si="0">+H4*100/$H$75</f>
        <v>17.154939182156543</v>
      </c>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c r="FG4" s="93"/>
      <c r="FH4" s="93"/>
      <c r="FI4" s="93"/>
      <c r="FJ4" s="93"/>
      <c r="FK4" s="93"/>
      <c r="FL4" s="93"/>
      <c r="FM4" s="93"/>
      <c r="FN4" s="93"/>
      <c r="FO4" s="93"/>
      <c r="FP4" s="93"/>
      <c r="FQ4" s="93"/>
      <c r="FR4" s="93"/>
      <c r="FS4" s="93"/>
      <c r="FT4" s="93"/>
      <c r="FU4" s="93"/>
      <c r="FV4" s="93"/>
      <c r="FW4" s="93"/>
      <c r="FX4" s="93"/>
      <c r="FY4" s="93"/>
      <c r="FZ4" s="93"/>
      <c r="GA4" s="93"/>
      <c r="GB4" s="93"/>
      <c r="GC4" s="93"/>
      <c r="GD4" s="93"/>
      <c r="GE4" s="93"/>
      <c r="GF4" s="93"/>
      <c r="GG4" s="93"/>
      <c r="GH4" s="93"/>
      <c r="GI4" s="93"/>
      <c r="GJ4" s="93"/>
      <c r="GK4" s="93"/>
      <c r="GL4" s="93"/>
      <c r="GM4" s="93"/>
      <c r="GN4" s="93"/>
      <c r="GO4" s="93"/>
      <c r="GP4" s="93"/>
      <c r="GQ4" s="93"/>
      <c r="GR4" s="93"/>
      <c r="GS4" s="93"/>
      <c r="GT4" s="93"/>
      <c r="GU4" s="93"/>
      <c r="GV4" s="93"/>
      <c r="GW4" s="93"/>
      <c r="GX4" s="93"/>
      <c r="GY4" s="93"/>
      <c r="GZ4" s="93"/>
      <c r="HA4" s="93"/>
      <c r="HB4" s="93"/>
      <c r="HC4" s="93"/>
      <c r="HD4" s="93"/>
      <c r="HE4" s="93"/>
      <c r="HF4" s="93"/>
      <c r="HG4" s="93"/>
      <c r="HH4" s="93"/>
      <c r="HI4" s="93"/>
      <c r="HJ4" s="93"/>
      <c r="HK4" s="93"/>
      <c r="HL4" s="93"/>
      <c r="HM4" s="93"/>
      <c r="HN4" s="93"/>
      <c r="HO4" s="93"/>
      <c r="HP4" s="93"/>
      <c r="HQ4" s="93"/>
      <c r="HR4" s="93"/>
      <c r="HS4" s="93"/>
      <c r="HT4" s="93"/>
      <c r="HU4" s="93"/>
      <c r="HV4" s="93"/>
      <c r="HW4" s="93"/>
      <c r="HX4" s="93"/>
      <c r="HY4" s="93"/>
      <c r="HZ4" s="93"/>
      <c r="IA4" s="93"/>
      <c r="IB4" s="93"/>
      <c r="IC4" s="93"/>
      <c r="ID4" s="93"/>
      <c r="IE4" s="93"/>
      <c r="IF4" s="93"/>
      <c r="IG4" s="93"/>
      <c r="IH4" s="93"/>
      <c r="II4" s="93"/>
      <c r="IJ4" s="93"/>
      <c r="IK4" s="93"/>
      <c r="IL4" s="93"/>
      <c r="IM4" s="93"/>
      <c r="IN4" s="93"/>
      <c r="IO4" s="93"/>
      <c r="IP4" s="93"/>
      <c r="IQ4" s="93"/>
      <c r="IR4" s="93"/>
      <c r="IS4" s="93"/>
      <c r="IT4" s="93"/>
      <c r="IU4" s="93"/>
      <c r="IV4" s="93"/>
      <c r="IW4" s="93"/>
      <c r="IX4" s="93"/>
      <c r="IY4" s="93"/>
      <c r="IZ4" s="93"/>
      <c r="JA4" s="93"/>
      <c r="JB4" s="93"/>
      <c r="JC4" s="93"/>
      <c r="JD4" s="93"/>
      <c r="JE4" s="93"/>
      <c r="JF4" s="93"/>
      <c r="JG4" s="93"/>
      <c r="JH4" s="93"/>
      <c r="JI4" s="93"/>
      <c r="JJ4" s="93"/>
      <c r="JK4" s="93"/>
      <c r="JL4" s="93"/>
      <c r="JM4" s="93"/>
      <c r="JN4" s="93"/>
      <c r="JO4" s="93"/>
      <c r="JP4" s="93"/>
      <c r="JQ4" s="93"/>
      <c r="JR4" s="93"/>
      <c r="JS4" s="93"/>
      <c r="JT4" s="93"/>
      <c r="JU4" s="93"/>
      <c r="JV4" s="93"/>
      <c r="JW4" s="93"/>
      <c r="JX4" s="93"/>
      <c r="JY4" s="93"/>
      <c r="JZ4" s="93"/>
      <c r="KA4" s="93"/>
      <c r="KB4" s="93"/>
      <c r="KC4" s="93"/>
      <c r="KD4" s="93"/>
      <c r="KE4" s="93"/>
      <c r="KF4" s="93"/>
      <c r="KG4" s="93"/>
      <c r="KH4" s="93"/>
      <c r="KI4" s="93"/>
      <c r="KJ4" s="93"/>
      <c r="KK4" s="93"/>
      <c r="KL4" s="93"/>
      <c r="KM4" s="93"/>
      <c r="KN4" s="93"/>
      <c r="KO4" s="93"/>
      <c r="KP4" s="93"/>
      <c r="KQ4" s="93"/>
      <c r="KR4" s="93"/>
      <c r="KS4" s="93"/>
      <c r="KT4" s="93"/>
      <c r="KU4" s="93"/>
      <c r="KV4" s="93"/>
      <c r="KW4" s="93"/>
      <c r="KX4" s="93"/>
      <c r="KY4" s="93"/>
      <c r="KZ4" s="93"/>
      <c r="LA4" s="93"/>
      <c r="LB4" s="93"/>
      <c r="LC4" s="93"/>
      <c r="LD4" s="93"/>
      <c r="LE4" s="93"/>
      <c r="LF4" s="93"/>
      <c r="LG4" s="93"/>
      <c r="LH4" s="93"/>
      <c r="LI4" s="93"/>
      <c r="LJ4" s="93"/>
      <c r="LK4" s="93"/>
      <c r="LL4" s="93"/>
      <c r="LM4" s="93"/>
      <c r="LN4" s="93"/>
      <c r="LO4" s="93"/>
      <c r="LP4" s="93"/>
      <c r="LQ4" s="93"/>
      <c r="LR4" s="93"/>
      <c r="LS4" s="93"/>
      <c r="LT4" s="93"/>
      <c r="LU4" s="93"/>
      <c r="LV4" s="93"/>
      <c r="LW4" s="93"/>
      <c r="LX4" s="93"/>
      <c r="LY4" s="93"/>
      <c r="LZ4" s="93"/>
      <c r="MA4" s="93"/>
      <c r="MB4" s="93"/>
      <c r="MC4" s="93"/>
      <c r="MD4" s="93"/>
      <c r="ME4" s="93"/>
      <c r="MF4" s="93"/>
      <c r="MG4" s="93"/>
      <c r="MH4" s="93"/>
      <c r="MI4" s="93"/>
      <c r="MJ4" s="93"/>
      <c r="MK4" s="93"/>
      <c r="ML4" s="93"/>
      <c r="MM4" s="93"/>
      <c r="MN4" s="93"/>
      <c r="MO4" s="93"/>
      <c r="MP4" s="93"/>
      <c r="MQ4" s="93"/>
      <c r="MR4" s="93"/>
      <c r="MS4" s="93"/>
      <c r="MT4" s="93"/>
      <c r="MU4" s="93"/>
      <c r="MV4" s="93"/>
      <c r="MW4" s="93"/>
      <c r="MX4" s="93"/>
      <c r="MY4" s="93"/>
      <c r="MZ4" s="93"/>
      <c r="NA4" s="93"/>
      <c r="NB4" s="93"/>
      <c r="NC4" s="93"/>
      <c r="ND4" s="93"/>
      <c r="NE4" s="93"/>
      <c r="NF4" s="93"/>
      <c r="NG4" s="93"/>
      <c r="NH4" s="93"/>
      <c r="NI4" s="93"/>
      <c r="NJ4" s="93"/>
      <c r="NK4" s="93"/>
      <c r="NL4" s="93"/>
      <c r="NM4" s="93"/>
      <c r="NN4" s="93"/>
      <c r="NO4" s="93"/>
      <c r="NP4" s="93"/>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c r="RZ4" s="93"/>
      <c r="SA4" s="93"/>
      <c r="SB4" s="93"/>
      <c r="SC4" s="93"/>
      <c r="SD4" s="93"/>
      <c r="SE4" s="93"/>
      <c r="SF4" s="93"/>
      <c r="SG4" s="93"/>
      <c r="SH4" s="93"/>
      <c r="SI4" s="93"/>
      <c r="SJ4" s="93"/>
      <c r="SK4" s="93"/>
      <c r="SL4" s="93"/>
      <c r="SM4" s="93"/>
      <c r="SN4" s="93"/>
      <c r="SO4" s="93"/>
      <c r="SP4" s="93"/>
      <c r="SQ4" s="93"/>
      <c r="SR4" s="93"/>
      <c r="SS4" s="93"/>
      <c r="ST4" s="93"/>
      <c r="SU4" s="93"/>
      <c r="SV4" s="93"/>
      <c r="SW4" s="93"/>
      <c r="SX4" s="93"/>
      <c r="SY4" s="93"/>
      <c r="SZ4" s="93"/>
      <c r="TA4" s="93"/>
      <c r="TB4" s="93"/>
      <c r="TC4" s="93"/>
      <c r="TD4" s="93"/>
      <c r="TE4" s="93"/>
      <c r="TF4" s="93"/>
      <c r="TG4" s="93"/>
      <c r="TH4" s="93"/>
      <c r="TI4" s="93"/>
      <c r="TJ4" s="93"/>
      <c r="TK4" s="93"/>
      <c r="TL4" s="93"/>
      <c r="TM4" s="93"/>
      <c r="TN4" s="93"/>
      <c r="TO4" s="93"/>
      <c r="TP4" s="93"/>
      <c r="TQ4" s="93"/>
      <c r="TR4" s="93"/>
      <c r="TS4" s="93"/>
      <c r="TT4" s="93"/>
      <c r="TU4" s="93"/>
      <c r="TV4" s="93"/>
      <c r="TW4" s="93"/>
      <c r="TX4" s="93"/>
      <c r="TY4" s="93"/>
      <c r="TZ4" s="93"/>
      <c r="UA4" s="93"/>
      <c r="UB4" s="93"/>
      <c r="UC4" s="93"/>
      <c r="UD4" s="93"/>
      <c r="UE4" s="93"/>
      <c r="UF4" s="93"/>
      <c r="UG4" s="93"/>
      <c r="UH4" s="93"/>
      <c r="UI4" s="93"/>
      <c r="UJ4" s="93"/>
      <c r="UK4" s="93"/>
      <c r="UL4" s="93"/>
      <c r="UM4" s="93"/>
      <c r="UN4" s="93"/>
      <c r="UO4" s="93"/>
      <c r="UP4" s="93"/>
      <c r="UQ4" s="93"/>
      <c r="UR4" s="93"/>
      <c r="US4" s="93"/>
      <c r="UT4" s="93"/>
      <c r="UU4" s="93"/>
      <c r="UV4" s="93"/>
      <c r="UW4" s="93"/>
      <c r="UX4" s="93"/>
      <c r="UY4" s="93"/>
      <c r="UZ4" s="93"/>
      <c r="VA4" s="93"/>
      <c r="VB4" s="93"/>
      <c r="VC4" s="93"/>
      <c r="VD4" s="93"/>
      <c r="VE4" s="93"/>
      <c r="VF4" s="93"/>
      <c r="VG4" s="93"/>
      <c r="VH4" s="93"/>
      <c r="VI4" s="93"/>
      <c r="VJ4" s="93"/>
      <c r="VK4" s="93"/>
      <c r="VL4" s="93"/>
      <c r="VM4" s="93"/>
      <c r="VN4" s="93"/>
      <c r="VO4" s="93"/>
      <c r="VP4" s="93"/>
      <c r="VQ4" s="93"/>
      <c r="VR4" s="93"/>
      <c r="VS4" s="93"/>
      <c r="VT4" s="93"/>
      <c r="VU4" s="93"/>
      <c r="VV4" s="93"/>
      <c r="VW4" s="93"/>
      <c r="VX4" s="93"/>
      <c r="VY4" s="93"/>
      <c r="VZ4" s="93"/>
      <c r="WA4" s="93"/>
      <c r="WB4" s="93"/>
      <c r="WC4" s="93"/>
      <c r="WD4" s="93"/>
      <c r="WE4" s="93"/>
      <c r="WF4" s="93"/>
      <c r="WG4" s="93"/>
      <c r="WH4" s="93"/>
      <c r="WI4" s="93"/>
      <c r="WJ4" s="93"/>
      <c r="WK4" s="93"/>
      <c r="WL4" s="93"/>
      <c r="WM4" s="93"/>
      <c r="WN4" s="93"/>
      <c r="WO4" s="93"/>
      <c r="WP4" s="93"/>
      <c r="WQ4" s="93"/>
      <c r="WR4" s="93"/>
      <c r="WS4" s="93"/>
      <c r="WT4" s="93"/>
      <c r="WU4" s="93"/>
      <c r="WV4" s="93"/>
      <c r="WW4" s="93"/>
      <c r="WX4" s="93"/>
      <c r="WY4" s="93"/>
      <c r="WZ4" s="93"/>
      <c r="XA4" s="93"/>
      <c r="XB4" s="93"/>
      <c r="XC4" s="93"/>
      <c r="XD4" s="93"/>
      <c r="XE4" s="93"/>
      <c r="XF4" s="93"/>
      <c r="XG4" s="93"/>
      <c r="XH4" s="93"/>
      <c r="XI4" s="93"/>
      <c r="XJ4" s="93"/>
      <c r="XK4" s="93"/>
      <c r="XL4" s="93"/>
      <c r="XM4" s="93"/>
      <c r="XN4" s="93"/>
      <c r="XO4" s="93"/>
      <c r="XP4" s="93"/>
      <c r="XQ4" s="93"/>
      <c r="XR4" s="93"/>
      <c r="XS4" s="93"/>
      <c r="XT4" s="93"/>
      <c r="XU4" s="93"/>
      <c r="XV4" s="93"/>
      <c r="XW4" s="93"/>
      <c r="XX4" s="93"/>
      <c r="XY4" s="93"/>
      <c r="XZ4" s="93"/>
      <c r="YA4" s="93"/>
      <c r="YB4" s="93"/>
      <c r="YC4" s="93"/>
      <c r="YD4" s="93"/>
      <c r="YE4" s="93"/>
      <c r="YF4" s="93"/>
      <c r="YG4" s="93"/>
      <c r="YH4" s="93"/>
      <c r="YI4" s="93"/>
      <c r="YJ4" s="93"/>
      <c r="YK4" s="93"/>
      <c r="YL4" s="93"/>
      <c r="YM4" s="93"/>
      <c r="YN4" s="93"/>
      <c r="YO4" s="93"/>
      <c r="YP4" s="93"/>
      <c r="YQ4" s="93"/>
      <c r="YR4" s="93"/>
      <c r="YS4" s="93"/>
      <c r="YT4" s="93"/>
      <c r="YU4" s="93"/>
      <c r="YV4" s="93"/>
      <c r="YW4" s="93"/>
      <c r="YX4" s="93"/>
      <c r="YY4" s="93"/>
      <c r="YZ4" s="93"/>
      <c r="ZA4" s="93"/>
      <c r="ZB4" s="93"/>
      <c r="ZC4" s="93"/>
      <c r="ZD4" s="93"/>
      <c r="ZE4" s="93"/>
      <c r="ZF4" s="93"/>
      <c r="ZG4" s="93"/>
      <c r="ZH4" s="93"/>
      <c r="ZI4" s="93"/>
      <c r="ZJ4" s="93"/>
      <c r="ZK4" s="93"/>
      <c r="ZL4" s="93"/>
      <c r="ZM4" s="93"/>
      <c r="ZN4" s="93"/>
      <c r="ZO4" s="93"/>
      <c r="ZP4" s="93"/>
      <c r="ZQ4" s="93"/>
      <c r="ZR4" s="93"/>
      <c r="ZS4" s="93"/>
      <c r="ZT4" s="93"/>
      <c r="ZU4" s="93"/>
      <c r="ZV4" s="93"/>
      <c r="ZW4" s="93"/>
      <c r="ZX4" s="93"/>
      <c r="ZY4" s="93"/>
      <c r="ZZ4" s="93"/>
      <c r="AAA4" s="93"/>
      <c r="AAB4" s="93"/>
      <c r="AAC4" s="93"/>
      <c r="AAD4" s="93"/>
      <c r="AAE4" s="93"/>
      <c r="AAF4" s="93"/>
      <c r="AAG4" s="93"/>
      <c r="AAH4" s="93"/>
      <c r="AAI4" s="93"/>
      <c r="AAJ4" s="93"/>
      <c r="AAK4" s="93"/>
      <c r="AAL4" s="93"/>
      <c r="AAM4" s="93"/>
      <c r="AAN4" s="93"/>
      <c r="AAO4" s="93"/>
      <c r="AAP4" s="93"/>
      <c r="AAQ4" s="93"/>
      <c r="AAR4" s="93"/>
      <c r="AAS4" s="93"/>
      <c r="AAT4" s="93"/>
      <c r="AAU4" s="93"/>
      <c r="AAV4" s="93"/>
      <c r="AAW4" s="93"/>
      <c r="AAX4" s="93"/>
      <c r="AAY4" s="93"/>
      <c r="AAZ4" s="93"/>
      <c r="ABA4" s="93"/>
      <c r="ABB4" s="93"/>
      <c r="ABC4" s="93"/>
      <c r="ABD4" s="93"/>
      <c r="ABE4" s="93"/>
      <c r="ABF4" s="93"/>
      <c r="ABG4" s="93"/>
      <c r="ABH4" s="93"/>
      <c r="ABI4" s="93"/>
      <c r="ABJ4" s="93"/>
      <c r="ABK4" s="93"/>
      <c r="ABL4" s="93"/>
      <c r="ABM4" s="93"/>
      <c r="ABN4" s="93"/>
      <c r="ABO4" s="93"/>
      <c r="ABP4" s="93"/>
      <c r="ABQ4" s="93"/>
      <c r="ABR4" s="93"/>
      <c r="ABS4" s="93"/>
      <c r="ABT4" s="93"/>
      <c r="ABU4" s="93"/>
      <c r="ABV4" s="93"/>
      <c r="ABW4" s="93"/>
      <c r="ABX4" s="93"/>
      <c r="ABY4" s="93"/>
      <c r="ABZ4" s="93"/>
      <c r="ACA4" s="93"/>
      <c r="ACB4" s="93"/>
      <c r="ACC4" s="93"/>
      <c r="ACD4" s="93"/>
      <c r="ACE4" s="93"/>
      <c r="ACF4" s="93"/>
      <c r="ACG4" s="93"/>
      <c r="ACH4" s="93"/>
      <c r="ACI4" s="93"/>
      <c r="ACJ4" s="93"/>
      <c r="ACK4" s="93"/>
      <c r="ACL4" s="93"/>
      <c r="ACM4" s="93"/>
      <c r="ACN4" s="93"/>
      <c r="ACO4" s="93"/>
      <c r="ACP4" s="93"/>
      <c r="ACQ4" s="93"/>
      <c r="ACR4" s="93"/>
      <c r="ACS4" s="93"/>
      <c r="ACT4" s="93"/>
      <c r="ACU4" s="93"/>
      <c r="ACV4" s="93"/>
      <c r="ACW4" s="93"/>
      <c r="ACX4" s="93"/>
      <c r="ACY4" s="93"/>
      <c r="ACZ4" s="93"/>
      <c r="ADA4" s="93"/>
      <c r="ADB4" s="93"/>
      <c r="ADC4" s="93"/>
      <c r="ADD4" s="93"/>
      <c r="ADE4" s="93"/>
      <c r="ADF4" s="93"/>
      <c r="ADG4" s="93"/>
      <c r="ADH4" s="93"/>
      <c r="ADI4" s="93"/>
      <c r="ADJ4" s="93"/>
      <c r="ADK4" s="93"/>
      <c r="ADL4" s="93"/>
      <c r="ADM4" s="93"/>
      <c r="ADN4" s="93"/>
      <c r="ADO4" s="93"/>
      <c r="ADP4" s="93"/>
      <c r="ADQ4" s="93"/>
      <c r="ADR4" s="93"/>
      <c r="ADS4" s="93"/>
      <c r="ADT4" s="93"/>
      <c r="ADU4" s="93"/>
      <c r="ADV4" s="93"/>
      <c r="ADW4" s="93"/>
      <c r="ADX4" s="93"/>
      <c r="ADY4" s="93"/>
      <c r="ADZ4" s="93"/>
      <c r="AEA4" s="93"/>
      <c r="AEB4" s="93"/>
      <c r="AEC4" s="93"/>
      <c r="AED4" s="93"/>
      <c r="AEE4" s="93"/>
      <c r="AEF4" s="93"/>
      <c r="AEG4" s="93"/>
      <c r="AEH4" s="93"/>
      <c r="AEI4" s="93"/>
      <c r="AEJ4" s="93"/>
      <c r="AEK4" s="93"/>
      <c r="AEL4" s="93"/>
      <c r="AEM4" s="93"/>
      <c r="AEN4" s="93"/>
      <c r="AEO4" s="93"/>
      <c r="AEP4" s="93"/>
      <c r="AEQ4" s="93"/>
      <c r="AER4" s="93"/>
      <c r="AES4" s="93"/>
      <c r="AET4" s="93"/>
      <c r="AEU4" s="93"/>
      <c r="AEV4" s="93"/>
      <c r="AEW4" s="93"/>
      <c r="AEX4" s="93"/>
      <c r="AEY4" s="93"/>
      <c r="AEZ4" s="93"/>
      <c r="AFA4" s="93"/>
      <c r="AFB4" s="93"/>
      <c r="AFC4" s="93"/>
      <c r="AFD4" s="93"/>
      <c r="AFE4" s="93"/>
      <c r="AFF4" s="93"/>
      <c r="AFG4" s="93"/>
      <c r="AFH4" s="93"/>
      <c r="AFI4" s="93"/>
      <c r="AFJ4" s="93"/>
      <c r="AFK4" s="93"/>
      <c r="AFL4" s="93"/>
      <c r="AFM4" s="93"/>
      <c r="AFN4" s="93"/>
      <c r="AFO4" s="93"/>
      <c r="AFP4" s="93"/>
      <c r="AFQ4" s="93"/>
      <c r="AFR4" s="93"/>
      <c r="AFS4" s="93"/>
      <c r="AFT4" s="93"/>
      <c r="AFU4" s="93"/>
      <c r="AFV4" s="93"/>
      <c r="AFW4" s="93"/>
      <c r="AFX4" s="93"/>
      <c r="AFY4" s="93"/>
      <c r="AFZ4" s="93"/>
      <c r="AGA4" s="93"/>
      <c r="AGB4" s="93"/>
      <c r="AGC4" s="93"/>
      <c r="AGD4" s="93"/>
      <c r="AGE4" s="93"/>
      <c r="AGF4" s="93"/>
      <c r="AGG4" s="93"/>
      <c r="AGH4" s="93"/>
      <c r="AGI4" s="93"/>
      <c r="AGJ4" s="93"/>
      <c r="AGK4" s="93"/>
      <c r="AGL4" s="93"/>
      <c r="AGM4" s="93"/>
      <c r="AGN4" s="93"/>
      <c r="AGO4" s="93"/>
      <c r="AGP4" s="93"/>
      <c r="AGQ4" s="93"/>
      <c r="AGR4" s="93"/>
      <c r="AGS4" s="93"/>
      <c r="AGT4" s="93"/>
      <c r="AGU4" s="93"/>
      <c r="AGV4" s="93"/>
      <c r="AGW4" s="93"/>
      <c r="AGX4" s="93"/>
      <c r="AGY4" s="93"/>
      <c r="AGZ4" s="93"/>
      <c r="AHA4" s="93"/>
      <c r="AHB4" s="93"/>
      <c r="AHC4" s="93"/>
      <c r="AHD4" s="93"/>
      <c r="AHE4" s="93"/>
      <c r="AHF4" s="93"/>
      <c r="AHG4" s="93"/>
      <c r="AHH4" s="93"/>
      <c r="AHI4" s="93"/>
      <c r="AHJ4" s="93"/>
      <c r="AHK4" s="93"/>
      <c r="AHL4" s="93"/>
      <c r="AHM4" s="93"/>
      <c r="AHN4" s="93"/>
      <c r="AHO4" s="93"/>
      <c r="AHP4" s="93"/>
      <c r="AHQ4" s="93"/>
      <c r="AHR4" s="93"/>
      <c r="AHS4" s="93"/>
      <c r="AHT4" s="93"/>
      <c r="AHU4" s="93"/>
      <c r="AHV4" s="93"/>
      <c r="AHW4" s="93"/>
      <c r="AHX4" s="93"/>
      <c r="AHY4" s="93"/>
      <c r="AHZ4" s="93"/>
      <c r="AIA4" s="93"/>
      <c r="AIB4" s="93"/>
      <c r="AIC4" s="93"/>
      <c r="AID4" s="93"/>
      <c r="AIE4" s="93"/>
      <c r="AIF4" s="93"/>
      <c r="AIG4" s="93"/>
      <c r="AIH4" s="93"/>
      <c r="AII4" s="93"/>
      <c r="AIJ4" s="93"/>
      <c r="AIK4" s="93"/>
      <c r="AIL4" s="93"/>
      <c r="AIM4" s="93"/>
      <c r="AIN4" s="93"/>
      <c r="AIO4" s="93"/>
      <c r="AIP4" s="93"/>
      <c r="AIQ4" s="93"/>
      <c r="AIR4" s="93"/>
      <c r="AIS4" s="93"/>
      <c r="AIT4" s="93"/>
      <c r="AIU4" s="93"/>
      <c r="AIV4" s="93"/>
      <c r="AIW4" s="93"/>
      <c r="AIX4" s="93"/>
      <c r="AIY4" s="93"/>
      <c r="AIZ4" s="93"/>
      <c r="AJA4" s="93"/>
      <c r="AJB4" s="93"/>
      <c r="AJC4" s="93"/>
      <c r="AJD4" s="93"/>
      <c r="AJE4" s="93"/>
      <c r="AJF4" s="93"/>
      <c r="AJG4" s="93"/>
      <c r="AJH4" s="93"/>
      <c r="AJI4" s="93"/>
      <c r="AJJ4" s="93"/>
      <c r="AJK4" s="93"/>
      <c r="AJL4" s="93"/>
      <c r="AJM4" s="93"/>
      <c r="AJN4" s="93"/>
      <c r="AJO4" s="93"/>
      <c r="AJP4" s="93"/>
      <c r="AJQ4" s="93"/>
      <c r="AJR4" s="93"/>
      <c r="AJS4" s="93"/>
      <c r="AJT4" s="93"/>
      <c r="AJU4" s="93"/>
      <c r="AJV4" s="93"/>
      <c r="AJW4" s="93"/>
      <c r="AJX4" s="93"/>
      <c r="AJY4" s="93"/>
      <c r="AJZ4" s="93"/>
      <c r="AKA4" s="93"/>
      <c r="AKB4" s="93"/>
      <c r="AKC4" s="93"/>
      <c r="AKD4" s="93"/>
      <c r="AKE4" s="93"/>
      <c r="AKF4" s="93"/>
      <c r="AKG4" s="93"/>
      <c r="AKH4" s="93"/>
      <c r="AKI4" s="93"/>
      <c r="AKJ4" s="93"/>
      <c r="AKK4" s="93"/>
      <c r="AKL4" s="93"/>
      <c r="AKM4" s="93"/>
      <c r="AKN4" s="93"/>
      <c r="AKO4" s="93"/>
      <c r="AKP4" s="93"/>
      <c r="AKQ4" s="93"/>
      <c r="AKR4" s="93"/>
      <c r="AKS4" s="93"/>
      <c r="AKT4" s="93"/>
      <c r="AKU4" s="93"/>
      <c r="AKV4" s="93"/>
      <c r="AKW4" s="93"/>
      <c r="AKX4" s="93"/>
      <c r="AKY4" s="93"/>
      <c r="AKZ4" s="93"/>
      <c r="ALA4" s="93"/>
      <c r="ALB4" s="93"/>
      <c r="ALC4" s="93"/>
      <c r="ALD4" s="93"/>
      <c r="ALE4" s="93"/>
      <c r="ALF4" s="93"/>
      <c r="ALG4" s="93"/>
      <c r="ALH4" s="93"/>
      <c r="ALI4" s="93"/>
      <c r="ALJ4" s="93"/>
      <c r="ALK4" s="93"/>
      <c r="ALL4" s="93"/>
      <c r="ALM4" s="93"/>
      <c r="ALN4" s="93"/>
      <c r="ALO4" s="93"/>
      <c r="ALP4" s="93"/>
      <c r="ALQ4" s="93"/>
      <c r="ALR4" s="93"/>
      <c r="ALS4" s="93"/>
      <c r="ALT4" s="93"/>
      <c r="ALU4" s="93"/>
      <c r="ALV4" s="93"/>
      <c r="ALW4" s="93"/>
      <c r="ALX4" s="93"/>
      <c r="ALY4" s="93"/>
      <c r="ALZ4" s="93"/>
      <c r="AMA4" s="93"/>
      <c r="AMB4" s="93"/>
      <c r="AMC4" s="93"/>
      <c r="AMD4" s="93"/>
      <c r="AME4" s="93"/>
      <c r="AMF4" s="93"/>
      <c r="AMG4" s="93"/>
      <c r="AMH4" s="93"/>
      <c r="AMI4" s="93"/>
      <c r="AMJ4" s="93"/>
      <c r="AMK4" s="93"/>
      <c r="AML4" s="93"/>
      <c r="AMM4" s="93"/>
      <c r="AMN4" s="93"/>
      <c r="AMO4" s="93"/>
      <c r="AMP4" s="93"/>
      <c r="AMQ4" s="93"/>
      <c r="AMR4" s="93"/>
      <c r="AMS4" s="93"/>
      <c r="AMT4" s="93"/>
      <c r="AMU4" s="93"/>
      <c r="AMV4" s="93"/>
      <c r="AMW4" s="93"/>
      <c r="AMX4" s="93"/>
      <c r="AMY4" s="93"/>
      <c r="AMZ4" s="93"/>
      <c r="ANA4" s="93"/>
      <c r="ANB4" s="93"/>
      <c r="ANC4" s="93"/>
      <c r="AND4" s="93"/>
      <c r="ANE4" s="93"/>
      <c r="ANF4" s="93"/>
      <c r="ANG4" s="93"/>
      <c r="ANH4" s="93"/>
      <c r="ANI4" s="93"/>
      <c r="ANJ4" s="93"/>
      <c r="ANK4" s="93"/>
      <c r="ANL4" s="93"/>
      <c r="ANM4" s="93"/>
      <c r="ANN4" s="93"/>
      <c r="ANO4" s="93"/>
      <c r="ANP4" s="93"/>
      <c r="ANQ4" s="93"/>
      <c r="ANR4" s="93"/>
      <c r="ANS4" s="93"/>
      <c r="ANT4" s="93"/>
      <c r="ANU4" s="93"/>
      <c r="ANV4" s="93"/>
      <c r="ANW4" s="93"/>
      <c r="ANX4" s="93"/>
      <c r="ANY4" s="93"/>
      <c r="ANZ4" s="93"/>
      <c r="AOA4" s="93"/>
      <c r="AOB4" s="93"/>
      <c r="AOC4" s="93"/>
      <c r="AOD4" s="93"/>
      <c r="AOE4" s="93"/>
      <c r="AOF4" s="93"/>
      <c r="AOG4" s="93"/>
      <c r="AOH4" s="93"/>
      <c r="AOI4" s="93"/>
      <c r="AOJ4" s="93"/>
      <c r="AOK4" s="93"/>
      <c r="AOL4" s="93"/>
      <c r="AOM4" s="93"/>
      <c r="AON4" s="93"/>
      <c r="AOO4" s="93"/>
      <c r="AOP4" s="93"/>
      <c r="AOQ4" s="93"/>
      <c r="AOR4" s="93"/>
      <c r="AOS4" s="93"/>
      <c r="AOT4" s="93"/>
      <c r="AOU4" s="93"/>
      <c r="AOV4" s="93"/>
      <c r="AOW4" s="93"/>
      <c r="AOX4" s="93"/>
      <c r="AOY4" s="93"/>
      <c r="AOZ4" s="93"/>
      <c r="APA4" s="93"/>
      <c r="APB4" s="93"/>
      <c r="APC4" s="93"/>
      <c r="APD4" s="93"/>
      <c r="APE4" s="93"/>
      <c r="APF4" s="93"/>
      <c r="APG4" s="93"/>
      <c r="APH4" s="93"/>
      <c r="API4" s="93"/>
      <c r="APJ4" s="93"/>
      <c r="APK4" s="93"/>
      <c r="APL4" s="93"/>
      <c r="APM4" s="93"/>
      <c r="APN4" s="93"/>
      <c r="APO4" s="93"/>
      <c r="APP4" s="93"/>
      <c r="APQ4" s="93"/>
      <c r="APR4" s="93"/>
      <c r="APS4" s="93"/>
      <c r="APT4" s="93"/>
      <c r="APU4" s="93"/>
      <c r="APV4" s="93"/>
      <c r="APW4" s="93"/>
      <c r="APX4" s="93"/>
      <c r="APY4" s="93"/>
      <c r="APZ4" s="93"/>
      <c r="AQA4" s="93"/>
      <c r="AQB4" s="93"/>
      <c r="AQC4" s="93"/>
      <c r="AQD4" s="93"/>
      <c r="AQE4" s="93"/>
      <c r="AQF4" s="93"/>
      <c r="AQG4" s="93"/>
      <c r="AQH4" s="93"/>
      <c r="AQI4" s="93"/>
      <c r="AQJ4" s="93"/>
      <c r="AQK4" s="93"/>
      <c r="AQL4" s="93"/>
      <c r="AQM4" s="93"/>
      <c r="AQN4" s="93"/>
      <c r="AQO4" s="93"/>
      <c r="AQP4" s="93"/>
      <c r="AQQ4" s="93"/>
      <c r="AQR4" s="93"/>
      <c r="AQS4" s="93"/>
      <c r="AQT4" s="93"/>
      <c r="AQU4" s="93"/>
      <c r="AQV4" s="93"/>
      <c r="AQW4" s="93"/>
      <c r="AQX4" s="93"/>
      <c r="AQY4" s="93"/>
      <c r="AQZ4" s="93"/>
      <c r="ARA4" s="93"/>
      <c r="ARB4" s="93"/>
      <c r="ARC4" s="93"/>
      <c r="ARD4" s="93"/>
      <c r="ARE4" s="93"/>
      <c r="ARF4" s="93"/>
      <c r="ARG4" s="93"/>
      <c r="ARH4" s="93"/>
      <c r="ARI4" s="93"/>
      <c r="ARJ4" s="93"/>
      <c r="ARK4" s="93"/>
      <c r="ARL4" s="93"/>
      <c r="ARM4" s="93"/>
      <c r="ARN4" s="93"/>
      <c r="ARO4" s="93"/>
      <c r="ARP4" s="93"/>
      <c r="ARQ4" s="93"/>
      <c r="ARR4" s="93"/>
      <c r="ARS4" s="93"/>
      <c r="ART4" s="93"/>
      <c r="ARU4" s="93"/>
      <c r="ARV4" s="93"/>
      <c r="ARW4" s="93"/>
      <c r="ARX4" s="93"/>
      <c r="ARY4" s="93"/>
      <c r="ARZ4" s="93"/>
      <c r="ASA4" s="93"/>
      <c r="ASB4" s="93"/>
      <c r="ASC4" s="93"/>
      <c r="ASD4" s="93"/>
      <c r="ASE4" s="93"/>
      <c r="ASF4" s="93"/>
      <c r="ASG4" s="93"/>
      <c r="ASH4" s="93"/>
      <c r="ASI4" s="93"/>
      <c r="ASJ4" s="93"/>
      <c r="ASK4" s="93"/>
      <c r="ASL4" s="93"/>
      <c r="ASM4" s="93"/>
      <c r="ASN4" s="93"/>
      <c r="ASO4" s="93"/>
      <c r="ASP4" s="93"/>
      <c r="ASQ4" s="93"/>
      <c r="ASR4" s="93"/>
      <c r="ASS4" s="93"/>
      <c r="AST4" s="93"/>
      <c r="ASU4" s="93"/>
      <c r="ASV4" s="93"/>
      <c r="ASW4" s="93"/>
      <c r="ASX4" s="93"/>
      <c r="ASY4" s="93"/>
      <c r="ASZ4" s="93"/>
      <c r="ATA4" s="93"/>
      <c r="ATB4" s="93"/>
      <c r="ATC4" s="93"/>
      <c r="ATD4" s="93"/>
      <c r="ATE4" s="93"/>
      <c r="ATF4" s="93"/>
      <c r="ATG4" s="93"/>
      <c r="ATH4" s="93"/>
      <c r="ATI4" s="93"/>
      <c r="ATJ4" s="93"/>
      <c r="ATK4" s="93"/>
      <c r="ATL4" s="93"/>
      <c r="ATM4" s="93"/>
      <c r="ATN4" s="93"/>
      <c r="ATO4" s="93"/>
      <c r="ATP4" s="93"/>
      <c r="ATQ4" s="93"/>
      <c r="ATR4" s="93"/>
      <c r="ATS4" s="93"/>
      <c r="ATT4" s="93"/>
      <c r="ATU4" s="93"/>
      <c r="ATV4" s="93"/>
      <c r="ATW4" s="93"/>
      <c r="ATX4" s="93"/>
      <c r="ATY4" s="93"/>
      <c r="ATZ4" s="93"/>
      <c r="AUA4" s="93"/>
      <c r="AUB4" s="93"/>
      <c r="AUC4" s="93"/>
      <c r="AUD4" s="93"/>
      <c r="AUE4" s="93"/>
      <c r="AUF4" s="93"/>
      <c r="AUG4" s="93"/>
      <c r="AUH4" s="93"/>
      <c r="AUI4" s="93"/>
      <c r="AUJ4" s="93"/>
      <c r="AUK4" s="93"/>
      <c r="AUL4" s="93"/>
      <c r="AUM4" s="93"/>
      <c r="AUN4" s="93"/>
      <c r="AUO4" s="93"/>
      <c r="AUP4" s="93"/>
      <c r="AUQ4" s="93"/>
      <c r="AUR4" s="93"/>
      <c r="AUS4" s="93"/>
      <c r="AUT4" s="93"/>
      <c r="AUU4" s="93"/>
      <c r="AUV4" s="93"/>
      <c r="AUW4" s="93"/>
      <c r="AUX4" s="93"/>
      <c r="AUY4" s="93"/>
      <c r="AUZ4" s="93"/>
      <c r="AVA4" s="93"/>
      <c r="AVB4" s="93"/>
      <c r="AVC4" s="93"/>
      <c r="AVD4" s="93"/>
      <c r="AVE4" s="93"/>
      <c r="AVF4" s="93"/>
      <c r="AVG4" s="93"/>
      <c r="AVH4" s="93"/>
      <c r="AVI4" s="93"/>
      <c r="AVJ4" s="93"/>
      <c r="AVK4" s="93"/>
      <c r="AVL4" s="93"/>
      <c r="AVM4" s="93"/>
      <c r="AVN4" s="93"/>
      <c r="AVO4" s="93"/>
      <c r="AVP4" s="93"/>
      <c r="AVQ4" s="93"/>
      <c r="AVR4" s="93"/>
      <c r="AVS4" s="93"/>
      <c r="AVT4" s="93"/>
      <c r="AVU4" s="93"/>
      <c r="AVV4" s="93"/>
      <c r="AVW4" s="93"/>
      <c r="AVX4" s="93"/>
      <c r="AVY4" s="93"/>
      <c r="AVZ4" s="93"/>
      <c r="AWA4" s="93"/>
      <c r="AWB4" s="93"/>
      <c r="AWC4" s="93"/>
      <c r="AWD4" s="93"/>
      <c r="AWE4" s="93"/>
      <c r="AWF4" s="93"/>
      <c r="AWG4" s="93"/>
      <c r="AWH4" s="93"/>
      <c r="AWI4" s="93"/>
      <c r="AWJ4" s="93"/>
      <c r="AWK4" s="93"/>
      <c r="AWL4" s="93"/>
      <c r="AWM4" s="93"/>
      <c r="AWN4" s="93"/>
      <c r="AWO4" s="93"/>
      <c r="AWP4" s="93"/>
      <c r="AWQ4" s="93"/>
      <c r="AWR4" s="93"/>
      <c r="AWS4" s="93"/>
      <c r="AWT4" s="93"/>
      <c r="AWU4" s="93"/>
      <c r="AWV4" s="93"/>
      <c r="AWW4" s="93"/>
      <c r="AWX4" s="93"/>
      <c r="AWY4" s="93"/>
      <c r="AWZ4" s="93"/>
      <c r="AXA4" s="93"/>
      <c r="AXB4" s="93"/>
      <c r="AXC4" s="93"/>
      <c r="AXD4" s="93"/>
      <c r="AXE4" s="93"/>
      <c r="AXF4" s="93"/>
      <c r="AXG4" s="93"/>
      <c r="AXH4" s="93"/>
      <c r="AXI4" s="93"/>
      <c r="AXJ4" s="93"/>
      <c r="AXK4" s="93"/>
      <c r="AXL4" s="93"/>
      <c r="AXM4" s="93"/>
      <c r="AXN4" s="93"/>
      <c r="AXO4" s="93"/>
      <c r="AXP4" s="93"/>
      <c r="AXQ4" s="93"/>
      <c r="AXR4" s="93"/>
      <c r="AXS4" s="93"/>
      <c r="AXT4" s="93"/>
      <c r="AXU4" s="93"/>
      <c r="AXV4" s="93"/>
      <c r="AXW4" s="93"/>
      <c r="AXX4" s="93"/>
      <c r="AXY4" s="93"/>
      <c r="AXZ4" s="93"/>
      <c r="AYA4" s="93"/>
      <c r="AYB4" s="93"/>
      <c r="AYC4" s="93"/>
      <c r="AYD4" s="93"/>
      <c r="AYE4" s="93"/>
      <c r="AYF4" s="93"/>
      <c r="AYG4" s="93"/>
      <c r="AYH4" s="93"/>
      <c r="AYI4" s="93"/>
      <c r="AYJ4" s="93"/>
      <c r="AYK4" s="93"/>
      <c r="AYL4" s="93"/>
      <c r="AYM4" s="93"/>
      <c r="AYN4" s="93"/>
      <c r="AYO4" s="93"/>
      <c r="AYP4" s="93"/>
      <c r="AYQ4" s="93"/>
      <c r="AYR4" s="93"/>
      <c r="AYS4" s="93"/>
      <c r="AYT4" s="93"/>
      <c r="AYU4" s="93"/>
      <c r="AYV4" s="93"/>
      <c r="AYW4" s="93"/>
      <c r="AYX4" s="93"/>
      <c r="AYY4" s="93"/>
      <c r="AYZ4" s="93"/>
      <c r="AZA4" s="93"/>
      <c r="AZB4" s="93"/>
      <c r="AZC4" s="93"/>
      <c r="AZD4" s="93"/>
      <c r="AZE4" s="93"/>
      <c r="AZF4" s="93"/>
      <c r="AZG4" s="93"/>
      <c r="AZH4" s="93"/>
      <c r="AZI4" s="93"/>
      <c r="AZJ4" s="93"/>
      <c r="AZK4" s="93"/>
      <c r="AZL4" s="93"/>
      <c r="AZM4" s="93"/>
      <c r="AZN4" s="93"/>
      <c r="AZO4" s="93"/>
      <c r="AZP4" s="93"/>
      <c r="AZQ4" s="93"/>
      <c r="AZR4" s="93"/>
      <c r="AZS4" s="93"/>
      <c r="AZT4" s="93"/>
      <c r="AZU4" s="93"/>
      <c r="AZV4" s="93"/>
      <c r="AZW4" s="93"/>
      <c r="AZX4" s="93"/>
      <c r="AZY4" s="93"/>
      <c r="AZZ4" s="93"/>
      <c r="BAA4" s="93"/>
      <c r="BAB4" s="93"/>
      <c r="BAC4" s="93"/>
      <c r="BAD4" s="93"/>
      <c r="BAE4" s="93"/>
      <c r="BAF4" s="93"/>
      <c r="BAG4" s="93"/>
      <c r="BAH4" s="93"/>
      <c r="BAI4" s="93"/>
      <c r="BAJ4" s="93"/>
      <c r="BAK4" s="93"/>
      <c r="BAL4" s="93"/>
      <c r="BAM4" s="93"/>
      <c r="BAN4" s="93"/>
      <c r="BAO4" s="93"/>
      <c r="BAP4" s="93"/>
      <c r="BAQ4" s="93"/>
      <c r="BAR4" s="93"/>
      <c r="BAS4" s="93"/>
      <c r="BAT4" s="93"/>
      <c r="BAU4" s="93"/>
      <c r="BAV4" s="93"/>
      <c r="BAW4" s="93"/>
      <c r="BAX4" s="93"/>
      <c r="BAY4" s="93"/>
      <c r="BAZ4" s="93"/>
      <c r="BBA4" s="93"/>
      <c r="BBB4" s="93"/>
      <c r="BBC4" s="93"/>
      <c r="BBD4" s="93"/>
      <c r="BBE4" s="93"/>
      <c r="BBF4" s="93"/>
      <c r="BBG4" s="93"/>
      <c r="BBH4" s="93"/>
      <c r="BBI4" s="93"/>
      <c r="BBJ4" s="93"/>
      <c r="BBK4" s="93"/>
      <c r="BBL4" s="93"/>
      <c r="BBM4" s="93"/>
      <c r="BBN4" s="93"/>
      <c r="BBO4" s="93"/>
      <c r="BBP4" s="93"/>
      <c r="BBQ4" s="93"/>
      <c r="BBR4" s="93"/>
      <c r="BBS4" s="93"/>
      <c r="BBT4" s="93"/>
      <c r="BBU4" s="93"/>
      <c r="BBV4" s="93"/>
      <c r="BBW4" s="93"/>
      <c r="BBX4" s="93"/>
      <c r="BBY4" s="93"/>
      <c r="BBZ4" s="93"/>
      <c r="BCA4" s="93"/>
      <c r="BCB4" s="93"/>
      <c r="BCC4" s="93"/>
      <c r="BCD4" s="93"/>
      <c r="BCE4" s="93"/>
      <c r="BCF4" s="93"/>
      <c r="BCG4" s="93"/>
      <c r="BCH4" s="93"/>
      <c r="BCI4" s="93"/>
      <c r="BCJ4" s="93"/>
      <c r="BCK4" s="93"/>
      <c r="BCL4" s="93"/>
      <c r="BCM4" s="93"/>
      <c r="BCN4" s="93"/>
      <c r="BCO4" s="93"/>
      <c r="BCP4" s="93"/>
      <c r="BCQ4" s="93"/>
      <c r="BCR4" s="93"/>
      <c r="BCS4" s="93"/>
      <c r="BCT4" s="93"/>
      <c r="BCU4" s="93"/>
      <c r="BCV4" s="93"/>
      <c r="BCW4" s="93"/>
      <c r="BCX4" s="93"/>
      <c r="BCY4" s="93"/>
      <c r="BCZ4" s="93"/>
      <c r="BDA4" s="93"/>
      <c r="BDB4" s="93"/>
      <c r="BDC4" s="93"/>
      <c r="BDD4" s="93"/>
      <c r="BDE4" s="93"/>
      <c r="BDF4" s="93"/>
      <c r="BDG4" s="93"/>
      <c r="BDH4" s="93"/>
      <c r="BDI4" s="93"/>
      <c r="BDJ4" s="93"/>
      <c r="BDK4" s="93"/>
      <c r="BDL4" s="93"/>
      <c r="BDM4" s="93"/>
      <c r="BDN4" s="93"/>
      <c r="BDO4" s="93"/>
      <c r="BDP4" s="93"/>
      <c r="BDQ4" s="93"/>
      <c r="BDR4" s="93"/>
      <c r="BDS4" s="93"/>
      <c r="BDT4" s="93"/>
      <c r="BDU4" s="93"/>
      <c r="BDV4" s="93"/>
      <c r="BDW4" s="93"/>
      <c r="BDX4" s="93"/>
      <c r="BDY4" s="93"/>
      <c r="BDZ4" s="93"/>
      <c r="BEA4" s="93"/>
      <c r="BEB4" s="93"/>
      <c r="BEC4" s="93"/>
      <c r="BED4" s="93"/>
      <c r="BEE4" s="93"/>
      <c r="BEF4" s="93"/>
      <c r="BEG4" s="93"/>
      <c r="BEH4" s="93"/>
      <c r="BEI4" s="93"/>
      <c r="BEJ4" s="93"/>
      <c r="BEK4" s="93"/>
      <c r="BEL4" s="93"/>
      <c r="BEM4" s="93"/>
      <c r="BEN4" s="93"/>
      <c r="BEO4" s="93"/>
      <c r="BEP4" s="93"/>
      <c r="BEQ4" s="93"/>
      <c r="BER4" s="93"/>
      <c r="BES4" s="93"/>
      <c r="BET4" s="93"/>
      <c r="BEU4" s="93"/>
      <c r="BEV4" s="93"/>
      <c r="BEW4" s="93"/>
      <c r="BEX4" s="93"/>
      <c r="BEY4" s="93"/>
      <c r="BEZ4" s="93"/>
      <c r="BFA4" s="93"/>
      <c r="BFB4" s="93"/>
      <c r="BFC4" s="93"/>
      <c r="BFD4" s="93"/>
      <c r="BFE4" s="93"/>
      <c r="BFF4" s="93"/>
      <c r="BFG4" s="93"/>
      <c r="BFH4" s="93"/>
      <c r="BFI4" s="93"/>
      <c r="BFJ4" s="93"/>
      <c r="BFK4" s="93"/>
      <c r="BFL4" s="93"/>
      <c r="BFM4" s="93"/>
      <c r="BFN4" s="93"/>
      <c r="BFO4" s="93"/>
      <c r="BFP4" s="93"/>
      <c r="BFQ4" s="93"/>
      <c r="BFR4" s="93"/>
      <c r="BFS4" s="93"/>
      <c r="BFT4" s="93"/>
      <c r="BFU4" s="93"/>
      <c r="BFV4" s="93"/>
      <c r="BFW4" s="93"/>
      <c r="BFX4" s="93"/>
      <c r="BFY4" s="93"/>
      <c r="BFZ4" s="93"/>
      <c r="BGA4" s="93"/>
      <c r="BGB4" s="93"/>
      <c r="BGC4" s="93"/>
      <c r="BGD4" s="93"/>
      <c r="BGE4" s="93"/>
      <c r="BGF4" s="93"/>
      <c r="BGG4" s="93"/>
      <c r="BGH4" s="93"/>
      <c r="BGI4" s="93"/>
      <c r="BGJ4" s="93"/>
      <c r="BGK4" s="93"/>
      <c r="BGL4" s="93"/>
      <c r="BGM4" s="93"/>
      <c r="BGN4" s="93"/>
      <c r="BGO4" s="93"/>
      <c r="BGP4" s="93"/>
      <c r="BGQ4" s="93"/>
      <c r="BGR4" s="93"/>
      <c r="BGS4" s="93"/>
      <c r="BGT4" s="93"/>
      <c r="BGU4" s="93"/>
      <c r="BGV4" s="93"/>
      <c r="BGW4" s="93"/>
      <c r="BGX4" s="93"/>
      <c r="BGY4" s="93"/>
      <c r="BGZ4" s="93"/>
      <c r="BHA4" s="93"/>
      <c r="BHB4" s="93"/>
      <c r="BHC4" s="93"/>
      <c r="BHD4" s="93"/>
      <c r="BHE4" s="93"/>
      <c r="BHF4" s="93"/>
      <c r="BHG4" s="93"/>
      <c r="BHH4" s="93"/>
      <c r="BHI4" s="93"/>
      <c r="BHJ4" s="93"/>
      <c r="BHK4" s="93"/>
      <c r="BHL4" s="93"/>
      <c r="BHM4" s="93"/>
      <c r="BHN4" s="93"/>
      <c r="BHO4" s="93"/>
      <c r="BHP4" s="93"/>
      <c r="BHQ4" s="93"/>
      <c r="BHR4" s="93"/>
      <c r="BHS4" s="93"/>
    </row>
    <row r="5" spans="1:1579" hidden="1" x14ac:dyDescent="0.25">
      <c r="A5" s="86"/>
      <c r="B5" s="48" t="s">
        <v>1143</v>
      </c>
      <c r="C5" s="528" t="s">
        <v>878</v>
      </c>
      <c r="D5" s="95"/>
      <c r="E5" s="69" t="s">
        <v>1144</v>
      </c>
      <c r="F5" s="96">
        <f>482</f>
        <v>482</v>
      </c>
      <c r="G5" s="97">
        <v>30.857142857142858</v>
      </c>
      <c r="H5" s="180">
        <f t="shared" ref="H5:H14" si="1">+F5*G5</f>
        <v>14873.142857142857</v>
      </c>
      <c r="I5" s="550">
        <f t="shared" si="0"/>
        <v>13.166688990126517</v>
      </c>
    </row>
    <row r="6" spans="1:1579" hidden="1" x14ac:dyDescent="0.25">
      <c r="A6" s="86"/>
      <c r="B6" s="48" t="s">
        <v>1145</v>
      </c>
      <c r="C6" s="529" t="s">
        <v>880</v>
      </c>
      <c r="D6" s="530"/>
      <c r="E6" s="69" t="s">
        <v>1144</v>
      </c>
      <c r="F6" s="96">
        <f>2*34</f>
        <v>68</v>
      </c>
      <c r="G6" s="97">
        <v>30.857142857142858</v>
      </c>
      <c r="H6" s="180">
        <f t="shared" si="1"/>
        <v>2098.2857142857142</v>
      </c>
      <c r="I6" s="550">
        <f t="shared" si="0"/>
        <v>1.857541185329052</v>
      </c>
    </row>
    <row r="7" spans="1:1579" hidden="1" x14ac:dyDescent="0.25">
      <c r="A7" s="86"/>
      <c r="B7" s="48" t="s">
        <v>1146</v>
      </c>
      <c r="C7" s="1279" t="s">
        <v>1147</v>
      </c>
      <c r="D7" s="1280"/>
      <c r="E7" s="69" t="s">
        <v>1144</v>
      </c>
      <c r="F7" s="98">
        <v>35</v>
      </c>
      <c r="G7" s="99">
        <v>30.857142857142858</v>
      </c>
      <c r="H7" s="180">
        <f t="shared" si="1"/>
        <v>1080</v>
      </c>
      <c r="I7" s="550">
        <f t="shared" si="0"/>
        <v>0.95608737480171802</v>
      </c>
    </row>
    <row r="8" spans="1:1579" hidden="1" x14ac:dyDescent="0.25">
      <c r="A8" s="86"/>
      <c r="B8" s="48" t="s">
        <v>1148</v>
      </c>
      <c r="C8" s="1279" t="s">
        <v>1149</v>
      </c>
      <c r="D8" s="1280"/>
      <c r="E8" s="69" t="s">
        <v>1144</v>
      </c>
      <c r="F8" s="98">
        <v>9</v>
      </c>
      <c r="G8" s="99">
        <v>30.857142857142858</v>
      </c>
      <c r="H8" s="180">
        <f t="shared" si="1"/>
        <v>277.71428571428572</v>
      </c>
      <c r="I8" s="550">
        <f t="shared" si="0"/>
        <v>0.24585103923472751</v>
      </c>
    </row>
    <row r="9" spans="1:1579" hidden="1" x14ac:dyDescent="0.25">
      <c r="A9" s="86"/>
      <c r="B9" s="48" t="s">
        <v>1150</v>
      </c>
      <c r="C9" s="531" t="s">
        <v>1151</v>
      </c>
      <c r="D9" s="532"/>
      <c r="E9" s="69" t="s">
        <v>1144</v>
      </c>
      <c r="F9" s="100">
        <v>34</v>
      </c>
      <c r="G9" s="99">
        <v>30.857142857142858</v>
      </c>
      <c r="H9" s="180">
        <f t="shared" si="1"/>
        <v>1049.1428571428571</v>
      </c>
      <c r="I9" s="550">
        <f t="shared" si="0"/>
        <v>0.928770592664526</v>
      </c>
    </row>
    <row r="10" spans="1:1579" s="94" customFormat="1" ht="18" customHeight="1" x14ac:dyDescent="0.25">
      <c r="A10" s="89"/>
      <c r="B10" s="68" t="s">
        <v>875</v>
      </c>
      <c r="C10" s="526" t="s">
        <v>1152</v>
      </c>
      <c r="D10" s="527"/>
      <c r="E10" s="71"/>
      <c r="F10" s="72"/>
      <c r="G10" s="91"/>
      <c r="H10" s="179">
        <f>SUM(H11:H14)</f>
        <v>22615.11</v>
      </c>
      <c r="I10" s="550">
        <f t="shared" si="0"/>
        <v>20.020389954400077</v>
      </c>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c r="JB10" s="93"/>
      <c r="JC10" s="93"/>
      <c r="JD10" s="93"/>
      <c r="JE10" s="93"/>
      <c r="JF10" s="93"/>
      <c r="JG10" s="93"/>
      <c r="JH10" s="93"/>
      <c r="JI10" s="93"/>
      <c r="JJ10" s="93"/>
      <c r="JK10" s="93"/>
      <c r="JL10" s="93"/>
      <c r="JM10" s="93"/>
      <c r="JN10" s="93"/>
      <c r="JO10" s="93"/>
      <c r="JP10" s="93"/>
      <c r="JQ10" s="93"/>
      <c r="JR10" s="93"/>
      <c r="JS10" s="93"/>
      <c r="JT10" s="93"/>
      <c r="JU10" s="93"/>
      <c r="JV10" s="93"/>
      <c r="JW10" s="93"/>
      <c r="JX10" s="93"/>
      <c r="JY10" s="93"/>
      <c r="JZ10" s="93"/>
      <c r="KA10" s="93"/>
      <c r="KB10" s="93"/>
      <c r="KC10" s="93"/>
      <c r="KD10" s="93"/>
      <c r="KE10" s="93"/>
      <c r="KF10" s="93"/>
      <c r="KG10" s="93"/>
      <c r="KH10" s="93"/>
      <c r="KI10" s="93"/>
      <c r="KJ10" s="93"/>
      <c r="KK10" s="93"/>
      <c r="KL10" s="93"/>
      <c r="KM10" s="93"/>
      <c r="KN10" s="93"/>
      <c r="KO10" s="93"/>
      <c r="KP10" s="93"/>
      <c r="KQ10" s="93"/>
      <c r="KR10" s="93"/>
      <c r="KS10" s="93"/>
      <c r="KT10" s="93"/>
      <c r="KU10" s="93"/>
      <c r="KV10" s="93"/>
      <c r="KW10" s="93"/>
      <c r="KX10" s="93"/>
      <c r="KY10" s="93"/>
      <c r="KZ10" s="93"/>
      <c r="LA10" s="93"/>
      <c r="LB10" s="93"/>
      <c r="LC10" s="93"/>
      <c r="LD10" s="93"/>
      <c r="LE10" s="93"/>
      <c r="LF10" s="93"/>
      <c r="LG10" s="93"/>
      <c r="LH10" s="93"/>
      <c r="LI10" s="93"/>
      <c r="LJ10" s="93"/>
      <c r="LK10" s="93"/>
      <c r="LL10" s="93"/>
      <c r="LM10" s="93"/>
      <c r="LN10" s="93"/>
      <c r="LO10" s="93"/>
      <c r="LP10" s="93"/>
      <c r="LQ10" s="93"/>
      <c r="LR10" s="93"/>
      <c r="LS10" s="93"/>
      <c r="LT10" s="93"/>
      <c r="LU10" s="93"/>
      <c r="LV10" s="93"/>
      <c r="LW10" s="93"/>
      <c r="LX10" s="93"/>
      <c r="LY10" s="93"/>
      <c r="LZ10" s="93"/>
      <c r="MA10" s="93"/>
      <c r="MB10" s="93"/>
      <c r="MC10" s="93"/>
      <c r="MD10" s="93"/>
      <c r="ME10" s="93"/>
      <c r="MF10" s="93"/>
      <c r="MG10" s="93"/>
      <c r="MH10" s="93"/>
      <c r="MI10" s="93"/>
      <c r="MJ10" s="93"/>
      <c r="MK10" s="93"/>
      <c r="ML10" s="93"/>
      <c r="MM10" s="93"/>
      <c r="MN10" s="93"/>
      <c r="MO10" s="93"/>
      <c r="MP10" s="93"/>
      <c r="MQ10" s="93"/>
      <c r="MR10" s="93"/>
      <c r="MS10" s="93"/>
      <c r="MT10" s="93"/>
      <c r="MU10" s="93"/>
      <c r="MV10" s="93"/>
      <c r="MW10" s="93"/>
      <c r="MX10" s="93"/>
      <c r="MY10" s="93"/>
      <c r="MZ10" s="93"/>
      <c r="NA10" s="93"/>
      <c r="NB10" s="93"/>
      <c r="NC10" s="93"/>
      <c r="ND10" s="93"/>
      <c r="NE10" s="93"/>
      <c r="NF10" s="93"/>
      <c r="NG10" s="93"/>
      <c r="NH10" s="93"/>
      <c r="NI10" s="93"/>
      <c r="NJ10" s="93"/>
      <c r="NK10" s="93"/>
      <c r="NL10" s="93"/>
      <c r="NM10" s="93"/>
      <c r="NN10" s="93"/>
      <c r="NO10" s="93"/>
      <c r="NP10" s="93"/>
      <c r="NQ10" s="93"/>
      <c r="NR10" s="93"/>
      <c r="NS10" s="93"/>
      <c r="NT10" s="93"/>
      <c r="NU10" s="93"/>
      <c r="NV10" s="93"/>
      <c r="NW10" s="93"/>
      <c r="NX10" s="93"/>
      <c r="NY10" s="93"/>
      <c r="NZ10" s="93"/>
      <c r="OA10" s="93"/>
      <c r="OB10" s="93"/>
      <c r="OC10" s="93"/>
      <c r="OD10" s="93"/>
      <c r="OE10" s="93"/>
      <c r="OF10" s="93"/>
      <c r="OG10" s="93"/>
      <c r="OH10" s="93"/>
      <c r="OI10" s="93"/>
      <c r="OJ10" s="93"/>
      <c r="OK10" s="93"/>
      <c r="OL10" s="93"/>
      <c r="OM10" s="93"/>
      <c r="ON10" s="93"/>
      <c r="OO10" s="93"/>
      <c r="OP10" s="93"/>
      <c r="OQ10" s="93"/>
      <c r="OR10" s="93"/>
      <c r="OS10" s="93"/>
      <c r="OT10" s="93"/>
      <c r="OU10" s="93"/>
      <c r="OV10" s="93"/>
      <c r="OW10" s="93"/>
      <c r="OX10" s="93"/>
      <c r="OY10" s="93"/>
      <c r="OZ10" s="93"/>
      <c r="PA10" s="93"/>
      <c r="PB10" s="93"/>
      <c r="PC10" s="93"/>
      <c r="PD10" s="93"/>
      <c r="PE10" s="93"/>
      <c r="PF10" s="93"/>
      <c r="PG10" s="93"/>
      <c r="PH10" s="93"/>
      <c r="PI10" s="93"/>
      <c r="PJ10" s="93"/>
      <c r="PK10" s="93"/>
      <c r="PL10" s="93"/>
      <c r="PM10" s="93"/>
      <c r="PN10" s="93"/>
      <c r="PO10" s="93"/>
      <c r="PP10" s="93"/>
      <c r="PQ10" s="93"/>
      <c r="PR10" s="93"/>
      <c r="PS10" s="93"/>
      <c r="PT10" s="93"/>
      <c r="PU10" s="93"/>
      <c r="PV10" s="93"/>
      <c r="PW10" s="93"/>
      <c r="PX10" s="93"/>
      <c r="PY10" s="93"/>
      <c r="PZ10" s="93"/>
      <c r="QA10" s="93"/>
      <c r="QB10" s="93"/>
      <c r="QC10" s="93"/>
      <c r="QD10" s="93"/>
      <c r="QE10" s="93"/>
      <c r="QF10" s="93"/>
      <c r="QG10" s="93"/>
      <c r="QH10" s="93"/>
      <c r="QI10" s="93"/>
      <c r="QJ10" s="93"/>
      <c r="QK10" s="93"/>
      <c r="QL10" s="93"/>
      <c r="QM10" s="93"/>
      <c r="QN10" s="93"/>
      <c r="QO10" s="93"/>
      <c r="QP10" s="93"/>
      <c r="QQ10" s="93"/>
      <c r="QR10" s="93"/>
      <c r="QS10" s="93"/>
      <c r="QT10" s="93"/>
      <c r="QU10" s="93"/>
      <c r="QV10" s="93"/>
      <c r="QW10" s="93"/>
      <c r="QX10" s="93"/>
      <c r="QY10" s="93"/>
      <c r="QZ10" s="93"/>
      <c r="RA10" s="93"/>
      <c r="RB10" s="93"/>
      <c r="RC10" s="93"/>
      <c r="RD10" s="93"/>
      <c r="RE10" s="93"/>
      <c r="RF10" s="93"/>
      <c r="RG10" s="93"/>
      <c r="RH10" s="93"/>
      <c r="RI10" s="93"/>
      <c r="RJ10" s="93"/>
      <c r="RK10" s="93"/>
      <c r="RL10" s="93"/>
      <c r="RM10" s="93"/>
      <c r="RN10" s="93"/>
      <c r="RO10" s="93"/>
      <c r="RP10" s="93"/>
      <c r="RQ10" s="93"/>
      <c r="RR10" s="93"/>
      <c r="RS10" s="93"/>
      <c r="RT10" s="93"/>
      <c r="RU10" s="93"/>
      <c r="RV10" s="93"/>
      <c r="RW10" s="93"/>
      <c r="RX10" s="93"/>
      <c r="RY10" s="93"/>
      <c r="RZ10" s="93"/>
      <c r="SA10" s="93"/>
      <c r="SB10" s="93"/>
      <c r="SC10" s="93"/>
      <c r="SD10" s="93"/>
      <c r="SE10" s="93"/>
      <c r="SF10" s="93"/>
      <c r="SG10" s="93"/>
      <c r="SH10" s="93"/>
      <c r="SI10" s="93"/>
      <c r="SJ10" s="93"/>
      <c r="SK10" s="93"/>
      <c r="SL10" s="93"/>
      <c r="SM10" s="93"/>
      <c r="SN10" s="93"/>
      <c r="SO10" s="93"/>
      <c r="SP10" s="93"/>
      <c r="SQ10" s="93"/>
      <c r="SR10" s="93"/>
      <c r="SS10" s="93"/>
      <c r="ST10" s="93"/>
      <c r="SU10" s="93"/>
      <c r="SV10" s="93"/>
      <c r="SW10" s="93"/>
      <c r="SX10" s="93"/>
      <c r="SY10" s="93"/>
      <c r="SZ10" s="93"/>
      <c r="TA10" s="93"/>
      <c r="TB10" s="93"/>
      <c r="TC10" s="93"/>
      <c r="TD10" s="93"/>
      <c r="TE10" s="93"/>
      <c r="TF10" s="93"/>
      <c r="TG10" s="93"/>
      <c r="TH10" s="93"/>
      <c r="TI10" s="93"/>
      <c r="TJ10" s="93"/>
      <c r="TK10" s="93"/>
      <c r="TL10" s="93"/>
      <c r="TM10" s="93"/>
      <c r="TN10" s="93"/>
      <c r="TO10" s="93"/>
      <c r="TP10" s="93"/>
      <c r="TQ10" s="93"/>
      <c r="TR10" s="93"/>
      <c r="TS10" s="93"/>
      <c r="TT10" s="93"/>
      <c r="TU10" s="93"/>
      <c r="TV10" s="93"/>
      <c r="TW10" s="93"/>
      <c r="TX10" s="93"/>
      <c r="TY10" s="93"/>
      <c r="TZ10" s="93"/>
      <c r="UA10" s="93"/>
      <c r="UB10" s="93"/>
      <c r="UC10" s="93"/>
      <c r="UD10" s="93"/>
      <c r="UE10" s="93"/>
      <c r="UF10" s="93"/>
      <c r="UG10" s="93"/>
      <c r="UH10" s="93"/>
      <c r="UI10" s="93"/>
      <c r="UJ10" s="93"/>
      <c r="UK10" s="93"/>
      <c r="UL10" s="93"/>
      <c r="UM10" s="93"/>
      <c r="UN10" s="93"/>
      <c r="UO10" s="93"/>
      <c r="UP10" s="93"/>
      <c r="UQ10" s="93"/>
      <c r="UR10" s="93"/>
      <c r="US10" s="93"/>
      <c r="UT10" s="93"/>
      <c r="UU10" s="93"/>
      <c r="UV10" s="93"/>
      <c r="UW10" s="93"/>
      <c r="UX10" s="93"/>
      <c r="UY10" s="93"/>
      <c r="UZ10" s="93"/>
      <c r="VA10" s="93"/>
      <c r="VB10" s="93"/>
      <c r="VC10" s="93"/>
      <c r="VD10" s="93"/>
      <c r="VE10" s="93"/>
      <c r="VF10" s="93"/>
      <c r="VG10" s="93"/>
      <c r="VH10" s="93"/>
      <c r="VI10" s="93"/>
      <c r="VJ10" s="93"/>
      <c r="VK10" s="93"/>
      <c r="VL10" s="93"/>
      <c r="VM10" s="93"/>
      <c r="VN10" s="93"/>
      <c r="VO10" s="93"/>
      <c r="VP10" s="93"/>
      <c r="VQ10" s="93"/>
      <c r="VR10" s="93"/>
      <c r="VS10" s="93"/>
      <c r="VT10" s="93"/>
      <c r="VU10" s="93"/>
      <c r="VV10" s="93"/>
      <c r="VW10" s="93"/>
      <c r="VX10" s="93"/>
      <c r="VY10" s="93"/>
      <c r="VZ10" s="93"/>
      <c r="WA10" s="93"/>
      <c r="WB10" s="93"/>
      <c r="WC10" s="93"/>
      <c r="WD10" s="93"/>
      <c r="WE10" s="93"/>
      <c r="WF10" s="93"/>
      <c r="WG10" s="93"/>
      <c r="WH10" s="93"/>
      <c r="WI10" s="93"/>
      <c r="WJ10" s="93"/>
      <c r="WK10" s="93"/>
      <c r="WL10" s="93"/>
      <c r="WM10" s="93"/>
      <c r="WN10" s="93"/>
      <c r="WO10" s="93"/>
      <c r="WP10" s="93"/>
      <c r="WQ10" s="93"/>
      <c r="WR10" s="93"/>
      <c r="WS10" s="93"/>
      <c r="WT10" s="93"/>
      <c r="WU10" s="93"/>
      <c r="WV10" s="93"/>
      <c r="WW10" s="93"/>
      <c r="WX10" s="93"/>
      <c r="WY10" s="93"/>
      <c r="WZ10" s="93"/>
      <c r="XA10" s="93"/>
      <c r="XB10" s="93"/>
      <c r="XC10" s="93"/>
      <c r="XD10" s="93"/>
      <c r="XE10" s="93"/>
      <c r="XF10" s="93"/>
      <c r="XG10" s="93"/>
      <c r="XH10" s="93"/>
      <c r="XI10" s="93"/>
      <c r="XJ10" s="93"/>
      <c r="XK10" s="93"/>
      <c r="XL10" s="93"/>
      <c r="XM10" s="93"/>
      <c r="XN10" s="93"/>
      <c r="XO10" s="93"/>
      <c r="XP10" s="93"/>
      <c r="XQ10" s="93"/>
      <c r="XR10" s="93"/>
      <c r="XS10" s="93"/>
      <c r="XT10" s="93"/>
      <c r="XU10" s="93"/>
      <c r="XV10" s="93"/>
      <c r="XW10" s="93"/>
      <c r="XX10" s="93"/>
      <c r="XY10" s="93"/>
      <c r="XZ10" s="93"/>
      <c r="YA10" s="93"/>
      <c r="YB10" s="93"/>
      <c r="YC10" s="93"/>
      <c r="YD10" s="93"/>
      <c r="YE10" s="93"/>
      <c r="YF10" s="93"/>
      <c r="YG10" s="93"/>
      <c r="YH10" s="93"/>
      <c r="YI10" s="93"/>
      <c r="YJ10" s="93"/>
      <c r="YK10" s="93"/>
      <c r="YL10" s="93"/>
      <c r="YM10" s="93"/>
      <c r="YN10" s="93"/>
      <c r="YO10" s="93"/>
      <c r="YP10" s="93"/>
      <c r="YQ10" s="93"/>
      <c r="YR10" s="93"/>
      <c r="YS10" s="93"/>
      <c r="YT10" s="93"/>
      <c r="YU10" s="93"/>
      <c r="YV10" s="93"/>
      <c r="YW10" s="93"/>
      <c r="YX10" s="93"/>
      <c r="YY10" s="93"/>
      <c r="YZ10" s="93"/>
      <c r="ZA10" s="93"/>
      <c r="ZB10" s="93"/>
      <c r="ZC10" s="93"/>
      <c r="ZD10" s="93"/>
      <c r="ZE10" s="93"/>
      <c r="ZF10" s="93"/>
      <c r="ZG10" s="93"/>
      <c r="ZH10" s="93"/>
      <c r="ZI10" s="93"/>
      <c r="ZJ10" s="93"/>
      <c r="ZK10" s="93"/>
      <c r="ZL10" s="93"/>
      <c r="ZM10" s="93"/>
      <c r="ZN10" s="93"/>
      <c r="ZO10" s="93"/>
      <c r="ZP10" s="93"/>
      <c r="ZQ10" s="93"/>
      <c r="ZR10" s="93"/>
      <c r="ZS10" s="93"/>
      <c r="ZT10" s="93"/>
      <c r="ZU10" s="93"/>
      <c r="ZV10" s="93"/>
      <c r="ZW10" s="93"/>
      <c r="ZX10" s="93"/>
      <c r="ZY10" s="93"/>
      <c r="ZZ10" s="93"/>
      <c r="AAA10" s="93"/>
      <c r="AAB10" s="93"/>
      <c r="AAC10" s="93"/>
      <c r="AAD10" s="93"/>
      <c r="AAE10" s="93"/>
      <c r="AAF10" s="93"/>
      <c r="AAG10" s="93"/>
      <c r="AAH10" s="93"/>
      <c r="AAI10" s="93"/>
      <c r="AAJ10" s="93"/>
      <c r="AAK10" s="93"/>
      <c r="AAL10" s="93"/>
      <c r="AAM10" s="93"/>
      <c r="AAN10" s="93"/>
      <c r="AAO10" s="93"/>
      <c r="AAP10" s="93"/>
      <c r="AAQ10" s="93"/>
      <c r="AAR10" s="93"/>
      <c r="AAS10" s="93"/>
      <c r="AAT10" s="93"/>
      <c r="AAU10" s="93"/>
      <c r="AAV10" s="93"/>
      <c r="AAW10" s="93"/>
      <c r="AAX10" s="93"/>
      <c r="AAY10" s="93"/>
      <c r="AAZ10" s="93"/>
      <c r="ABA10" s="93"/>
      <c r="ABB10" s="93"/>
      <c r="ABC10" s="93"/>
      <c r="ABD10" s="93"/>
      <c r="ABE10" s="93"/>
      <c r="ABF10" s="93"/>
      <c r="ABG10" s="93"/>
      <c r="ABH10" s="93"/>
      <c r="ABI10" s="93"/>
      <c r="ABJ10" s="93"/>
      <c r="ABK10" s="93"/>
      <c r="ABL10" s="93"/>
      <c r="ABM10" s="93"/>
      <c r="ABN10" s="93"/>
      <c r="ABO10" s="93"/>
      <c r="ABP10" s="93"/>
      <c r="ABQ10" s="93"/>
      <c r="ABR10" s="93"/>
      <c r="ABS10" s="93"/>
      <c r="ABT10" s="93"/>
      <c r="ABU10" s="93"/>
      <c r="ABV10" s="93"/>
      <c r="ABW10" s="93"/>
      <c r="ABX10" s="93"/>
      <c r="ABY10" s="93"/>
      <c r="ABZ10" s="93"/>
      <c r="ACA10" s="93"/>
      <c r="ACB10" s="93"/>
      <c r="ACC10" s="93"/>
      <c r="ACD10" s="93"/>
      <c r="ACE10" s="93"/>
      <c r="ACF10" s="93"/>
      <c r="ACG10" s="93"/>
      <c r="ACH10" s="93"/>
      <c r="ACI10" s="93"/>
      <c r="ACJ10" s="93"/>
      <c r="ACK10" s="93"/>
      <c r="ACL10" s="93"/>
      <c r="ACM10" s="93"/>
      <c r="ACN10" s="93"/>
      <c r="ACO10" s="93"/>
      <c r="ACP10" s="93"/>
      <c r="ACQ10" s="93"/>
      <c r="ACR10" s="93"/>
      <c r="ACS10" s="93"/>
      <c r="ACT10" s="93"/>
      <c r="ACU10" s="93"/>
      <c r="ACV10" s="93"/>
      <c r="ACW10" s="93"/>
      <c r="ACX10" s="93"/>
      <c r="ACY10" s="93"/>
      <c r="ACZ10" s="93"/>
      <c r="ADA10" s="93"/>
      <c r="ADB10" s="93"/>
      <c r="ADC10" s="93"/>
      <c r="ADD10" s="93"/>
      <c r="ADE10" s="93"/>
      <c r="ADF10" s="93"/>
      <c r="ADG10" s="93"/>
      <c r="ADH10" s="93"/>
      <c r="ADI10" s="93"/>
      <c r="ADJ10" s="93"/>
      <c r="ADK10" s="93"/>
      <c r="ADL10" s="93"/>
      <c r="ADM10" s="93"/>
      <c r="ADN10" s="93"/>
      <c r="ADO10" s="93"/>
      <c r="ADP10" s="93"/>
      <c r="ADQ10" s="93"/>
      <c r="ADR10" s="93"/>
      <c r="ADS10" s="93"/>
      <c r="ADT10" s="93"/>
      <c r="ADU10" s="93"/>
      <c r="ADV10" s="93"/>
      <c r="ADW10" s="93"/>
      <c r="ADX10" s="93"/>
      <c r="ADY10" s="93"/>
      <c r="ADZ10" s="93"/>
      <c r="AEA10" s="93"/>
      <c r="AEB10" s="93"/>
      <c r="AEC10" s="93"/>
      <c r="AED10" s="93"/>
      <c r="AEE10" s="93"/>
      <c r="AEF10" s="93"/>
      <c r="AEG10" s="93"/>
      <c r="AEH10" s="93"/>
      <c r="AEI10" s="93"/>
      <c r="AEJ10" s="93"/>
      <c r="AEK10" s="93"/>
      <c r="AEL10" s="93"/>
      <c r="AEM10" s="93"/>
      <c r="AEN10" s="93"/>
      <c r="AEO10" s="93"/>
      <c r="AEP10" s="93"/>
      <c r="AEQ10" s="93"/>
      <c r="AER10" s="93"/>
      <c r="AES10" s="93"/>
      <c r="AET10" s="93"/>
      <c r="AEU10" s="93"/>
      <c r="AEV10" s="93"/>
      <c r="AEW10" s="93"/>
      <c r="AEX10" s="93"/>
      <c r="AEY10" s="93"/>
      <c r="AEZ10" s="93"/>
      <c r="AFA10" s="93"/>
      <c r="AFB10" s="93"/>
      <c r="AFC10" s="93"/>
      <c r="AFD10" s="93"/>
      <c r="AFE10" s="93"/>
      <c r="AFF10" s="93"/>
      <c r="AFG10" s="93"/>
      <c r="AFH10" s="93"/>
      <c r="AFI10" s="93"/>
      <c r="AFJ10" s="93"/>
      <c r="AFK10" s="93"/>
      <c r="AFL10" s="93"/>
      <c r="AFM10" s="93"/>
      <c r="AFN10" s="93"/>
      <c r="AFO10" s="93"/>
      <c r="AFP10" s="93"/>
      <c r="AFQ10" s="93"/>
      <c r="AFR10" s="93"/>
      <c r="AFS10" s="93"/>
      <c r="AFT10" s="93"/>
      <c r="AFU10" s="93"/>
      <c r="AFV10" s="93"/>
      <c r="AFW10" s="93"/>
      <c r="AFX10" s="93"/>
      <c r="AFY10" s="93"/>
      <c r="AFZ10" s="93"/>
      <c r="AGA10" s="93"/>
      <c r="AGB10" s="93"/>
      <c r="AGC10" s="93"/>
      <c r="AGD10" s="93"/>
      <c r="AGE10" s="93"/>
      <c r="AGF10" s="93"/>
      <c r="AGG10" s="93"/>
      <c r="AGH10" s="93"/>
      <c r="AGI10" s="93"/>
      <c r="AGJ10" s="93"/>
      <c r="AGK10" s="93"/>
      <c r="AGL10" s="93"/>
      <c r="AGM10" s="93"/>
      <c r="AGN10" s="93"/>
      <c r="AGO10" s="93"/>
      <c r="AGP10" s="93"/>
      <c r="AGQ10" s="93"/>
      <c r="AGR10" s="93"/>
      <c r="AGS10" s="93"/>
      <c r="AGT10" s="93"/>
      <c r="AGU10" s="93"/>
      <c r="AGV10" s="93"/>
      <c r="AGW10" s="93"/>
      <c r="AGX10" s="93"/>
      <c r="AGY10" s="93"/>
      <c r="AGZ10" s="93"/>
      <c r="AHA10" s="93"/>
      <c r="AHB10" s="93"/>
      <c r="AHC10" s="93"/>
      <c r="AHD10" s="93"/>
      <c r="AHE10" s="93"/>
      <c r="AHF10" s="93"/>
      <c r="AHG10" s="93"/>
      <c r="AHH10" s="93"/>
      <c r="AHI10" s="93"/>
      <c r="AHJ10" s="93"/>
      <c r="AHK10" s="93"/>
      <c r="AHL10" s="93"/>
      <c r="AHM10" s="93"/>
      <c r="AHN10" s="93"/>
      <c r="AHO10" s="93"/>
      <c r="AHP10" s="93"/>
      <c r="AHQ10" s="93"/>
      <c r="AHR10" s="93"/>
      <c r="AHS10" s="93"/>
      <c r="AHT10" s="93"/>
      <c r="AHU10" s="93"/>
      <c r="AHV10" s="93"/>
      <c r="AHW10" s="93"/>
      <c r="AHX10" s="93"/>
      <c r="AHY10" s="93"/>
      <c r="AHZ10" s="93"/>
      <c r="AIA10" s="93"/>
      <c r="AIB10" s="93"/>
      <c r="AIC10" s="93"/>
      <c r="AID10" s="93"/>
      <c r="AIE10" s="93"/>
      <c r="AIF10" s="93"/>
      <c r="AIG10" s="93"/>
      <c r="AIH10" s="93"/>
      <c r="AII10" s="93"/>
      <c r="AIJ10" s="93"/>
      <c r="AIK10" s="93"/>
      <c r="AIL10" s="93"/>
      <c r="AIM10" s="93"/>
      <c r="AIN10" s="93"/>
      <c r="AIO10" s="93"/>
      <c r="AIP10" s="93"/>
      <c r="AIQ10" s="93"/>
      <c r="AIR10" s="93"/>
      <c r="AIS10" s="93"/>
      <c r="AIT10" s="93"/>
      <c r="AIU10" s="93"/>
      <c r="AIV10" s="93"/>
      <c r="AIW10" s="93"/>
      <c r="AIX10" s="93"/>
      <c r="AIY10" s="93"/>
      <c r="AIZ10" s="93"/>
      <c r="AJA10" s="93"/>
      <c r="AJB10" s="93"/>
      <c r="AJC10" s="93"/>
      <c r="AJD10" s="93"/>
      <c r="AJE10" s="93"/>
      <c r="AJF10" s="93"/>
      <c r="AJG10" s="93"/>
      <c r="AJH10" s="93"/>
      <c r="AJI10" s="93"/>
      <c r="AJJ10" s="93"/>
      <c r="AJK10" s="93"/>
      <c r="AJL10" s="93"/>
      <c r="AJM10" s="93"/>
      <c r="AJN10" s="93"/>
      <c r="AJO10" s="93"/>
      <c r="AJP10" s="93"/>
      <c r="AJQ10" s="93"/>
      <c r="AJR10" s="93"/>
      <c r="AJS10" s="93"/>
      <c r="AJT10" s="93"/>
      <c r="AJU10" s="93"/>
      <c r="AJV10" s="93"/>
      <c r="AJW10" s="93"/>
      <c r="AJX10" s="93"/>
      <c r="AJY10" s="93"/>
      <c r="AJZ10" s="93"/>
      <c r="AKA10" s="93"/>
      <c r="AKB10" s="93"/>
      <c r="AKC10" s="93"/>
      <c r="AKD10" s="93"/>
      <c r="AKE10" s="93"/>
      <c r="AKF10" s="93"/>
      <c r="AKG10" s="93"/>
      <c r="AKH10" s="93"/>
      <c r="AKI10" s="93"/>
      <c r="AKJ10" s="93"/>
      <c r="AKK10" s="93"/>
      <c r="AKL10" s="93"/>
      <c r="AKM10" s="93"/>
      <c r="AKN10" s="93"/>
      <c r="AKO10" s="93"/>
      <c r="AKP10" s="93"/>
      <c r="AKQ10" s="93"/>
      <c r="AKR10" s="93"/>
      <c r="AKS10" s="93"/>
      <c r="AKT10" s="93"/>
      <c r="AKU10" s="93"/>
      <c r="AKV10" s="93"/>
      <c r="AKW10" s="93"/>
      <c r="AKX10" s="93"/>
      <c r="AKY10" s="93"/>
      <c r="AKZ10" s="93"/>
      <c r="ALA10" s="93"/>
      <c r="ALB10" s="93"/>
      <c r="ALC10" s="93"/>
      <c r="ALD10" s="93"/>
      <c r="ALE10" s="93"/>
      <c r="ALF10" s="93"/>
      <c r="ALG10" s="93"/>
      <c r="ALH10" s="93"/>
      <c r="ALI10" s="93"/>
      <c r="ALJ10" s="93"/>
      <c r="ALK10" s="93"/>
      <c r="ALL10" s="93"/>
      <c r="ALM10" s="93"/>
      <c r="ALN10" s="93"/>
      <c r="ALO10" s="93"/>
      <c r="ALP10" s="93"/>
      <c r="ALQ10" s="93"/>
      <c r="ALR10" s="93"/>
      <c r="ALS10" s="93"/>
      <c r="ALT10" s="93"/>
      <c r="ALU10" s="93"/>
      <c r="ALV10" s="93"/>
      <c r="ALW10" s="93"/>
      <c r="ALX10" s="93"/>
      <c r="ALY10" s="93"/>
      <c r="ALZ10" s="93"/>
      <c r="AMA10" s="93"/>
      <c r="AMB10" s="93"/>
      <c r="AMC10" s="93"/>
      <c r="AMD10" s="93"/>
      <c r="AME10" s="93"/>
      <c r="AMF10" s="93"/>
      <c r="AMG10" s="93"/>
      <c r="AMH10" s="93"/>
      <c r="AMI10" s="93"/>
      <c r="AMJ10" s="93"/>
      <c r="AMK10" s="93"/>
      <c r="AML10" s="93"/>
      <c r="AMM10" s="93"/>
      <c r="AMN10" s="93"/>
      <c r="AMO10" s="93"/>
      <c r="AMP10" s="93"/>
      <c r="AMQ10" s="93"/>
      <c r="AMR10" s="93"/>
      <c r="AMS10" s="93"/>
      <c r="AMT10" s="93"/>
      <c r="AMU10" s="93"/>
      <c r="AMV10" s="93"/>
      <c r="AMW10" s="93"/>
      <c r="AMX10" s="93"/>
      <c r="AMY10" s="93"/>
      <c r="AMZ10" s="93"/>
      <c r="ANA10" s="93"/>
      <c r="ANB10" s="93"/>
      <c r="ANC10" s="93"/>
      <c r="AND10" s="93"/>
      <c r="ANE10" s="93"/>
      <c r="ANF10" s="93"/>
      <c r="ANG10" s="93"/>
      <c r="ANH10" s="93"/>
      <c r="ANI10" s="93"/>
      <c r="ANJ10" s="93"/>
      <c r="ANK10" s="93"/>
      <c r="ANL10" s="93"/>
      <c r="ANM10" s="93"/>
      <c r="ANN10" s="93"/>
      <c r="ANO10" s="93"/>
      <c r="ANP10" s="93"/>
      <c r="ANQ10" s="93"/>
      <c r="ANR10" s="93"/>
      <c r="ANS10" s="93"/>
      <c r="ANT10" s="93"/>
      <c r="ANU10" s="93"/>
      <c r="ANV10" s="93"/>
      <c r="ANW10" s="93"/>
      <c r="ANX10" s="93"/>
      <c r="ANY10" s="93"/>
      <c r="ANZ10" s="93"/>
      <c r="AOA10" s="93"/>
      <c r="AOB10" s="93"/>
      <c r="AOC10" s="93"/>
      <c r="AOD10" s="93"/>
      <c r="AOE10" s="93"/>
      <c r="AOF10" s="93"/>
      <c r="AOG10" s="93"/>
      <c r="AOH10" s="93"/>
      <c r="AOI10" s="93"/>
      <c r="AOJ10" s="93"/>
      <c r="AOK10" s="93"/>
      <c r="AOL10" s="93"/>
      <c r="AOM10" s="93"/>
      <c r="AON10" s="93"/>
      <c r="AOO10" s="93"/>
      <c r="AOP10" s="93"/>
      <c r="AOQ10" s="93"/>
      <c r="AOR10" s="93"/>
      <c r="AOS10" s="93"/>
      <c r="AOT10" s="93"/>
      <c r="AOU10" s="93"/>
      <c r="AOV10" s="93"/>
      <c r="AOW10" s="93"/>
      <c r="AOX10" s="93"/>
      <c r="AOY10" s="93"/>
      <c r="AOZ10" s="93"/>
      <c r="APA10" s="93"/>
      <c r="APB10" s="93"/>
      <c r="APC10" s="93"/>
      <c r="APD10" s="93"/>
      <c r="APE10" s="93"/>
      <c r="APF10" s="93"/>
      <c r="APG10" s="93"/>
      <c r="APH10" s="93"/>
      <c r="API10" s="93"/>
      <c r="APJ10" s="93"/>
      <c r="APK10" s="93"/>
      <c r="APL10" s="93"/>
      <c r="APM10" s="93"/>
      <c r="APN10" s="93"/>
      <c r="APO10" s="93"/>
      <c r="APP10" s="93"/>
      <c r="APQ10" s="93"/>
      <c r="APR10" s="93"/>
      <c r="APS10" s="93"/>
      <c r="APT10" s="93"/>
      <c r="APU10" s="93"/>
      <c r="APV10" s="93"/>
      <c r="APW10" s="93"/>
      <c r="APX10" s="93"/>
      <c r="APY10" s="93"/>
      <c r="APZ10" s="93"/>
      <c r="AQA10" s="93"/>
      <c r="AQB10" s="93"/>
      <c r="AQC10" s="93"/>
      <c r="AQD10" s="93"/>
      <c r="AQE10" s="93"/>
      <c r="AQF10" s="93"/>
      <c r="AQG10" s="93"/>
      <c r="AQH10" s="93"/>
      <c r="AQI10" s="93"/>
      <c r="AQJ10" s="93"/>
      <c r="AQK10" s="93"/>
      <c r="AQL10" s="93"/>
      <c r="AQM10" s="93"/>
      <c r="AQN10" s="93"/>
      <c r="AQO10" s="93"/>
      <c r="AQP10" s="93"/>
      <c r="AQQ10" s="93"/>
      <c r="AQR10" s="93"/>
      <c r="AQS10" s="93"/>
      <c r="AQT10" s="93"/>
      <c r="AQU10" s="93"/>
      <c r="AQV10" s="93"/>
      <c r="AQW10" s="93"/>
      <c r="AQX10" s="93"/>
      <c r="AQY10" s="93"/>
      <c r="AQZ10" s="93"/>
      <c r="ARA10" s="93"/>
      <c r="ARB10" s="93"/>
      <c r="ARC10" s="93"/>
      <c r="ARD10" s="93"/>
      <c r="ARE10" s="93"/>
      <c r="ARF10" s="93"/>
      <c r="ARG10" s="93"/>
      <c r="ARH10" s="93"/>
      <c r="ARI10" s="93"/>
      <c r="ARJ10" s="93"/>
      <c r="ARK10" s="93"/>
      <c r="ARL10" s="93"/>
      <c r="ARM10" s="93"/>
      <c r="ARN10" s="93"/>
      <c r="ARO10" s="93"/>
      <c r="ARP10" s="93"/>
      <c r="ARQ10" s="93"/>
      <c r="ARR10" s="93"/>
      <c r="ARS10" s="93"/>
      <c r="ART10" s="93"/>
      <c r="ARU10" s="93"/>
      <c r="ARV10" s="93"/>
      <c r="ARW10" s="93"/>
      <c r="ARX10" s="93"/>
      <c r="ARY10" s="93"/>
      <c r="ARZ10" s="93"/>
      <c r="ASA10" s="93"/>
      <c r="ASB10" s="93"/>
      <c r="ASC10" s="93"/>
      <c r="ASD10" s="93"/>
      <c r="ASE10" s="93"/>
      <c r="ASF10" s="93"/>
      <c r="ASG10" s="93"/>
      <c r="ASH10" s="93"/>
      <c r="ASI10" s="93"/>
      <c r="ASJ10" s="93"/>
      <c r="ASK10" s="93"/>
      <c r="ASL10" s="93"/>
      <c r="ASM10" s="93"/>
      <c r="ASN10" s="93"/>
      <c r="ASO10" s="93"/>
      <c r="ASP10" s="93"/>
      <c r="ASQ10" s="93"/>
      <c r="ASR10" s="93"/>
      <c r="ASS10" s="93"/>
      <c r="AST10" s="93"/>
      <c r="ASU10" s="93"/>
      <c r="ASV10" s="93"/>
      <c r="ASW10" s="93"/>
      <c r="ASX10" s="93"/>
      <c r="ASY10" s="93"/>
      <c r="ASZ10" s="93"/>
      <c r="ATA10" s="93"/>
      <c r="ATB10" s="93"/>
      <c r="ATC10" s="93"/>
      <c r="ATD10" s="93"/>
      <c r="ATE10" s="93"/>
      <c r="ATF10" s="93"/>
      <c r="ATG10" s="93"/>
      <c r="ATH10" s="93"/>
      <c r="ATI10" s="93"/>
      <c r="ATJ10" s="93"/>
      <c r="ATK10" s="93"/>
      <c r="ATL10" s="93"/>
      <c r="ATM10" s="93"/>
      <c r="ATN10" s="93"/>
      <c r="ATO10" s="93"/>
      <c r="ATP10" s="93"/>
      <c r="ATQ10" s="93"/>
      <c r="ATR10" s="93"/>
      <c r="ATS10" s="93"/>
      <c r="ATT10" s="93"/>
      <c r="ATU10" s="93"/>
      <c r="ATV10" s="93"/>
      <c r="ATW10" s="93"/>
      <c r="ATX10" s="93"/>
      <c r="ATY10" s="93"/>
      <c r="ATZ10" s="93"/>
      <c r="AUA10" s="93"/>
      <c r="AUB10" s="93"/>
      <c r="AUC10" s="93"/>
      <c r="AUD10" s="93"/>
      <c r="AUE10" s="93"/>
      <c r="AUF10" s="93"/>
      <c r="AUG10" s="93"/>
      <c r="AUH10" s="93"/>
      <c r="AUI10" s="93"/>
      <c r="AUJ10" s="93"/>
      <c r="AUK10" s="93"/>
      <c r="AUL10" s="93"/>
      <c r="AUM10" s="93"/>
      <c r="AUN10" s="93"/>
      <c r="AUO10" s="93"/>
      <c r="AUP10" s="93"/>
      <c r="AUQ10" s="93"/>
      <c r="AUR10" s="93"/>
      <c r="AUS10" s="93"/>
      <c r="AUT10" s="93"/>
      <c r="AUU10" s="93"/>
      <c r="AUV10" s="93"/>
      <c r="AUW10" s="93"/>
      <c r="AUX10" s="93"/>
      <c r="AUY10" s="93"/>
      <c r="AUZ10" s="93"/>
      <c r="AVA10" s="93"/>
      <c r="AVB10" s="93"/>
      <c r="AVC10" s="93"/>
      <c r="AVD10" s="93"/>
      <c r="AVE10" s="93"/>
      <c r="AVF10" s="93"/>
      <c r="AVG10" s="93"/>
      <c r="AVH10" s="93"/>
      <c r="AVI10" s="93"/>
      <c r="AVJ10" s="93"/>
      <c r="AVK10" s="93"/>
      <c r="AVL10" s="93"/>
      <c r="AVM10" s="93"/>
      <c r="AVN10" s="93"/>
      <c r="AVO10" s="93"/>
      <c r="AVP10" s="93"/>
      <c r="AVQ10" s="93"/>
      <c r="AVR10" s="93"/>
      <c r="AVS10" s="93"/>
      <c r="AVT10" s="93"/>
      <c r="AVU10" s="93"/>
      <c r="AVV10" s="93"/>
      <c r="AVW10" s="93"/>
      <c r="AVX10" s="93"/>
      <c r="AVY10" s="93"/>
      <c r="AVZ10" s="93"/>
      <c r="AWA10" s="93"/>
      <c r="AWB10" s="93"/>
      <c r="AWC10" s="93"/>
      <c r="AWD10" s="93"/>
      <c r="AWE10" s="93"/>
      <c r="AWF10" s="93"/>
      <c r="AWG10" s="93"/>
      <c r="AWH10" s="93"/>
      <c r="AWI10" s="93"/>
      <c r="AWJ10" s="93"/>
      <c r="AWK10" s="93"/>
      <c r="AWL10" s="93"/>
      <c r="AWM10" s="93"/>
      <c r="AWN10" s="93"/>
      <c r="AWO10" s="93"/>
      <c r="AWP10" s="93"/>
      <c r="AWQ10" s="93"/>
      <c r="AWR10" s="93"/>
      <c r="AWS10" s="93"/>
      <c r="AWT10" s="93"/>
      <c r="AWU10" s="93"/>
      <c r="AWV10" s="93"/>
      <c r="AWW10" s="93"/>
      <c r="AWX10" s="93"/>
      <c r="AWY10" s="93"/>
      <c r="AWZ10" s="93"/>
      <c r="AXA10" s="93"/>
      <c r="AXB10" s="93"/>
      <c r="AXC10" s="93"/>
      <c r="AXD10" s="93"/>
      <c r="AXE10" s="93"/>
      <c r="AXF10" s="93"/>
      <c r="AXG10" s="93"/>
      <c r="AXH10" s="93"/>
      <c r="AXI10" s="93"/>
      <c r="AXJ10" s="93"/>
      <c r="AXK10" s="93"/>
      <c r="AXL10" s="93"/>
      <c r="AXM10" s="93"/>
      <c r="AXN10" s="93"/>
      <c r="AXO10" s="93"/>
      <c r="AXP10" s="93"/>
      <c r="AXQ10" s="93"/>
      <c r="AXR10" s="93"/>
      <c r="AXS10" s="93"/>
      <c r="AXT10" s="93"/>
      <c r="AXU10" s="93"/>
      <c r="AXV10" s="93"/>
      <c r="AXW10" s="93"/>
      <c r="AXX10" s="93"/>
      <c r="AXY10" s="93"/>
      <c r="AXZ10" s="93"/>
      <c r="AYA10" s="93"/>
      <c r="AYB10" s="93"/>
      <c r="AYC10" s="93"/>
      <c r="AYD10" s="93"/>
      <c r="AYE10" s="93"/>
      <c r="AYF10" s="93"/>
      <c r="AYG10" s="93"/>
      <c r="AYH10" s="93"/>
      <c r="AYI10" s="93"/>
      <c r="AYJ10" s="93"/>
      <c r="AYK10" s="93"/>
      <c r="AYL10" s="93"/>
      <c r="AYM10" s="93"/>
      <c r="AYN10" s="93"/>
      <c r="AYO10" s="93"/>
      <c r="AYP10" s="93"/>
      <c r="AYQ10" s="93"/>
      <c r="AYR10" s="93"/>
      <c r="AYS10" s="93"/>
      <c r="AYT10" s="93"/>
      <c r="AYU10" s="93"/>
      <c r="AYV10" s="93"/>
      <c r="AYW10" s="93"/>
      <c r="AYX10" s="93"/>
      <c r="AYY10" s="93"/>
      <c r="AYZ10" s="93"/>
      <c r="AZA10" s="93"/>
      <c r="AZB10" s="93"/>
      <c r="AZC10" s="93"/>
      <c r="AZD10" s="93"/>
      <c r="AZE10" s="93"/>
      <c r="AZF10" s="93"/>
      <c r="AZG10" s="93"/>
      <c r="AZH10" s="93"/>
      <c r="AZI10" s="93"/>
      <c r="AZJ10" s="93"/>
      <c r="AZK10" s="93"/>
      <c r="AZL10" s="93"/>
      <c r="AZM10" s="93"/>
      <c r="AZN10" s="93"/>
      <c r="AZO10" s="93"/>
      <c r="AZP10" s="93"/>
      <c r="AZQ10" s="93"/>
      <c r="AZR10" s="93"/>
      <c r="AZS10" s="93"/>
      <c r="AZT10" s="93"/>
      <c r="AZU10" s="93"/>
      <c r="AZV10" s="93"/>
      <c r="AZW10" s="93"/>
      <c r="AZX10" s="93"/>
      <c r="AZY10" s="93"/>
      <c r="AZZ10" s="93"/>
      <c r="BAA10" s="93"/>
      <c r="BAB10" s="93"/>
      <c r="BAC10" s="93"/>
      <c r="BAD10" s="93"/>
      <c r="BAE10" s="93"/>
      <c r="BAF10" s="93"/>
      <c r="BAG10" s="93"/>
      <c r="BAH10" s="93"/>
      <c r="BAI10" s="93"/>
      <c r="BAJ10" s="93"/>
      <c r="BAK10" s="93"/>
      <c r="BAL10" s="93"/>
      <c r="BAM10" s="93"/>
      <c r="BAN10" s="93"/>
      <c r="BAO10" s="93"/>
      <c r="BAP10" s="93"/>
      <c r="BAQ10" s="93"/>
      <c r="BAR10" s="93"/>
      <c r="BAS10" s="93"/>
      <c r="BAT10" s="93"/>
      <c r="BAU10" s="93"/>
      <c r="BAV10" s="93"/>
      <c r="BAW10" s="93"/>
      <c r="BAX10" s="93"/>
      <c r="BAY10" s="93"/>
      <c r="BAZ10" s="93"/>
      <c r="BBA10" s="93"/>
      <c r="BBB10" s="93"/>
      <c r="BBC10" s="93"/>
      <c r="BBD10" s="93"/>
      <c r="BBE10" s="93"/>
      <c r="BBF10" s="93"/>
      <c r="BBG10" s="93"/>
      <c r="BBH10" s="93"/>
      <c r="BBI10" s="93"/>
      <c r="BBJ10" s="93"/>
      <c r="BBK10" s="93"/>
      <c r="BBL10" s="93"/>
      <c r="BBM10" s="93"/>
      <c r="BBN10" s="93"/>
      <c r="BBO10" s="93"/>
      <c r="BBP10" s="93"/>
      <c r="BBQ10" s="93"/>
      <c r="BBR10" s="93"/>
      <c r="BBS10" s="93"/>
      <c r="BBT10" s="93"/>
      <c r="BBU10" s="93"/>
      <c r="BBV10" s="93"/>
      <c r="BBW10" s="93"/>
      <c r="BBX10" s="93"/>
      <c r="BBY10" s="93"/>
      <c r="BBZ10" s="93"/>
      <c r="BCA10" s="93"/>
      <c r="BCB10" s="93"/>
      <c r="BCC10" s="93"/>
      <c r="BCD10" s="93"/>
      <c r="BCE10" s="93"/>
      <c r="BCF10" s="93"/>
      <c r="BCG10" s="93"/>
      <c r="BCH10" s="93"/>
      <c r="BCI10" s="93"/>
      <c r="BCJ10" s="93"/>
      <c r="BCK10" s="93"/>
      <c r="BCL10" s="93"/>
      <c r="BCM10" s="93"/>
      <c r="BCN10" s="93"/>
      <c r="BCO10" s="93"/>
      <c r="BCP10" s="93"/>
      <c r="BCQ10" s="93"/>
      <c r="BCR10" s="93"/>
      <c r="BCS10" s="93"/>
      <c r="BCT10" s="93"/>
      <c r="BCU10" s="93"/>
      <c r="BCV10" s="93"/>
      <c r="BCW10" s="93"/>
      <c r="BCX10" s="93"/>
      <c r="BCY10" s="93"/>
      <c r="BCZ10" s="93"/>
      <c r="BDA10" s="93"/>
      <c r="BDB10" s="93"/>
      <c r="BDC10" s="93"/>
      <c r="BDD10" s="93"/>
      <c r="BDE10" s="93"/>
      <c r="BDF10" s="93"/>
      <c r="BDG10" s="93"/>
      <c r="BDH10" s="93"/>
      <c r="BDI10" s="93"/>
      <c r="BDJ10" s="93"/>
      <c r="BDK10" s="93"/>
      <c r="BDL10" s="93"/>
      <c r="BDM10" s="93"/>
      <c r="BDN10" s="93"/>
      <c r="BDO10" s="93"/>
      <c r="BDP10" s="93"/>
      <c r="BDQ10" s="93"/>
      <c r="BDR10" s="93"/>
      <c r="BDS10" s="93"/>
      <c r="BDT10" s="93"/>
      <c r="BDU10" s="93"/>
      <c r="BDV10" s="93"/>
      <c r="BDW10" s="93"/>
      <c r="BDX10" s="93"/>
      <c r="BDY10" s="93"/>
      <c r="BDZ10" s="93"/>
      <c r="BEA10" s="93"/>
      <c r="BEB10" s="93"/>
      <c r="BEC10" s="93"/>
      <c r="BED10" s="93"/>
      <c r="BEE10" s="93"/>
      <c r="BEF10" s="93"/>
      <c r="BEG10" s="93"/>
      <c r="BEH10" s="93"/>
      <c r="BEI10" s="93"/>
      <c r="BEJ10" s="93"/>
      <c r="BEK10" s="93"/>
      <c r="BEL10" s="93"/>
      <c r="BEM10" s="93"/>
      <c r="BEN10" s="93"/>
      <c r="BEO10" s="93"/>
      <c r="BEP10" s="93"/>
      <c r="BEQ10" s="93"/>
      <c r="BER10" s="93"/>
      <c r="BES10" s="93"/>
      <c r="BET10" s="93"/>
      <c r="BEU10" s="93"/>
      <c r="BEV10" s="93"/>
      <c r="BEW10" s="93"/>
      <c r="BEX10" s="93"/>
      <c r="BEY10" s="93"/>
      <c r="BEZ10" s="93"/>
      <c r="BFA10" s="93"/>
      <c r="BFB10" s="93"/>
      <c r="BFC10" s="93"/>
      <c r="BFD10" s="93"/>
      <c r="BFE10" s="93"/>
      <c r="BFF10" s="93"/>
      <c r="BFG10" s="93"/>
      <c r="BFH10" s="93"/>
      <c r="BFI10" s="93"/>
      <c r="BFJ10" s="93"/>
      <c r="BFK10" s="93"/>
      <c r="BFL10" s="93"/>
      <c r="BFM10" s="93"/>
      <c r="BFN10" s="93"/>
      <c r="BFO10" s="93"/>
      <c r="BFP10" s="93"/>
      <c r="BFQ10" s="93"/>
      <c r="BFR10" s="93"/>
      <c r="BFS10" s="93"/>
      <c r="BFT10" s="93"/>
      <c r="BFU10" s="93"/>
      <c r="BFV10" s="93"/>
      <c r="BFW10" s="93"/>
      <c r="BFX10" s="93"/>
      <c r="BFY10" s="93"/>
      <c r="BFZ10" s="93"/>
      <c r="BGA10" s="93"/>
      <c r="BGB10" s="93"/>
      <c r="BGC10" s="93"/>
      <c r="BGD10" s="93"/>
      <c r="BGE10" s="93"/>
      <c r="BGF10" s="93"/>
      <c r="BGG10" s="93"/>
      <c r="BGH10" s="93"/>
      <c r="BGI10" s="93"/>
      <c r="BGJ10" s="93"/>
      <c r="BGK10" s="93"/>
      <c r="BGL10" s="93"/>
      <c r="BGM10" s="93"/>
      <c r="BGN10" s="93"/>
      <c r="BGO10" s="93"/>
      <c r="BGP10" s="93"/>
      <c r="BGQ10" s="93"/>
      <c r="BGR10" s="93"/>
      <c r="BGS10" s="93"/>
      <c r="BGT10" s="93"/>
      <c r="BGU10" s="93"/>
      <c r="BGV10" s="93"/>
      <c r="BGW10" s="93"/>
      <c r="BGX10" s="93"/>
      <c r="BGY10" s="93"/>
      <c r="BGZ10" s="93"/>
      <c r="BHA10" s="93"/>
      <c r="BHB10" s="93"/>
      <c r="BHC10" s="93"/>
      <c r="BHD10" s="93"/>
      <c r="BHE10" s="93"/>
      <c r="BHF10" s="93"/>
      <c r="BHG10" s="93"/>
      <c r="BHH10" s="93"/>
      <c r="BHI10" s="93"/>
      <c r="BHJ10" s="93"/>
      <c r="BHK10" s="93"/>
      <c r="BHL10" s="93"/>
      <c r="BHM10" s="93"/>
      <c r="BHN10" s="93"/>
      <c r="BHO10" s="93"/>
      <c r="BHP10" s="93"/>
      <c r="BHQ10" s="93"/>
      <c r="BHR10" s="93"/>
      <c r="BHS10" s="93"/>
    </row>
    <row r="11" spans="1:1579" hidden="1" x14ac:dyDescent="0.25">
      <c r="A11" s="86"/>
      <c r="B11" s="48" t="s">
        <v>1153</v>
      </c>
      <c r="C11" s="531" t="s">
        <v>882</v>
      </c>
      <c r="D11" s="532"/>
      <c r="E11" s="69" t="s">
        <v>1144</v>
      </c>
      <c r="F11" s="100">
        <v>544</v>
      </c>
      <c r="G11" s="99">
        <v>30.857142857142858</v>
      </c>
      <c r="H11" s="181">
        <f t="shared" si="1"/>
        <v>16786.285714285714</v>
      </c>
      <c r="I11" s="550">
        <f t="shared" si="0"/>
        <v>14.860329482632416</v>
      </c>
    </row>
    <row r="12" spans="1:1579" hidden="1" x14ac:dyDescent="0.25">
      <c r="A12" s="86"/>
      <c r="B12" s="48" t="s">
        <v>1154</v>
      </c>
      <c r="C12" s="531" t="s">
        <v>1155</v>
      </c>
      <c r="D12" s="532"/>
      <c r="E12" s="69" t="s">
        <v>1144</v>
      </c>
      <c r="F12" s="100">
        <f>34*3+6</f>
        <v>108</v>
      </c>
      <c r="G12" s="99">
        <v>30.857142857142858</v>
      </c>
      <c r="H12" s="181">
        <f t="shared" si="1"/>
        <v>3332.5714285714284</v>
      </c>
      <c r="I12" s="550">
        <f t="shared" si="0"/>
        <v>2.9502124708167297</v>
      </c>
    </row>
    <row r="13" spans="1:1579" hidden="1" x14ac:dyDescent="0.25">
      <c r="A13" s="86"/>
      <c r="B13" s="48" t="s">
        <v>1156</v>
      </c>
      <c r="C13" s="531" t="s">
        <v>1157</v>
      </c>
      <c r="D13" s="532"/>
      <c r="E13" s="69" t="s">
        <v>1144</v>
      </c>
      <c r="F13" s="100">
        <v>34</v>
      </c>
      <c r="G13" s="99">
        <v>30.857142857142858</v>
      </c>
      <c r="H13" s="181">
        <f t="shared" si="1"/>
        <v>1049.1428571428571</v>
      </c>
      <c r="I13" s="550">
        <f t="shared" si="0"/>
        <v>0.928770592664526</v>
      </c>
    </row>
    <row r="14" spans="1:1579" ht="14.45" hidden="1" customHeight="1" x14ac:dyDescent="0.25">
      <c r="A14" s="86"/>
      <c r="B14" s="48" t="s">
        <v>1158</v>
      </c>
      <c r="C14" s="531" t="s">
        <v>1159</v>
      </c>
      <c r="D14" s="532"/>
      <c r="E14" s="69" t="s">
        <v>1144</v>
      </c>
      <c r="F14" s="100">
        <v>63</v>
      </c>
      <c r="G14" s="99">
        <v>22.97</v>
      </c>
      <c r="H14" s="181">
        <f t="shared" si="1"/>
        <v>1447.11</v>
      </c>
      <c r="I14" s="550">
        <f t="shared" si="0"/>
        <v>1.281077408286402</v>
      </c>
    </row>
    <row r="15" spans="1:1579" s="94" customFormat="1" x14ac:dyDescent="0.25">
      <c r="A15" s="89"/>
      <c r="B15" s="68" t="s">
        <v>877</v>
      </c>
      <c r="C15" s="526" t="s">
        <v>976</v>
      </c>
      <c r="D15" s="527"/>
      <c r="E15" s="71" t="s">
        <v>541</v>
      </c>
      <c r="F15" s="72">
        <v>0</v>
      </c>
      <c r="G15" s="91">
        <v>0</v>
      </c>
      <c r="H15" s="179">
        <f>SUM(H16:H20)</f>
        <v>3712.21</v>
      </c>
      <c r="I15" s="550">
        <f t="shared" si="0"/>
        <v>3.2862936237154496</v>
      </c>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c r="JB15" s="93"/>
      <c r="JC15" s="93"/>
      <c r="JD15" s="93"/>
      <c r="JE15" s="93"/>
      <c r="JF15" s="93"/>
      <c r="JG15" s="93"/>
      <c r="JH15" s="93"/>
      <c r="JI15" s="93"/>
      <c r="JJ15" s="93"/>
      <c r="JK15" s="93"/>
      <c r="JL15" s="93"/>
      <c r="JM15" s="93"/>
      <c r="JN15" s="93"/>
      <c r="JO15" s="93"/>
      <c r="JP15" s="93"/>
      <c r="JQ15" s="93"/>
      <c r="JR15" s="93"/>
      <c r="JS15" s="93"/>
      <c r="JT15" s="93"/>
      <c r="JU15" s="93"/>
      <c r="JV15" s="93"/>
      <c r="JW15" s="93"/>
      <c r="JX15" s="93"/>
      <c r="JY15" s="93"/>
      <c r="JZ15" s="93"/>
      <c r="KA15" s="93"/>
      <c r="KB15" s="93"/>
      <c r="KC15" s="93"/>
      <c r="KD15" s="93"/>
      <c r="KE15" s="93"/>
      <c r="KF15" s="93"/>
      <c r="KG15" s="93"/>
      <c r="KH15" s="93"/>
      <c r="KI15" s="93"/>
      <c r="KJ15" s="93"/>
      <c r="KK15" s="93"/>
      <c r="KL15" s="93"/>
      <c r="KM15" s="93"/>
      <c r="KN15" s="93"/>
      <c r="KO15" s="93"/>
      <c r="KP15" s="93"/>
      <c r="KQ15" s="93"/>
      <c r="KR15" s="93"/>
      <c r="KS15" s="93"/>
      <c r="KT15" s="93"/>
      <c r="KU15" s="93"/>
      <c r="KV15" s="93"/>
      <c r="KW15" s="93"/>
      <c r="KX15" s="93"/>
      <c r="KY15" s="93"/>
      <c r="KZ15" s="93"/>
      <c r="LA15" s="93"/>
      <c r="LB15" s="93"/>
      <c r="LC15" s="93"/>
      <c r="LD15" s="93"/>
      <c r="LE15" s="93"/>
      <c r="LF15" s="93"/>
      <c r="LG15" s="93"/>
      <c r="LH15" s="93"/>
      <c r="LI15" s="93"/>
      <c r="LJ15" s="93"/>
      <c r="LK15" s="93"/>
      <c r="LL15" s="93"/>
      <c r="LM15" s="93"/>
      <c r="LN15" s="93"/>
      <c r="LO15" s="93"/>
      <c r="LP15" s="93"/>
      <c r="LQ15" s="93"/>
      <c r="LR15" s="93"/>
      <c r="LS15" s="93"/>
      <c r="LT15" s="93"/>
      <c r="LU15" s="93"/>
      <c r="LV15" s="93"/>
      <c r="LW15" s="93"/>
      <c r="LX15" s="93"/>
      <c r="LY15" s="93"/>
      <c r="LZ15" s="93"/>
      <c r="MA15" s="93"/>
      <c r="MB15" s="93"/>
      <c r="MC15" s="93"/>
      <c r="MD15" s="93"/>
      <c r="ME15" s="93"/>
      <c r="MF15" s="93"/>
      <c r="MG15" s="93"/>
      <c r="MH15" s="93"/>
      <c r="MI15" s="93"/>
      <c r="MJ15" s="93"/>
      <c r="MK15" s="93"/>
      <c r="ML15" s="93"/>
      <c r="MM15" s="93"/>
      <c r="MN15" s="93"/>
      <c r="MO15" s="93"/>
      <c r="MP15" s="93"/>
      <c r="MQ15" s="93"/>
      <c r="MR15" s="93"/>
      <c r="MS15" s="93"/>
      <c r="MT15" s="93"/>
      <c r="MU15" s="93"/>
      <c r="MV15" s="93"/>
      <c r="MW15" s="93"/>
      <c r="MX15" s="93"/>
      <c r="MY15" s="93"/>
      <c r="MZ15" s="93"/>
      <c r="NA15" s="93"/>
      <c r="NB15" s="93"/>
      <c r="NC15" s="93"/>
      <c r="ND15" s="93"/>
      <c r="NE15" s="93"/>
      <c r="NF15" s="93"/>
      <c r="NG15" s="93"/>
      <c r="NH15" s="93"/>
      <c r="NI15" s="93"/>
      <c r="NJ15" s="93"/>
      <c r="NK15" s="93"/>
      <c r="NL15" s="93"/>
      <c r="NM15" s="93"/>
      <c r="NN15" s="93"/>
      <c r="NO15" s="93"/>
      <c r="NP15" s="93"/>
      <c r="NQ15" s="93"/>
      <c r="NR15" s="93"/>
      <c r="NS15" s="93"/>
      <c r="NT15" s="93"/>
      <c r="NU15" s="93"/>
      <c r="NV15" s="93"/>
      <c r="NW15" s="93"/>
      <c r="NX15" s="93"/>
      <c r="NY15" s="93"/>
      <c r="NZ15" s="93"/>
      <c r="OA15" s="93"/>
      <c r="OB15" s="93"/>
      <c r="OC15" s="93"/>
      <c r="OD15" s="93"/>
      <c r="OE15" s="93"/>
      <c r="OF15" s="93"/>
      <c r="OG15" s="93"/>
      <c r="OH15" s="93"/>
      <c r="OI15" s="93"/>
      <c r="OJ15" s="93"/>
      <c r="OK15" s="93"/>
      <c r="OL15" s="93"/>
      <c r="OM15" s="93"/>
      <c r="ON15" s="93"/>
      <c r="OO15" s="93"/>
      <c r="OP15" s="93"/>
      <c r="OQ15" s="93"/>
      <c r="OR15" s="93"/>
      <c r="OS15" s="93"/>
      <c r="OT15" s="93"/>
      <c r="OU15" s="93"/>
      <c r="OV15" s="93"/>
      <c r="OW15" s="93"/>
      <c r="OX15" s="93"/>
      <c r="OY15" s="93"/>
      <c r="OZ15" s="93"/>
      <c r="PA15" s="93"/>
      <c r="PB15" s="93"/>
      <c r="PC15" s="93"/>
      <c r="PD15" s="93"/>
      <c r="PE15" s="93"/>
      <c r="PF15" s="93"/>
      <c r="PG15" s="93"/>
      <c r="PH15" s="93"/>
      <c r="PI15" s="93"/>
      <c r="PJ15" s="93"/>
      <c r="PK15" s="93"/>
      <c r="PL15" s="93"/>
      <c r="PM15" s="93"/>
      <c r="PN15" s="93"/>
      <c r="PO15" s="93"/>
      <c r="PP15" s="93"/>
      <c r="PQ15" s="93"/>
      <c r="PR15" s="93"/>
      <c r="PS15" s="93"/>
      <c r="PT15" s="93"/>
      <c r="PU15" s="93"/>
      <c r="PV15" s="93"/>
      <c r="PW15" s="93"/>
      <c r="PX15" s="93"/>
      <c r="PY15" s="93"/>
      <c r="PZ15" s="93"/>
      <c r="QA15" s="93"/>
      <c r="QB15" s="93"/>
      <c r="QC15" s="93"/>
      <c r="QD15" s="93"/>
      <c r="QE15" s="93"/>
      <c r="QF15" s="93"/>
      <c r="QG15" s="93"/>
      <c r="QH15" s="93"/>
      <c r="QI15" s="93"/>
      <c r="QJ15" s="93"/>
      <c r="QK15" s="93"/>
      <c r="QL15" s="93"/>
      <c r="QM15" s="93"/>
      <c r="QN15" s="93"/>
      <c r="QO15" s="93"/>
      <c r="QP15" s="93"/>
      <c r="QQ15" s="93"/>
      <c r="QR15" s="93"/>
      <c r="QS15" s="93"/>
      <c r="QT15" s="93"/>
      <c r="QU15" s="93"/>
      <c r="QV15" s="93"/>
      <c r="QW15" s="93"/>
      <c r="QX15" s="93"/>
      <c r="QY15" s="93"/>
      <c r="QZ15" s="93"/>
      <c r="RA15" s="93"/>
      <c r="RB15" s="93"/>
      <c r="RC15" s="93"/>
      <c r="RD15" s="93"/>
      <c r="RE15" s="93"/>
      <c r="RF15" s="93"/>
      <c r="RG15" s="93"/>
      <c r="RH15" s="93"/>
      <c r="RI15" s="93"/>
      <c r="RJ15" s="93"/>
      <c r="RK15" s="93"/>
      <c r="RL15" s="93"/>
      <c r="RM15" s="93"/>
      <c r="RN15" s="93"/>
      <c r="RO15" s="93"/>
      <c r="RP15" s="93"/>
      <c r="RQ15" s="93"/>
      <c r="RR15" s="93"/>
      <c r="RS15" s="93"/>
      <c r="RT15" s="93"/>
      <c r="RU15" s="93"/>
      <c r="RV15" s="93"/>
      <c r="RW15" s="93"/>
      <c r="RX15" s="93"/>
      <c r="RY15" s="93"/>
      <c r="RZ15" s="93"/>
      <c r="SA15" s="93"/>
      <c r="SB15" s="93"/>
      <c r="SC15" s="93"/>
      <c r="SD15" s="93"/>
      <c r="SE15" s="93"/>
      <c r="SF15" s="93"/>
      <c r="SG15" s="93"/>
      <c r="SH15" s="93"/>
      <c r="SI15" s="93"/>
      <c r="SJ15" s="93"/>
      <c r="SK15" s="93"/>
      <c r="SL15" s="93"/>
      <c r="SM15" s="93"/>
      <c r="SN15" s="93"/>
      <c r="SO15" s="93"/>
      <c r="SP15" s="93"/>
      <c r="SQ15" s="93"/>
      <c r="SR15" s="93"/>
      <c r="SS15" s="93"/>
      <c r="ST15" s="93"/>
      <c r="SU15" s="93"/>
      <c r="SV15" s="93"/>
      <c r="SW15" s="93"/>
      <c r="SX15" s="93"/>
      <c r="SY15" s="93"/>
      <c r="SZ15" s="93"/>
      <c r="TA15" s="93"/>
      <c r="TB15" s="93"/>
      <c r="TC15" s="93"/>
      <c r="TD15" s="93"/>
      <c r="TE15" s="93"/>
      <c r="TF15" s="93"/>
      <c r="TG15" s="93"/>
      <c r="TH15" s="93"/>
      <c r="TI15" s="93"/>
      <c r="TJ15" s="93"/>
      <c r="TK15" s="93"/>
      <c r="TL15" s="93"/>
      <c r="TM15" s="93"/>
      <c r="TN15" s="93"/>
      <c r="TO15" s="93"/>
      <c r="TP15" s="93"/>
      <c r="TQ15" s="93"/>
      <c r="TR15" s="93"/>
      <c r="TS15" s="93"/>
      <c r="TT15" s="93"/>
      <c r="TU15" s="93"/>
      <c r="TV15" s="93"/>
      <c r="TW15" s="93"/>
      <c r="TX15" s="93"/>
      <c r="TY15" s="93"/>
      <c r="TZ15" s="93"/>
      <c r="UA15" s="93"/>
      <c r="UB15" s="93"/>
      <c r="UC15" s="93"/>
      <c r="UD15" s="93"/>
      <c r="UE15" s="93"/>
      <c r="UF15" s="93"/>
      <c r="UG15" s="93"/>
      <c r="UH15" s="93"/>
      <c r="UI15" s="93"/>
      <c r="UJ15" s="93"/>
      <c r="UK15" s="93"/>
      <c r="UL15" s="93"/>
      <c r="UM15" s="93"/>
      <c r="UN15" s="93"/>
      <c r="UO15" s="93"/>
      <c r="UP15" s="93"/>
      <c r="UQ15" s="93"/>
      <c r="UR15" s="93"/>
      <c r="US15" s="93"/>
      <c r="UT15" s="93"/>
      <c r="UU15" s="93"/>
      <c r="UV15" s="93"/>
      <c r="UW15" s="93"/>
      <c r="UX15" s="93"/>
      <c r="UY15" s="93"/>
      <c r="UZ15" s="93"/>
      <c r="VA15" s="93"/>
      <c r="VB15" s="93"/>
      <c r="VC15" s="93"/>
      <c r="VD15" s="93"/>
      <c r="VE15" s="93"/>
      <c r="VF15" s="93"/>
      <c r="VG15" s="93"/>
      <c r="VH15" s="93"/>
      <c r="VI15" s="93"/>
      <c r="VJ15" s="93"/>
      <c r="VK15" s="93"/>
      <c r="VL15" s="93"/>
      <c r="VM15" s="93"/>
      <c r="VN15" s="93"/>
      <c r="VO15" s="93"/>
      <c r="VP15" s="93"/>
      <c r="VQ15" s="93"/>
      <c r="VR15" s="93"/>
      <c r="VS15" s="93"/>
      <c r="VT15" s="93"/>
      <c r="VU15" s="93"/>
      <c r="VV15" s="93"/>
      <c r="VW15" s="93"/>
      <c r="VX15" s="93"/>
      <c r="VY15" s="93"/>
      <c r="VZ15" s="93"/>
      <c r="WA15" s="93"/>
      <c r="WB15" s="93"/>
      <c r="WC15" s="93"/>
      <c r="WD15" s="93"/>
      <c r="WE15" s="93"/>
      <c r="WF15" s="93"/>
      <c r="WG15" s="93"/>
      <c r="WH15" s="93"/>
      <c r="WI15" s="93"/>
      <c r="WJ15" s="93"/>
      <c r="WK15" s="93"/>
      <c r="WL15" s="93"/>
      <c r="WM15" s="93"/>
      <c r="WN15" s="93"/>
      <c r="WO15" s="93"/>
      <c r="WP15" s="93"/>
      <c r="WQ15" s="93"/>
      <c r="WR15" s="93"/>
      <c r="WS15" s="93"/>
      <c r="WT15" s="93"/>
      <c r="WU15" s="93"/>
      <c r="WV15" s="93"/>
      <c r="WW15" s="93"/>
      <c r="WX15" s="93"/>
      <c r="WY15" s="93"/>
      <c r="WZ15" s="93"/>
      <c r="XA15" s="93"/>
      <c r="XB15" s="93"/>
      <c r="XC15" s="93"/>
      <c r="XD15" s="93"/>
      <c r="XE15" s="93"/>
      <c r="XF15" s="93"/>
      <c r="XG15" s="93"/>
      <c r="XH15" s="93"/>
      <c r="XI15" s="93"/>
      <c r="XJ15" s="93"/>
      <c r="XK15" s="93"/>
      <c r="XL15" s="93"/>
      <c r="XM15" s="93"/>
      <c r="XN15" s="93"/>
      <c r="XO15" s="93"/>
      <c r="XP15" s="93"/>
      <c r="XQ15" s="93"/>
      <c r="XR15" s="93"/>
      <c r="XS15" s="93"/>
      <c r="XT15" s="93"/>
      <c r="XU15" s="93"/>
      <c r="XV15" s="93"/>
      <c r="XW15" s="93"/>
      <c r="XX15" s="93"/>
      <c r="XY15" s="93"/>
      <c r="XZ15" s="93"/>
      <c r="YA15" s="93"/>
      <c r="YB15" s="93"/>
      <c r="YC15" s="93"/>
      <c r="YD15" s="93"/>
      <c r="YE15" s="93"/>
      <c r="YF15" s="93"/>
      <c r="YG15" s="93"/>
      <c r="YH15" s="93"/>
      <c r="YI15" s="93"/>
      <c r="YJ15" s="93"/>
      <c r="YK15" s="93"/>
      <c r="YL15" s="93"/>
      <c r="YM15" s="93"/>
      <c r="YN15" s="93"/>
      <c r="YO15" s="93"/>
      <c r="YP15" s="93"/>
      <c r="YQ15" s="93"/>
      <c r="YR15" s="93"/>
      <c r="YS15" s="93"/>
      <c r="YT15" s="93"/>
      <c r="YU15" s="93"/>
      <c r="YV15" s="93"/>
      <c r="YW15" s="93"/>
      <c r="YX15" s="93"/>
      <c r="YY15" s="93"/>
      <c r="YZ15" s="93"/>
      <c r="ZA15" s="93"/>
      <c r="ZB15" s="93"/>
      <c r="ZC15" s="93"/>
      <c r="ZD15" s="93"/>
      <c r="ZE15" s="93"/>
      <c r="ZF15" s="93"/>
      <c r="ZG15" s="93"/>
      <c r="ZH15" s="93"/>
      <c r="ZI15" s="93"/>
      <c r="ZJ15" s="93"/>
      <c r="ZK15" s="93"/>
      <c r="ZL15" s="93"/>
      <c r="ZM15" s="93"/>
      <c r="ZN15" s="93"/>
      <c r="ZO15" s="93"/>
      <c r="ZP15" s="93"/>
      <c r="ZQ15" s="93"/>
      <c r="ZR15" s="93"/>
      <c r="ZS15" s="93"/>
      <c r="ZT15" s="93"/>
      <c r="ZU15" s="93"/>
      <c r="ZV15" s="93"/>
      <c r="ZW15" s="93"/>
      <c r="ZX15" s="93"/>
      <c r="ZY15" s="93"/>
      <c r="ZZ15" s="93"/>
      <c r="AAA15" s="93"/>
      <c r="AAB15" s="93"/>
      <c r="AAC15" s="93"/>
      <c r="AAD15" s="93"/>
      <c r="AAE15" s="93"/>
      <c r="AAF15" s="93"/>
      <c r="AAG15" s="93"/>
      <c r="AAH15" s="93"/>
      <c r="AAI15" s="93"/>
      <c r="AAJ15" s="93"/>
      <c r="AAK15" s="93"/>
      <c r="AAL15" s="93"/>
      <c r="AAM15" s="93"/>
      <c r="AAN15" s="93"/>
      <c r="AAO15" s="93"/>
      <c r="AAP15" s="93"/>
      <c r="AAQ15" s="93"/>
      <c r="AAR15" s="93"/>
      <c r="AAS15" s="93"/>
      <c r="AAT15" s="93"/>
      <c r="AAU15" s="93"/>
      <c r="AAV15" s="93"/>
      <c r="AAW15" s="93"/>
      <c r="AAX15" s="93"/>
      <c r="AAY15" s="93"/>
      <c r="AAZ15" s="93"/>
      <c r="ABA15" s="93"/>
      <c r="ABB15" s="93"/>
      <c r="ABC15" s="93"/>
      <c r="ABD15" s="93"/>
      <c r="ABE15" s="93"/>
      <c r="ABF15" s="93"/>
      <c r="ABG15" s="93"/>
      <c r="ABH15" s="93"/>
      <c r="ABI15" s="93"/>
      <c r="ABJ15" s="93"/>
      <c r="ABK15" s="93"/>
      <c r="ABL15" s="93"/>
      <c r="ABM15" s="93"/>
      <c r="ABN15" s="93"/>
      <c r="ABO15" s="93"/>
      <c r="ABP15" s="93"/>
      <c r="ABQ15" s="93"/>
      <c r="ABR15" s="93"/>
      <c r="ABS15" s="93"/>
      <c r="ABT15" s="93"/>
      <c r="ABU15" s="93"/>
      <c r="ABV15" s="93"/>
      <c r="ABW15" s="93"/>
      <c r="ABX15" s="93"/>
      <c r="ABY15" s="93"/>
      <c r="ABZ15" s="93"/>
      <c r="ACA15" s="93"/>
      <c r="ACB15" s="93"/>
      <c r="ACC15" s="93"/>
      <c r="ACD15" s="93"/>
      <c r="ACE15" s="93"/>
      <c r="ACF15" s="93"/>
      <c r="ACG15" s="93"/>
      <c r="ACH15" s="93"/>
      <c r="ACI15" s="93"/>
      <c r="ACJ15" s="93"/>
      <c r="ACK15" s="93"/>
      <c r="ACL15" s="93"/>
      <c r="ACM15" s="93"/>
      <c r="ACN15" s="93"/>
      <c r="ACO15" s="93"/>
      <c r="ACP15" s="93"/>
      <c r="ACQ15" s="93"/>
      <c r="ACR15" s="93"/>
      <c r="ACS15" s="93"/>
      <c r="ACT15" s="93"/>
      <c r="ACU15" s="93"/>
      <c r="ACV15" s="93"/>
      <c r="ACW15" s="93"/>
      <c r="ACX15" s="93"/>
      <c r="ACY15" s="93"/>
      <c r="ACZ15" s="93"/>
      <c r="ADA15" s="93"/>
      <c r="ADB15" s="93"/>
      <c r="ADC15" s="93"/>
      <c r="ADD15" s="93"/>
      <c r="ADE15" s="93"/>
      <c r="ADF15" s="93"/>
      <c r="ADG15" s="93"/>
      <c r="ADH15" s="93"/>
      <c r="ADI15" s="93"/>
      <c r="ADJ15" s="93"/>
      <c r="ADK15" s="93"/>
      <c r="ADL15" s="93"/>
      <c r="ADM15" s="93"/>
      <c r="ADN15" s="93"/>
      <c r="ADO15" s="93"/>
      <c r="ADP15" s="93"/>
      <c r="ADQ15" s="93"/>
      <c r="ADR15" s="93"/>
      <c r="ADS15" s="93"/>
      <c r="ADT15" s="93"/>
      <c r="ADU15" s="93"/>
      <c r="ADV15" s="93"/>
      <c r="ADW15" s="93"/>
      <c r="ADX15" s="93"/>
      <c r="ADY15" s="93"/>
      <c r="ADZ15" s="93"/>
      <c r="AEA15" s="93"/>
      <c r="AEB15" s="93"/>
      <c r="AEC15" s="93"/>
      <c r="AED15" s="93"/>
      <c r="AEE15" s="93"/>
      <c r="AEF15" s="93"/>
      <c r="AEG15" s="93"/>
      <c r="AEH15" s="93"/>
      <c r="AEI15" s="93"/>
      <c r="AEJ15" s="93"/>
      <c r="AEK15" s="93"/>
      <c r="AEL15" s="93"/>
      <c r="AEM15" s="93"/>
      <c r="AEN15" s="93"/>
      <c r="AEO15" s="93"/>
      <c r="AEP15" s="93"/>
      <c r="AEQ15" s="93"/>
      <c r="AER15" s="93"/>
      <c r="AES15" s="93"/>
      <c r="AET15" s="93"/>
      <c r="AEU15" s="93"/>
      <c r="AEV15" s="93"/>
      <c r="AEW15" s="93"/>
      <c r="AEX15" s="93"/>
      <c r="AEY15" s="93"/>
      <c r="AEZ15" s="93"/>
      <c r="AFA15" s="93"/>
      <c r="AFB15" s="93"/>
      <c r="AFC15" s="93"/>
      <c r="AFD15" s="93"/>
      <c r="AFE15" s="93"/>
      <c r="AFF15" s="93"/>
      <c r="AFG15" s="93"/>
      <c r="AFH15" s="93"/>
      <c r="AFI15" s="93"/>
      <c r="AFJ15" s="93"/>
      <c r="AFK15" s="93"/>
      <c r="AFL15" s="93"/>
      <c r="AFM15" s="93"/>
      <c r="AFN15" s="93"/>
      <c r="AFO15" s="93"/>
      <c r="AFP15" s="93"/>
      <c r="AFQ15" s="93"/>
      <c r="AFR15" s="93"/>
      <c r="AFS15" s="93"/>
      <c r="AFT15" s="93"/>
      <c r="AFU15" s="93"/>
      <c r="AFV15" s="93"/>
      <c r="AFW15" s="93"/>
      <c r="AFX15" s="93"/>
      <c r="AFY15" s="93"/>
      <c r="AFZ15" s="93"/>
      <c r="AGA15" s="93"/>
      <c r="AGB15" s="93"/>
      <c r="AGC15" s="93"/>
      <c r="AGD15" s="93"/>
      <c r="AGE15" s="93"/>
      <c r="AGF15" s="93"/>
      <c r="AGG15" s="93"/>
      <c r="AGH15" s="93"/>
      <c r="AGI15" s="93"/>
      <c r="AGJ15" s="93"/>
      <c r="AGK15" s="93"/>
      <c r="AGL15" s="93"/>
      <c r="AGM15" s="93"/>
      <c r="AGN15" s="93"/>
      <c r="AGO15" s="93"/>
      <c r="AGP15" s="93"/>
      <c r="AGQ15" s="93"/>
      <c r="AGR15" s="93"/>
      <c r="AGS15" s="93"/>
      <c r="AGT15" s="93"/>
      <c r="AGU15" s="93"/>
      <c r="AGV15" s="93"/>
      <c r="AGW15" s="93"/>
      <c r="AGX15" s="93"/>
      <c r="AGY15" s="93"/>
      <c r="AGZ15" s="93"/>
      <c r="AHA15" s="93"/>
      <c r="AHB15" s="93"/>
      <c r="AHC15" s="93"/>
      <c r="AHD15" s="93"/>
      <c r="AHE15" s="93"/>
      <c r="AHF15" s="93"/>
      <c r="AHG15" s="93"/>
      <c r="AHH15" s="93"/>
      <c r="AHI15" s="93"/>
      <c r="AHJ15" s="93"/>
      <c r="AHK15" s="93"/>
      <c r="AHL15" s="93"/>
      <c r="AHM15" s="93"/>
      <c r="AHN15" s="93"/>
      <c r="AHO15" s="93"/>
      <c r="AHP15" s="93"/>
      <c r="AHQ15" s="93"/>
      <c r="AHR15" s="93"/>
      <c r="AHS15" s="93"/>
      <c r="AHT15" s="93"/>
      <c r="AHU15" s="93"/>
      <c r="AHV15" s="93"/>
      <c r="AHW15" s="93"/>
      <c r="AHX15" s="93"/>
      <c r="AHY15" s="93"/>
      <c r="AHZ15" s="93"/>
      <c r="AIA15" s="93"/>
      <c r="AIB15" s="93"/>
      <c r="AIC15" s="93"/>
      <c r="AID15" s="93"/>
      <c r="AIE15" s="93"/>
      <c r="AIF15" s="93"/>
      <c r="AIG15" s="93"/>
      <c r="AIH15" s="93"/>
      <c r="AII15" s="93"/>
      <c r="AIJ15" s="93"/>
      <c r="AIK15" s="93"/>
      <c r="AIL15" s="93"/>
      <c r="AIM15" s="93"/>
      <c r="AIN15" s="93"/>
      <c r="AIO15" s="93"/>
      <c r="AIP15" s="93"/>
      <c r="AIQ15" s="93"/>
      <c r="AIR15" s="93"/>
      <c r="AIS15" s="93"/>
      <c r="AIT15" s="93"/>
      <c r="AIU15" s="93"/>
      <c r="AIV15" s="93"/>
      <c r="AIW15" s="93"/>
      <c r="AIX15" s="93"/>
      <c r="AIY15" s="93"/>
      <c r="AIZ15" s="93"/>
      <c r="AJA15" s="93"/>
      <c r="AJB15" s="93"/>
      <c r="AJC15" s="93"/>
      <c r="AJD15" s="93"/>
      <c r="AJE15" s="93"/>
      <c r="AJF15" s="93"/>
      <c r="AJG15" s="93"/>
      <c r="AJH15" s="93"/>
      <c r="AJI15" s="93"/>
      <c r="AJJ15" s="93"/>
      <c r="AJK15" s="93"/>
      <c r="AJL15" s="93"/>
      <c r="AJM15" s="93"/>
      <c r="AJN15" s="93"/>
      <c r="AJO15" s="93"/>
      <c r="AJP15" s="93"/>
      <c r="AJQ15" s="93"/>
      <c r="AJR15" s="93"/>
      <c r="AJS15" s="93"/>
      <c r="AJT15" s="93"/>
      <c r="AJU15" s="93"/>
      <c r="AJV15" s="93"/>
      <c r="AJW15" s="93"/>
      <c r="AJX15" s="93"/>
      <c r="AJY15" s="93"/>
      <c r="AJZ15" s="93"/>
      <c r="AKA15" s="93"/>
      <c r="AKB15" s="93"/>
      <c r="AKC15" s="93"/>
      <c r="AKD15" s="93"/>
      <c r="AKE15" s="93"/>
      <c r="AKF15" s="93"/>
      <c r="AKG15" s="93"/>
      <c r="AKH15" s="93"/>
      <c r="AKI15" s="93"/>
      <c r="AKJ15" s="93"/>
      <c r="AKK15" s="93"/>
      <c r="AKL15" s="93"/>
      <c r="AKM15" s="93"/>
      <c r="AKN15" s="93"/>
      <c r="AKO15" s="93"/>
      <c r="AKP15" s="93"/>
      <c r="AKQ15" s="93"/>
      <c r="AKR15" s="93"/>
      <c r="AKS15" s="93"/>
      <c r="AKT15" s="93"/>
      <c r="AKU15" s="93"/>
      <c r="AKV15" s="93"/>
      <c r="AKW15" s="93"/>
      <c r="AKX15" s="93"/>
      <c r="AKY15" s="93"/>
      <c r="AKZ15" s="93"/>
      <c r="ALA15" s="93"/>
      <c r="ALB15" s="93"/>
      <c r="ALC15" s="93"/>
      <c r="ALD15" s="93"/>
      <c r="ALE15" s="93"/>
      <c r="ALF15" s="93"/>
      <c r="ALG15" s="93"/>
      <c r="ALH15" s="93"/>
      <c r="ALI15" s="93"/>
      <c r="ALJ15" s="93"/>
      <c r="ALK15" s="93"/>
      <c r="ALL15" s="93"/>
      <c r="ALM15" s="93"/>
      <c r="ALN15" s="93"/>
      <c r="ALO15" s="93"/>
      <c r="ALP15" s="93"/>
      <c r="ALQ15" s="93"/>
      <c r="ALR15" s="93"/>
      <c r="ALS15" s="93"/>
      <c r="ALT15" s="93"/>
      <c r="ALU15" s="93"/>
      <c r="ALV15" s="93"/>
      <c r="ALW15" s="93"/>
      <c r="ALX15" s="93"/>
      <c r="ALY15" s="93"/>
      <c r="ALZ15" s="93"/>
      <c r="AMA15" s="93"/>
      <c r="AMB15" s="93"/>
      <c r="AMC15" s="93"/>
      <c r="AMD15" s="93"/>
      <c r="AME15" s="93"/>
      <c r="AMF15" s="93"/>
      <c r="AMG15" s="93"/>
      <c r="AMH15" s="93"/>
      <c r="AMI15" s="93"/>
      <c r="AMJ15" s="93"/>
      <c r="AMK15" s="93"/>
      <c r="AML15" s="93"/>
      <c r="AMM15" s="93"/>
      <c r="AMN15" s="93"/>
      <c r="AMO15" s="93"/>
      <c r="AMP15" s="93"/>
      <c r="AMQ15" s="93"/>
      <c r="AMR15" s="93"/>
      <c r="AMS15" s="93"/>
      <c r="AMT15" s="93"/>
      <c r="AMU15" s="93"/>
      <c r="AMV15" s="93"/>
      <c r="AMW15" s="93"/>
      <c r="AMX15" s="93"/>
      <c r="AMY15" s="93"/>
      <c r="AMZ15" s="93"/>
      <c r="ANA15" s="93"/>
      <c r="ANB15" s="93"/>
      <c r="ANC15" s="93"/>
      <c r="AND15" s="93"/>
      <c r="ANE15" s="93"/>
      <c r="ANF15" s="93"/>
      <c r="ANG15" s="93"/>
      <c r="ANH15" s="93"/>
      <c r="ANI15" s="93"/>
      <c r="ANJ15" s="93"/>
      <c r="ANK15" s="93"/>
      <c r="ANL15" s="93"/>
      <c r="ANM15" s="93"/>
      <c r="ANN15" s="93"/>
      <c r="ANO15" s="93"/>
      <c r="ANP15" s="93"/>
      <c r="ANQ15" s="93"/>
      <c r="ANR15" s="93"/>
      <c r="ANS15" s="93"/>
      <c r="ANT15" s="93"/>
      <c r="ANU15" s="93"/>
      <c r="ANV15" s="93"/>
      <c r="ANW15" s="93"/>
      <c r="ANX15" s="93"/>
      <c r="ANY15" s="93"/>
      <c r="ANZ15" s="93"/>
      <c r="AOA15" s="93"/>
      <c r="AOB15" s="93"/>
      <c r="AOC15" s="93"/>
      <c r="AOD15" s="93"/>
      <c r="AOE15" s="93"/>
      <c r="AOF15" s="93"/>
      <c r="AOG15" s="93"/>
      <c r="AOH15" s="93"/>
      <c r="AOI15" s="93"/>
      <c r="AOJ15" s="93"/>
      <c r="AOK15" s="93"/>
      <c r="AOL15" s="93"/>
      <c r="AOM15" s="93"/>
      <c r="AON15" s="93"/>
      <c r="AOO15" s="93"/>
      <c r="AOP15" s="93"/>
      <c r="AOQ15" s="93"/>
      <c r="AOR15" s="93"/>
      <c r="AOS15" s="93"/>
      <c r="AOT15" s="93"/>
      <c r="AOU15" s="93"/>
      <c r="AOV15" s="93"/>
      <c r="AOW15" s="93"/>
      <c r="AOX15" s="93"/>
      <c r="AOY15" s="93"/>
      <c r="AOZ15" s="93"/>
      <c r="APA15" s="93"/>
      <c r="APB15" s="93"/>
      <c r="APC15" s="93"/>
      <c r="APD15" s="93"/>
      <c r="APE15" s="93"/>
      <c r="APF15" s="93"/>
      <c r="APG15" s="93"/>
      <c r="APH15" s="93"/>
      <c r="API15" s="93"/>
      <c r="APJ15" s="93"/>
      <c r="APK15" s="93"/>
      <c r="APL15" s="93"/>
      <c r="APM15" s="93"/>
      <c r="APN15" s="93"/>
      <c r="APO15" s="93"/>
      <c r="APP15" s="93"/>
      <c r="APQ15" s="93"/>
      <c r="APR15" s="93"/>
      <c r="APS15" s="93"/>
      <c r="APT15" s="93"/>
      <c r="APU15" s="93"/>
      <c r="APV15" s="93"/>
      <c r="APW15" s="93"/>
      <c r="APX15" s="93"/>
      <c r="APY15" s="93"/>
      <c r="APZ15" s="93"/>
      <c r="AQA15" s="93"/>
      <c r="AQB15" s="93"/>
      <c r="AQC15" s="93"/>
      <c r="AQD15" s="93"/>
      <c r="AQE15" s="93"/>
      <c r="AQF15" s="93"/>
      <c r="AQG15" s="93"/>
      <c r="AQH15" s="93"/>
      <c r="AQI15" s="93"/>
      <c r="AQJ15" s="93"/>
      <c r="AQK15" s="93"/>
      <c r="AQL15" s="93"/>
      <c r="AQM15" s="93"/>
      <c r="AQN15" s="93"/>
      <c r="AQO15" s="93"/>
      <c r="AQP15" s="93"/>
      <c r="AQQ15" s="93"/>
      <c r="AQR15" s="93"/>
      <c r="AQS15" s="93"/>
      <c r="AQT15" s="93"/>
      <c r="AQU15" s="93"/>
      <c r="AQV15" s="93"/>
      <c r="AQW15" s="93"/>
      <c r="AQX15" s="93"/>
      <c r="AQY15" s="93"/>
      <c r="AQZ15" s="93"/>
      <c r="ARA15" s="93"/>
      <c r="ARB15" s="93"/>
      <c r="ARC15" s="93"/>
      <c r="ARD15" s="93"/>
      <c r="ARE15" s="93"/>
      <c r="ARF15" s="93"/>
      <c r="ARG15" s="93"/>
      <c r="ARH15" s="93"/>
      <c r="ARI15" s="93"/>
      <c r="ARJ15" s="93"/>
      <c r="ARK15" s="93"/>
      <c r="ARL15" s="93"/>
      <c r="ARM15" s="93"/>
      <c r="ARN15" s="93"/>
      <c r="ARO15" s="93"/>
      <c r="ARP15" s="93"/>
      <c r="ARQ15" s="93"/>
      <c r="ARR15" s="93"/>
      <c r="ARS15" s="93"/>
      <c r="ART15" s="93"/>
      <c r="ARU15" s="93"/>
      <c r="ARV15" s="93"/>
      <c r="ARW15" s="93"/>
      <c r="ARX15" s="93"/>
      <c r="ARY15" s="93"/>
      <c r="ARZ15" s="93"/>
      <c r="ASA15" s="93"/>
      <c r="ASB15" s="93"/>
      <c r="ASC15" s="93"/>
      <c r="ASD15" s="93"/>
      <c r="ASE15" s="93"/>
      <c r="ASF15" s="93"/>
      <c r="ASG15" s="93"/>
      <c r="ASH15" s="93"/>
      <c r="ASI15" s="93"/>
      <c r="ASJ15" s="93"/>
      <c r="ASK15" s="93"/>
      <c r="ASL15" s="93"/>
      <c r="ASM15" s="93"/>
      <c r="ASN15" s="93"/>
      <c r="ASO15" s="93"/>
      <c r="ASP15" s="93"/>
      <c r="ASQ15" s="93"/>
      <c r="ASR15" s="93"/>
      <c r="ASS15" s="93"/>
      <c r="AST15" s="93"/>
      <c r="ASU15" s="93"/>
      <c r="ASV15" s="93"/>
      <c r="ASW15" s="93"/>
      <c r="ASX15" s="93"/>
      <c r="ASY15" s="93"/>
      <c r="ASZ15" s="93"/>
      <c r="ATA15" s="93"/>
      <c r="ATB15" s="93"/>
      <c r="ATC15" s="93"/>
      <c r="ATD15" s="93"/>
      <c r="ATE15" s="93"/>
      <c r="ATF15" s="93"/>
      <c r="ATG15" s="93"/>
      <c r="ATH15" s="93"/>
      <c r="ATI15" s="93"/>
      <c r="ATJ15" s="93"/>
      <c r="ATK15" s="93"/>
      <c r="ATL15" s="93"/>
      <c r="ATM15" s="93"/>
      <c r="ATN15" s="93"/>
      <c r="ATO15" s="93"/>
      <c r="ATP15" s="93"/>
      <c r="ATQ15" s="93"/>
      <c r="ATR15" s="93"/>
      <c r="ATS15" s="93"/>
      <c r="ATT15" s="93"/>
      <c r="ATU15" s="93"/>
      <c r="ATV15" s="93"/>
      <c r="ATW15" s="93"/>
      <c r="ATX15" s="93"/>
      <c r="ATY15" s="93"/>
      <c r="ATZ15" s="93"/>
      <c r="AUA15" s="93"/>
      <c r="AUB15" s="93"/>
      <c r="AUC15" s="93"/>
      <c r="AUD15" s="93"/>
      <c r="AUE15" s="93"/>
      <c r="AUF15" s="93"/>
      <c r="AUG15" s="93"/>
      <c r="AUH15" s="93"/>
      <c r="AUI15" s="93"/>
      <c r="AUJ15" s="93"/>
      <c r="AUK15" s="93"/>
      <c r="AUL15" s="93"/>
      <c r="AUM15" s="93"/>
      <c r="AUN15" s="93"/>
      <c r="AUO15" s="93"/>
      <c r="AUP15" s="93"/>
      <c r="AUQ15" s="93"/>
      <c r="AUR15" s="93"/>
      <c r="AUS15" s="93"/>
      <c r="AUT15" s="93"/>
      <c r="AUU15" s="93"/>
      <c r="AUV15" s="93"/>
      <c r="AUW15" s="93"/>
      <c r="AUX15" s="93"/>
      <c r="AUY15" s="93"/>
      <c r="AUZ15" s="93"/>
      <c r="AVA15" s="93"/>
      <c r="AVB15" s="93"/>
      <c r="AVC15" s="93"/>
      <c r="AVD15" s="93"/>
      <c r="AVE15" s="93"/>
      <c r="AVF15" s="93"/>
      <c r="AVG15" s="93"/>
      <c r="AVH15" s="93"/>
      <c r="AVI15" s="93"/>
      <c r="AVJ15" s="93"/>
      <c r="AVK15" s="93"/>
      <c r="AVL15" s="93"/>
      <c r="AVM15" s="93"/>
      <c r="AVN15" s="93"/>
      <c r="AVO15" s="93"/>
      <c r="AVP15" s="93"/>
      <c r="AVQ15" s="93"/>
      <c r="AVR15" s="93"/>
      <c r="AVS15" s="93"/>
      <c r="AVT15" s="93"/>
      <c r="AVU15" s="93"/>
      <c r="AVV15" s="93"/>
      <c r="AVW15" s="93"/>
      <c r="AVX15" s="93"/>
      <c r="AVY15" s="93"/>
      <c r="AVZ15" s="93"/>
      <c r="AWA15" s="93"/>
      <c r="AWB15" s="93"/>
      <c r="AWC15" s="93"/>
      <c r="AWD15" s="93"/>
      <c r="AWE15" s="93"/>
      <c r="AWF15" s="93"/>
      <c r="AWG15" s="93"/>
      <c r="AWH15" s="93"/>
      <c r="AWI15" s="93"/>
      <c r="AWJ15" s="93"/>
      <c r="AWK15" s="93"/>
      <c r="AWL15" s="93"/>
      <c r="AWM15" s="93"/>
      <c r="AWN15" s="93"/>
      <c r="AWO15" s="93"/>
      <c r="AWP15" s="93"/>
      <c r="AWQ15" s="93"/>
      <c r="AWR15" s="93"/>
      <c r="AWS15" s="93"/>
      <c r="AWT15" s="93"/>
      <c r="AWU15" s="93"/>
      <c r="AWV15" s="93"/>
      <c r="AWW15" s="93"/>
      <c r="AWX15" s="93"/>
      <c r="AWY15" s="93"/>
      <c r="AWZ15" s="93"/>
      <c r="AXA15" s="93"/>
      <c r="AXB15" s="93"/>
      <c r="AXC15" s="93"/>
      <c r="AXD15" s="93"/>
      <c r="AXE15" s="93"/>
      <c r="AXF15" s="93"/>
      <c r="AXG15" s="93"/>
      <c r="AXH15" s="93"/>
      <c r="AXI15" s="93"/>
      <c r="AXJ15" s="93"/>
      <c r="AXK15" s="93"/>
      <c r="AXL15" s="93"/>
      <c r="AXM15" s="93"/>
      <c r="AXN15" s="93"/>
      <c r="AXO15" s="93"/>
      <c r="AXP15" s="93"/>
      <c r="AXQ15" s="93"/>
      <c r="AXR15" s="93"/>
      <c r="AXS15" s="93"/>
      <c r="AXT15" s="93"/>
      <c r="AXU15" s="93"/>
      <c r="AXV15" s="93"/>
      <c r="AXW15" s="93"/>
      <c r="AXX15" s="93"/>
      <c r="AXY15" s="93"/>
      <c r="AXZ15" s="93"/>
      <c r="AYA15" s="93"/>
      <c r="AYB15" s="93"/>
      <c r="AYC15" s="93"/>
      <c r="AYD15" s="93"/>
      <c r="AYE15" s="93"/>
      <c r="AYF15" s="93"/>
      <c r="AYG15" s="93"/>
      <c r="AYH15" s="93"/>
      <c r="AYI15" s="93"/>
      <c r="AYJ15" s="93"/>
      <c r="AYK15" s="93"/>
      <c r="AYL15" s="93"/>
      <c r="AYM15" s="93"/>
      <c r="AYN15" s="93"/>
      <c r="AYO15" s="93"/>
      <c r="AYP15" s="93"/>
      <c r="AYQ15" s="93"/>
      <c r="AYR15" s="93"/>
      <c r="AYS15" s="93"/>
      <c r="AYT15" s="93"/>
      <c r="AYU15" s="93"/>
      <c r="AYV15" s="93"/>
      <c r="AYW15" s="93"/>
      <c r="AYX15" s="93"/>
      <c r="AYY15" s="93"/>
      <c r="AYZ15" s="93"/>
      <c r="AZA15" s="93"/>
      <c r="AZB15" s="93"/>
      <c r="AZC15" s="93"/>
      <c r="AZD15" s="93"/>
      <c r="AZE15" s="93"/>
      <c r="AZF15" s="93"/>
      <c r="AZG15" s="93"/>
      <c r="AZH15" s="93"/>
      <c r="AZI15" s="93"/>
      <c r="AZJ15" s="93"/>
      <c r="AZK15" s="93"/>
      <c r="AZL15" s="93"/>
      <c r="AZM15" s="93"/>
      <c r="AZN15" s="93"/>
      <c r="AZO15" s="93"/>
      <c r="AZP15" s="93"/>
      <c r="AZQ15" s="93"/>
      <c r="AZR15" s="93"/>
      <c r="AZS15" s="93"/>
      <c r="AZT15" s="93"/>
      <c r="AZU15" s="93"/>
      <c r="AZV15" s="93"/>
      <c r="AZW15" s="93"/>
      <c r="AZX15" s="93"/>
      <c r="AZY15" s="93"/>
      <c r="AZZ15" s="93"/>
      <c r="BAA15" s="93"/>
      <c r="BAB15" s="93"/>
      <c r="BAC15" s="93"/>
      <c r="BAD15" s="93"/>
      <c r="BAE15" s="93"/>
      <c r="BAF15" s="93"/>
      <c r="BAG15" s="93"/>
      <c r="BAH15" s="93"/>
      <c r="BAI15" s="93"/>
      <c r="BAJ15" s="93"/>
      <c r="BAK15" s="93"/>
      <c r="BAL15" s="93"/>
      <c r="BAM15" s="93"/>
      <c r="BAN15" s="93"/>
      <c r="BAO15" s="93"/>
      <c r="BAP15" s="93"/>
      <c r="BAQ15" s="93"/>
      <c r="BAR15" s="93"/>
      <c r="BAS15" s="93"/>
      <c r="BAT15" s="93"/>
      <c r="BAU15" s="93"/>
      <c r="BAV15" s="93"/>
      <c r="BAW15" s="93"/>
      <c r="BAX15" s="93"/>
      <c r="BAY15" s="93"/>
      <c r="BAZ15" s="93"/>
      <c r="BBA15" s="93"/>
      <c r="BBB15" s="93"/>
      <c r="BBC15" s="93"/>
      <c r="BBD15" s="93"/>
      <c r="BBE15" s="93"/>
      <c r="BBF15" s="93"/>
      <c r="BBG15" s="93"/>
      <c r="BBH15" s="93"/>
      <c r="BBI15" s="93"/>
      <c r="BBJ15" s="93"/>
      <c r="BBK15" s="93"/>
      <c r="BBL15" s="93"/>
      <c r="BBM15" s="93"/>
      <c r="BBN15" s="93"/>
      <c r="BBO15" s="93"/>
      <c r="BBP15" s="93"/>
      <c r="BBQ15" s="93"/>
      <c r="BBR15" s="93"/>
      <c r="BBS15" s="93"/>
      <c r="BBT15" s="93"/>
      <c r="BBU15" s="93"/>
      <c r="BBV15" s="93"/>
      <c r="BBW15" s="93"/>
      <c r="BBX15" s="93"/>
      <c r="BBY15" s="93"/>
      <c r="BBZ15" s="93"/>
      <c r="BCA15" s="93"/>
      <c r="BCB15" s="93"/>
      <c r="BCC15" s="93"/>
      <c r="BCD15" s="93"/>
      <c r="BCE15" s="93"/>
      <c r="BCF15" s="93"/>
      <c r="BCG15" s="93"/>
      <c r="BCH15" s="93"/>
      <c r="BCI15" s="93"/>
      <c r="BCJ15" s="93"/>
      <c r="BCK15" s="93"/>
      <c r="BCL15" s="93"/>
      <c r="BCM15" s="93"/>
      <c r="BCN15" s="93"/>
      <c r="BCO15" s="93"/>
      <c r="BCP15" s="93"/>
      <c r="BCQ15" s="93"/>
      <c r="BCR15" s="93"/>
      <c r="BCS15" s="93"/>
      <c r="BCT15" s="93"/>
      <c r="BCU15" s="93"/>
      <c r="BCV15" s="93"/>
      <c r="BCW15" s="93"/>
      <c r="BCX15" s="93"/>
      <c r="BCY15" s="93"/>
      <c r="BCZ15" s="93"/>
      <c r="BDA15" s="93"/>
      <c r="BDB15" s="93"/>
      <c r="BDC15" s="93"/>
      <c r="BDD15" s="93"/>
      <c r="BDE15" s="93"/>
      <c r="BDF15" s="93"/>
      <c r="BDG15" s="93"/>
      <c r="BDH15" s="93"/>
      <c r="BDI15" s="93"/>
      <c r="BDJ15" s="93"/>
      <c r="BDK15" s="93"/>
      <c r="BDL15" s="93"/>
      <c r="BDM15" s="93"/>
      <c r="BDN15" s="93"/>
      <c r="BDO15" s="93"/>
      <c r="BDP15" s="93"/>
      <c r="BDQ15" s="93"/>
      <c r="BDR15" s="93"/>
      <c r="BDS15" s="93"/>
      <c r="BDT15" s="93"/>
      <c r="BDU15" s="93"/>
      <c r="BDV15" s="93"/>
      <c r="BDW15" s="93"/>
      <c r="BDX15" s="93"/>
      <c r="BDY15" s="93"/>
      <c r="BDZ15" s="93"/>
      <c r="BEA15" s="93"/>
      <c r="BEB15" s="93"/>
      <c r="BEC15" s="93"/>
      <c r="BED15" s="93"/>
      <c r="BEE15" s="93"/>
      <c r="BEF15" s="93"/>
      <c r="BEG15" s="93"/>
      <c r="BEH15" s="93"/>
      <c r="BEI15" s="93"/>
      <c r="BEJ15" s="93"/>
      <c r="BEK15" s="93"/>
      <c r="BEL15" s="93"/>
      <c r="BEM15" s="93"/>
      <c r="BEN15" s="93"/>
      <c r="BEO15" s="93"/>
      <c r="BEP15" s="93"/>
      <c r="BEQ15" s="93"/>
      <c r="BER15" s="93"/>
      <c r="BES15" s="93"/>
      <c r="BET15" s="93"/>
      <c r="BEU15" s="93"/>
      <c r="BEV15" s="93"/>
      <c r="BEW15" s="93"/>
      <c r="BEX15" s="93"/>
      <c r="BEY15" s="93"/>
      <c r="BEZ15" s="93"/>
      <c r="BFA15" s="93"/>
      <c r="BFB15" s="93"/>
      <c r="BFC15" s="93"/>
      <c r="BFD15" s="93"/>
      <c r="BFE15" s="93"/>
      <c r="BFF15" s="93"/>
      <c r="BFG15" s="93"/>
      <c r="BFH15" s="93"/>
      <c r="BFI15" s="93"/>
      <c r="BFJ15" s="93"/>
      <c r="BFK15" s="93"/>
      <c r="BFL15" s="93"/>
      <c r="BFM15" s="93"/>
      <c r="BFN15" s="93"/>
      <c r="BFO15" s="93"/>
      <c r="BFP15" s="93"/>
      <c r="BFQ15" s="93"/>
      <c r="BFR15" s="93"/>
      <c r="BFS15" s="93"/>
      <c r="BFT15" s="93"/>
      <c r="BFU15" s="93"/>
      <c r="BFV15" s="93"/>
      <c r="BFW15" s="93"/>
      <c r="BFX15" s="93"/>
      <c r="BFY15" s="93"/>
      <c r="BFZ15" s="93"/>
      <c r="BGA15" s="93"/>
      <c r="BGB15" s="93"/>
      <c r="BGC15" s="93"/>
      <c r="BGD15" s="93"/>
      <c r="BGE15" s="93"/>
      <c r="BGF15" s="93"/>
      <c r="BGG15" s="93"/>
      <c r="BGH15" s="93"/>
      <c r="BGI15" s="93"/>
      <c r="BGJ15" s="93"/>
      <c r="BGK15" s="93"/>
      <c r="BGL15" s="93"/>
      <c r="BGM15" s="93"/>
      <c r="BGN15" s="93"/>
      <c r="BGO15" s="93"/>
      <c r="BGP15" s="93"/>
      <c r="BGQ15" s="93"/>
      <c r="BGR15" s="93"/>
      <c r="BGS15" s="93"/>
      <c r="BGT15" s="93"/>
      <c r="BGU15" s="93"/>
      <c r="BGV15" s="93"/>
      <c r="BGW15" s="93"/>
      <c r="BGX15" s="93"/>
      <c r="BGY15" s="93"/>
      <c r="BGZ15" s="93"/>
      <c r="BHA15" s="93"/>
      <c r="BHB15" s="93"/>
      <c r="BHC15" s="93"/>
      <c r="BHD15" s="93"/>
      <c r="BHE15" s="93"/>
      <c r="BHF15" s="93"/>
      <c r="BHG15" s="93"/>
      <c r="BHH15" s="93"/>
      <c r="BHI15" s="93"/>
      <c r="BHJ15" s="93"/>
      <c r="BHK15" s="93"/>
      <c r="BHL15" s="93"/>
      <c r="BHM15" s="93"/>
      <c r="BHN15" s="93"/>
      <c r="BHO15" s="93"/>
      <c r="BHP15" s="93"/>
      <c r="BHQ15" s="93"/>
      <c r="BHR15" s="93"/>
      <c r="BHS15" s="93"/>
    </row>
    <row r="16" spans="1:1579" s="50" customFormat="1" hidden="1" x14ac:dyDescent="0.25">
      <c r="A16" s="86"/>
      <c r="B16" s="48" t="s">
        <v>1160</v>
      </c>
      <c r="C16" s="531" t="s">
        <v>978</v>
      </c>
      <c r="D16" s="532"/>
      <c r="E16" s="69" t="s">
        <v>1144</v>
      </c>
      <c r="F16" s="100">
        <f>34*2</f>
        <v>68</v>
      </c>
      <c r="G16" s="99">
        <v>14.46</v>
      </c>
      <c r="H16" s="181">
        <f>+F16*G16</f>
        <v>983.28000000000009</v>
      </c>
      <c r="I16" s="550">
        <f t="shared" si="0"/>
        <v>0.87046443879169766</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row>
    <row r="17" spans="1:1579" s="50" customFormat="1" hidden="1" x14ac:dyDescent="0.25">
      <c r="A17" s="86"/>
      <c r="B17" s="48" t="s">
        <v>1161</v>
      </c>
      <c r="C17" s="1273" t="s">
        <v>1162</v>
      </c>
      <c r="D17" s="1274"/>
      <c r="E17" s="73" t="s">
        <v>683</v>
      </c>
      <c r="F17" s="74">
        <v>90</v>
      </c>
      <c r="G17" s="101">
        <v>14.02</v>
      </c>
      <c r="H17" s="181">
        <f t="shared" ref="H17:H20" si="2">+F17*G17</f>
        <v>1261.8</v>
      </c>
      <c r="I17" s="550">
        <f t="shared" si="0"/>
        <v>1.1170287495600073</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row>
    <row r="18" spans="1:1579" s="50" customFormat="1" hidden="1" x14ac:dyDescent="0.25">
      <c r="A18" s="86"/>
      <c r="B18" s="48" t="s">
        <v>1163</v>
      </c>
      <c r="C18" s="1273" t="s">
        <v>1164</v>
      </c>
      <c r="D18" s="1274"/>
      <c r="E18" s="73" t="s">
        <v>683</v>
      </c>
      <c r="F18" s="74">
        <v>24</v>
      </c>
      <c r="G18" s="101">
        <v>13.09</v>
      </c>
      <c r="H18" s="181">
        <f t="shared" si="2"/>
        <v>314.15999999999997</v>
      </c>
      <c r="I18" s="550">
        <f t="shared" si="0"/>
        <v>0.27811519413676639</v>
      </c>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row>
    <row r="19" spans="1:1579" s="50" customFormat="1" hidden="1" x14ac:dyDescent="0.25">
      <c r="A19" s="86"/>
      <c r="B19" s="48" t="s">
        <v>1165</v>
      </c>
      <c r="C19" s="1273" t="s">
        <v>1166</v>
      </c>
      <c r="D19" s="1274"/>
      <c r="E19" s="73" t="s">
        <v>1066</v>
      </c>
      <c r="F19" s="74">
        <v>7</v>
      </c>
      <c r="G19" s="101">
        <v>53.53</v>
      </c>
      <c r="H19" s="181">
        <f t="shared" si="2"/>
        <v>374.71000000000004</v>
      </c>
      <c r="I19" s="550">
        <f t="shared" si="0"/>
        <v>0.33171805575180718</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row>
    <row r="20" spans="1:1579" s="50" customFormat="1" hidden="1" x14ac:dyDescent="0.25">
      <c r="A20" s="86"/>
      <c r="B20" s="48" t="s">
        <v>1167</v>
      </c>
      <c r="C20" s="533" t="s">
        <v>1168</v>
      </c>
      <c r="D20" s="534"/>
      <c r="E20" s="69" t="s">
        <v>1144</v>
      </c>
      <c r="F20" s="74">
        <v>34</v>
      </c>
      <c r="G20" s="101">
        <v>22.89</v>
      </c>
      <c r="H20" s="181">
        <f t="shared" si="2"/>
        <v>778.26</v>
      </c>
      <c r="I20" s="550">
        <f t="shared" si="0"/>
        <v>0.68896718547517133</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row>
    <row r="21" spans="1:1579" s="94" customFormat="1" x14ac:dyDescent="0.25">
      <c r="A21" s="89"/>
      <c r="B21" s="68" t="s">
        <v>879</v>
      </c>
      <c r="C21" s="526" t="s">
        <v>980</v>
      </c>
      <c r="D21" s="527"/>
      <c r="E21" s="71" t="s">
        <v>541</v>
      </c>
      <c r="F21" s="72">
        <v>0</v>
      </c>
      <c r="G21" s="91">
        <v>0</v>
      </c>
      <c r="H21" s="179">
        <f>SUM(H22:H23)</f>
        <v>7452.0000000000009</v>
      </c>
      <c r="I21" s="550">
        <f t="shared" si="0"/>
        <v>6.5970028861318557</v>
      </c>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c r="JB21" s="93"/>
      <c r="JC21" s="93"/>
      <c r="JD21" s="93"/>
      <c r="JE21" s="93"/>
      <c r="JF21" s="93"/>
      <c r="JG21" s="93"/>
      <c r="JH21" s="93"/>
      <c r="JI21" s="93"/>
      <c r="JJ21" s="93"/>
      <c r="JK21" s="93"/>
      <c r="JL21" s="93"/>
      <c r="JM21" s="93"/>
      <c r="JN21" s="93"/>
      <c r="JO21" s="93"/>
      <c r="JP21" s="93"/>
      <c r="JQ21" s="93"/>
      <c r="JR21" s="93"/>
      <c r="JS21" s="93"/>
      <c r="JT21" s="93"/>
      <c r="JU21" s="93"/>
      <c r="JV21" s="93"/>
      <c r="JW21" s="93"/>
      <c r="JX21" s="93"/>
      <c r="JY21" s="93"/>
      <c r="JZ21" s="93"/>
      <c r="KA21" s="93"/>
      <c r="KB21" s="93"/>
      <c r="KC21" s="93"/>
      <c r="KD21" s="93"/>
      <c r="KE21" s="93"/>
      <c r="KF21" s="93"/>
      <c r="KG21" s="93"/>
      <c r="KH21" s="93"/>
      <c r="KI21" s="93"/>
      <c r="KJ21" s="93"/>
      <c r="KK21" s="93"/>
      <c r="KL21" s="93"/>
      <c r="KM21" s="93"/>
      <c r="KN21" s="93"/>
      <c r="KO21" s="93"/>
      <c r="KP21" s="93"/>
      <c r="KQ21" s="93"/>
      <c r="KR21" s="93"/>
      <c r="KS21" s="93"/>
      <c r="KT21" s="93"/>
      <c r="KU21" s="93"/>
      <c r="KV21" s="93"/>
      <c r="KW21" s="93"/>
      <c r="KX21" s="93"/>
      <c r="KY21" s="93"/>
      <c r="KZ21" s="93"/>
      <c r="LA21" s="93"/>
      <c r="LB21" s="93"/>
      <c r="LC21" s="93"/>
      <c r="LD21" s="93"/>
      <c r="LE21" s="93"/>
      <c r="LF21" s="93"/>
      <c r="LG21" s="93"/>
      <c r="LH21" s="93"/>
      <c r="LI21" s="93"/>
      <c r="LJ21" s="93"/>
      <c r="LK21" s="93"/>
      <c r="LL21" s="93"/>
      <c r="LM21" s="93"/>
      <c r="LN21" s="93"/>
      <c r="LO21" s="93"/>
      <c r="LP21" s="93"/>
      <c r="LQ21" s="93"/>
      <c r="LR21" s="93"/>
      <c r="LS21" s="93"/>
      <c r="LT21" s="93"/>
      <c r="LU21" s="93"/>
      <c r="LV21" s="93"/>
      <c r="LW21" s="93"/>
      <c r="LX21" s="93"/>
      <c r="LY21" s="93"/>
      <c r="LZ21" s="93"/>
      <c r="MA21" s="93"/>
      <c r="MB21" s="93"/>
      <c r="MC21" s="93"/>
      <c r="MD21" s="93"/>
      <c r="ME21" s="93"/>
      <c r="MF21" s="93"/>
      <c r="MG21" s="93"/>
      <c r="MH21" s="93"/>
      <c r="MI21" s="93"/>
      <c r="MJ21" s="93"/>
      <c r="MK21" s="93"/>
      <c r="ML21" s="93"/>
      <c r="MM21" s="93"/>
      <c r="MN21" s="93"/>
      <c r="MO21" s="93"/>
      <c r="MP21" s="93"/>
      <c r="MQ21" s="93"/>
      <c r="MR21" s="93"/>
      <c r="MS21" s="93"/>
      <c r="MT21" s="93"/>
      <c r="MU21" s="93"/>
      <c r="MV21" s="93"/>
      <c r="MW21" s="93"/>
      <c r="MX21" s="93"/>
      <c r="MY21" s="93"/>
      <c r="MZ21" s="93"/>
      <c r="NA21" s="93"/>
      <c r="NB21" s="93"/>
      <c r="NC21" s="93"/>
      <c r="ND21" s="93"/>
      <c r="NE21" s="93"/>
      <c r="NF21" s="93"/>
      <c r="NG21" s="93"/>
      <c r="NH21" s="93"/>
      <c r="NI21" s="93"/>
      <c r="NJ21" s="93"/>
      <c r="NK21" s="93"/>
      <c r="NL21" s="93"/>
      <c r="NM21" s="93"/>
      <c r="NN21" s="93"/>
      <c r="NO21" s="93"/>
      <c r="NP21" s="93"/>
      <c r="NQ21" s="93"/>
      <c r="NR21" s="93"/>
      <c r="NS21" s="93"/>
      <c r="NT21" s="93"/>
      <c r="NU21" s="93"/>
      <c r="NV21" s="93"/>
      <c r="NW21" s="93"/>
      <c r="NX21" s="93"/>
      <c r="NY21" s="93"/>
      <c r="NZ21" s="93"/>
      <c r="OA21" s="93"/>
      <c r="OB21" s="93"/>
      <c r="OC21" s="93"/>
      <c r="OD21" s="93"/>
      <c r="OE21" s="93"/>
      <c r="OF21" s="93"/>
      <c r="OG21" s="93"/>
      <c r="OH21" s="93"/>
      <c r="OI21" s="93"/>
      <c r="OJ21" s="93"/>
      <c r="OK21" s="93"/>
      <c r="OL21" s="93"/>
      <c r="OM21" s="93"/>
      <c r="ON21" s="93"/>
      <c r="OO21" s="93"/>
      <c r="OP21" s="93"/>
      <c r="OQ21" s="93"/>
      <c r="OR21" s="93"/>
      <c r="OS21" s="93"/>
      <c r="OT21" s="93"/>
      <c r="OU21" s="93"/>
      <c r="OV21" s="93"/>
      <c r="OW21" s="93"/>
      <c r="OX21" s="93"/>
      <c r="OY21" s="93"/>
      <c r="OZ21" s="93"/>
      <c r="PA21" s="93"/>
      <c r="PB21" s="93"/>
      <c r="PC21" s="93"/>
      <c r="PD21" s="93"/>
      <c r="PE21" s="93"/>
      <c r="PF21" s="93"/>
      <c r="PG21" s="93"/>
      <c r="PH21" s="93"/>
      <c r="PI21" s="93"/>
      <c r="PJ21" s="93"/>
      <c r="PK21" s="93"/>
      <c r="PL21" s="93"/>
      <c r="PM21" s="93"/>
      <c r="PN21" s="93"/>
      <c r="PO21" s="93"/>
      <c r="PP21" s="93"/>
      <c r="PQ21" s="93"/>
      <c r="PR21" s="93"/>
      <c r="PS21" s="93"/>
      <c r="PT21" s="93"/>
      <c r="PU21" s="93"/>
      <c r="PV21" s="93"/>
      <c r="PW21" s="93"/>
      <c r="PX21" s="93"/>
      <c r="PY21" s="93"/>
      <c r="PZ21" s="93"/>
      <c r="QA21" s="93"/>
      <c r="QB21" s="93"/>
      <c r="QC21" s="93"/>
      <c r="QD21" s="93"/>
      <c r="QE21" s="93"/>
      <c r="QF21" s="93"/>
      <c r="QG21" s="93"/>
      <c r="QH21" s="93"/>
      <c r="QI21" s="93"/>
      <c r="QJ21" s="93"/>
      <c r="QK21" s="93"/>
      <c r="QL21" s="93"/>
      <c r="QM21" s="93"/>
      <c r="QN21" s="93"/>
      <c r="QO21" s="93"/>
      <c r="QP21" s="93"/>
      <c r="QQ21" s="93"/>
      <c r="QR21" s="93"/>
      <c r="QS21" s="93"/>
      <c r="QT21" s="93"/>
      <c r="QU21" s="93"/>
      <c r="QV21" s="93"/>
      <c r="QW21" s="93"/>
      <c r="QX21" s="93"/>
      <c r="QY21" s="93"/>
      <c r="QZ21" s="93"/>
      <c r="RA21" s="93"/>
      <c r="RB21" s="93"/>
      <c r="RC21" s="93"/>
      <c r="RD21" s="93"/>
      <c r="RE21" s="93"/>
      <c r="RF21" s="93"/>
      <c r="RG21" s="93"/>
      <c r="RH21" s="93"/>
      <c r="RI21" s="93"/>
      <c r="RJ21" s="93"/>
      <c r="RK21" s="93"/>
      <c r="RL21" s="93"/>
      <c r="RM21" s="93"/>
      <c r="RN21" s="93"/>
      <c r="RO21" s="93"/>
      <c r="RP21" s="93"/>
      <c r="RQ21" s="93"/>
      <c r="RR21" s="93"/>
      <c r="RS21" s="93"/>
      <c r="RT21" s="93"/>
      <c r="RU21" s="93"/>
      <c r="RV21" s="93"/>
      <c r="RW21" s="93"/>
      <c r="RX21" s="93"/>
      <c r="RY21" s="93"/>
      <c r="RZ21" s="93"/>
      <c r="SA21" s="93"/>
      <c r="SB21" s="93"/>
      <c r="SC21" s="93"/>
      <c r="SD21" s="93"/>
      <c r="SE21" s="93"/>
      <c r="SF21" s="93"/>
      <c r="SG21" s="93"/>
      <c r="SH21" s="93"/>
      <c r="SI21" s="93"/>
      <c r="SJ21" s="93"/>
      <c r="SK21" s="93"/>
      <c r="SL21" s="93"/>
      <c r="SM21" s="93"/>
      <c r="SN21" s="93"/>
      <c r="SO21" s="93"/>
      <c r="SP21" s="93"/>
      <c r="SQ21" s="93"/>
      <c r="SR21" s="93"/>
      <c r="SS21" s="93"/>
      <c r="ST21" s="93"/>
      <c r="SU21" s="93"/>
      <c r="SV21" s="93"/>
      <c r="SW21" s="93"/>
      <c r="SX21" s="93"/>
      <c r="SY21" s="93"/>
      <c r="SZ21" s="93"/>
      <c r="TA21" s="93"/>
      <c r="TB21" s="93"/>
      <c r="TC21" s="93"/>
      <c r="TD21" s="93"/>
      <c r="TE21" s="93"/>
      <c r="TF21" s="93"/>
      <c r="TG21" s="93"/>
      <c r="TH21" s="93"/>
      <c r="TI21" s="93"/>
      <c r="TJ21" s="93"/>
      <c r="TK21" s="93"/>
      <c r="TL21" s="93"/>
      <c r="TM21" s="93"/>
      <c r="TN21" s="93"/>
      <c r="TO21" s="93"/>
      <c r="TP21" s="93"/>
      <c r="TQ21" s="93"/>
      <c r="TR21" s="93"/>
      <c r="TS21" s="93"/>
      <c r="TT21" s="93"/>
      <c r="TU21" s="93"/>
      <c r="TV21" s="93"/>
      <c r="TW21" s="93"/>
      <c r="TX21" s="93"/>
      <c r="TY21" s="93"/>
      <c r="TZ21" s="93"/>
      <c r="UA21" s="93"/>
      <c r="UB21" s="93"/>
      <c r="UC21" s="93"/>
      <c r="UD21" s="93"/>
      <c r="UE21" s="93"/>
      <c r="UF21" s="93"/>
      <c r="UG21" s="93"/>
      <c r="UH21" s="93"/>
      <c r="UI21" s="93"/>
      <c r="UJ21" s="93"/>
      <c r="UK21" s="93"/>
      <c r="UL21" s="93"/>
      <c r="UM21" s="93"/>
      <c r="UN21" s="93"/>
      <c r="UO21" s="93"/>
      <c r="UP21" s="93"/>
      <c r="UQ21" s="93"/>
      <c r="UR21" s="93"/>
      <c r="US21" s="93"/>
      <c r="UT21" s="93"/>
      <c r="UU21" s="93"/>
      <c r="UV21" s="93"/>
      <c r="UW21" s="93"/>
      <c r="UX21" s="93"/>
      <c r="UY21" s="93"/>
      <c r="UZ21" s="93"/>
      <c r="VA21" s="93"/>
      <c r="VB21" s="93"/>
      <c r="VC21" s="93"/>
      <c r="VD21" s="93"/>
      <c r="VE21" s="93"/>
      <c r="VF21" s="93"/>
      <c r="VG21" s="93"/>
      <c r="VH21" s="93"/>
      <c r="VI21" s="93"/>
      <c r="VJ21" s="93"/>
      <c r="VK21" s="93"/>
      <c r="VL21" s="93"/>
      <c r="VM21" s="93"/>
      <c r="VN21" s="93"/>
      <c r="VO21" s="93"/>
      <c r="VP21" s="93"/>
      <c r="VQ21" s="93"/>
      <c r="VR21" s="93"/>
      <c r="VS21" s="93"/>
      <c r="VT21" s="93"/>
      <c r="VU21" s="93"/>
      <c r="VV21" s="93"/>
      <c r="VW21" s="93"/>
      <c r="VX21" s="93"/>
      <c r="VY21" s="93"/>
      <c r="VZ21" s="93"/>
      <c r="WA21" s="93"/>
      <c r="WB21" s="93"/>
      <c r="WC21" s="93"/>
      <c r="WD21" s="93"/>
      <c r="WE21" s="93"/>
      <c r="WF21" s="93"/>
      <c r="WG21" s="93"/>
      <c r="WH21" s="93"/>
      <c r="WI21" s="93"/>
      <c r="WJ21" s="93"/>
      <c r="WK21" s="93"/>
      <c r="WL21" s="93"/>
      <c r="WM21" s="93"/>
      <c r="WN21" s="93"/>
      <c r="WO21" s="93"/>
      <c r="WP21" s="93"/>
      <c r="WQ21" s="93"/>
      <c r="WR21" s="93"/>
      <c r="WS21" s="93"/>
      <c r="WT21" s="93"/>
      <c r="WU21" s="93"/>
      <c r="WV21" s="93"/>
      <c r="WW21" s="93"/>
      <c r="WX21" s="93"/>
      <c r="WY21" s="93"/>
      <c r="WZ21" s="93"/>
      <c r="XA21" s="93"/>
      <c r="XB21" s="93"/>
      <c r="XC21" s="93"/>
      <c r="XD21" s="93"/>
      <c r="XE21" s="93"/>
      <c r="XF21" s="93"/>
      <c r="XG21" s="93"/>
      <c r="XH21" s="93"/>
      <c r="XI21" s="93"/>
      <c r="XJ21" s="93"/>
      <c r="XK21" s="93"/>
      <c r="XL21" s="93"/>
      <c r="XM21" s="93"/>
      <c r="XN21" s="93"/>
      <c r="XO21" s="93"/>
      <c r="XP21" s="93"/>
      <c r="XQ21" s="93"/>
      <c r="XR21" s="93"/>
      <c r="XS21" s="93"/>
      <c r="XT21" s="93"/>
      <c r="XU21" s="93"/>
      <c r="XV21" s="93"/>
      <c r="XW21" s="93"/>
      <c r="XX21" s="93"/>
      <c r="XY21" s="93"/>
      <c r="XZ21" s="93"/>
      <c r="YA21" s="93"/>
      <c r="YB21" s="93"/>
      <c r="YC21" s="93"/>
      <c r="YD21" s="93"/>
      <c r="YE21" s="93"/>
      <c r="YF21" s="93"/>
      <c r="YG21" s="93"/>
      <c r="YH21" s="93"/>
      <c r="YI21" s="93"/>
      <c r="YJ21" s="93"/>
      <c r="YK21" s="93"/>
      <c r="YL21" s="93"/>
      <c r="YM21" s="93"/>
      <c r="YN21" s="93"/>
      <c r="YO21" s="93"/>
      <c r="YP21" s="93"/>
      <c r="YQ21" s="93"/>
      <c r="YR21" s="93"/>
      <c r="YS21" s="93"/>
      <c r="YT21" s="93"/>
      <c r="YU21" s="93"/>
      <c r="YV21" s="93"/>
      <c r="YW21" s="93"/>
      <c r="YX21" s="93"/>
      <c r="YY21" s="93"/>
      <c r="YZ21" s="93"/>
      <c r="ZA21" s="93"/>
      <c r="ZB21" s="93"/>
      <c r="ZC21" s="93"/>
      <c r="ZD21" s="93"/>
      <c r="ZE21" s="93"/>
      <c r="ZF21" s="93"/>
      <c r="ZG21" s="93"/>
      <c r="ZH21" s="93"/>
      <c r="ZI21" s="93"/>
      <c r="ZJ21" s="93"/>
      <c r="ZK21" s="93"/>
      <c r="ZL21" s="93"/>
      <c r="ZM21" s="93"/>
      <c r="ZN21" s="93"/>
      <c r="ZO21" s="93"/>
      <c r="ZP21" s="93"/>
      <c r="ZQ21" s="93"/>
      <c r="ZR21" s="93"/>
      <c r="ZS21" s="93"/>
      <c r="ZT21" s="93"/>
      <c r="ZU21" s="93"/>
      <c r="ZV21" s="93"/>
      <c r="ZW21" s="93"/>
      <c r="ZX21" s="93"/>
      <c r="ZY21" s="93"/>
      <c r="ZZ21" s="93"/>
      <c r="AAA21" s="93"/>
      <c r="AAB21" s="93"/>
      <c r="AAC21" s="93"/>
      <c r="AAD21" s="93"/>
      <c r="AAE21" s="93"/>
      <c r="AAF21" s="93"/>
      <c r="AAG21" s="93"/>
      <c r="AAH21" s="93"/>
      <c r="AAI21" s="93"/>
      <c r="AAJ21" s="93"/>
      <c r="AAK21" s="93"/>
      <c r="AAL21" s="93"/>
      <c r="AAM21" s="93"/>
      <c r="AAN21" s="93"/>
      <c r="AAO21" s="93"/>
      <c r="AAP21" s="93"/>
      <c r="AAQ21" s="93"/>
      <c r="AAR21" s="93"/>
      <c r="AAS21" s="93"/>
      <c r="AAT21" s="93"/>
      <c r="AAU21" s="93"/>
      <c r="AAV21" s="93"/>
      <c r="AAW21" s="93"/>
      <c r="AAX21" s="93"/>
      <c r="AAY21" s="93"/>
      <c r="AAZ21" s="93"/>
      <c r="ABA21" s="93"/>
      <c r="ABB21" s="93"/>
      <c r="ABC21" s="93"/>
      <c r="ABD21" s="93"/>
      <c r="ABE21" s="93"/>
      <c r="ABF21" s="93"/>
      <c r="ABG21" s="93"/>
      <c r="ABH21" s="93"/>
      <c r="ABI21" s="93"/>
      <c r="ABJ21" s="93"/>
      <c r="ABK21" s="93"/>
      <c r="ABL21" s="93"/>
      <c r="ABM21" s="93"/>
      <c r="ABN21" s="93"/>
      <c r="ABO21" s="93"/>
      <c r="ABP21" s="93"/>
      <c r="ABQ21" s="93"/>
      <c r="ABR21" s="93"/>
      <c r="ABS21" s="93"/>
      <c r="ABT21" s="93"/>
      <c r="ABU21" s="93"/>
      <c r="ABV21" s="93"/>
      <c r="ABW21" s="93"/>
      <c r="ABX21" s="93"/>
      <c r="ABY21" s="93"/>
      <c r="ABZ21" s="93"/>
      <c r="ACA21" s="93"/>
      <c r="ACB21" s="93"/>
      <c r="ACC21" s="93"/>
      <c r="ACD21" s="93"/>
      <c r="ACE21" s="93"/>
      <c r="ACF21" s="93"/>
      <c r="ACG21" s="93"/>
      <c r="ACH21" s="93"/>
      <c r="ACI21" s="93"/>
      <c r="ACJ21" s="93"/>
      <c r="ACK21" s="93"/>
      <c r="ACL21" s="93"/>
      <c r="ACM21" s="93"/>
      <c r="ACN21" s="93"/>
      <c r="ACO21" s="93"/>
      <c r="ACP21" s="93"/>
      <c r="ACQ21" s="93"/>
      <c r="ACR21" s="93"/>
      <c r="ACS21" s="93"/>
      <c r="ACT21" s="93"/>
      <c r="ACU21" s="93"/>
      <c r="ACV21" s="93"/>
      <c r="ACW21" s="93"/>
      <c r="ACX21" s="93"/>
      <c r="ACY21" s="93"/>
      <c r="ACZ21" s="93"/>
      <c r="ADA21" s="93"/>
      <c r="ADB21" s="93"/>
      <c r="ADC21" s="93"/>
      <c r="ADD21" s="93"/>
      <c r="ADE21" s="93"/>
      <c r="ADF21" s="93"/>
      <c r="ADG21" s="93"/>
      <c r="ADH21" s="93"/>
      <c r="ADI21" s="93"/>
      <c r="ADJ21" s="93"/>
      <c r="ADK21" s="93"/>
      <c r="ADL21" s="93"/>
      <c r="ADM21" s="93"/>
      <c r="ADN21" s="93"/>
      <c r="ADO21" s="93"/>
      <c r="ADP21" s="93"/>
      <c r="ADQ21" s="93"/>
      <c r="ADR21" s="93"/>
      <c r="ADS21" s="93"/>
      <c r="ADT21" s="93"/>
      <c r="ADU21" s="93"/>
      <c r="ADV21" s="93"/>
      <c r="ADW21" s="93"/>
      <c r="ADX21" s="93"/>
      <c r="ADY21" s="93"/>
      <c r="ADZ21" s="93"/>
      <c r="AEA21" s="93"/>
      <c r="AEB21" s="93"/>
      <c r="AEC21" s="93"/>
      <c r="AED21" s="93"/>
      <c r="AEE21" s="93"/>
      <c r="AEF21" s="93"/>
      <c r="AEG21" s="93"/>
      <c r="AEH21" s="93"/>
      <c r="AEI21" s="93"/>
      <c r="AEJ21" s="93"/>
      <c r="AEK21" s="93"/>
      <c r="AEL21" s="93"/>
      <c r="AEM21" s="93"/>
      <c r="AEN21" s="93"/>
      <c r="AEO21" s="93"/>
      <c r="AEP21" s="93"/>
      <c r="AEQ21" s="93"/>
      <c r="AER21" s="93"/>
      <c r="AES21" s="93"/>
      <c r="AET21" s="93"/>
      <c r="AEU21" s="93"/>
      <c r="AEV21" s="93"/>
      <c r="AEW21" s="93"/>
      <c r="AEX21" s="93"/>
      <c r="AEY21" s="93"/>
      <c r="AEZ21" s="93"/>
      <c r="AFA21" s="93"/>
      <c r="AFB21" s="93"/>
      <c r="AFC21" s="93"/>
      <c r="AFD21" s="93"/>
      <c r="AFE21" s="93"/>
      <c r="AFF21" s="93"/>
      <c r="AFG21" s="93"/>
      <c r="AFH21" s="93"/>
      <c r="AFI21" s="93"/>
      <c r="AFJ21" s="93"/>
      <c r="AFK21" s="93"/>
      <c r="AFL21" s="93"/>
      <c r="AFM21" s="93"/>
      <c r="AFN21" s="93"/>
      <c r="AFO21" s="93"/>
      <c r="AFP21" s="93"/>
      <c r="AFQ21" s="93"/>
      <c r="AFR21" s="93"/>
      <c r="AFS21" s="93"/>
      <c r="AFT21" s="93"/>
      <c r="AFU21" s="93"/>
      <c r="AFV21" s="93"/>
      <c r="AFW21" s="93"/>
      <c r="AFX21" s="93"/>
      <c r="AFY21" s="93"/>
      <c r="AFZ21" s="93"/>
      <c r="AGA21" s="93"/>
      <c r="AGB21" s="93"/>
      <c r="AGC21" s="93"/>
      <c r="AGD21" s="93"/>
      <c r="AGE21" s="93"/>
      <c r="AGF21" s="93"/>
      <c r="AGG21" s="93"/>
      <c r="AGH21" s="93"/>
      <c r="AGI21" s="93"/>
      <c r="AGJ21" s="93"/>
      <c r="AGK21" s="93"/>
      <c r="AGL21" s="93"/>
      <c r="AGM21" s="93"/>
      <c r="AGN21" s="93"/>
      <c r="AGO21" s="93"/>
      <c r="AGP21" s="93"/>
      <c r="AGQ21" s="93"/>
      <c r="AGR21" s="93"/>
      <c r="AGS21" s="93"/>
      <c r="AGT21" s="93"/>
      <c r="AGU21" s="93"/>
      <c r="AGV21" s="93"/>
      <c r="AGW21" s="93"/>
      <c r="AGX21" s="93"/>
      <c r="AGY21" s="93"/>
      <c r="AGZ21" s="93"/>
      <c r="AHA21" s="93"/>
      <c r="AHB21" s="93"/>
      <c r="AHC21" s="93"/>
      <c r="AHD21" s="93"/>
      <c r="AHE21" s="93"/>
      <c r="AHF21" s="93"/>
      <c r="AHG21" s="93"/>
      <c r="AHH21" s="93"/>
      <c r="AHI21" s="93"/>
      <c r="AHJ21" s="93"/>
      <c r="AHK21" s="93"/>
      <c r="AHL21" s="93"/>
      <c r="AHM21" s="93"/>
      <c r="AHN21" s="93"/>
      <c r="AHO21" s="93"/>
      <c r="AHP21" s="93"/>
      <c r="AHQ21" s="93"/>
      <c r="AHR21" s="93"/>
      <c r="AHS21" s="93"/>
      <c r="AHT21" s="93"/>
      <c r="AHU21" s="93"/>
      <c r="AHV21" s="93"/>
      <c r="AHW21" s="93"/>
      <c r="AHX21" s="93"/>
      <c r="AHY21" s="93"/>
      <c r="AHZ21" s="93"/>
      <c r="AIA21" s="93"/>
      <c r="AIB21" s="93"/>
      <c r="AIC21" s="93"/>
      <c r="AID21" s="93"/>
      <c r="AIE21" s="93"/>
      <c r="AIF21" s="93"/>
      <c r="AIG21" s="93"/>
      <c r="AIH21" s="93"/>
      <c r="AII21" s="93"/>
      <c r="AIJ21" s="93"/>
      <c r="AIK21" s="93"/>
      <c r="AIL21" s="93"/>
      <c r="AIM21" s="93"/>
      <c r="AIN21" s="93"/>
      <c r="AIO21" s="93"/>
      <c r="AIP21" s="93"/>
      <c r="AIQ21" s="93"/>
      <c r="AIR21" s="93"/>
      <c r="AIS21" s="93"/>
      <c r="AIT21" s="93"/>
      <c r="AIU21" s="93"/>
      <c r="AIV21" s="93"/>
      <c r="AIW21" s="93"/>
      <c r="AIX21" s="93"/>
      <c r="AIY21" s="93"/>
      <c r="AIZ21" s="93"/>
      <c r="AJA21" s="93"/>
      <c r="AJB21" s="93"/>
      <c r="AJC21" s="93"/>
      <c r="AJD21" s="93"/>
      <c r="AJE21" s="93"/>
      <c r="AJF21" s="93"/>
      <c r="AJG21" s="93"/>
      <c r="AJH21" s="93"/>
      <c r="AJI21" s="93"/>
      <c r="AJJ21" s="93"/>
      <c r="AJK21" s="93"/>
      <c r="AJL21" s="93"/>
      <c r="AJM21" s="93"/>
      <c r="AJN21" s="93"/>
      <c r="AJO21" s="93"/>
      <c r="AJP21" s="93"/>
      <c r="AJQ21" s="93"/>
      <c r="AJR21" s="93"/>
      <c r="AJS21" s="93"/>
      <c r="AJT21" s="93"/>
      <c r="AJU21" s="93"/>
      <c r="AJV21" s="93"/>
      <c r="AJW21" s="93"/>
      <c r="AJX21" s="93"/>
      <c r="AJY21" s="93"/>
      <c r="AJZ21" s="93"/>
      <c r="AKA21" s="93"/>
      <c r="AKB21" s="93"/>
      <c r="AKC21" s="93"/>
      <c r="AKD21" s="93"/>
      <c r="AKE21" s="93"/>
      <c r="AKF21" s="93"/>
      <c r="AKG21" s="93"/>
      <c r="AKH21" s="93"/>
      <c r="AKI21" s="93"/>
      <c r="AKJ21" s="93"/>
      <c r="AKK21" s="93"/>
      <c r="AKL21" s="93"/>
      <c r="AKM21" s="93"/>
      <c r="AKN21" s="93"/>
      <c r="AKO21" s="93"/>
      <c r="AKP21" s="93"/>
      <c r="AKQ21" s="93"/>
      <c r="AKR21" s="93"/>
      <c r="AKS21" s="93"/>
      <c r="AKT21" s="93"/>
      <c r="AKU21" s="93"/>
      <c r="AKV21" s="93"/>
      <c r="AKW21" s="93"/>
      <c r="AKX21" s="93"/>
      <c r="AKY21" s="93"/>
      <c r="AKZ21" s="93"/>
      <c r="ALA21" s="93"/>
      <c r="ALB21" s="93"/>
      <c r="ALC21" s="93"/>
      <c r="ALD21" s="93"/>
      <c r="ALE21" s="93"/>
      <c r="ALF21" s="93"/>
      <c r="ALG21" s="93"/>
      <c r="ALH21" s="93"/>
      <c r="ALI21" s="93"/>
      <c r="ALJ21" s="93"/>
      <c r="ALK21" s="93"/>
      <c r="ALL21" s="93"/>
      <c r="ALM21" s="93"/>
      <c r="ALN21" s="93"/>
      <c r="ALO21" s="93"/>
      <c r="ALP21" s="93"/>
      <c r="ALQ21" s="93"/>
      <c r="ALR21" s="93"/>
      <c r="ALS21" s="93"/>
      <c r="ALT21" s="93"/>
      <c r="ALU21" s="93"/>
      <c r="ALV21" s="93"/>
      <c r="ALW21" s="93"/>
      <c r="ALX21" s="93"/>
      <c r="ALY21" s="93"/>
      <c r="ALZ21" s="93"/>
      <c r="AMA21" s="93"/>
      <c r="AMB21" s="93"/>
      <c r="AMC21" s="93"/>
      <c r="AMD21" s="93"/>
      <c r="AME21" s="93"/>
      <c r="AMF21" s="93"/>
      <c r="AMG21" s="93"/>
      <c r="AMH21" s="93"/>
      <c r="AMI21" s="93"/>
      <c r="AMJ21" s="93"/>
      <c r="AMK21" s="93"/>
      <c r="AML21" s="93"/>
      <c r="AMM21" s="93"/>
      <c r="AMN21" s="93"/>
      <c r="AMO21" s="93"/>
      <c r="AMP21" s="93"/>
      <c r="AMQ21" s="93"/>
      <c r="AMR21" s="93"/>
      <c r="AMS21" s="93"/>
      <c r="AMT21" s="93"/>
      <c r="AMU21" s="93"/>
      <c r="AMV21" s="93"/>
      <c r="AMW21" s="93"/>
      <c r="AMX21" s="93"/>
      <c r="AMY21" s="93"/>
      <c r="AMZ21" s="93"/>
      <c r="ANA21" s="93"/>
      <c r="ANB21" s="93"/>
      <c r="ANC21" s="93"/>
      <c r="AND21" s="93"/>
      <c r="ANE21" s="93"/>
      <c r="ANF21" s="93"/>
      <c r="ANG21" s="93"/>
      <c r="ANH21" s="93"/>
      <c r="ANI21" s="93"/>
      <c r="ANJ21" s="93"/>
      <c r="ANK21" s="93"/>
      <c r="ANL21" s="93"/>
      <c r="ANM21" s="93"/>
      <c r="ANN21" s="93"/>
      <c r="ANO21" s="93"/>
      <c r="ANP21" s="93"/>
      <c r="ANQ21" s="93"/>
      <c r="ANR21" s="93"/>
      <c r="ANS21" s="93"/>
      <c r="ANT21" s="93"/>
      <c r="ANU21" s="93"/>
      <c r="ANV21" s="93"/>
      <c r="ANW21" s="93"/>
      <c r="ANX21" s="93"/>
      <c r="ANY21" s="93"/>
      <c r="ANZ21" s="93"/>
      <c r="AOA21" s="93"/>
      <c r="AOB21" s="93"/>
      <c r="AOC21" s="93"/>
      <c r="AOD21" s="93"/>
      <c r="AOE21" s="93"/>
      <c r="AOF21" s="93"/>
      <c r="AOG21" s="93"/>
      <c r="AOH21" s="93"/>
      <c r="AOI21" s="93"/>
      <c r="AOJ21" s="93"/>
      <c r="AOK21" s="93"/>
      <c r="AOL21" s="93"/>
      <c r="AOM21" s="93"/>
      <c r="AON21" s="93"/>
      <c r="AOO21" s="93"/>
      <c r="AOP21" s="93"/>
      <c r="AOQ21" s="93"/>
      <c r="AOR21" s="93"/>
      <c r="AOS21" s="93"/>
      <c r="AOT21" s="93"/>
      <c r="AOU21" s="93"/>
      <c r="AOV21" s="93"/>
      <c r="AOW21" s="93"/>
      <c r="AOX21" s="93"/>
      <c r="AOY21" s="93"/>
      <c r="AOZ21" s="93"/>
      <c r="APA21" s="93"/>
      <c r="APB21" s="93"/>
      <c r="APC21" s="93"/>
      <c r="APD21" s="93"/>
      <c r="APE21" s="93"/>
      <c r="APF21" s="93"/>
      <c r="APG21" s="93"/>
      <c r="APH21" s="93"/>
      <c r="API21" s="93"/>
      <c r="APJ21" s="93"/>
      <c r="APK21" s="93"/>
      <c r="APL21" s="93"/>
      <c r="APM21" s="93"/>
      <c r="APN21" s="93"/>
      <c r="APO21" s="93"/>
      <c r="APP21" s="93"/>
      <c r="APQ21" s="93"/>
      <c r="APR21" s="93"/>
      <c r="APS21" s="93"/>
      <c r="APT21" s="93"/>
      <c r="APU21" s="93"/>
      <c r="APV21" s="93"/>
      <c r="APW21" s="93"/>
      <c r="APX21" s="93"/>
      <c r="APY21" s="93"/>
      <c r="APZ21" s="93"/>
      <c r="AQA21" s="93"/>
      <c r="AQB21" s="93"/>
      <c r="AQC21" s="93"/>
      <c r="AQD21" s="93"/>
      <c r="AQE21" s="93"/>
      <c r="AQF21" s="93"/>
      <c r="AQG21" s="93"/>
      <c r="AQH21" s="93"/>
      <c r="AQI21" s="93"/>
      <c r="AQJ21" s="93"/>
      <c r="AQK21" s="93"/>
      <c r="AQL21" s="93"/>
      <c r="AQM21" s="93"/>
      <c r="AQN21" s="93"/>
      <c r="AQO21" s="93"/>
      <c r="AQP21" s="93"/>
      <c r="AQQ21" s="93"/>
      <c r="AQR21" s="93"/>
      <c r="AQS21" s="93"/>
      <c r="AQT21" s="93"/>
      <c r="AQU21" s="93"/>
      <c r="AQV21" s="93"/>
      <c r="AQW21" s="93"/>
      <c r="AQX21" s="93"/>
      <c r="AQY21" s="93"/>
      <c r="AQZ21" s="93"/>
      <c r="ARA21" s="93"/>
      <c r="ARB21" s="93"/>
      <c r="ARC21" s="93"/>
      <c r="ARD21" s="93"/>
      <c r="ARE21" s="93"/>
      <c r="ARF21" s="93"/>
      <c r="ARG21" s="93"/>
      <c r="ARH21" s="93"/>
      <c r="ARI21" s="93"/>
      <c r="ARJ21" s="93"/>
      <c r="ARK21" s="93"/>
      <c r="ARL21" s="93"/>
      <c r="ARM21" s="93"/>
      <c r="ARN21" s="93"/>
      <c r="ARO21" s="93"/>
      <c r="ARP21" s="93"/>
      <c r="ARQ21" s="93"/>
      <c r="ARR21" s="93"/>
      <c r="ARS21" s="93"/>
      <c r="ART21" s="93"/>
      <c r="ARU21" s="93"/>
      <c r="ARV21" s="93"/>
      <c r="ARW21" s="93"/>
      <c r="ARX21" s="93"/>
      <c r="ARY21" s="93"/>
      <c r="ARZ21" s="93"/>
      <c r="ASA21" s="93"/>
      <c r="ASB21" s="93"/>
      <c r="ASC21" s="93"/>
      <c r="ASD21" s="93"/>
      <c r="ASE21" s="93"/>
      <c r="ASF21" s="93"/>
      <c r="ASG21" s="93"/>
      <c r="ASH21" s="93"/>
      <c r="ASI21" s="93"/>
      <c r="ASJ21" s="93"/>
      <c r="ASK21" s="93"/>
      <c r="ASL21" s="93"/>
      <c r="ASM21" s="93"/>
      <c r="ASN21" s="93"/>
      <c r="ASO21" s="93"/>
      <c r="ASP21" s="93"/>
      <c r="ASQ21" s="93"/>
      <c r="ASR21" s="93"/>
      <c r="ASS21" s="93"/>
      <c r="AST21" s="93"/>
      <c r="ASU21" s="93"/>
      <c r="ASV21" s="93"/>
      <c r="ASW21" s="93"/>
      <c r="ASX21" s="93"/>
      <c r="ASY21" s="93"/>
      <c r="ASZ21" s="93"/>
      <c r="ATA21" s="93"/>
      <c r="ATB21" s="93"/>
      <c r="ATC21" s="93"/>
      <c r="ATD21" s="93"/>
      <c r="ATE21" s="93"/>
      <c r="ATF21" s="93"/>
      <c r="ATG21" s="93"/>
      <c r="ATH21" s="93"/>
      <c r="ATI21" s="93"/>
      <c r="ATJ21" s="93"/>
      <c r="ATK21" s="93"/>
      <c r="ATL21" s="93"/>
      <c r="ATM21" s="93"/>
      <c r="ATN21" s="93"/>
      <c r="ATO21" s="93"/>
      <c r="ATP21" s="93"/>
      <c r="ATQ21" s="93"/>
      <c r="ATR21" s="93"/>
      <c r="ATS21" s="93"/>
      <c r="ATT21" s="93"/>
      <c r="ATU21" s="93"/>
      <c r="ATV21" s="93"/>
      <c r="ATW21" s="93"/>
      <c r="ATX21" s="93"/>
      <c r="ATY21" s="93"/>
      <c r="ATZ21" s="93"/>
      <c r="AUA21" s="93"/>
      <c r="AUB21" s="93"/>
      <c r="AUC21" s="93"/>
      <c r="AUD21" s="93"/>
      <c r="AUE21" s="93"/>
      <c r="AUF21" s="93"/>
      <c r="AUG21" s="93"/>
      <c r="AUH21" s="93"/>
      <c r="AUI21" s="93"/>
      <c r="AUJ21" s="93"/>
      <c r="AUK21" s="93"/>
      <c r="AUL21" s="93"/>
      <c r="AUM21" s="93"/>
      <c r="AUN21" s="93"/>
      <c r="AUO21" s="93"/>
      <c r="AUP21" s="93"/>
      <c r="AUQ21" s="93"/>
      <c r="AUR21" s="93"/>
      <c r="AUS21" s="93"/>
      <c r="AUT21" s="93"/>
      <c r="AUU21" s="93"/>
      <c r="AUV21" s="93"/>
      <c r="AUW21" s="93"/>
      <c r="AUX21" s="93"/>
      <c r="AUY21" s="93"/>
      <c r="AUZ21" s="93"/>
      <c r="AVA21" s="93"/>
      <c r="AVB21" s="93"/>
      <c r="AVC21" s="93"/>
      <c r="AVD21" s="93"/>
      <c r="AVE21" s="93"/>
      <c r="AVF21" s="93"/>
      <c r="AVG21" s="93"/>
      <c r="AVH21" s="93"/>
      <c r="AVI21" s="93"/>
      <c r="AVJ21" s="93"/>
      <c r="AVK21" s="93"/>
      <c r="AVL21" s="93"/>
      <c r="AVM21" s="93"/>
      <c r="AVN21" s="93"/>
      <c r="AVO21" s="93"/>
      <c r="AVP21" s="93"/>
      <c r="AVQ21" s="93"/>
      <c r="AVR21" s="93"/>
      <c r="AVS21" s="93"/>
      <c r="AVT21" s="93"/>
      <c r="AVU21" s="93"/>
      <c r="AVV21" s="93"/>
      <c r="AVW21" s="93"/>
      <c r="AVX21" s="93"/>
      <c r="AVY21" s="93"/>
      <c r="AVZ21" s="93"/>
      <c r="AWA21" s="93"/>
      <c r="AWB21" s="93"/>
      <c r="AWC21" s="93"/>
      <c r="AWD21" s="93"/>
      <c r="AWE21" s="93"/>
      <c r="AWF21" s="93"/>
      <c r="AWG21" s="93"/>
      <c r="AWH21" s="93"/>
      <c r="AWI21" s="93"/>
      <c r="AWJ21" s="93"/>
      <c r="AWK21" s="93"/>
      <c r="AWL21" s="93"/>
      <c r="AWM21" s="93"/>
      <c r="AWN21" s="93"/>
      <c r="AWO21" s="93"/>
      <c r="AWP21" s="93"/>
      <c r="AWQ21" s="93"/>
      <c r="AWR21" s="93"/>
      <c r="AWS21" s="93"/>
      <c r="AWT21" s="93"/>
      <c r="AWU21" s="93"/>
      <c r="AWV21" s="93"/>
      <c r="AWW21" s="93"/>
      <c r="AWX21" s="93"/>
      <c r="AWY21" s="93"/>
      <c r="AWZ21" s="93"/>
      <c r="AXA21" s="93"/>
      <c r="AXB21" s="93"/>
      <c r="AXC21" s="93"/>
      <c r="AXD21" s="93"/>
      <c r="AXE21" s="93"/>
      <c r="AXF21" s="93"/>
      <c r="AXG21" s="93"/>
      <c r="AXH21" s="93"/>
      <c r="AXI21" s="93"/>
      <c r="AXJ21" s="93"/>
      <c r="AXK21" s="93"/>
      <c r="AXL21" s="93"/>
      <c r="AXM21" s="93"/>
      <c r="AXN21" s="93"/>
      <c r="AXO21" s="93"/>
      <c r="AXP21" s="93"/>
      <c r="AXQ21" s="93"/>
      <c r="AXR21" s="93"/>
      <c r="AXS21" s="93"/>
      <c r="AXT21" s="93"/>
      <c r="AXU21" s="93"/>
      <c r="AXV21" s="93"/>
      <c r="AXW21" s="93"/>
      <c r="AXX21" s="93"/>
      <c r="AXY21" s="93"/>
      <c r="AXZ21" s="93"/>
      <c r="AYA21" s="93"/>
      <c r="AYB21" s="93"/>
      <c r="AYC21" s="93"/>
      <c r="AYD21" s="93"/>
      <c r="AYE21" s="93"/>
      <c r="AYF21" s="93"/>
      <c r="AYG21" s="93"/>
      <c r="AYH21" s="93"/>
      <c r="AYI21" s="93"/>
      <c r="AYJ21" s="93"/>
      <c r="AYK21" s="93"/>
      <c r="AYL21" s="93"/>
      <c r="AYM21" s="93"/>
      <c r="AYN21" s="93"/>
      <c r="AYO21" s="93"/>
      <c r="AYP21" s="93"/>
      <c r="AYQ21" s="93"/>
      <c r="AYR21" s="93"/>
      <c r="AYS21" s="93"/>
      <c r="AYT21" s="93"/>
      <c r="AYU21" s="93"/>
      <c r="AYV21" s="93"/>
      <c r="AYW21" s="93"/>
      <c r="AYX21" s="93"/>
      <c r="AYY21" s="93"/>
      <c r="AYZ21" s="93"/>
      <c r="AZA21" s="93"/>
      <c r="AZB21" s="93"/>
      <c r="AZC21" s="93"/>
      <c r="AZD21" s="93"/>
      <c r="AZE21" s="93"/>
      <c r="AZF21" s="93"/>
      <c r="AZG21" s="93"/>
      <c r="AZH21" s="93"/>
      <c r="AZI21" s="93"/>
      <c r="AZJ21" s="93"/>
      <c r="AZK21" s="93"/>
      <c r="AZL21" s="93"/>
      <c r="AZM21" s="93"/>
      <c r="AZN21" s="93"/>
      <c r="AZO21" s="93"/>
      <c r="AZP21" s="93"/>
      <c r="AZQ21" s="93"/>
      <c r="AZR21" s="93"/>
      <c r="AZS21" s="93"/>
      <c r="AZT21" s="93"/>
      <c r="AZU21" s="93"/>
      <c r="AZV21" s="93"/>
      <c r="AZW21" s="93"/>
      <c r="AZX21" s="93"/>
      <c r="AZY21" s="93"/>
      <c r="AZZ21" s="93"/>
      <c r="BAA21" s="93"/>
      <c r="BAB21" s="93"/>
      <c r="BAC21" s="93"/>
      <c r="BAD21" s="93"/>
      <c r="BAE21" s="93"/>
      <c r="BAF21" s="93"/>
      <c r="BAG21" s="93"/>
      <c r="BAH21" s="93"/>
      <c r="BAI21" s="93"/>
      <c r="BAJ21" s="93"/>
      <c r="BAK21" s="93"/>
      <c r="BAL21" s="93"/>
      <c r="BAM21" s="93"/>
      <c r="BAN21" s="93"/>
      <c r="BAO21" s="93"/>
      <c r="BAP21" s="93"/>
      <c r="BAQ21" s="93"/>
      <c r="BAR21" s="93"/>
      <c r="BAS21" s="93"/>
      <c r="BAT21" s="93"/>
      <c r="BAU21" s="93"/>
      <c r="BAV21" s="93"/>
      <c r="BAW21" s="93"/>
      <c r="BAX21" s="93"/>
      <c r="BAY21" s="93"/>
      <c r="BAZ21" s="93"/>
      <c r="BBA21" s="93"/>
      <c r="BBB21" s="93"/>
      <c r="BBC21" s="93"/>
      <c r="BBD21" s="93"/>
      <c r="BBE21" s="93"/>
      <c r="BBF21" s="93"/>
      <c r="BBG21" s="93"/>
      <c r="BBH21" s="93"/>
      <c r="BBI21" s="93"/>
      <c r="BBJ21" s="93"/>
      <c r="BBK21" s="93"/>
      <c r="BBL21" s="93"/>
      <c r="BBM21" s="93"/>
      <c r="BBN21" s="93"/>
      <c r="BBO21" s="93"/>
      <c r="BBP21" s="93"/>
      <c r="BBQ21" s="93"/>
      <c r="BBR21" s="93"/>
      <c r="BBS21" s="93"/>
      <c r="BBT21" s="93"/>
      <c r="BBU21" s="93"/>
      <c r="BBV21" s="93"/>
      <c r="BBW21" s="93"/>
      <c r="BBX21" s="93"/>
      <c r="BBY21" s="93"/>
      <c r="BBZ21" s="93"/>
      <c r="BCA21" s="93"/>
      <c r="BCB21" s="93"/>
      <c r="BCC21" s="93"/>
      <c r="BCD21" s="93"/>
      <c r="BCE21" s="93"/>
      <c r="BCF21" s="93"/>
      <c r="BCG21" s="93"/>
      <c r="BCH21" s="93"/>
      <c r="BCI21" s="93"/>
      <c r="BCJ21" s="93"/>
      <c r="BCK21" s="93"/>
      <c r="BCL21" s="93"/>
      <c r="BCM21" s="93"/>
      <c r="BCN21" s="93"/>
      <c r="BCO21" s="93"/>
      <c r="BCP21" s="93"/>
      <c r="BCQ21" s="93"/>
      <c r="BCR21" s="93"/>
      <c r="BCS21" s="93"/>
      <c r="BCT21" s="93"/>
      <c r="BCU21" s="93"/>
      <c r="BCV21" s="93"/>
      <c r="BCW21" s="93"/>
      <c r="BCX21" s="93"/>
      <c r="BCY21" s="93"/>
      <c r="BCZ21" s="93"/>
      <c r="BDA21" s="93"/>
      <c r="BDB21" s="93"/>
      <c r="BDC21" s="93"/>
      <c r="BDD21" s="93"/>
      <c r="BDE21" s="93"/>
      <c r="BDF21" s="93"/>
      <c r="BDG21" s="93"/>
      <c r="BDH21" s="93"/>
      <c r="BDI21" s="93"/>
      <c r="BDJ21" s="93"/>
      <c r="BDK21" s="93"/>
      <c r="BDL21" s="93"/>
      <c r="BDM21" s="93"/>
      <c r="BDN21" s="93"/>
      <c r="BDO21" s="93"/>
      <c r="BDP21" s="93"/>
      <c r="BDQ21" s="93"/>
      <c r="BDR21" s="93"/>
      <c r="BDS21" s="93"/>
      <c r="BDT21" s="93"/>
      <c r="BDU21" s="93"/>
      <c r="BDV21" s="93"/>
      <c r="BDW21" s="93"/>
      <c r="BDX21" s="93"/>
      <c r="BDY21" s="93"/>
      <c r="BDZ21" s="93"/>
      <c r="BEA21" s="93"/>
      <c r="BEB21" s="93"/>
      <c r="BEC21" s="93"/>
      <c r="BED21" s="93"/>
      <c r="BEE21" s="93"/>
      <c r="BEF21" s="93"/>
      <c r="BEG21" s="93"/>
      <c r="BEH21" s="93"/>
      <c r="BEI21" s="93"/>
      <c r="BEJ21" s="93"/>
      <c r="BEK21" s="93"/>
      <c r="BEL21" s="93"/>
      <c r="BEM21" s="93"/>
      <c r="BEN21" s="93"/>
      <c r="BEO21" s="93"/>
      <c r="BEP21" s="93"/>
      <c r="BEQ21" s="93"/>
      <c r="BER21" s="93"/>
      <c r="BES21" s="93"/>
      <c r="BET21" s="93"/>
      <c r="BEU21" s="93"/>
      <c r="BEV21" s="93"/>
      <c r="BEW21" s="93"/>
      <c r="BEX21" s="93"/>
      <c r="BEY21" s="93"/>
      <c r="BEZ21" s="93"/>
      <c r="BFA21" s="93"/>
      <c r="BFB21" s="93"/>
      <c r="BFC21" s="93"/>
      <c r="BFD21" s="93"/>
      <c r="BFE21" s="93"/>
      <c r="BFF21" s="93"/>
      <c r="BFG21" s="93"/>
      <c r="BFH21" s="93"/>
      <c r="BFI21" s="93"/>
      <c r="BFJ21" s="93"/>
      <c r="BFK21" s="93"/>
      <c r="BFL21" s="93"/>
      <c r="BFM21" s="93"/>
      <c r="BFN21" s="93"/>
      <c r="BFO21" s="93"/>
      <c r="BFP21" s="93"/>
      <c r="BFQ21" s="93"/>
      <c r="BFR21" s="93"/>
      <c r="BFS21" s="93"/>
      <c r="BFT21" s="93"/>
      <c r="BFU21" s="93"/>
      <c r="BFV21" s="93"/>
      <c r="BFW21" s="93"/>
      <c r="BFX21" s="93"/>
      <c r="BFY21" s="93"/>
      <c r="BFZ21" s="93"/>
      <c r="BGA21" s="93"/>
      <c r="BGB21" s="93"/>
      <c r="BGC21" s="93"/>
      <c r="BGD21" s="93"/>
      <c r="BGE21" s="93"/>
      <c r="BGF21" s="93"/>
      <c r="BGG21" s="93"/>
      <c r="BGH21" s="93"/>
      <c r="BGI21" s="93"/>
      <c r="BGJ21" s="93"/>
      <c r="BGK21" s="93"/>
      <c r="BGL21" s="93"/>
      <c r="BGM21" s="93"/>
      <c r="BGN21" s="93"/>
      <c r="BGO21" s="93"/>
      <c r="BGP21" s="93"/>
      <c r="BGQ21" s="93"/>
      <c r="BGR21" s="93"/>
      <c r="BGS21" s="93"/>
      <c r="BGT21" s="93"/>
      <c r="BGU21" s="93"/>
      <c r="BGV21" s="93"/>
      <c r="BGW21" s="93"/>
      <c r="BGX21" s="93"/>
      <c r="BGY21" s="93"/>
      <c r="BGZ21" s="93"/>
      <c r="BHA21" s="93"/>
      <c r="BHB21" s="93"/>
      <c r="BHC21" s="93"/>
      <c r="BHD21" s="93"/>
      <c r="BHE21" s="93"/>
      <c r="BHF21" s="93"/>
      <c r="BHG21" s="93"/>
      <c r="BHH21" s="93"/>
      <c r="BHI21" s="93"/>
      <c r="BHJ21" s="93"/>
      <c r="BHK21" s="93"/>
      <c r="BHL21" s="93"/>
      <c r="BHM21" s="93"/>
      <c r="BHN21" s="93"/>
      <c r="BHO21" s="93"/>
      <c r="BHP21" s="93"/>
      <c r="BHQ21" s="93"/>
      <c r="BHR21" s="93"/>
      <c r="BHS21" s="93"/>
    </row>
    <row r="22" spans="1:1579" s="50" customFormat="1" hidden="1" x14ac:dyDescent="0.25">
      <c r="A22" s="86"/>
      <c r="B22" s="48" t="s">
        <v>1169</v>
      </c>
      <c r="C22" s="533" t="s">
        <v>982</v>
      </c>
      <c r="D22" s="535"/>
      <c r="E22" s="69" t="s">
        <v>1144</v>
      </c>
      <c r="F22" s="102">
        <v>35</v>
      </c>
      <c r="G22" s="103">
        <v>48.214285714285715</v>
      </c>
      <c r="H22" s="182">
        <f>+F22*G22</f>
        <v>1687.5</v>
      </c>
      <c r="I22" s="550">
        <f t="shared" si="0"/>
        <v>1.4938865231276843</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row>
    <row r="23" spans="1:1579" s="50" customFormat="1" hidden="1" x14ac:dyDescent="0.25">
      <c r="A23" s="86"/>
      <c r="B23" s="48" t="s">
        <v>1170</v>
      </c>
      <c r="C23" s="533" t="s">
        <v>984</v>
      </c>
      <c r="D23" s="535"/>
      <c r="E23" s="75" t="s">
        <v>1066</v>
      </c>
      <c r="F23" s="102">
        <v>35</v>
      </c>
      <c r="G23" s="103">
        <v>164.70000000000002</v>
      </c>
      <c r="H23" s="182">
        <f>+F23*G23</f>
        <v>5764.5000000000009</v>
      </c>
      <c r="I23" s="550">
        <f t="shared" si="0"/>
        <v>5.1031163630041707</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row>
    <row r="24" spans="1:1579" s="94" customFormat="1" x14ac:dyDescent="0.25">
      <c r="A24" s="89"/>
      <c r="B24" s="68" t="s">
        <v>881</v>
      </c>
      <c r="C24" s="526" t="s">
        <v>986</v>
      </c>
      <c r="D24" s="527"/>
      <c r="E24" s="71" t="s">
        <v>541</v>
      </c>
      <c r="F24" s="72">
        <v>0</v>
      </c>
      <c r="G24" s="91">
        <v>0</v>
      </c>
      <c r="H24" s="179">
        <f>SUM(H25:H28)</f>
        <v>9576.7514285714278</v>
      </c>
      <c r="I24" s="550">
        <f t="shared" si="0"/>
        <v>8.4779732708069062</v>
      </c>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c r="FG24" s="93"/>
      <c r="FH24" s="93"/>
      <c r="FI24" s="93"/>
      <c r="FJ24" s="93"/>
      <c r="FK24" s="93"/>
      <c r="FL24" s="93"/>
      <c r="FM24" s="93"/>
      <c r="FN24" s="93"/>
      <c r="FO24" s="93"/>
      <c r="FP24" s="93"/>
      <c r="FQ24" s="93"/>
      <c r="FR24" s="93"/>
      <c r="FS24" s="93"/>
      <c r="FT24" s="93"/>
      <c r="FU24" s="93"/>
      <c r="FV24" s="93"/>
      <c r="FW24" s="93"/>
      <c r="FX24" s="93"/>
      <c r="FY24" s="93"/>
      <c r="FZ24" s="93"/>
      <c r="GA24" s="93"/>
      <c r="GB24" s="93"/>
      <c r="GC24" s="93"/>
      <c r="GD24" s="93"/>
      <c r="GE24" s="93"/>
      <c r="GF24" s="93"/>
      <c r="GG24" s="93"/>
      <c r="GH24" s="93"/>
      <c r="GI24" s="93"/>
      <c r="GJ24" s="93"/>
      <c r="GK24" s="93"/>
      <c r="GL24" s="93"/>
      <c r="GM24" s="93"/>
      <c r="GN24" s="93"/>
      <c r="GO24" s="93"/>
      <c r="GP24" s="93"/>
      <c r="GQ24" s="93"/>
      <c r="GR24" s="93"/>
      <c r="GS24" s="93"/>
      <c r="GT24" s="93"/>
      <c r="GU24" s="93"/>
      <c r="GV24" s="93"/>
      <c r="GW24" s="93"/>
      <c r="GX24" s="93"/>
      <c r="GY24" s="93"/>
      <c r="GZ24" s="93"/>
      <c r="HA24" s="93"/>
      <c r="HB24" s="93"/>
      <c r="HC24" s="93"/>
      <c r="HD24" s="93"/>
      <c r="HE24" s="93"/>
      <c r="HF24" s="93"/>
      <c r="HG24" s="93"/>
      <c r="HH24" s="93"/>
      <c r="HI24" s="93"/>
      <c r="HJ24" s="93"/>
      <c r="HK24" s="93"/>
      <c r="HL24" s="93"/>
      <c r="HM24" s="93"/>
      <c r="HN24" s="93"/>
      <c r="HO24" s="93"/>
      <c r="HP24" s="93"/>
      <c r="HQ24" s="93"/>
      <c r="HR24" s="93"/>
      <c r="HS24" s="93"/>
      <c r="HT24" s="93"/>
      <c r="HU24" s="93"/>
      <c r="HV24" s="93"/>
      <c r="HW24" s="93"/>
      <c r="HX24" s="93"/>
      <c r="HY24" s="93"/>
      <c r="HZ24" s="93"/>
      <c r="IA24" s="93"/>
      <c r="IB24" s="93"/>
      <c r="IC24" s="93"/>
      <c r="ID24" s="93"/>
      <c r="IE24" s="93"/>
      <c r="IF24" s="93"/>
      <c r="IG24" s="93"/>
      <c r="IH24" s="93"/>
      <c r="II24" s="93"/>
      <c r="IJ24" s="93"/>
      <c r="IK24" s="93"/>
      <c r="IL24" s="93"/>
      <c r="IM24" s="93"/>
      <c r="IN24" s="93"/>
      <c r="IO24" s="93"/>
      <c r="IP24" s="93"/>
      <c r="IQ24" s="93"/>
      <c r="IR24" s="93"/>
      <c r="IS24" s="93"/>
      <c r="IT24" s="93"/>
      <c r="IU24" s="93"/>
      <c r="IV24" s="93"/>
      <c r="IW24" s="93"/>
      <c r="IX24" s="93"/>
      <c r="IY24" s="93"/>
      <c r="IZ24" s="93"/>
      <c r="JA24" s="93"/>
      <c r="JB24" s="93"/>
      <c r="JC24" s="93"/>
      <c r="JD24" s="93"/>
      <c r="JE24" s="93"/>
      <c r="JF24" s="93"/>
      <c r="JG24" s="93"/>
      <c r="JH24" s="93"/>
      <c r="JI24" s="93"/>
      <c r="JJ24" s="93"/>
      <c r="JK24" s="93"/>
      <c r="JL24" s="93"/>
      <c r="JM24" s="93"/>
      <c r="JN24" s="93"/>
      <c r="JO24" s="93"/>
      <c r="JP24" s="93"/>
      <c r="JQ24" s="93"/>
      <c r="JR24" s="93"/>
      <c r="JS24" s="93"/>
      <c r="JT24" s="93"/>
      <c r="JU24" s="93"/>
      <c r="JV24" s="93"/>
      <c r="JW24" s="93"/>
      <c r="JX24" s="93"/>
      <c r="JY24" s="93"/>
      <c r="JZ24" s="93"/>
      <c r="KA24" s="93"/>
      <c r="KB24" s="93"/>
      <c r="KC24" s="93"/>
      <c r="KD24" s="93"/>
      <c r="KE24" s="93"/>
      <c r="KF24" s="93"/>
      <c r="KG24" s="93"/>
      <c r="KH24" s="93"/>
      <c r="KI24" s="93"/>
      <c r="KJ24" s="93"/>
      <c r="KK24" s="93"/>
      <c r="KL24" s="93"/>
      <c r="KM24" s="93"/>
      <c r="KN24" s="93"/>
      <c r="KO24" s="93"/>
      <c r="KP24" s="93"/>
      <c r="KQ24" s="93"/>
      <c r="KR24" s="93"/>
      <c r="KS24" s="93"/>
      <c r="KT24" s="93"/>
      <c r="KU24" s="93"/>
      <c r="KV24" s="93"/>
      <c r="KW24" s="93"/>
      <c r="KX24" s="93"/>
      <c r="KY24" s="93"/>
      <c r="KZ24" s="93"/>
      <c r="LA24" s="93"/>
      <c r="LB24" s="93"/>
      <c r="LC24" s="93"/>
      <c r="LD24" s="93"/>
      <c r="LE24" s="93"/>
      <c r="LF24" s="93"/>
      <c r="LG24" s="93"/>
      <c r="LH24" s="93"/>
      <c r="LI24" s="93"/>
      <c r="LJ24" s="93"/>
      <c r="LK24" s="93"/>
      <c r="LL24" s="93"/>
      <c r="LM24" s="93"/>
      <c r="LN24" s="93"/>
      <c r="LO24" s="93"/>
      <c r="LP24" s="93"/>
      <c r="LQ24" s="93"/>
      <c r="LR24" s="93"/>
      <c r="LS24" s="93"/>
      <c r="LT24" s="93"/>
      <c r="LU24" s="93"/>
      <c r="LV24" s="93"/>
      <c r="LW24" s="93"/>
      <c r="LX24" s="93"/>
      <c r="LY24" s="93"/>
      <c r="LZ24" s="93"/>
      <c r="MA24" s="93"/>
      <c r="MB24" s="93"/>
      <c r="MC24" s="93"/>
      <c r="MD24" s="93"/>
      <c r="ME24" s="93"/>
      <c r="MF24" s="93"/>
      <c r="MG24" s="93"/>
      <c r="MH24" s="93"/>
      <c r="MI24" s="93"/>
      <c r="MJ24" s="93"/>
      <c r="MK24" s="93"/>
      <c r="ML24" s="93"/>
      <c r="MM24" s="93"/>
      <c r="MN24" s="93"/>
      <c r="MO24" s="93"/>
      <c r="MP24" s="93"/>
      <c r="MQ24" s="93"/>
      <c r="MR24" s="93"/>
      <c r="MS24" s="93"/>
      <c r="MT24" s="93"/>
      <c r="MU24" s="93"/>
      <c r="MV24" s="93"/>
      <c r="MW24" s="93"/>
      <c r="MX24" s="93"/>
      <c r="MY24" s="93"/>
      <c r="MZ24" s="93"/>
      <c r="NA24" s="93"/>
      <c r="NB24" s="93"/>
      <c r="NC24" s="93"/>
      <c r="ND24" s="93"/>
      <c r="NE24" s="93"/>
      <c r="NF24" s="93"/>
      <c r="NG24" s="93"/>
      <c r="NH24" s="93"/>
      <c r="NI24" s="93"/>
      <c r="NJ24" s="93"/>
      <c r="NK24" s="93"/>
      <c r="NL24" s="93"/>
      <c r="NM24" s="93"/>
      <c r="NN24" s="93"/>
      <c r="NO24" s="93"/>
      <c r="NP24" s="93"/>
      <c r="NQ24" s="93"/>
      <c r="NR24" s="93"/>
      <c r="NS24" s="93"/>
      <c r="NT24" s="93"/>
      <c r="NU24" s="93"/>
      <c r="NV24" s="93"/>
      <c r="NW24" s="93"/>
      <c r="NX24" s="93"/>
      <c r="NY24" s="93"/>
      <c r="NZ24" s="93"/>
      <c r="OA24" s="93"/>
      <c r="OB24" s="93"/>
      <c r="OC24" s="93"/>
      <c r="OD24" s="93"/>
      <c r="OE24" s="93"/>
      <c r="OF24" s="93"/>
      <c r="OG24" s="93"/>
      <c r="OH24" s="93"/>
      <c r="OI24" s="93"/>
      <c r="OJ24" s="93"/>
      <c r="OK24" s="93"/>
      <c r="OL24" s="93"/>
      <c r="OM24" s="93"/>
      <c r="ON24" s="93"/>
      <c r="OO24" s="93"/>
      <c r="OP24" s="93"/>
      <c r="OQ24" s="93"/>
      <c r="OR24" s="93"/>
      <c r="OS24" s="93"/>
      <c r="OT24" s="93"/>
      <c r="OU24" s="93"/>
      <c r="OV24" s="93"/>
      <c r="OW24" s="93"/>
      <c r="OX24" s="93"/>
      <c r="OY24" s="93"/>
      <c r="OZ24" s="93"/>
      <c r="PA24" s="93"/>
      <c r="PB24" s="93"/>
      <c r="PC24" s="93"/>
      <c r="PD24" s="93"/>
      <c r="PE24" s="93"/>
      <c r="PF24" s="93"/>
      <c r="PG24" s="93"/>
      <c r="PH24" s="93"/>
      <c r="PI24" s="93"/>
      <c r="PJ24" s="93"/>
      <c r="PK24" s="93"/>
      <c r="PL24" s="93"/>
      <c r="PM24" s="93"/>
      <c r="PN24" s="93"/>
      <c r="PO24" s="93"/>
      <c r="PP24" s="93"/>
      <c r="PQ24" s="93"/>
      <c r="PR24" s="93"/>
      <c r="PS24" s="93"/>
      <c r="PT24" s="93"/>
      <c r="PU24" s="93"/>
      <c r="PV24" s="93"/>
      <c r="PW24" s="93"/>
      <c r="PX24" s="93"/>
      <c r="PY24" s="93"/>
      <c r="PZ24" s="93"/>
      <c r="QA24" s="93"/>
      <c r="QB24" s="93"/>
      <c r="QC24" s="93"/>
      <c r="QD24" s="93"/>
      <c r="QE24" s="93"/>
      <c r="QF24" s="93"/>
      <c r="QG24" s="93"/>
      <c r="QH24" s="93"/>
      <c r="QI24" s="93"/>
      <c r="QJ24" s="93"/>
      <c r="QK24" s="93"/>
      <c r="QL24" s="93"/>
      <c r="QM24" s="93"/>
      <c r="QN24" s="93"/>
      <c r="QO24" s="93"/>
      <c r="QP24" s="93"/>
      <c r="QQ24" s="93"/>
      <c r="QR24" s="93"/>
      <c r="QS24" s="93"/>
      <c r="QT24" s="93"/>
      <c r="QU24" s="93"/>
      <c r="QV24" s="93"/>
      <c r="QW24" s="93"/>
      <c r="QX24" s="93"/>
      <c r="QY24" s="93"/>
      <c r="QZ24" s="93"/>
      <c r="RA24" s="93"/>
      <c r="RB24" s="93"/>
      <c r="RC24" s="93"/>
      <c r="RD24" s="93"/>
      <c r="RE24" s="93"/>
      <c r="RF24" s="93"/>
      <c r="RG24" s="93"/>
      <c r="RH24" s="93"/>
      <c r="RI24" s="93"/>
      <c r="RJ24" s="93"/>
      <c r="RK24" s="93"/>
      <c r="RL24" s="93"/>
      <c r="RM24" s="93"/>
      <c r="RN24" s="93"/>
      <c r="RO24" s="93"/>
      <c r="RP24" s="93"/>
      <c r="RQ24" s="93"/>
      <c r="RR24" s="93"/>
      <c r="RS24" s="93"/>
      <c r="RT24" s="93"/>
      <c r="RU24" s="93"/>
      <c r="RV24" s="93"/>
      <c r="RW24" s="93"/>
      <c r="RX24" s="93"/>
      <c r="RY24" s="93"/>
      <c r="RZ24" s="93"/>
      <c r="SA24" s="93"/>
      <c r="SB24" s="93"/>
      <c r="SC24" s="93"/>
      <c r="SD24" s="93"/>
      <c r="SE24" s="93"/>
      <c r="SF24" s="93"/>
      <c r="SG24" s="93"/>
      <c r="SH24" s="93"/>
      <c r="SI24" s="93"/>
      <c r="SJ24" s="93"/>
      <c r="SK24" s="93"/>
      <c r="SL24" s="93"/>
      <c r="SM24" s="93"/>
      <c r="SN24" s="93"/>
      <c r="SO24" s="93"/>
      <c r="SP24" s="93"/>
      <c r="SQ24" s="93"/>
      <c r="SR24" s="93"/>
      <c r="SS24" s="93"/>
      <c r="ST24" s="93"/>
      <c r="SU24" s="93"/>
      <c r="SV24" s="93"/>
      <c r="SW24" s="93"/>
      <c r="SX24" s="93"/>
      <c r="SY24" s="93"/>
      <c r="SZ24" s="93"/>
      <c r="TA24" s="93"/>
      <c r="TB24" s="93"/>
      <c r="TC24" s="93"/>
      <c r="TD24" s="93"/>
      <c r="TE24" s="93"/>
      <c r="TF24" s="93"/>
      <c r="TG24" s="93"/>
      <c r="TH24" s="93"/>
      <c r="TI24" s="93"/>
      <c r="TJ24" s="93"/>
      <c r="TK24" s="93"/>
      <c r="TL24" s="93"/>
      <c r="TM24" s="93"/>
      <c r="TN24" s="93"/>
      <c r="TO24" s="93"/>
      <c r="TP24" s="93"/>
      <c r="TQ24" s="93"/>
      <c r="TR24" s="93"/>
      <c r="TS24" s="93"/>
      <c r="TT24" s="93"/>
      <c r="TU24" s="93"/>
      <c r="TV24" s="93"/>
      <c r="TW24" s="93"/>
      <c r="TX24" s="93"/>
      <c r="TY24" s="93"/>
      <c r="TZ24" s="93"/>
      <c r="UA24" s="93"/>
      <c r="UB24" s="93"/>
      <c r="UC24" s="93"/>
      <c r="UD24" s="93"/>
      <c r="UE24" s="93"/>
      <c r="UF24" s="93"/>
      <c r="UG24" s="93"/>
      <c r="UH24" s="93"/>
      <c r="UI24" s="93"/>
      <c r="UJ24" s="93"/>
      <c r="UK24" s="93"/>
      <c r="UL24" s="93"/>
      <c r="UM24" s="93"/>
      <c r="UN24" s="93"/>
      <c r="UO24" s="93"/>
      <c r="UP24" s="93"/>
      <c r="UQ24" s="93"/>
      <c r="UR24" s="93"/>
      <c r="US24" s="93"/>
      <c r="UT24" s="93"/>
      <c r="UU24" s="93"/>
      <c r="UV24" s="93"/>
      <c r="UW24" s="93"/>
      <c r="UX24" s="93"/>
      <c r="UY24" s="93"/>
      <c r="UZ24" s="93"/>
      <c r="VA24" s="93"/>
      <c r="VB24" s="93"/>
      <c r="VC24" s="93"/>
      <c r="VD24" s="93"/>
      <c r="VE24" s="93"/>
      <c r="VF24" s="93"/>
      <c r="VG24" s="93"/>
      <c r="VH24" s="93"/>
      <c r="VI24" s="93"/>
      <c r="VJ24" s="93"/>
      <c r="VK24" s="93"/>
      <c r="VL24" s="93"/>
      <c r="VM24" s="93"/>
      <c r="VN24" s="93"/>
      <c r="VO24" s="93"/>
      <c r="VP24" s="93"/>
      <c r="VQ24" s="93"/>
      <c r="VR24" s="93"/>
      <c r="VS24" s="93"/>
      <c r="VT24" s="93"/>
      <c r="VU24" s="93"/>
      <c r="VV24" s="93"/>
      <c r="VW24" s="93"/>
      <c r="VX24" s="93"/>
      <c r="VY24" s="93"/>
      <c r="VZ24" s="93"/>
      <c r="WA24" s="93"/>
      <c r="WB24" s="93"/>
      <c r="WC24" s="93"/>
      <c r="WD24" s="93"/>
      <c r="WE24" s="93"/>
      <c r="WF24" s="93"/>
      <c r="WG24" s="93"/>
      <c r="WH24" s="93"/>
      <c r="WI24" s="93"/>
      <c r="WJ24" s="93"/>
      <c r="WK24" s="93"/>
      <c r="WL24" s="93"/>
      <c r="WM24" s="93"/>
      <c r="WN24" s="93"/>
      <c r="WO24" s="93"/>
      <c r="WP24" s="93"/>
      <c r="WQ24" s="93"/>
      <c r="WR24" s="93"/>
      <c r="WS24" s="93"/>
      <c r="WT24" s="93"/>
      <c r="WU24" s="93"/>
      <c r="WV24" s="93"/>
      <c r="WW24" s="93"/>
      <c r="WX24" s="93"/>
      <c r="WY24" s="93"/>
      <c r="WZ24" s="93"/>
      <c r="XA24" s="93"/>
      <c r="XB24" s="93"/>
      <c r="XC24" s="93"/>
      <c r="XD24" s="93"/>
      <c r="XE24" s="93"/>
      <c r="XF24" s="93"/>
      <c r="XG24" s="93"/>
      <c r="XH24" s="93"/>
      <c r="XI24" s="93"/>
      <c r="XJ24" s="93"/>
      <c r="XK24" s="93"/>
      <c r="XL24" s="93"/>
      <c r="XM24" s="93"/>
      <c r="XN24" s="93"/>
      <c r="XO24" s="93"/>
      <c r="XP24" s="93"/>
      <c r="XQ24" s="93"/>
      <c r="XR24" s="93"/>
      <c r="XS24" s="93"/>
      <c r="XT24" s="93"/>
      <c r="XU24" s="93"/>
      <c r="XV24" s="93"/>
      <c r="XW24" s="93"/>
      <c r="XX24" s="93"/>
      <c r="XY24" s="93"/>
      <c r="XZ24" s="93"/>
      <c r="YA24" s="93"/>
      <c r="YB24" s="93"/>
      <c r="YC24" s="93"/>
      <c r="YD24" s="93"/>
      <c r="YE24" s="93"/>
      <c r="YF24" s="93"/>
      <c r="YG24" s="93"/>
      <c r="YH24" s="93"/>
      <c r="YI24" s="93"/>
      <c r="YJ24" s="93"/>
      <c r="YK24" s="93"/>
      <c r="YL24" s="93"/>
      <c r="YM24" s="93"/>
      <c r="YN24" s="93"/>
      <c r="YO24" s="93"/>
      <c r="YP24" s="93"/>
      <c r="YQ24" s="93"/>
      <c r="YR24" s="93"/>
      <c r="YS24" s="93"/>
      <c r="YT24" s="93"/>
      <c r="YU24" s="93"/>
      <c r="YV24" s="93"/>
      <c r="YW24" s="93"/>
      <c r="YX24" s="93"/>
      <c r="YY24" s="93"/>
      <c r="YZ24" s="93"/>
      <c r="ZA24" s="93"/>
      <c r="ZB24" s="93"/>
      <c r="ZC24" s="93"/>
      <c r="ZD24" s="93"/>
      <c r="ZE24" s="93"/>
      <c r="ZF24" s="93"/>
      <c r="ZG24" s="93"/>
      <c r="ZH24" s="93"/>
      <c r="ZI24" s="93"/>
      <c r="ZJ24" s="93"/>
      <c r="ZK24" s="93"/>
      <c r="ZL24" s="93"/>
      <c r="ZM24" s="93"/>
      <c r="ZN24" s="93"/>
      <c r="ZO24" s="93"/>
      <c r="ZP24" s="93"/>
      <c r="ZQ24" s="93"/>
      <c r="ZR24" s="93"/>
      <c r="ZS24" s="93"/>
      <c r="ZT24" s="93"/>
      <c r="ZU24" s="93"/>
      <c r="ZV24" s="93"/>
      <c r="ZW24" s="93"/>
      <c r="ZX24" s="93"/>
      <c r="ZY24" s="93"/>
      <c r="ZZ24" s="93"/>
      <c r="AAA24" s="93"/>
      <c r="AAB24" s="93"/>
      <c r="AAC24" s="93"/>
      <c r="AAD24" s="93"/>
      <c r="AAE24" s="93"/>
      <c r="AAF24" s="93"/>
      <c r="AAG24" s="93"/>
      <c r="AAH24" s="93"/>
      <c r="AAI24" s="93"/>
      <c r="AAJ24" s="93"/>
      <c r="AAK24" s="93"/>
      <c r="AAL24" s="93"/>
      <c r="AAM24" s="93"/>
      <c r="AAN24" s="93"/>
      <c r="AAO24" s="93"/>
      <c r="AAP24" s="93"/>
      <c r="AAQ24" s="93"/>
      <c r="AAR24" s="93"/>
      <c r="AAS24" s="93"/>
      <c r="AAT24" s="93"/>
      <c r="AAU24" s="93"/>
      <c r="AAV24" s="93"/>
      <c r="AAW24" s="93"/>
      <c r="AAX24" s="93"/>
      <c r="AAY24" s="93"/>
      <c r="AAZ24" s="93"/>
      <c r="ABA24" s="93"/>
      <c r="ABB24" s="93"/>
      <c r="ABC24" s="93"/>
      <c r="ABD24" s="93"/>
      <c r="ABE24" s="93"/>
      <c r="ABF24" s="93"/>
      <c r="ABG24" s="93"/>
      <c r="ABH24" s="93"/>
      <c r="ABI24" s="93"/>
      <c r="ABJ24" s="93"/>
      <c r="ABK24" s="93"/>
      <c r="ABL24" s="93"/>
      <c r="ABM24" s="93"/>
      <c r="ABN24" s="93"/>
      <c r="ABO24" s="93"/>
      <c r="ABP24" s="93"/>
      <c r="ABQ24" s="93"/>
      <c r="ABR24" s="93"/>
      <c r="ABS24" s="93"/>
      <c r="ABT24" s="93"/>
      <c r="ABU24" s="93"/>
      <c r="ABV24" s="93"/>
      <c r="ABW24" s="93"/>
      <c r="ABX24" s="93"/>
      <c r="ABY24" s="93"/>
      <c r="ABZ24" s="93"/>
      <c r="ACA24" s="93"/>
      <c r="ACB24" s="93"/>
      <c r="ACC24" s="93"/>
      <c r="ACD24" s="93"/>
      <c r="ACE24" s="93"/>
      <c r="ACF24" s="93"/>
      <c r="ACG24" s="93"/>
      <c r="ACH24" s="93"/>
      <c r="ACI24" s="93"/>
      <c r="ACJ24" s="93"/>
      <c r="ACK24" s="93"/>
      <c r="ACL24" s="93"/>
      <c r="ACM24" s="93"/>
      <c r="ACN24" s="93"/>
      <c r="ACO24" s="93"/>
      <c r="ACP24" s="93"/>
      <c r="ACQ24" s="93"/>
      <c r="ACR24" s="93"/>
      <c r="ACS24" s="93"/>
      <c r="ACT24" s="93"/>
      <c r="ACU24" s="93"/>
      <c r="ACV24" s="93"/>
      <c r="ACW24" s="93"/>
      <c r="ACX24" s="93"/>
      <c r="ACY24" s="93"/>
      <c r="ACZ24" s="93"/>
      <c r="ADA24" s="93"/>
      <c r="ADB24" s="93"/>
      <c r="ADC24" s="93"/>
      <c r="ADD24" s="93"/>
      <c r="ADE24" s="93"/>
      <c r="ADF24" s="93"/>
      <c r="ADG24" s="93"/>
      <c r="ADH24" s="93"/>
      <c r="ADI24" s="93"/>
      <c r="ADJ24" s="93"/>
      <c r="ADK24" s="93"/>
      <c r="ADL24" s="93"/>
      <c r="ADM24" s="93"/>
      <c r="ADN24" s="93"/>
      <c r="ADO24" s="93"/>
      <c r="ADP24" s="93"/>
      <c r="ADQ24" s="93"/>
      <c r="ADR24" s="93"/>
      <c r="ADS24" s="93"/>
      <c r="ADT24" s="93"/>
      <c r="ADU24" s="93"/>
      <c r="ADV24" s="93"/>
      <c r="ADW24" s="93"/>
      <c r="ADX24" s="93"/>
      <c r="ADY24" s="93"/>
      <c r="ADZ24" s="93"/>
      <c r="AEA24" s="93"/>
      <c r="AEB24" s="93"/>
      <c r="AEC24" s="93"/>
      <c r="AED24" s="93"/>
      <c r="AEE24" s="93"/>
      <c r="AEF24" s="93"/>
      <c r="AEG24" s="93"/>
      <c r="AEH24" s="93"/>
      <c r="AEI24" s="93"/>
      <c r="AEJ24" s="93"/>
      <c r="AEK24" s="93"/>
      <c r="AEL24" s="93"/>
      <c r="AEM24" s="93"/>
      <c r="AEN24" s="93"/>
      <c r="AEO24" s="93"/>
      <c r="AEP24" s="93"/>
      <c r="AEQ24" s="93"/>
      <c r="AER24" s="93"/>
      <c r="AES24" s="93"/>
      <c r="AET24" s="93"/>
      <c r="AEU24" s="93"/>
      <c r="AEV24" s="93"/>
      <c r="AEW24" s="93"/>
      <c r="AEX24" s="93"/>
      <c r="AEY24" s="93"/>
      <c r="AEZ24" s="93"/>
      <c r="AFA24" s="93"/>
      <c r="AFB24" s="93"/>
      <c r="AFC24" s="93"/>
      <c r="AFD24" s="93"/>
      <c r="AFE24" s="93"/>
      <c r="AFF24" s="93"/>
      <c r="AFG24" s="93"/>
      <c r="AFH24" s="93"/>
      <c r="AFI24" s="93"/>
      <c r="AFJ24" s="93"/>
      <c r="AFK24" s="93"/>
      <c r="AFL24" s="93"/>
      <c r="AFM24" s="93"/>
      <c r="AFN24" s="93"/>
      <c r="AFO24" s="93"/>
      <c r="AFP24" s="93"/>
      <c r="AFQ24" s="93"/>
      <c r="AFR24" s="93"/>
      <c r="AFS24" s="93"/>
      <c r="AFT24" s="93"/>
      <c r="AFU24" s="93"/>
      <c r="AFV24" s="93"/>
      <c r="AFW24" s="93"/>
      <c r="AFX24" s="93"/>
      <c r="AFY24" s="93"/>
      <c r="AFZ24" s="93"/>
      <c r="AGA24" s="93"/>
      <c r="AGB24" s="93"/>
      <c r="AGC24" s="93"/>
      <c r="AGD24" s="93"/>
      <c r="AGE24" s="93"/>
      <c r="AGF24" s="93"/>
      <c r="AGG24" s="93"/>
      <c r="AGH24" s="93"/>
      <c r="AGI24" s="93"/>
      <c r="AGJ24" s="93"/>
      <c r="AGK24" s="93"/>
      <c r="AGL24" s="93"/>
      <c r="AGM24" s="93"/>
      <c r="AGN24" s="93"/>
      <c r="AGO24" s="93"/>
      <c r="AGP24" s="93"/>
      <c r="AGQ24" s="93"/>
      <c r="AGR24" s="93"/>
      <c r="AGS24" s="93"/>
      <c r="AGT24" s="93"/>
      <c r="AGU24" s="93"/>
      <c r="AGV24" s="93"/>
      <c r="AGW24" s="93"/>
      <c r="AGX24" s="93"/>
      <c r="AGY24" s="93"/>
      <c r="AGZ24" s="93"/>
      <c r="AHA24" s="93"/>
      <c r="AHB24" s="93"/>
      <c r="AHC24" s="93"/>
      <c r="AHD24" s="93"/>
      <c r="AHE24" s="93"/>
      <c r="AHF24" s="93"/>
      <c r="AHG24" s="93"/>
      <c r="AHH24" s="93"/>
      <c r="AHI24" s="93"/>
      <c r="AHJ24" s="93"/>
      <c r="AHK24" s="93"/>
      <c r="AHL24" s="93"/>
      <c r="AHM24" s="93"/>
      <c r="AHN24" s="93"/>
      <c r="AHO24" s="93"/>
      <c r="AHP24" s="93"/>
      <c r="AHQ24" s="93"/>
      <c r="AHR24" s="93"/>
      <c r="AHS24" s="93"/>
      <c r="AHT24" s="93"/>
      <c r="AHU24" s="93"/>
      <c r="AHV24" s="93"/>
      <c r="AHW24" s="93"/>
      <c r="AHX24" s="93"/>
      <c r="AHY24" s="93"/>
      <c r="AHZ24" s="93"/>
      <c r="AIA24" s="93"/>
      <c r="AIB24" s="93"/>
      <c r="AIC24" s="93"/>
      <c r="AID24" s="93"/>
      <c r="AIE24" s="93"/>
      <c r="AIF24" s="93"/>
      <c r="AIG24" s="93"/>
      <c r="AIH24" s="93"/>
      <c r="AII24" s="93"/>
      <c r="AIJ24" s="93"/>
      <c r="AIK24" s="93"/>
      <c r="AIL24" s="93"/>
      <c r="AIM24" s="93"/>
      <c r="AIN24" s="93"/>
      <c r="AIO24" s="93"/>
      <c r="AIP24" s="93"/>
      <c r="AIQ24" s="93"/>
      <c r="AIR24" s="93"/>
      <c r="AIS24" s="93"/>
      <c r="AIT24" s="93"/>
      <c r="AIU24" s="93"/>
      <c r="AIV24" s="93"/>
      <c r="AIW24" s="93"/>
      <c r="AIX24" s="93"/>
      <c r="AIY24" s="93"/>
      <c r="AIZ24" s="93"/>
      <c r="AJA24" s="93"/>
      <c r="AJB24" s="93"/>
      <c r="AJC24" s="93"/>
      <c r="AJD24" s="93"/>
      <c r="AJE24" s="93"/>
      <c r="AJF24" s="93"/>
      <c r="AJG24" s="93"/>
      <c r="AJH24" s="93"/>
      <c r="AJI24" s="93"/>
      <c r="AJJ24" s="93"/>
      <c r="AJK24" s="93"/>
      <c r="AJL24" s="93"/>
      <c r="AJM24" s="93"/>
      <c r="AJN24" s="93"/>
      <c r="AJO24" s="93"/>
      <c r="AJP24" s="93"/>
      <c r="AJQ24" s="93"/>
      <c r="AJR24" s="93"/>
      <c r="AJS24" s="93"/>
      <c r="AJT24" s="93"/>
      <c r="AJU24" s="93"/>
      <c r="AJV24" s="93"/>
      <c r="AJW24" s="93"/>
      <c r="AJX24" s="93"/>
      <c r="AJY24" s="93"/>
      <c r="AJZ24" s="93"/>
      <c r="AKA24" s="93"/>
      <c r="AKB24" s="93"/>
      <c r="AKC24" s="93"/>
      <c r="AKD24" s="93"/>
      <c r="AKE24" s="93"/>
      <c r="AKF24" s="93"/>
      <c r="AKG24" s="93"/>
      <c r="AKH24" s="93"/>
      <c r="AKI24" s="93"/>
      <c r="AKJ24" s="93"/>
      <c r="AKK24" s="93"/>
      <c r="AKL24" s="93"/>
      <c r="AKM24" s="93"/>
      <c r="AKN24" s="93"/>
      <c r="AKO24" s="93"/>
      <c r="AKP24" s="93"/>
      <c r="AKQ24" s="93"/>
      <c r="AKR24" s="93"/>
      <c r="AKS24" s="93"/>
      <c r="AKT24" s="93"/>
      <c r="AKU24" s="93"/>
      <c r="AKV24" s="93"/>
      <c r="AKW24" s="93"/>
      <c r="AKX24" s="93"/>
      <c r="AKY24" s="93"/>
      <c r="AKZ24" s="93"/>
      <c r="ALA24" s="93"/>
      <c r="ALB24" s="93"/>
      <c r="ALC24" s="93"/>
      <c r="ALD24" s="93"/>
      <c r="ALE24" s="93"/>
      <c r="ALF24" s="93"/>
      <c r="ALG24" s="93"/>
      <c r="ALH24" s="93"/>
      <c r="ALI24" s="93"/>
      <c r="ALJ24" s="93"/>
      <c r="ALK24" s="93"/>
      <c r="ALL24" s="93"/>
      <c r="ALM24" s="93"/>
      <c r="ALN24" s="93"/>
      <c r="ALO24" s="93"/>
      <c r="ALP24" s="93"/>
      <c r="ALQ24" s="93"/>
      <c r="ALR24" s="93"/>
      <c r="ALS24" s="93"/>
      <c r="ALT24" s="93"/>
      <c r="ALU24" s="93"/>
      <c r="ALV24" s="93"/>
      <c r="ALW24" s="93"/>
      <c r="ALX24" s="93"/>
      <c r="ALY24" s="93"/>
      <c r="ALZ24" s="93"/>
      <c r="AMA24" s="93"/>
      <c r="AMB24" s="93"/>
      <c r="AMC24" s="93"/>
      <c r="AMD24" s="93"/>
      <c r="AME24" s="93"/>
      <c r="AMF24" s="93"/>
      <c r="AMG24" s="93"/>
      <c r="AMH24" s="93"/>
      <c r="AMI24" s="93"/>
      <c r="AMJ24" s="93"/>
      <c r="AMK24" s="93"/>
      <c r="AML24" s="93"/>
      <c r="AMM24" s="93"/>
      <c r="AMN24" s="93"/>
      <c r="AMO24" s="93"/>
      <c r="AMP24" s="93"/>
      <c r="AMQ24" s="93"/>
      <c r="AMR24" s="93"/>
      <c r="AMS24" s="93"/>
      <c r="AMT24" s="93"/>
      <c r="AMU24" s="93"/>
      <c r="AMV24" s="93"/>
      <c r="AMW24" s="93"/>
      <c r="AMX24" s="93"/>
      <c r="AMY24" s="93"/>
      <c r="AMZ24" s="93"/>
      <c r="ANA24" s="93"/>
      <c r="ANB24" s="93"/>
      <c r="ANC24" s="93"/>
      <c r="AND24" s="93"/>
      <c r="ANE24" s="93"/>
      <c r="ANF24" s="93"/>
      <c r="ANG24" s="93"/>
      <c r="ANH24" s="93"/>
      <c r="ANI24" s="93"/>
      <c r="ANJ24" s="93"/>
      <c r="ANK24" s="93"/>
      <c r="ANL24" s="93"/>
      <c r="ANM24" s="93"/>
      <c r="ANN24" s="93"/>
      <c r="ANO24" s="93"/>
      <c r="ANP24" s="93"/>
      <c r="ANQ24" s="93"/>
      <c r="ANR24" s="93"/>
      <c r="ANS24" s="93"/>
      <c r="ANT24" s="93"/>
      <c r="ANU24" s="93"/>
      <c r="ANV24" s="93"/>
      <c r="ANW24" s="93"/>
      <c r="ANX24" s="93"/>
      <c r="ANY24" s="93"/>
      <c r="ANZ24" s="93"/>
      <c r="AOA24" s="93"/>
      <c r="AOB24" s="93"/>
      <c r="AOC24" s="93"/>
      <c r="AOD24" s="93"/>
      <c r="AOE24" s="93"/>
      <c r="AOF24" s="93"/>
      <c r="AOG24" s="93"/>
      <c r="AOH24" s="93"/>
      <c r="AOI24" s="93"/>
      <c r="AOJ24" s="93"/>
      <c r="AOK24" s="93"/>
      <c r="AOL24" s="93"/>
      <c r="AOM24" s="93"/>
      <c r="AON24" s="93"/>
      <c r="AOO24" s="93"/>
      <c r="AOP24" s="93"/>
      <c r="AOQ24" s="93"/>
      <c r="AOR24" s="93"/>
      <c r="AOS24" s="93"/>
      <c r="AOT24" s="93"/>
      <c r="AOU24" s="93"/>
      <c r="AOV24" s="93"/>
      <c r="AOW24" s="93"/>
      <c r="AOX24" s="93"/>
      <c r="AOY24" s="93"/>
      <c r="AOZ24" s="93"/>
      <c r="APA24" s="93"/>
      <c r="APB24" s="93"/>
      <c r="APC24" s="93"/>
      <c r="APD24" s="93"/>
      <c r="APE24" s="93"/>
      <c r="APF24" s="93"/>
      <c r="APG24" s="93"/>
      <c r="APH24" s="93"/>
      <c r="API24" s="93"/>
      <c r="APJ24" s="93"/>
      <c r="APK24" s="93"/>
      <c r="APL24" s="93"/>
      <c r="APM24" s="93"/>
      <c r="APN24" s="93"/>
      <c r="APO24" s="93"/>
      <c r="APP24" s="93"/>
      <c r="APQ24" s="93"/>
      <c r="APR24" s="93"/>
      <c r="APS24" s="93"/>
      <c r="APT24" s="93"/>
      <c r="APU24" s="93"/>
      <c r="APV24" s="93"/>
      <c r="APW24" s="93"/>
      <c r="APX24" s="93"/>
      <c r="APY24" s="93"/>
      <c r="APZ24" s="93"/>
      <c r="AQA24" s="93"/>
      <c r="AQB24" s="93"/>
      <c r="AQC24" s="93"/>
      <c r="AQD24" s="93"/>
      <c r="AQE24" s="93"/>
      <c r="AQF24" s="93"/>
      <c r="AQG24" s="93"/>
      <c r="AQH24" s="93"/>
      <c r="AQI24" s="93"/>
      <c r="AQJ24" s="93"/>
      <c r="AQK24" s="93"/>
      <c r="AQL24" s="93"/>
      <c r="AQM24" s="93"/>
      <c r="AQN24" s="93"/>
      <c r="AQO24" s="93"/>
      <c r="AQP24" s="93"/>
      <c r="AQQ24" s="93"/>
      <c r="AQR24" s="93"/>
      <c r="AQS24" s="93"/>
      <c r="AQT24" s="93"/>
      <c r="AQU24" s="93"/>
      <c r="AQV24" s="93"/>
      <c r="AQW24" s="93"/>
      <c r="AQX24" s="93"/>
      <c r="AQY24" s="93"/>
      <c r="AQZ24" s="93"/>
      <c r="ARA24" s="93"/>
      <c r="ARB24" s="93"/>
      <c r="ARC24" s="93"/>
      <c r="ARD24" s="93"/>
      <c r="ARE24" s="93"/>
      <c r="ARF24" s="93"/>
      <c r="ARG24" s="93"/>
      <c r="ARH24" s="93"/>
      <c r="ARI24" s="93"/>
      <c r="ARJ24" s="93"/>
      <c r="ARK24" s="93"/>
      <c r="ARL24" s="93"/>
      <c r="ARM24" s="93"/>
      <c r="ARN24" s="93"/>
      <c r="ARO24" s="93"/>
      <c r="ARP24" s="93"/>
      <c r="ARQ24" s="93"/>
      <c r="ARR24" s="93"/>
      <c r="ARS24" s="93"/>
      <c r="ART24" s="93"/>
      <c r="ARU24" s="93"/>
      <c r="ARV24" s="93"/>
      <c r="ARW24" s="93"/>
      <c r="ARX24" s="93"/>
      <c r="ARY24" s="93"/>
      <c r="ARZ24" s="93"/>
      <c r="ASA24" s="93"/>
      <c r="ASB24" s="93"/>
      <c r="ASC24" s="93"/>
      <c r="ASD24" s="93"/>
      <c r="ASE24" s="93"/>
      <c r="ASF24" s="93"/>
      <c r="ASG24" s="93"/>
      <c r="ASH24" s="93"/>
      <c r="ASI24" s="93"/>
      <c r="ASJ24" s="93"/>
      <c r="ASK24" s="93"/>
      <c r="ASL24" s="93"/>
      <c r="ASM24" s="93"/>
      <c r="ASN24" s="93"/>
      <c r="ASO24" s="93"/>
      <c r="ASP24" s="93"/>
      <c r="ASQ24" s="93"/>
      <c r="ASR24" s="93"/>
      <c r="ASS24" s="93"/>
      <c r="AST24" s="93"/>
      <c r="ASU24" s="93"/>
      <c r="ASV24" s="93"/>
      <c r="ASW24" s="93"/>
      <c r="ASX24" s="93"/>
      <c r="ASY24" s="93"/>
      <c r="ASZ24" s="93"/>
      <c r="ATA24" s="93"/>
      <c r="ATB24" s="93"/>
      <c r="ATC24" s="93"/>
      <c r="ATD24" s="93"/>
      <c r="ATE24" s="93"/>
      <c r="ATF24" s="93"/>
      <c r="ATG24" s="93"/>
      <c r="ATH24" s="93"/>
      <c r="ATI24" s="93"/>
      <c r="ATJ24" s="93"/>
      <c r="ATK24" s="93"/>
      <c r="ATL24" s="93"/>
      <c r="ATM24" s="93"/>
      <c r="ATN24" s="93"/>
      <c r="ATO24" s="93"/>
      <c r="ATP24" s="93"/>
      <c r="ATQ24" s="93"/>
      <c r="ATR24" s="93"/>
      <c r="ATS24" s="93"/>
      <c r="ATT24" s="93"/>
      <c r="ATU24" s="93"/>
      <c r="ATV24" s="93"/>
      <c r="ATW24" s="93"/>
      <c r="ATX24" s="93"/>
      <c r="ATY24" s="93"/>
      <c r="ATZ24" s="93"/>
      <c r="AUA24" s="93"/>
      <c r="AUB24" s="93"/>
      <c r="AUC24" s="93"/>
      <c r="AUD24" s="93"/>
      <c r="AUE24" s="93"/>
      <c r="AUF24" s="93"/>
      <c r="AUG24" s="93"/>
      <c r="AUH24" s="93"/>
      <c r="AUI24" s="93"/>
      <c r="AUJ24" s="93"/>
      <c r="AUK24" s="93"/>
      <c r="AUL24" s="93"/>
      <c r="AUM24" s="93"/>
      <c r="AUN24" s="93"/>
      <c r="AUO24" s="93"/>
      <c r="AUP24" s="93"/>
      <c r="AUQ24" s="93"/>
      <c r="AUR24" s="93"/>
      <c r="AUS24" s="93"/>
      <c r="AUT24" s="93"/>
      <c r="AUU24" s="93"/>
      <c r="AUV24" s="93"/>
      <c r="AUW24" s="93"/>
      <c r="AUX24" s="93"/>
      <c r="AUY24" s="93"/>
      <c r="AUZ24" s="93"/>
      <c r="AVA24" s="93"/>
      <c r="AVB24" s="93"/>
      <c r="AVC24" s="93"/>
      <c r="AVD24" s="93"/>
      <c r="AVE24" s="93"/>
      <c r="AVF24" s="93"/>
      <c r="AVG24" s="93"/>
      <c r="AVH24" s="93"/>
      <c r="AVI24" s="93"/>
      <c r="AVJ24" s="93"/>
      <c r="AVK24" s="93"/>
      <c r="AVL24" s="93"/>
      <c r="AVM24" s="93"/>
      <c r="AVN24" s="93"/>
      <c r="AVO24" s="93"/>
      <c r="AVP24" s="93"/>
      <c r="AVQ24" s="93"/>
      <c r="AVR24" s="93"/>
      <c r="AVS24" s="93"/>
      <c r="AVT24" s="93"/>
      <c r="AVU24" s="93"/>
      <c r="AVV24" s="93"/>
      <c r="AVW24" s="93"/>
      <c r="AVX24" s="93"/>
      <c r="AVY24" s="93"/>
      <c r="AVZ24" s="93"/>
      <c r="AWA24" s="93"/>
      <c r="AWB24" s="93"/>
      <c r="AWC24" s="93"/>
      <c r="AWD24" s="93"/>
      <c r="AWE24" s="93"/>
      <c r="AWF24" s="93"/>
      <c r="AWG24" s="93"/>
      <c r="AWH24" s="93"/>
      <c r="AWI24" s="93"/>
      <c r="AWJ24" s="93"/>
      <c r="AWK24" s="93"/>
      <c r="AWL24" s="93"/>
      <c r="AWM24" s="93"/>
      <c r="AWN24" s="93"/>
      <c r="AWO24" s="93"/>
      <c r="AWP24" s="93"/>
      <c r="AWQ24" s="93"/>
      <c r="AWR24" s="93"/>
      <c r="AWS24" s="93"/>
      <c r="AWT24" s="93"/>
      <c r="AWU24" s="93"/>
      <c r="AWV24" s="93"/>
      <c r="AWW24" s="93"/>
      <c r="AWX24" s="93"/>
      <c r="AWY24" s="93"/>
      <c r="AWZ24" s="93"/>
      <c r="AXA24" s="93"/>
      <c r="AXB24" s="93"/>
      <c r="AXC24" s="93"/>
      <c r="AXD24" s="93"/>
      <c r="AXE24" s="93"/>
      <c r="AXF24" s="93"/>
      <c r="AXG24" s="93"/>
      <c r="AXH24" s="93"/>
      <c r="AXI24" s="93"/>
      <c r="AXJ24" s="93"/>
      <c r="AXK24" s="93"/>
      <c r="AXL24" s="93"/>
      <c r="AXM24" s="93"/>
      <c r="AXN24" s="93"/>
      <c r="AXO24" s="93"/>
      <c r="AXP24" s="93"/>
      <c r="AXQ24" s="93"/>
      <c r="AXR24" s="93"/>
      <c r="AXS24" s="93"/>
      <c r="AXT24" s="93"/>
      <c r="AXU24" s="93"/>
      <c r="AXV24" s="93"/>
      <c r="AXW24" s="93"/>
      <c r="AXX24" s="93"/>
      <c r="AXY24" s="93"/>
      <c r="AXZ24" s="93"/>
      <c r="AYA24" s="93"/>
      <c r="AYB24" s="93"/>
      <c r="AYC24" s="93"/>
      <c r="AYD24" s="93"/>
      <c r="AYE24" s="93"/>
      <c r="AYF24" s="93"/>
      <c r="AYG24" s="93"/>
      <c r="AYH24" s="93"/>
      <c r="AYI24" s="93"/>
      <c r="AYJ24" s="93"/>
      <c r="AYK24" s="93"/>
      <c r="AYL24" s="93"/>
      <c r="AYM24" s="93"/>
      <c r="AYN24" s="93"/>
      <c r="AYO24" s="93"/>
      <c r="AYP24" s="93"/>
      <c r="AYQ24" s="93"/>
      <c r="AYR24" s="93"/>
      <c r="AYS24" s="93"/>
      <c r="AYT24" s="93"/>
      <c r="AYU24" s="93"/>
      <c r="AYV24" s="93"/>
      <c r="AYW24" s="93"/>
      <c r="AYX24" s="93"/>
      <c r="AYY24" s="93"/>
      <c r="AYZ24" s="93"/>
      <c r="AZA24" s="93"/>
      <c r="AZB24" s="93"/>
      <c r="AZC24" s="93"/>
      <c r="AZD24" s="93"/>
      <c r="AZE24" s="93"/>
      <c r="AZF24" s="93"/>
      <c r="AZG24" s="93"/>
      <c r="AZH24" s="93"/>
      <c r="AZI24" s="93"/>
      <c r="AZJ24" s="93"/>
      <c r="AZK24" s="93"/>
      <c r="AZL24" s="93"/>
      <c r="AZM24" s="93"/>
      <c r="AZN24" s="93"/>
      <c r="AZO24" s="93"/>
      <c r="AZP24" s="93"/>
      <c r="AZQ24" s="93"/>
      <c r="AZR24" s="93"/>
      <c r="AZS24" s="93"/>
      <c r="AZT24" s="93"/>
      <c r="AZU24" s="93"/>
      <c r="AZV24" s="93"/>
      <c r="AZW24" s="93"/>
      <c r="AZX24" s="93"/>
      <c r="AZY24" s="93"/>
      <c r="AZZ24" s="93"/>
      <c r="BAA24" s="93"/>
      <c r="BAB24" s="93"/>
      <c r="BAC24" s="93"/>
      <c r="BAD24" s="93"/>
      <c r="BAE24" s="93"/>
      <c r="BAF24" s="93"/>
      <c r="BAG24" s="93"/>
      <c r="BAH24" s="93"/>
      <c r="BAI24" s="93"/>
      <c r="BAJ24" s="93"/>
      <c r="BAK24" s="93"/>
      <c r="BAL24" s="93"/>
      <c r="BAM24" s="93"/>
      <c r="BAN24" s="93"/>
      <c r="BAO24" s="93"/>
      <c r="BAP24" s="93"/>
      <c r="BAQ24" s="93"/>
      <c r="BAR24" s="93"/>
      <c r="BAS24" s="93"/>
      <c r="BAT24" s="93"/>
      <c r="BAU24" s="93"/>
      <c r="BAV24" s="93"/>
      <c r="BAW24" s="93"/>
      <c r="BAX24" s="93"/>
      <c r="BAY24" s="93"/>
      <c r="BAZ24" s="93"/>
      <c r="BBA24" s="93"/>
      <c r="BBB24" s="93"/>
      <c r="BBC24" s="93"/>
      <c r="BBD24" s="93"/>
      <c r="BBE24" s="93"/>
      <c r="BBF24" s="93"/>
      <c r="BBG24" s="93"/>
      <c r="BBH24" s="93"/>
      <c r="BBI24" s="93"/>
      <c r="BBJ24" s="93"/>
      <c r="BBK24" s="93"/>
      <c r="BBL24" s="93"/>
      <c r="BBM24" s="93"/>
      <c r="BBN24" s="93"/>
      <c r="BBO24" s="93"/>
      <c r="BBP24" s="93"/>
      <c r="BBQ24" s="93"/>
      <c r="BBR24" s="93"/>
      <c r="BBS24" s="93"/>
      <c r="BBT24" s="93"/>
      <c r="BBU24" s="93"/>
      <c r="BBV24" s="93"/>
      <c r="BBW24" s="93"/>
      <c r="BBX24" s="93"/>
      <c r="BBY24" s="93"/>
      <c r="BBZ24" s="93"/>
      <c r="BCA24" s="93"/>
      <c r="BCB24" s="93"/>
      <c r="BCC24" s="93"/>
      <c r="BCD24" s="93"/>
      <c r="BCE24" s="93"/>
      <c r="BCF24" s="93"/>
      <c r="BCG24" s="93"/>
      <c r="BCH24" s="93"/>
      <c r="BCI24" s="93"/>
      <c r="BCJ24" s="93"/>
      <c r="BCK24" s="93"/>
      <c r="BCL24" s="93"/>
      <c r="BCM24" s="93"/>
      <c r="BCN24" s="93"/>
      <c r="BCO24" s="93"/>
      <c r="BCP24" s="93"/>
      <c r="BCQ24" s="93"/>
      <c r="BCR24" s="93"/>
      <c r="BCS24" s="93"/>
      <c r="BCT24" s="93"/>
      <c r="BCU24" s="93"/>
      <c r="BCV24" s="93"/>
      <c r="BCW24" s="93"/>
      <c r="BCX24" s="93"/>
      <c r="BCY24" s="93"/>
      <c r="BCZ24" s="93"/>
      <c r="BDA24" s="93"/>
      <c r="BDB24" s="93"/>
      <c r="BDC24" s="93"/>
      <c r="BDD24" s="93"/>
      <c r="BDE24" s="93"/>
      <c r="BDF24" s="93"/>
      <c r="BDG24" s="93"/>
      <c r="BDH24" s="93"/>
      <c r="BDI24" s="93"/>
      <c r="BDJ24" s="93"/>
      <c r="BDK24" s="93"/>
      <c r="BDL24" s="93"/>
      <c r="BDM24" s="93"/>
      <c r="BDN24" s="93"/>
      <c r="BDO24" s="93"/>
      <c r="BDP24" s="93"/>
      <c r="BDQ24" s="93"/>
      <c r="BDR24" s="93"/>
      <c r="BDS24" s="93"/>
      <c r="BDT24" s="93"/>
      <c r="BDU24" s="93"/>
      <c r="BDV24" s="93"/>
      <c r="BDW24" s="93"/>
      <c r="BDX24" s="93"/>
      <c r="BDY24" s="93"/>
      <c r="BDZ24" s="93"/>
      <c r="BEA24" s="93"/>
      <c r="BEB24" s="93"/>
      <c r="BEC24" s="93"/>
      <c r="BED24" s="93"/>
      <c r="BEE24" s="93"/>
      <c r="BEF24" s="93"/>
      <c r="BEG24" s="93"/>
      <c r="BEH24" s="93"/>
      <c r="BEI24" s="93"/>
      <c r="BEJ24" s="93"/>
      <c r="BEK24" s="93"/>
      <c r="BEL24" s="93"/>
      <c r="BEM24" s="93"/>
      <c r="BEN24" s="93"/>
      <c r="BEO24" s="93"/>
      <c r="BEP24" s="93"/>
      <c r="BEQ24" s="93"/>
      <c r="BER24" s="93"/>
      <c r="BES24" s="93"/>
      <c r="BET24" s="93"/>
      <c r="BEU24" s="93"/>
      <c r="BEV24" s="93"/>
      <c r="BEW24" s="93"/>
      <c r="BEX24" s="93"/>
      <c r="BEY24" s="93"/>
      <c r="BEZ24" s="93"/>
      <c r="BFA24" s="93"/>
      <c r="BFB24" s="93"/>
      <c r="BFC24" s="93"/>
      <c r="BFD24" s="93"/>
      <c r="BFE24" s="93"/>
      <c r="BFF24" s="93"/>
      <c r="BFG24" s="93"/>
      <c r="BFH24" s="93"/>
      <c r="BFI24" s="93"/>
      <c r="BFJ24" s="93"/>
      <c r="BFK24" s="93"/>
      <c r="BFL24" s="93"/>
      <c r="BFM24" s="93"/>
      <c r="BFN24" s="93"/>
      <c r="BFO24" s="93"/>
      <c r="BFP24" s="93"/>
      <c r="BFQ24" s="93"/>
      <c r="BFR24" s="93"/>
      <c r="BFS24" s="93"/>
      <c r="BFT24" s="93"/>
      <c r="BFU24" s="93"/>
      <c r="BFV24" s="93"/>
      <c r="BFW24" s="93"/>
      <c r="BFX24" s="93"/>
      <c r="BFY24" s="93"/>
      <c r="BFZ24" s="93"/>
      <c r="BGA24" s="93"/>
      <c r="BGB24" s="93"/>
      <c r="BGC24" s="93"/>
      <c r="BGD24" s="93"/>
      <c r="BGE24" s="93"/>
      <c r="BGF24" s="93"/>
      <c r="BGG24" s="93"/>
      <c r="BGH24" s="93"/>
      <c r="BGI24" s="93"/>
      <c r="BGJ24" s="93"/>
      <c r="BGK24" s="93"/>
      <c r="BGL24" s="93"/>
      <c r="BGM24" s="93"/>
      <c r="BGN24" s="93"/>
      <c r="BGO24" s="93"/>
      <c r="BGP24" s="93"/>
      <c r="BGQ24" s="93"/>
      <c r="BGR24" s="93"/>
      <c r="BGS24" s="93"/>
      <c r="BGT24" s="93"/>
      <c r="BGU24" s="93"/>
      <c r="BGV24" s="93"/>
      <c r="BGW24" s="93"/>
      <c r="BGX24" s="93"/>
      <c r="BGY24" s="93"/>
      <c r="BGZ24" s="93"/>
      <c r="BHA24" s="93"/>
      <c r="BHB24" s="93"/>
      <c r="BHC24" s="93"/>
      <c r="BHD24" s="93"/>
      <c r="BHE24" s="93"/>
      <c r="BHF24" s="93"/>
      <c r="BHG24" s="93"/>
      <c r="BHH24" s="93"/>
      <c r="BHI24" s="93"/>
      <c r="BHJ24" s="93"/>
      <c r="BHK24" s="93"/>
      <c r="BHL24" s="93"/>
      <c r="BHM24" s="93"/>
      <c r="BHN24" s="93"/>
      <c r="BHO24" s="93"/>
      <c r="BHP24" s="93"/>
      <c r="BHQ24" s="93"/>
      <c r="BHR24" s="93"/>
      <c r="BHS24" s="93"/>
    </row>
    <row r="25" spans="1:1579" s="50" customFormat="1" hidden="1" x14ac:dyDescent="0.25">
      <c r="A25" s="86"/>
      <c r="B25" s="48" t="s">
        <v>1171</v>
      </c>
      <c r="C25" s="536" t="s">
        <v>986</v>
      </c>
      <c r="D25" s="537"/>
      <c r="E25" s="75" t="str">
        <f>+[1]PRESUPUESTO!E219</f>
        <v>UN</v>
      </c>
      <c r="F25" s="102">
        <f>34*2</f>
        <v>68</v>
      </c>
      <c r="G25" s="103">
        <v>48.214285714285715</v>
      </c>
      <c r="H25" s="182">
        <f>+F25*G25</f>
        <v>3278.5714285714284</v>
      </c>
      <c r="I25" s="550">
        <f t="shared" si="0"/>
        <v>2.9024081020766439</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row>
    <row r="26" spans="1:1579" s="50" customFormat="1" hidden="1" x14ac:dyDescent="0.25">
      <c r="A26" s="86"/>
      <c r="B26" s="48" t="s">
        <v>1172</v>
      </c>
      <c r="C26" s="533" t="s">
        <v>1173</v>
      </c>
      <c r="D26" s="535"/>
      <c r="E26" s="75" t="str">
        <f>+[1]PRESUPUESTO!E220</f>
        <v>UN</v>
      </c>
      <c r="F26" s="102">
        <f>+F23</f>
        <v>35</v>
      </c>
      <c r="G26" s="103">
        <v>164.70000000000002</v>
      </c>
      <c r="H26" s="182">
        <f t="shared" ref="H26:H74" si="3">+F26*G26</f>
        <v>5764.5000000000009</v>
      </c>
      <c r="I26" s="550">
        <f t="shared" si="0"/>
        <v>5.1031163630041707</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row>
    <row r="27" spans="1:1579" s="50" customFormat="1" hidden="1" x14ac:dyDescent="0.25">
      <c r="A27" s="86"/>
      <c r="B27" s="48" t="s">
        <v>1174</v>
      </c>
      <c r="C27" s="1273" t="s">
        <v>1175</v>
      </c>
      <c r="D27" s="1274"/>
      <c r="E27" s="73" t="s">
        <v>1066</v>
      </c>
      <c r="F27" s="74">
        <v>7</v>
      </c>
      <c r="G27" s="101">
        <v>41.34</v>
      </c>
      <c r="H27" s="182">
        <f t="shared" si="3"/>
        <v>289.38</v>
      </c>
      <c r="I27" s="550">
        <f t="shared" si="0"/>
        <v>0.25617830048159368</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row>
    <row r="28" spans="1:1579" s="50" customFormat="1" hidden="1" x14ac:dyDescent="0.25">
      <c r="A28" s="86"/>
      <c r="B28" s="48" t="s">
        <v>1176</v>
      </c>
      <c r="C28" s="1273" t="s">
        <v>1177</v>
      </c>
      <c r="D28" s="1274"/>
      <c r="E28" s="73" t="s">
        <v>1066</v>
      </c>
      <c r="F28" s="74">
        <v>7</v>
      </c>
      <c r="G28" s="101">
        <v>34.9</v>
      </c>
      <c r="H28" s="182">
        <f t="shared" si="3"/>
        <v>244.29999999999998</v>
      </c>
      <c r="I28" s="550">
        <f t="shared" si="0"/>
        <v>0.21627050524449973</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row>
    <row r="29" spans="1:1579" s="94" customFormat="1" x14ac:dyDescent="0.25">
      <c r="A29" s="89"/>
      <c r="B29" s="68" t="s">
        <v>883</v>
      </c>
      <c r="C29" s="526" t="s">
        <v>1001</v>
      </c>
      <c r="D29" s="527"/>
      <c r="E29" s="71"/>
      <c r="F29" s="72"/>
      <c r="G29" s="91"/>
      <c r="H29" s="179">
        <f>SUM(H30:H46)</f>
        <v>9909.1499999999978</v>
      </c>
      <c r="I29" s="550">
        <f t="shared" si="0"/>
        <v>8.7722344537189283</v>
      </c>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c r="EW29" s="93"/>
      <c r="EX29" s="93"/>
      <c r="EY29" s="93"/>
      <c r="EZ29" s="93"/>
      <c r="FA29" s="93"/>
      <c r="FB29" s="93"/>
      <c r="FC29" s="93"/>
      <c r="FD29" s="93"/>
      <c r="FE29" s="93"/>
      <c r="FF29" s="93"/>
      <c r="FG29" s="93"/>
      <c r="FH29" s="93"/>
      <c r="FI29" s="93"/>
      <c r="FJ29" s="93"/>
      <c r="FK29" s="93"/>
      <c r="FL29" s="93"/>
      <c r="FM29" s="93"/>
      <c r="FN29" s="93"/>
      <c r="FO29" s="93"/>
      <c r="FP29" s="93"/>
      <c r="FQ29" s="93"/>
      <c r="FR29" s="93"/>
      <c r="FS29" s="93"/>
      <c r="FT29" s="93"/>
      <c r="FU29" s="93"/>
      <c r="FV29" s="93"/>
      <c r="FW29" s="93"/>
      <c r="FX29" s="93"/>
      <c r="FY29" s="93"/>
      <c r="FZ29" s="93"/>
      <c r="GA29" s="93"/>
      <c r="GB29" s="93"/>
      <c r="GC29" s="93"/>
      <c r="GD29" s="93"/>
      <c r="GE29" s="93"/>
      <c r="GF29" s="93"/>
      <c r="GG29" s="93"/>
      <c r="GH29" s="93"/>
      <c r="GI29" s="93"/>
      <c r="GJ29" s="93"/>
      <c r="GK29" s="93"/>
      <c r="GL29" s="93"/>
      <c r="GM29" s="93"/>
      <c r="GN29" s="93"/>
      <c r="GO29" s="93"/>
      <c r="GP29" s="93"/>
      <c r="GQ29" s="93"/>
      <c r="GR29" s="93"/>
      <c r="GS29" s="93"/>
      <c r="GT29" s="93"/>
      <c r="GU29" s="93"/>
      <c r="GV29" s="93"/>
      <c r="GW29" s="93"/>
      <c r="GX29" s="93"/>
      <c r="GY29" s="93"/>
      <c r="GZ29" s="93"/>
      <c r="HA29" s="93"/>
      <c r="HB29" s="93"/>
      <c r="HC29" s="93"/>
      <c r="HD29" s="93"/>
      <c r="HE29" s="93"/>
      <c r="HF29" s="93"/>
      <c r="HG29" s="93"/>
      <c r="HH29" s="93"/>
      <c r="HI29" s="93"/>
      <c r="HJ29" s="93"/>
      <c r="HK29" s="93"/>
      <c r="HL29" s="93"/>
      <c r="HM29" s="93"/>
      <c r="HN29" s="93"/>
      <c r="HO29" s="93"/>
      <c r="HP29" s="93"/>
      <c r="HQ29" s="93"/>
      <c r="HR29" s="93"/>
      <c r="HS29" s="93"/>
      <c r="HT29" s="93"/>
      <c r="HU29" s="93"/>
      <c r="HV29" s="93"/>
      <c r="HW29" s="93"/>
      <c r="HX29" s="93"/>
      <c r="HY29" s="93"/>
      <c r="HZ29" s="93"/>
      <c r="IA29" s="93"/>
      <c r="IB29" s="93"/>
      <c r="IC29" s="93"/>
      <c r="ID29" s="93"/>
      <c r="IE29" s="93"/>
      <c r="IF29" s="93"/>
      <c r="IG29" s="93"/>
      <c r="IH29" s="93"/>
      <c r="II29" s="93"/>
      <c r="IJ29" s="93"/>
      <c r="IK29" s="93"/>
      <c r="IL29" s="93"/>
      <c r="IM29" s="93"/>
      <c r="IN29" s="93"/>
      <c r="IO29" s="93"/>
      <c r="IP29" s="93"/>
      <c r="IQ29" s="93"/>
      <c r="IR29" s="93"/>
      <c r="IS29" s="93"/>
      <c r="IT29" s="93"/>
      <c r="IU29" s="93"/>
      <c r="IV29" s="93"/>
      <c r="IW29" s="93"/>
      <c r="IX29" s="93"/>
      <c r="IY29" s="93"/>
      <c r="IZ29" s="93"/>
      <c r="JA29" s="93"/>
      <c r="JB29" s="93"/>
      <c r="JC29" s="93"/>
      <c r="JD29" s="93"/>
      <c r="JE29" s="93"/>
      <c r="JF29" s="93"/>
      <c r="JG29" s="93"/>
      <c r="JH29" s="93"/>
      <c r="JI29" s="93"/>
      <c r="JJ29" s="93"/>
      <c r="JK29" s="93"/>
      <c r="JL29" s="93"/>
      <c r="JM29" s="93"/>
      <c r="JN29" s="93"/>
      <c r="JO29" s="93"/>
      <c r="JP29" s="93"/>
      <c r="JQ29" s="93"/>
      <c r="JR29" s="93"/>
      <c r="JS29" s="93"/>
      <c r="JT29" s="93"/>
      <c r="JU29" s="93"/>
      <c r="JV29" s="93"/>
      <c r="JW29" s="93"/>
      <c r="JX29" s="93"/>
      <c r="JY29" s="93"/>
      <c r="JZ29" s="93"/>
      <c r="KA29" s="93"/>
      <c r="KB29" s="93"/>
      <c r="KC29" s="93"/>
      <c r="KD29" s="93"/>
      <c r="KE29" s="93"/>
      <c r="KF29" s="93"/>
      <c r="KG29" s="93"/>
      <c r="KH29" s="93"/>
      <c r="KI29" s="93"/>
      <c r="KJ29" s="93"/>
      <c r="KK29" s="93"/>
      <c r="KL29" s="93"/>
      <c r="KM29" s="93"/>
      <c r="KN29" s="93"/>
      <c r="KO29" s="93"/>
      <c r="KP29" s="93"/>
      <c r="KQ29" s="93"/>
      <c r="KR29" s="93"/>
      <c r="KS29" s="93"/>
      <c r="KT29" s="93"/>
      <c r="KU29" s="93"/>
      <c r="KV29" s="93"/>
      <c r="KW29" s="93"/>
      <c r="KX29" s="93"/>
      <c r="KY29" s="93"/>
      <c r="KZ29" s="93"/>
      <c r="LA29" s="93"/>
      <c r="LB29" s="93"/>
      <c r="LC29" s="93"/>
      <c r="LD29" s="93"/>
      <c r="LE29" s="93"/>
      <c r="LF29" s="93"/>
      <c r="LG29" s="93"/>
      <c r="LH29" s="93"/>
      <c r="LI29" s="93"/>
      <c r="LJ29" s="93"/>
      <c r="LK29" s="93"/>
      <c r="LL29" s="93"/>
      <c r="LM29" s="93"/>
      <c r="LN29" s="93"/>
      <c r="LO29" s="93"/>
      <c r="LP29" s="93"/>
      <c r="LQ29" s="93"/>
      <c r="LR29" s="93"/>
      <c r="LS29" s="93"/>
      <c r="LT29" s="93"/>
      <c r="LU29" s="93"/>
      <c r="LV29" s="93"/>
      <c r="LW29" s="93"/>
      <c r="LX29" s="93"/>
      <c r="LY29" s="93"/>
      <c r="LZ29" s="93"/>
      <c r="MA29" s="93"/>
      <c r="MB29" s="93"/>
      <c r="MC29" s="93"/>
      <c r="MD29" s="93"/>
      <c r="ME29" s="93"/>
      <c r="MF29" s="93"/>
      <c r="MG29" s="93"/>
      <c r="MH29" s="93"/>
      <c r="MI29" s="93"/>
      <c r="MJ29" s="93"/>
      <c r="MK29" s="93"/>
      <c r="ML29" s="93"/>
      <c r="MM29" s="93"/>
      <c r="MN29" s="93"/>
      <c r="MO29" s="93"/>
      <c r="MP29" s="93"/>
      <c r="MQ29" s="93"/>
      <c r="MR29" s="93"/>
      <c r="MS29" s="93"/>
      <c r="MT29" s="93"/>
      <c r="MU29" s="93"/>
      <c r="MV29" s="93"/>
      <c r="MW29" s="93"/>
      <c r="MX29" s="93"/>
      <c r="MY29" s="93"/>
      <c r="MZ29" s="93"/>
      <c r="NA29" s="93"/>
      <c r="NB29" s="93"/>
      <c r="NC29" s="93"/>
      <c r="ND29" s="93"/>
      <c r="NE29" s="93"/>
      <c r="NF29" s="93"/>
      <c r="NG29" s="93"/>
      <c r="NH29" s="93"/>
      <c r="NI29" s="93"/>
      <c r="NJ29" s="93"/>
      <c r="NK29" s="93"/>
      <c r="NL29" s="93"/>
      <c r="NM29" s="93"/>
      <c r="NN29" s="93"/>
      <c r="NO29" s="93"/>
      <c r="NP29" s="93"/>
      <c r="NQ29" s="93"/>
      <c r="NR29" s="93"/>
      <c r="NS29" s="93"/>
      <c r="NT29" s="93"/>
      <c r="NU29" s="93"/>
      <c r="NV29" s="93"/>
      <c r="NW29" s="93"/>
      <c r="NX29" s="93"/>
      <c r="NY29" s="93"/>
      <c r="NZ29" s="93"/>
      <c r="OA29" s="93"/>
      <c r="OB29" s="93"/>
      <c r="OC29" s="93"/>
      <c r="OD29" s="93"/>
      <c r="OE29" s="93"/>
      <c r="OF29" s="93"/>
      <c r="OG29" s="93"/>
      <c r="OH29" s="93"/>
      <c r="OI29" s="93"/>
      <c r="OJ29" s="93"/>
      <c r="OK29" s="93"/>
      <c r="OL29" s="93"/>
      <c r="OM29" s="93"/>
      <c r="ON29" s="93"/>
      <c r="OO29" s="93"/>
      <c r="OP29" s="93"/>
      <c r="OQ29" s="93"/>
      <c r="OR29" s="93"/>
      <c r="OS29" s="93"/>
      <c r="OT29" s="93"/>
      <c r="OU29" s="93"/>
      <c r="OV29" s="93"/>
      <c r="OW29" s="93"/>
      <c r="OX29" s="93"/>
      <c r="OY29" s="93"/>
      <c r="OZ29" s="93"/>
      <c r="PA29" s="93"/>
      <c r="PB29" s="93"/>
      <c r="PC29" s="93"/>
      <c r="PD29" s="93"/>
      <c r="PE29" s="93"/>
      <c r="PF29" s="93"/>
      <c r="PG29" s="93"/>
      <c r="PH29" s="93"/>
      <c r="PI29" s="93"/>
      <c r="PJ29" s="93"/>
      <c r="PK29" s="93"/>
      <c r="PL29" s="93"/>
      <c r="PM29" s="93"/>
      <c r="PN29" s="93"/>
      <c r="PO29" s="93"/>
      <c r="PP29" s="93"/>
      <c r="PQ29" s="93"/>
      <c r="PR29" s="93"/>
      <c r="PS29" s="93"/>
      <c r="PT29" s="93"/>
      <c r="PU29" s="93"/>
      <c r="PV29" s="93"/>
      <c r="PW29" s="93"/>
      <c r="PX29" s="93"/>
      <c r="PY29" s="93"/>
      <c r="PZ29" s="93"/>
      <c r="QA29" s="93"/>
      <c r="QB29" s="93"/>
      <c r="QC29" s="93"/>
      <c r="QD29" s="93"/>
      <c r="QE29" s="93"/>
      <c r="QF29" s="93"/>
      <c r="QG29" s="93"/>
      <c r="QH29" s="93"/>
      <c r="QI29" s="93"/>
      <c r="QJ29" s="93"/>
      <c r="QK29" s="93"/>
      <c r="QL29" s="93"/>
      <c r="QM29" s="93"/>
      <c r="QN29" s="93"/>
      <c r="QO29" s="93"/>
      <c r="QP29" s="93"/>
      <c r="QQ29" s="93"/>
      <c r="QR29" s="93"/>
      <c r="QS29" s="93"/>
      <c r="QT29" s="93"/>
      <c r="QU29" s="93"/>
      <c r="QV29" s="93"/>
      <c r="QW29" s="93"/>
      <c r="QX29" s="93"/>
      <c r="QY29" s="93"/>
      <c r="QZ29" s="93"/>
      <c r="RA29" s="93"/>
      <c r="RB29" s="93"/>
      <c r="RC29" s="93"/>
      <c r="RD29" s="93"/>
      <c r="RE29" s="93"/>
      <c r="RF29" s="93"/>
      <c r="RG29" s="93"/>
      <c r="RH29" s="93"/>
      <c r="RI29" s="93"/>
      <c r="RJ29" s="93"/>
      <c r="RK29" s="93"/>
      <c r="RL29" s="93"/>
      <c r="RM29" s="93"/>
      <c r="RN29" s="93"/>
      <c r="RO29" s="93"/>
      <c r="RP29" s="93"/>
      <c r="RQ29" s="93"/>
      <c r="RR29" s="93"/>
      <c r="RS29" s="93"/>
      <c r="RT29" s="93"/>
      <c r="RU29" s="93"/>
      <c r="RV29" s="93"/>
      <c r="RW29" s="93"/>
      <c r="RX29" s="93"/>
      <c r="RY29" s="93"/>
      <c r="RZ29" s="93"/>
      <c r="SA29" s="93"/>
      <c r="SB29" s="93"/>
      <c r="SC29" s="93"/>
      <c r="SD29" s="93"/>
      <c r="SE29" s="93"/>
      <c r="SF29" s="93"/>
      <c r="SG29" s="93"/>
      <c r="SH29" s="93"/>
      <c r="SI29" s="93"/>
      <c r="SJ29" s="93"/>
      <c r="SK29" s="93"/>
      <c r="SL29" s="93"/>
      <c r="SM29" s="93"/>
      <c r="SN29" s="93"/>
      <c r="SO29" s="93"/>
      <c r="SP29" s="93"/>
      <c r="SQ29" s="93"/>
      <c r="SR29" s="93"/>
      <c r="SS29" s="93"/>
      <c r="ST29" s="93"/>
      <c r="SU29" s="93"/>
      <c r="SV29" s="93"/>
      <c r="SW29" s="93"/>
      <c r="SX29" s="93"/>
      <c r="SY29" s="93"/>
      <c r="SZ29" s="93"/>
      <c r="TA29" s="93"/>
      <c r="TB29" s="93"/>
      <c r="TC29" s="93"/>
      <c r="TD29" s="93"/>
      <c r="TE29" s="93"/>
      <c r="TF29" s="93"/>
      <c r="TG29" s="93"/>
      <c r="TH29" s="93"/>
      <c r="TI29" s="93"/>
      <c r="TJ29" s="93"/>
      <c r="TK29" s="93"/>
      <c r="TL29" s="93"/>
      <c r="TM29" s="93"/>
      <c r="TN29" s="93"/>
      <c r="TO29" s="93"/>
      <c r="TP29" s="93"/>
      <c r="TQ29" s="93"/>
      <c r="TR29" s="93"/>
      <c r="TS29" s="93"/>
      <c r="TT29" s="93"/>
      <c r="TU29" s="93"/>
      <c r="TV29" s="93"/>
      <c r="TW29" s="93"/>
      <c r="TX29" s="93"/>
      <c r="TY29" s="93"/>
      <c r="TZ29" s="93"/>
      <c r="UA29" s="93"/>
      <c r="UB29" s="93"/>
      <c r="UC29" s="93"/>
      <c r="UD29" s="93"/>
      <c r="UE29" s="93"/>
      <c r="UF29" s="93"/>
      <c r="UG29" s="93"/>
      <c r="UH29" s="93"/>
      <c r="UI29" s="93"/>
      <c r="UJ29" s="93"/>
      <c r="UK29" s="93"/>
      <c r="UL29" s="93"/>
      <c r="UM29" s="93"/>
      <c r="UN29" s="93"/>
      <c r="UO29" s="93"/>
      <c r="UP29" s="93"/>
      <c r="UQ29" s="93"/>
      <c r="UR29" s="93"/>
      <c r="US29" s="93"/>
      <c r="UT29" s="93"/>
      <c r="UU29" s="93"/>
      <c r="UV29" s="93"/>
      <c r="UW29" s="93"/>
      <c r="UX29" s="93"/>
      <c r="UY29" s="93"/>
      <c r="UZ29" s="93"/>
      <c r="VA29" s="93"/>
      <c r="VB29" s="93"/>
      <c r="VC29" s="93"/>
      <c r="VD29" s="93"/>
      <c r="VE29" s="93"/>
      <c r="VF29" s="93"/>
      <c r="VG29" s="93"/>
      <c r="VH29" s="93"/>
      <c r="VI29" s="93"/>
      <c r="VJ29" s="93"/>
      <c r="VK29" s="93"/>
      <c r="VL29" s="93"/>
      <c r="VM29" s="93"/>
      <c r="VN29" s="93"/>
      <c r="VO29" s="93"/>
      <c r="VP29" s="93"/>
      <c r="VQ29" s="93"/>
      <c r="VR29" s="93"/>
      <c r="VS29" s="93"/>
      <c r="VT29" s="93"/>
      <c r="VU29" s="93"/>
      <c r="VV29" s="93"/>
      <c r="VW29" s="93"/>
      <c r="VX29" s="93"/>
      <c r="VY29" s="93"/>
      <c r="VZ29" s="93"/>
      <c r="WA29" s="93"/>
      <c r="WB29" s="93"/>
      <c r="WC29" s="93"/>
      <c r="WD29" s="93"/>
      <c r="WE29" s="93"/>
      <c r="WF29" s="93"/>
      <c r="WG29" s="93"/>
      <c r="WH29" s="93"/>
      <c r="WI29" s="93"/>
      <c r="WJ29" s="93"/>
      <c r="WK29" s="93"/>
      <c r="WL29" s="93"/>
      <c r="WM29" s="93"/>
      <c r="WN29" s="93"/>
      <c r="WO29" s="93"/>
      <c r="WP29" s="93"/>
      <c r="WQ29" s="93"/>
      <c r="WR29" s="93"/>
      <c r="WS29" s="93"/>
      <c r="WT29" s="93"/>
      <c r="WU29" s="93"/>
      <c r="WV29" s="93"/>
      <c r="WW29" s="93"/>
      <c r="WX29" s="93"/>
      <c r="WY29" s="93"/>
      <c r="WZ29" s="93"/>
      <c r="XA29" s="93"/>
      <c r="XB29" s="93"/>
      <c r="XC29" s="93"/>
      <c r="XD29" s="93"/>
      <c r="XE29" s="93"/>
      <c r="XF29" s="93"/>
      <c r="XG29" s="93"/>
      <c r="XH29" s="93"/>
      <c r="XI29" s="93"/>
      <c r="XJ29" s="93"/>
      <c r="XK29" s="93"/>
      <c r="XL29" s="93"/>
      <c r="XM29" s="93"/>
      <c r="XN29" s="93"/>
      <c r="XO29" s="93"/>
      <c r="XP29" s="93"/>
      <c r="XQ29" s="93"/>
      <c r="XR29" s="93"/>
      <c r="XS29" s="93"/>
      <c r="XT29" s="93"/>
      <c r="XU29" s="93"/>
      <c r="XV29" s="93"/>
      <c r="XW29" s="93"/>
      <c r="XX29" s="93"/>
      <c r="XY29" s="93"/>
      <c r="XZ29" s="93"/>
      <c r="YA29" s="93"/>
      <c r="YB29" s="93"/>
      <c r="YC29" s="93"/>
      <c r="YD29" s="93"/>
      <c r="YE29" s="93"/>
      <c r="YF29" s="93"/>
      <c r="YG29" s="93"/>
      <c r="YH29" s="93"/>
      <c r="YI29" s="93"/>
      <c r="YJ29" s="93"/>
      <c r="YK29" s="93"/>
      <c r="YL29" s="93"/>
      <c r="YM29" s="93"/>
      <c r="YN29" s="93"/>
      <c r="YO29" s="93"/>
      <c r="YP29" s="93"/>
      <c r="YQ29" s="93"/>
      <c r="YR29" s="93"/>
      <c r="YS29" s="93"/>
      <c r="YT29" s="93"/>
      <c r="YU29" s="93"/>
      <c r="YV29" s="93"/>
      <c r="YW29" s="93"/>
      <c r="YX29" s="93"/>
      <c r="YY29" s="93"/>
      <c r="YZ29" s="93"/>
      <c r="ZA29" s="93"/>
      <c r="ZB29" s="93"/>
      <c r="ZC29" s="93"/>
      <c r="ZD29" s="93"/>
      <c r="ZE29" s="93"/>
      <c r="ZF29" s="93"/>
      <c r="ZG29" s="93"/>
      <c r="ZH29" s="93"/>
      <c r="ZI29" s="93"/>
      <c r="ZJ29" s="93"/>
      <c r="ZK29" s="93"/>
      <c r="ZL29" s="93"/>
      <c r="ZM29" s="93"/>
      <c r="ZN29" s="93"/>
      <c r="ZO29" s="93"/>
      <c r="ZP29" s="93"/>
      <c r="ZQ29" s="93"/>
      <c r="ZR29" s="93"/>
      <c r="ZS29" s="93"/>
      <c r="ZT29" s="93"/>
      <c r="ZU29" s="93"/>
      <c r="ZV29" s="93"/>
      <c r="ZW29" s="93"/>
      <c r="ZX29" s="93"/>
      <c r="ZY29" s="93"/>
      <c r="ZZ29" s="93"/>
      <c r="AAA29" s="93"/>
      <c r="AAB29" s="93"/>
      <c r="AAC29" s="93"/>
      <c r="AAD29" s="93"/>
      <c r="AAE29" s="93"/>
      <c r="AAF29" s="93"/>
      <c r="AAG29" s="93"/>
      <c r="AAH29" s="93"/>
      <c r="AAI29" s="93"/>
      <c r="AAJ29" s="93"/>
      <c r="AAK29" s="93"/>
      <c r="AAL29" s="93"/>
      <c r="AAM29" s="93"/>
      <c r="AAN29" s="93"/>
      <c r="AAO29" s="93"/>
      <c r="AAP29" s="93"/>
      <c r="AAQ29" s="93"/>
      <c r="AAR29" s="93"/>
      <c r="AAS29" s="93"/>
      <c r="AAT29" s="93"/>
      <c r="AAU29" s="93"/>
      <c r="AAV29" s="93"/>
      <c r="AAW29" s="93"/>
      <c r="AAX29" s="93"/>
      <c r="AAY29" s="93"/>
      <c r="AAZ29" s="93"/>
      <c r="ABA29" s="93"/>
      <c r="ABB29" s="93"/>
      <c r="ABC29" s="93"/>
      <c r="ABD29" s="93"/>
      <c r="ABE29" s="93"/>
      <c r="ABF29" s="93"/>
      <c r="ABG29" s="93"/>
      <c r="ABH29" s="93"/>
      <c r="ABI29" s="93"/>
      <c r="ABJ29" s="93"/>
      <c r="ABK29" s="93"/>
      <c r="ABL29" s="93"/>
      <c r="ABM29" s="93"/>
      <c r="ABN29" s="93"/>
      <c r="ABO29" s="93"/>
      <c r="ABP29" s="93"/>
      <c r="ABQ29" s="93"/>
      <c r="ABR29" s="93"/>
      <c r="ABS29" s="93"/>
      <c r="ABT29" s="93"/>
      <c r="ABU29" s="93"/>
      <c r="ABV29" s="93"/>
      <c r="ABW29" s="93"/>
      <c r="ABX29" s="93"/>
      <c r="ABY29" s="93"/>
      <c r="ABZ29" s="93"/>
      <c r="ACA29" s="93"/>
      <c r="ACB29" s="93"/>
      <c r="ACC29" s="93"/>
      <c r="ACD29" s="93"/>
      <c r="ACE29" s="93"/>
      <c r="ACF29" s="93"/>
      <c r="ACG29" s="93"/>
      <c r="ACH29" s="93"/>
      <c r="ACI29" s="93"/>
      <c r="ACJ29" s="93"/>
      <c r="ACK29" s="93"/>
      <c r="ACL29" s="93"/>
      <c r="ACM29" s="93"/>
      <c r="ACN29" s="93"/>
      <c r="ACO29" s="93"/>
      <c r="ACP29" s="93"/>
      <c r="ACQ29" s="93"/>
      <c r="ACR29" s="93"/>
      <c r="ACS29" s="93"/>
      <c r="ACT29" s="93"/>
      <c r="ACU29" s="93"/>
      <c r="ACV29" s="93"/>
      <c r="ACW29" s="93"/>
      <c r="ACX29" s="93"/>
      <c r="ACY29" s="93"/>
      <c r="ACZ29" s="93"/>
      <c r="ADA29" s="93"/>
      <c r="ADB29" s="93"/>
      <c r="ADC29" s="93"/>
      <c r="ADD29" s="93"/>
      <c r="ADE29" s="93"/>
      <c r="ADF29" s="93"/>
      <c r="ADG29" s="93"/>
      <c r="ADH29" s="93"/>
      <c r="ADI29" s="93"/>
      <c r="ADJ29" s="93"/>
      <c r="ADK29" s="93"/>
      <c r="ADL29" s="93"/>
      <c r="ADM29" s="93"/>
      <c r="ADN29" s="93"/>
      <c r="ADO29" s="93"/>
      <c r="ADP29" s="93"/>
      <c r="ADQ29" s="93"/>
      <c r="ADR29" s="93"/>
      <c r="ADS29" s="93"/>
      <c r="ADT29" s="93"/>
      <c r="ADU29" s="93"/>
      <c r="ADV29" s="93"/>
      <c r="ADW29" s="93"/>
      <c r="ADX29" s="93"/>
      <c r="ADY29" s="93"/>
      <c r="ADZ29" s="93"/>
      <c r="AEA29" s="93"/>
      <c r="AEB29" s="93"/>
      <c r="AEC29" s="93"/>
      <c r="AED29" s="93"/>
      <c r="AEE29" s="93"/>
      <c r="AEF29" s="93"/>
      <c r="AEG29" s="93"/>
      <c r="AEH29" s="93"/>
      <c r="AEI29" s="93"/>
      <c r="AEJ29" s="93"/>
      <c r="AEK29" s="93"/>
      <c r="AEL29" s="93"/>
      <c r="AEM29" s="93"/>
      <c r="AEN29" s="93"/>
      <c r="AEO29" s="93"/>
      <c r="AEP29" s="93"/>
      <c r="AEQ29" s="93"/>
      <c r="AER29" s="93"/>
      <c r="AES29" s="93"/>
      <c r="AET29" s="93"/>
      <c r="AEU29" s="93"/>
      <c r="AEV29" s="93"/>
      <c r="AEW29" s="93"/>
      <c r="AEX29" s="93"/>
      <c r="AEY29" s="93"/>
      <c r="AEZ29" s="93"/>
      <c r="AFA29" s="93"/>
      <c r="AFB29" s="93"/>
      <c r="AFC29" s="93"/>
      <c r="AFD29" s="93"/>
      <c r="AFE29" s="93"/>
      <c r="AFF29" s="93"/>
      <c r="AFG29" s="93"/>
      <c r="AFH29" s="93"/>
      <c r="AFI29" s="93"/>
      <c r="AFJ29" s="93"/>
      <c r="AFK29" s="93"/>
      <c r="AFL29" s="93"/>
      <c r="AFM29" s="93"/>
      <c r="AFN29" s="93"/>
      <c r="AFO29" s="93"/>
      <c r="AFP29" s="93"/>
      <c r="AFQ29" s="93"/>
      <c r="AFR29" s="93"/>
      <c r="AFS29" s="93"/>
      <c r="AFT29" s="93"/>
      <c r="AFU29" s="93"/>
      <c r="AFV29" s="93"/>
      <c r="AFW29" s="93"/>
      <c r="AFX29" s="93"/>
      <c r="AFY29" s="93"/>
      <c r="AFZ29" s="93"/>
      <c r="AGA29" s="93"/>
      <c r="AGB29" s="93"/>
      <c r="AGC29" s="93"/>
      <c r="AGD29" s="93"/>
      <c r="AGE29" s="93"/>
      <c r="AGF29" s="93"/>
      <c r="AGG29" s="93"/>
      <c r="AGH29" s="93"/>
      <c r="AGI29" s="93"/>
      <c r="AGJ29" s="93"/>
      <c r="AGK29" s="93"/>
      <c r="AGL29" s="93"/>
      <c r="AGM29" s="93"/>
      <c r="AGN29" s="93"/>
      <c r="AGO29" s="93"/>
      <c r="AGP29" s="93"/>
      <c r="AGQ29" s="93"/>
      <c r="AGR29" s="93"/>
      <c r="AGS29" s="93"/>
      <c r="AGT29" s="93"/>
      <c r="AGU29" s="93"/>
      <c r="AGV29" s="93"/>
      <c r="AGW29" s="93"/>
      <c r="AGX29" s="93"/>
      <c r="AGY29" s="93"/>
      <c r="AGZ29" s="93"/>
      <c r="AHA29" s="93"/>
      <c r="AHB29" s="93"/>
      <c r="AHC29" s="93"/>
      <c r="AHD29" s="93"/>
      <c r="AHE29" s="93"/>
      <c r="AHF29" s="93"/>
      <c r="AHG29" s="93"/>
      <c r="AHH29" s="93"/>
      <c r="AHI29" s="93"/>
      <c r="AHJ29" s="93"/>
      <c r="AHK29" s="93"/>
      <c r="AHL29" s="93"/>
      <c r="AHM29" s="93"/>
      <c r="AHN29" s="93"/>
      <c r="AHO29" s="93"/>
      <c r="AHP29" s="93"/>
      <c r="AHQ29" s="93"/>
      <c r="AHR29" s="93"/>
      <c r="AHS29" s="93"/>
      <c r="AHT29" s="93"/>
      <c r="AHU29" s="93"/>
      <c r="AHV29" s="93"/>
      <c r="AHW29" s="93"/>
      <c r="AHX29" s="93"/>
      <c r="AHY29" s="93"/>
      <c r="AHZ29" s="93"/>
      <c r="AIA29" s="93"/>
      <c r="AIB29" s="93"/>
      <c r="AIC29" s="93"/>
      <c r="AID29" s="93"/>
      <c r="AIE29" s="93"/>
      <c r="AIF29" s="93"/>
      <c r="AIG29" s="93"/>
      <c r="AIH29" s="93"/>
      <c r="AII29" s="93"/>
      <c r="AIJ29" s="93"/>
      <c r="AIK29" s="93"/>
      <c r="AIL29" s="93"/>
      <c r="AIM29" s="93"/>
      <c r="AIN29" s="93"/>
      <c r="AIO29" s="93"/>
      <c r="AIP29" s="93"/>
      <c r="AIQ29" s="93"/>
      <c r="AIR29" s="93"/>
      <c r="AIS29" s="93"/>
      <c r="AIT29" s="93"/>
      <c r="AIU29" s="93"/>
      <c r="AIV29" s="93"/>
      <c r="AIW29" s="93"/>
      <c r="AIX29" s="93"/>
      <c r="AIY29" s="93"/>
      <c r="AIZ29" s="93"/>
      <c r="AJA29" s="93"/>
      <c r="AJB29" s="93"/>
      <c r="AJC29" s="93"/>
      <c r="AJD29" s="93"/>
      <c r="AJE29" s="93"/>
      <c r="AJF29" s="93"/>
      <c r="AJG29" s="93"/>
      <c r="AJH29" s="93"/>
      <c r="AJI29" s="93"/>
      <c r="AJJ29" s="93"/>
      <c r="AJK29" s="93"/>
      <c r="AJL29" s="93"/>
      <c r="AJM29" s="93"/>
      <c r="AJN29" s="93"/>
      <c r="AJO29" s="93"/>
      <c r="AJP29" s="93"/>
      <c r="AJQ29" s="93"/>
      <c r="AJR29" s="93"/>
      <c r="AJS29" s="93"/>
      <c r="AJT29" s="93"/>
      <c r="AJU29" s="93"/>
      <c r="AJV29" s="93"/>
      <c r="AJW29" s="93"/>
      <c r="AJX29" s="93"/>
      <c r="AJY29" s="93"/>
      <c r="AJZ29" s="93"/>
      <c r="AKA29" s="93"/>
      <c r="AKB29" s="93"/>
      <c r="AKC29" s="93"/>
      <c r="AKD29" s="93"/>
      <c r="AKE29" s="93"/>
      <c r="AKF29" s="93"/>
      <c r="AKG29" s="93"/>
      <c r="AKH29" s="93"/>
      <c r="AKI29" s="93"/>
      <c r="AKJ29" s="93"/>
      <c r="AKK29" s="93"/>
      <c r="AKL29" s="93"/>
      <c r="AKM29" s="93"/>
      <c r="AKN29" s="93"/>
      <c r="AKO29" s="93"/>
      <c r="AKP29" s="93"/>
      <c r="AKQ29" s="93"/>
      <c r="AKR29" s="93"/>
      <c r="AKS29" s="93"/>
      <c r="AKT29" s="93"/>
      <c r="AKU29" s="93"/>
      <c r="AKV29" s="93"/>
      <c r="AKW29" s="93"/>
      <c r="AKX29" s="93"/>
      <c r="AKY29" s="93"/>
      <c r="AKZ29" s="93"/>
      <c r="ALA29" s="93"/>
      <c r="ALB29" s="93"/>
      <c r="ALC29" s="93"/>
      <c r="ALD29" s="93"/>
      <c r="ALE29" s="93"/>
      <c r="ALF29" s="93"/>
      <c r="ALG29" s="93"/>
      <c r="ALH29" s="93"/>
      <c r="ALI29" s="93"/>
      <c r="ALJ29" s="93"/>
      <c r="ALK29" s="93"/>
      <c r="ALL29" s="93"/>
      <c r="ALM29" s="93"/>
      <c r="ALN29" s="93"/>
      <c r="ALO29" s="93"/>
      <c r="ALP29" s="93"/>
      <c r="ALQ29" s="93"/>
      <c r="ALR29" s="93"/>
      <c r="ALS29" s="93"/>
      <c r="ALT29" s="93"/>
      <c r="ALU29" s="93"/>
      <c r="ALV29" s="93"/>
      <c r="ALW29" s="93"/>
      <c r="ALX29" s="93"/>
      <c r="ALY29" s="93"/>
      <c r="ALZ29" s="93"/>
      <c r="AMA29" s="93"/>
      <c r="AMB29" s="93"/>
      <c r="AMC29" s="93"/>
      <c r="AMD29" s="93"/>
      <c r="AME29" s="93"/>
      <c r="AMF29" s="93"/>
      <c r="AMG29" s="93"/>
      <c r="AMH29" s="93"/>
      <c r="AMI29" s="93"/>
      <c r="AMJ29" s="93"/>
      <c r="AMK29" s="93"/>
      <c r="AML29" s="93"/>
      <c r="AMM29" s="93"/>
      <c r="AMN29" s="93"/>
      <c r="AMO29" s="93"/>
      <c r="AMP29" s="93"/>
      <c r="AMQ29" s="93"/>
      <c r="AMR29" s="93"/>
      <c r="AMS29" s="93"/>
      <c r="AMT29" s="93"/>
      <c r="AMU29" s="93"/>
      <c r="AMV29" s="93"/>
      <c r="AMW29" s="93"/>
      <c r="AMX29" s="93"/>
      <c r="AMY29" s="93"/>
      <c r="AMZ29" s="93"/>
      <c r="ANA29" s="93"/>
      <c r="ANB29" s="93"/>
      <c r="ANC29" s="93"/>
      <c r="AND29" s="93"/>
      <c r="ANE29" s="93"/>
      <c r="ANF29" s="93"/>
      <c r="ANG29" s="93"/>
      <c r="ANH29" s="93"/>
      <c r="ANI29" s="93"/>
      <c r="ANJ29" s="93"/>
      <c r="ANK29" s="93"/>
      <c r="ANL29" s="93"/>
      <c r="ANM29" s="93"/>
      <c r="ANN29" s="93"/>
      <c r="ANO29" s="93"/>
      <c r="ANP29" s="93"/>
      <c r="ANQ29" s="93"/>
      <c r="ANR29" s="93"/>
      <c r="ANS29" s="93"/>
      <c r="ANT29" s="93"/>
      <c r="ANU29" s="93"/>
      <c r="ANV29" s="93"/>
      <c r="ANW29" s="93"/>
      <c r="ANX29" s="93"/>
      <c r="ANY29" s="93"/>
      <c r="ANZ29" s="93"/>
      <c r="AOA29" s="93"/>
      <c r="AOB29" s="93"/>
      <c r="AOC29" s="93"/>
      <c r="AOD29" s="93"/>
      <c r="AOE29" s="93"/>
      <c r="AOF29" s="93"/>
      <c r="AOG29" s="93"/>
      <c r="AOH29" s="93"/>
      <c r="AOI29" s="93"/>
      <c r="AOJ29" s="93"/>
      <c r="AOK29" s="93"/>
      <c r="AOL29" s="93"/>
      <c r="AOM29" s="93"/>
      <c r="AON29" s="93"/>
      <c r="AOO29" s="93"/>
      <c r="AOP29" s="93"/>
      <c r="AOQ29" s="93"/>
      <c r="AOR29" s="93"/>
      <c r="AOS29" s="93"/>
      <c r="AOT29" s="93"/>
      <c r="AOU29" s="93"/>
      <c r="AOV29" s="93"/>
      <c r="AOW29" s="93"/>
      <c r="AOX29" s="93"/>
      <c r="AOY29" s="93"/>
      <c r="AOZ29" s="93"/>
      <c r="APA29" s="93"/>
      <c r="APB29" s="93"/>
      <c r="APC29" s="93"/>
      <c r="APD29" s="93"/>
      <c r="APE29" s="93"/>
      <c r="APF29" s="93"/>
      <c r="APG29" s="93"/>
      <c r="APH29" s="93"/>
      <c r="API29" s="93"/>
      <c r="APJ29" s="93"/>
      <c r="APK29" s="93"/>
      <c r="APL29" s="93"/>
      <c r="APM29" s="93"/>
      <c r="APN29" s="93"/>
      <c r="APO29" s="93"/>
      <c r="APP29" s="93"/>
      <c r="APQ29" s="93"/>
      <c r="APR29" s="93"/>
      <c r="APS29" s="93"/>
      <c r="APT29" s="93"/>
      <c r="APU29" s="93"/>
      <c r="APV29" s="93"/>
      <c r="APW29" s="93"/>
      <c r="APX29" s="93"/>
      <c r="APY29" s="93"/>
      <c r="APZ29" s="93"/>
      <c r="AQA29" s="93"/>
      <c r="AQB29" s="93"/>
      <c r="AQC29" s="93"/>
      <c r="AQD29" s="93"/>
      <c r="AQE29" s="93"/>
      <c r="AQF29" s="93"/>
      <c r="AQG29" s="93"/>
      <c r="AQH29" s="93"/>
      <c r="AQI29" s="93"/>
      <c r="AQJ29" s="93"/>
      <c r="AQK29" s="93"/>
      <c r="AQL29" s="93"/>
      <c r="AQM29" s="93"/>
      <c r="AQN29" s="93"/>
      <c r="AQO29" s="93"/>
      <c r="AQP29" s="93"/>
      <c r="AQQ29" s="93"/>
      <c r="AQR29" s="93"/>
      <c r="AQS29" s="93"/>
      <c r="AQT29" s="93"/>
      <c r="AQU29" s="93"/>
      <c r="AQV29" s="93"/>
      <c r="AQW29" s="93"/>
      <c r="AQX29" s="93"/>
      <c r="AQY29" s="93"/>
      <c r="AQZ29" s="93"/>
      <c r="ARA29" s="93"/>
      <c r="ARB29" s="93"/>
      <c r="ARC29" s="93"/>
      <c r="ARD29" s="93"/>
      <c r="ARE29" s="93"/>
      <c r="ARF29" s="93"/>
      <c r="ARG29" s="93"/>
      <c r="ARH29" s="93"/>
      <c r="ARI29" s="93"/>
      <c r="ARJ29" s="93"/>
      <c r="ARK29" s="93"/>
      <c r="ARL29" s="93"/>
      <c r="ARM29" s="93"/>
      <c r="ARN29" s="93"/>
      <c r="ARO29" s="93"/>
      <c r="ARP29" s="93"/>
      <c r="ARQ29" s="93"/>
      <c r="ARR29" s="93"/>
      <c r="ARS29" s="93"/>
      <c r="ART29" s="93"/>
      <c r="ARU29" s="93"/>
      <c r="ARV29" s="93"/>
      <c r="ARW29" s="93"/>
      <c r="ARX29" s="93"/>
      <c r="ARY29" s="93"/>
      <c r="ARZ29" s="93"/>
      <c r="ASA29" s="93"/>
      <c r="ASB29" s="93"/>
      <c r="ASC29" s="93"/>
      <c r="ASD29" s="93"/>
      <c r="ASE29" s="93"/>
      <c r="ASF29" s="93"/>
      <c r="ASG29" s="93"/>
      <c r="ASH29" s="93"/>
      <c r="ASI29" s="93"/>
      <c r="ASJ29" s="93"/>
      <c r="ASK29" s="93"/>
      <c r="ASL29" s="93"/>
      <c r="ASM29" s="93"/>
      <c r="ASN29" s="93"/>
      <c r="ASO29" s="93"/>
      <c r="ASP29" s="93"/>
      <c r="ASQ29" s="93"/>
      <c r="ASR29" s="93"/>
      <c r="ASS29" s="93"/>
      <c r="AST29" s="93"/>
      <c r="ASU29" s="93"/>
      <c r="ASV29" s="93"/>
      <c r="ASW29" s="93"/>
      <c r="ASX29" s="93"/>
      <c r="ASY29" s="93"/>
      <c r="ASZ29" s="93"/>
      <c r="ATA29" s="93"/>
      <c r="ATB29" s="93"/>
      <c r="ATC29" s="93"/>
      <c r="ATD29" s="93"/>
      <c r="ATE29" s="93"/>
      <c r="ATF29" s="93"/>
      <c r="ATG29" s="93"/>
      <c r="ATH29" s="93"/>
      <c r="ATI29" s="93"/>
      <c r="ATJ29" s="93"/>
      <c r="ATK29" s="93"/>
      <c r="ATL29" s="93"/>
      <c r="ATM29" s="93"/>
      <c r="ATN29" s="93"/>
      <c r="ATO29" s="93"/>
      <c r="ATP29" s="93"/>
      <c r="ATQ29" s="93"/>
      <c r="ATR29" s="93"/>
      <c r="ATS29" s="93"/>
      <c r="ATT29" s="93"/>
      <c r="ATU29" s="93"/>
      <c r="ATV29" s="93"/>
      <c r="ATW29" s="93"/>
      <c r="ATX29" s="93"/>
      <c r="ATY29" s="93"/>
      <c r="ATZ29" s="93"/>
      <c r="AUA29" s="93"/>
      <c r="AUB29" s="93"/>
      <c r="AUC29" s="93"/>
      <c r="AUD29" s="93"/>
      <c r="AUE29" s="93"/>
      <c r="AUF29" s="93"/>
      <c r="AUG29" s="93"/>
      <c r="AUH29" s="93"/>
      <c r="AUI29" s="93"/>
      <c r="AUJ29" s="93"/>
      <c r="AUK29" s="93"/>
      <c r="AUL29" s="93"/>
      <c r="AUM29" s="93"/>
      <c r="AUN29" s="93"/>
      <c r="AUO29" s="93"/>
      <c r="AUP29" s="93"/>
      <c r="AUQ29" s="93"/>
      <c r="AUR29" s="93"/>
      <c r="AUS29" s="93"/>
      <c r="AUT29" s="93"/>
      <c r="AUU29" s="93"/>
      <c r="AUV29" s="93"/>
      <c r="AUW29" s="93"/>
      <c r="AUX29" s="93"/>
      <c r="AUY29" s="93"/>
      <c r="AUZ29" s="93"/>
      <c r="AVA29" s="93"/>
      <c r="AVB29" s="93"/>
      <c r="AVC29" s="93"/>
      <c r="AVD29" s="93"/>
      <c r="AVE29" s="93"/>
      <c r="AVF29" s="93"/>
      <c r="AVG29" s="93"/>
      <c r="AVH29" s="93"/>
      <c r="AVI29" s="93"/>
      <c r="AVJ29" s="93"/>
      <c r="AVK29" s="93"/>
      <c r="AVL29" s="93"/>
      <c r="AVM29" s="93"/>
      <c r="AVN29" s="93"/>
      <c r="AVO29" s="93"/>
      <c r="AVP29" s="93"/>
      <c r="AVQ29" s="93"/>
      <c r="AVR29" s="93"/>
      <c r="AVS29" s="93"/>
      <c r="AVT29" s="93"/>
      <c r="AVU29" s="93"/>
      <c r="AVV29" s="93"/>
      <c r="AVW29" s="93"/>
      <c r="AVX29" s="93"/>
      <c r="AVY29" s="93"/>
      <c r="AVZ29" s="93"/>
      <c r="AWA29" s="93"/>
      <c r="AWB29" s="93"/>
      <c r="AWC29" s="93"/>
      <c r="AWD29" s="93"/>
      <c r="AWE29" s="93"/>
      <c r="AWF29" s="93"/>
      <c r="AWG29" s="93"/>
      <c r="AWH29" s="93"/>
      <c r="AWI29" s="93"/>
      <c r="AWJ29" s="93"/>
      <c r="AWK29" s="93"/>
      <c r="AWL29" s="93"/>
      <c r="AWM29" s="93"/>
      <c r="AWN29" s="93"/>
      <c r="AWO29" s="93"/>
      <c r="AWP29" s="93"/>
      <c r="AWQ29" s="93"/>
      <c r="AWR29" s="93"/>
      <c r="AWS29" s="93"/>
      <c r="AWT29" s="93"/>
      <c r="AWU29" s="93"/>
      <c r="AWV29" s="93"/>
      <c r="AWW29" s="93"/>
      <c r="AWX29" s="93"/>
      <c r="AWY29" s="93"/>
      <c r="AWZ29" s="93"/>
      <c r="AXA29" s="93"/>
      <c r="AXB29" s="93"/>
      <c r="AXC29" s="93"/>
      <c r="AXD29" s="93"/>
      <c r="AXE29" s="93"/>
      <c r="AXF29" s="93"/>
      <c r="AXG29" s="93"/>
      <c r="AXH29" s="93"/>
      <c r="AXI29" s="93"/>
      <c r="AXJ29" s="93"/>
      <c r="AXK29" s="93"/>
      <c r="AXL29" s="93"/>
      <c r="AXM29" s="93"/>
      <c r="AXN29" s="93"/>
      <c r="AXO29" s="93"/>
      <c r="AXP29" s="93"/>
      <c r="AXQ29" s="93"/>
      <c r="AXR29" s="93"/>
      <c r="AXS29" s="93"/>
      <c r="AXT29" s="93"/>
      <c r="AXU29" s="93"/>
      <c r="AXV29" s="93"/>
      <c r="AXW29" s="93"/>
      <c r="AXX29" s="93"/>
      <c r="AXY29" s="93"/>
      <c r="AXZ29" s="93"/>
      <c r="AYA29" s="93"/>
      <c r="AYB29" s="93"/>
      <c r="AYC29" s="93"/>
      <c r="AYD29" s="93"/>
      <c r="AYE29" s="93"/>
      <c r="AYF29" s="93"/>
      <c r="AYG29" s="93"/>
      <c r="AYH29" s="93"/>
      <c r="AYI29" s="93"/>
      <c r="AYJ29" s="93"/>
      <c r="AYK29" s="93"/>
      <c r="AYL29" s="93"/>
      <c r="AYM29" s="93"/>
      <c r="AYN29" s="93"/>
      <c r="AYO29" s="93"/>
      <c r="AYP29" s="93"/>
      <c r="AYQ29" s="93"/>
      <c r="AYR29" s="93"/>
      <c r="AYS29" s="93"/>
      <c r="AYT29" s="93"/>
      <c r="AYU29" s="93"/>
      <c r="AYV29" s="93"/>
      <c r="AYW29" s="93"/>
      <c r="AYX29" s="93"/>
      <c r="AYY29" s="93"/>
      <c r="AYZ29" s="93"/>
      <c r="AZA29" s="93"/>
      <c r="AZB29" s="93"/>
      <c r="AZC29" s="93"/>
      <c r="AZD29" s="93"/>
      <c r="AZE29" s="93"/>
      <c r="AZF29" s="93"/>
      <c r="AZG29" s="93"/>
      <c r="AZH29" s="93"/>
      <c r="AZI29" s="93"/>
      <c r="AZJ29" s="93"/>
      <c r="AZK29" s="93"/>
      <c r="AZL29" s="93"/>
      <c r="AZM29" s="93"/>
      <c r="AZN29" s="93"/>
      <c r="AZO29" s="93"/>
      <c r="AZP29" s="93"/>
      <c r="AZQ29" s="93"/>
      <c r="AZR29" s="93"/>
      <c r="AZS29" s="93"/>
      <c r="AZT29" s="93"/>
      <c r="AZU29" s="93"/>
      <c r="AZV29" s="93"/>
      <c r="AZW29" s="93"/>
      <c r="AZX29" s="93"/>
      <c r="AZY29" s="93"/>
      <c r="AZZ29" s="93"/>
      <c r="BAA29" s="93"/>
      <c r="BAB29" s="93"/>
      <c r="BAC29" s="93"/>
      <c r="BAD29" s="93"/>
      <c r="BAE29" s="93"/>
      <c r="BAF29" s="93"/>
      <c r="BAG29" s="93"/>
      <c r="BAH29" s="93"/>
      <c r="BAI29" s="93"/>
      <c r="BAJ29" s="93"/>
      <c r="BAK29" s="93"/>
      <c r="BAL29" s="93"/>
      <c r="BAM29" s="93"/>
      <c r="BAN29" s="93"/>
      <c r="BAO29" s="93"/>
      <c r="BAP29" s="93"/>
      <c r="BAQ29" s="93"/>
      <c r="BAR29" s="93"/>
      <c r="BAS29" s="93"/>
      <c r="BAT29" s="93"/>
      <c r="BAU29" s="93"/>
      <c r="BAV29" s="93"/>
      <c r="BAW29" s="93"/>
      <c r="BAX29" s="93"/>
      <c r="BAY29" s="93"/>
      <c r="BAZ29" s="93"/>
      <c r="BBA29" s="93"/>
      <c r="BBB29" s="93"/>
      <c r="BBC29" s="93"/>
      <c r="BBD29" s="93"/>
      <c r="BBE29" s="93"/>
      <c r="BBF29" s="93"/>
      <c r="BBG29" s="93"/>
      <c r="BBH29" s="93"/>
      <c r="BBI29" s="93"/>
      <c r="BBJ29" s="93"/>
      <c r="BBK29" s="93"/>
      <c r="BBL29" s="93"/>
      <c r="BBM29" s="93"/>
      <c r="BBN29" s="93"/>
      <c r="BBO29" s="93"/>
      <c r="BBP29" s="93"/>
      <c r="BBQ29" s="93"/>
      <c r="BBR29" s="93"/>
      <c r="BBS29" s="93"/>
      <c r="BBT29" s="93"/>
      <c r="BBU29" s="93"/>
      <c r="BBV29" s="93"/>
      <c r="BBW29" s="93"/>
      <c r="BBX29" s="93"/>
      <c r="BBY29" s="93"/>
      <c r="BBZ29" s="93"/>
      <c r="BCA29" s="93"/>
      <c r="BCB29" s="93"/>
      <c r="BCC29" s="93"/>
      <c r="BCD29" s="93"/>
      <c r="BCE29" s="93"/>
      <c r="BCF29" s="93"/>
      <c r="BCG29" s="93"/>
      <c r="BCH29" s="93"/>
      <c r="BCI29" s="93"/>
      <c r="BCJ29" s="93"/>
      <c r="BCK29" s="93"/>
      <c r="BCL29" s="93"/>
      <c r="BCM29" s="93"/>
      <c r="BCN29" s="93"/>
      <c r="BCO29" s="93"/>
      <c r="BCP29" s="93"/>
      <c r="BCQ29" s="93"/>
      <c r="BCR29" s="93"/>
      <c r="BCS29" s="93"/>
      <c r="BCT29" s="93"/>
      <c r="BCU29" s="93"/>
      <c r="BCV29" s="93"/>
      <c r="BCW29" s="93"/>
      <c r="BCX29" s="93"/>
      <c r="BCY29" s="93"/>
      <c r="BCZ29" s="93"/>
      <c r="BDA29" s="93"/>
      <c r="BDB29" s="93"/>
      <c r="BDC29" s="93"/>
      <c r="BDD29" s="93"/>
      <c r="BDE29" s="93"/>
      <c r="BDF29" s="93"/>
      <c r="BDG29" s="93"/>
      <c r="BDH29" s="93"/>
      <c r="BDI29" s="93"/>
      <c r="BDJ29" s="93"/>
      <c r="BDK29" s="93"/>
      <c r="BDL29" s="93"/>
      <c r="BDM29" s="93"/>
      <c r="BDN29" s="93"/>
      <c r="BDO29" s="93"/>
      <c r="BDP29" s="93"/>
      <c r="BDQ29" s="93"/>
      <c r="BDR29" s="93"/>
      <c r="BDS29" s="93"/>
      <c r="BDT29" s="93"/>
      <c r="BDU29" s="93"/>
      <c r="BDV29" s="93"/>
      <c r="BDW29" s="93"/>
      <c r="BDX29" s="93"/>
      <c r="BDY29" s="93"/>
      <c r="BDZ29" s="93"/>
      <c r="BEA29" s="93"/>
      <c r="BEB29" s="93"/>
      <c r="BEC29" s="93"/>
      <c r="BED29" s="93"/>
      <c r="BEE29" s="93"/>
      <c r="BEF29" s="93"/>
      <c r="BEG29" s="93"/>
      <c r="BEH29" s="93"/>
      <c r="BEI29" s="93"/>
      <c r="BEJ29" s="93"/>
      <c r="BEK29" s="93"/>
      <c r="BEL29" s="93"/>
      <c r="BEM29" s="93"/>
      <c r="BEN29" s="93"/>
      <c r="BEO29" s="93"/>
      <c r="BEP29" s="93"/>
      <c r="BEQ29" s="93"/>
      <c r="BER29" s="93"/>
      <c r="BES29" s="93"/>
      <c r="BET29" s="93"/>
      <c r="BEU29" s="93"/>
      <c r="BEV29" s="93"/>
      <c r="BEW29" s="93"/>
      <c r="BEX29" s="93"/>
      <c r="BEY29" s="93"/>
      <c r="BEZ29" s="93"/>
      <c r="BFA29" s="93"/>
      <c r="BFB29" s="93"/>
      <c r="BFC29" s="93"/>
      <c r="BFD29" s="93"/>
      <c r="BFE29" s="93"/>
      <c r="BFF29" s="93"/>
      <c r="BFG29" s="93"/>
      <c r="BFH29" s="93"/>
      <c r="BFI29" s="93"/>
      <c r="BFJ29" s="93"/>
      <c r="BFK29" s="93"/>
      <c r="BFL29" s="93"/>
      <c r="BFM29" s="93"/>
      <c r="BFN29" s="93"/>
      <c r="BFO29" s="93"/>
      <c r="BFP29" s="93"/>
      <c r="BFQ29" s="93"/>
      <c r="BFR29" s="93"/>
      <c r="BFS29" s="93"/>
      <c r="BFT29" s="93"/>
      <c r="BFU29" s="93"/>
      <c r="BFV29" s="93"/>
      <c r="BFW29" s="93"/>
      <c r="BFX29" s="93"/>
      <c r="BFY29" s="93"/>
      <c r="BFZ29" s="93"/>
      <c r="BGA29" s="93"/>
      <c r="BGB29" s="93"/>
      <c r="BGC29" s="93"/>
      <c r="BGD29" s="93"/>
      <c r="BGE29" s="93"/>
      <c r="BGF29" s="93"/>
      <c r="BGG29" s="93"/>
      <c r="BGH29" s="93"/>
      <c r="BGI29" s="93"/>
      <c r="BGJ29" s="93"/>
      <c r="BGK29" s="93"/>
      <c r="BGL29" s="93"/>
      <c r="BGM29" s="93"/>
      <c r="BGN29" s="93"/>
      <c r="BGO29" s="93"/>
      <c r="BGP29" s="93"/>
      <c r="BGQ29" s="93"/>
      <c r="BGR29" s="93"/>
      <c r="BGS29" s="93"/>
      <c r="BGT29" s="93"/>
      <c r="BGU29" s="93"/>
      <c r="BGV29" s="93"/>
      <c r="BGW29" s="93"/>
      <c r="BGX29" s="93"/>
      <c r="BGY29" s="93"/>
      <c r="BGZ29" s="93"/>
      <c r="BHA29" s="93"/>
      <c r="BHB29" s="93"/>
      <c r="BHC29" s="93"/>
      <c r="BHD29" s="93"/>
      <c r="BHE29" s="93"/>
      <c r="BHF29" s="93"/>
      <c r="BHG29" s="93"/>
      <c r="BHH29" s="93"/>
      <c r="BHI29" s="93"/>
      <c r="BHJ29" s="93"/>
      <c r="BHK29" s="93"/>
      <c r="BHL29" s="93"/>
      <c r="BHM29" s="93"/>
      <c r="BHN29" s="93"/>
      <c r="BHO29" s="93"/>
      <c r="BHP29" s="93"/>
      <c r="BHQ29" s="93"/>
      <c r="BHR29" s="93"/>
      <c r="BHS29" s="93"/>
    </row>
    <row r="30" spans="1:1579" s="50" customFormat="1" hidden="1" x14ac:dyDescent="0.25">
      <c r="A30" s="86"/>
      <c r="B30" s="48" t="s">
        <v>1178</v>
      </c>
      <c r="C30" s="1273" t="s">
        <v>1179</v>
      </c>
      <c r="D30" s="1274"/>
      <c r="E30" s="73" t="s">
        <v>1066</v>
      </c>
      <c r="F30" s="74">
        <v>10</v>
      </c>
      <c r="G30" s="101">
        <v>28.43</v>
      </c>
      <c r="H30" s="182">
        <f t="shared" si="3"/>
        <v>284.3</v>
      </c>
      <c r="I30" s="550">
        <f t="shared" si="0"/>
        <v>0.25168114875567449</v>
      </c>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row>
    <row r="31" spans="1:1579" s="50" customFormat="1" hidden="1" x14ac:dyDescent="0.25">
      <c r="A31" s="86"/>
      <c r="B31" s="48" t="s">
        <v>1180</v>
      </c>
      <c r="C31" s="1273" t="s">
        <v>1181</v>
      </c>
      <c r="D31" s="1274"/>
      <c r="E31" s="73" t="s">
        <v>1066</v>
      </c>
      <c r="F31" s="74">
        <v>10</v>
      </c>
      <c r="G31" s="101">
        <v>27.12</v>
      </c>
      <c r="H31" s="182">
        <f t="shared" si="3"/>
        <v>271.2</v>
      </c>
      <c r="I31" s="550">
        <f t="shared" si="0"/>
        <v>0.24008416300576474</v>
      </c>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row>
    <row r="32" spans="1:1579" s="50" customFormat="1" hidden="1" x14ac:dyDescent="0.25">
      <c r="A32" s="86"/>
      <c r="B32" s="48" t="s">
        <v>1182</v>
      </c>
      <c r="C32" s="1273" t="s">
        <v>1183</v>
      </c>
      <c r="D32" s="1274"/>
      <c r="E32" s="73" t="s">
        <v>1144</v>
      </c>
      <c r="F32" s="74">
        <v>39</v>
      </c>
      <c r="G32" s="101">
        <v>27.12</v>
      </c>
      <c r="H32" s="182">
        <f t="shared" si="3"/>
        <v>1057.68</v>
      </c>
      <c r="I32" s="550">
        <f t="shared" si="0"/>
        <v>0.93632823572248247</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row>
    <row r="33" spans="1:1579" s="50" customFormat="1" hidden="1" x14ac:dyDescent="0.25">
      <c r="A33" s="86"/>
      <c r="B33" s="48" t="s">
        <v>1184</v>
      </c>
      <c r="C33" s="1273" t="s">
        <v>1185</v>
      </c>
      <c r="D33" s="1274"/>
      <c r="E33" s="73" t="s">
        <v>1066</v>
      </c>
      <c r="F33" s="74">
        <v>39</v>
      </c>
      <c r="G33" s="101">
        <v>57.709999999999994</v>
      </c>
      <c r="H33" s="182">
        <f t="shared" si="3"/>
        <v>2250.6899999999996</v>
      </c>
      <c r="I33" s="550">
        <f t="shared" si="0"/>
        <v>1.9924595311041466</v>
      </c>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row>
    <row r="34" spans="1:1579" s="50" customFormat="1" hidden="1" x14ac:dyDescent="0.25">
      <c r="A34" s="86"/>
      <c r="B34" s="48" t="s">
        <v>1186</v>
      </c>
      <c r="C34" s="1273" t="s">
        <v>1187</v>
      </c>
      <c r="D34" s="1274"/>
      <c r="E34" s="73" t="s">
        <v>1066</v>
      </c>
      <c r="F34" s="74">
        <v>1</v>
      </c>
      <c r="G34" s="101">
        <v>1155.46</v>
      </c>
      <c r="H34" s="182">
        <f t="shared" si="3"/>
        <v>1155.46</v>
      </c>
      <c r="I34" s="550">
        <f t="shared" si="0"/>
        <v>1.0228895537855491</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row>
    <row r="35" spans="1:1579" s="50" customFormat="1" hidden="1" x14ac:dyDescent="0.25">
      <c r="A35" s="86"/>
      <c r="B35" s="48" t="s">
        <v>1188</v>
      </c>
      <c r="C35" s="1273" t="s">
        <v>1189</v>
      </c>
      <c r="D35" s="1274"/>
      <c r="E35" s="73" t="s">
        <v>1144</v>
      </c>
      <c r="F35" s="74">
        <v>1</v>
      </c>
      <c r="G35" s="101">
        <v>27.12</v>
      </c>
      <c r="H35" s="182">
        <f t="shared" si="3"/>
        <v>27.12</v>
      </c>
      <c r="I35" s="550">
        <f t="shared" si="0"/>
        <v>2.4008416300576475E-2</v>
      </c>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row>
    <row r="36" spans="1:1579" s="50" customFormat="1" hidden="1" x14ac:dyDescent="0.25">
      <c r="A36" s="86"/>
      <c r="B36" s="48" t="s">
        <v>1190</v>
      </c>
      <c r="C36" s="1273" t="s">
        <v>1191</v>
      </c>
      <c r="D36" s="1274"/>
      <c r="E36" s="73" t="s">
        <v>1066</v>
      </c>
      <c r="F36" s="74">
        <v>2</v>
      </c>
      <c r="G36" s="101">
        <v>35.51</v>
      </c>
      <c r="H36" s="182">
        <f t="shared" si="3"/>
        <v>71.02</v>
      </c>
      <c r="I36" s="550">
        <f t="shared" si="0"/>
        <v>6.2871597554090761E-2</v>
      </c>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row>
    <row r="37" spans="1:1579" s="50" customFormat="1" hidden="1" x14ac:dyDescent="0.25">
      <c r="A37" s="86"/>
      <c r="B37" s="48" t="s">
        <v>1192</v>
      </c>
      <c r="C37" s="1273" t="s">
        <v>1193</v>
      </c>
      <c r="D37" s="1274"/>
      <c r="E37" s="73" t="s">
        <v>1066</v>
      </c>
      <c r="F37" s="74">
        <v>43</v>
      </c>
      <c r="G37" s="101">
        <v>41.44</v>
      </c>
      <c r="H37" s="182">
        <f t="shared" si="3"/>
        <v>1781.9199999999998</v>
      </c>
      <c r="I37" s="550">
        <f t="shared" si="0"/>
        <v>1.5774733471358122</v>
      </c>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row>
    <row r="38" spans="1:1579" s="50" customFormat="1" hidden="1" x14ac:dyDescent="0.25">
      <c r="A38" s="86"/>
      <c r="B38" s="48" t="s">
        <v>1194</v>
      </c>
      <c r="C38" s="1273" t="s">
        <v>1195</v>
      </c>
      <c r="D38" s="1274"/>
      <c r="E38" s="73" t="s">
        <v>1144</v>
      </c>
      <c r="F38" s="74">
        <v>43</v>
      </c>
      <c r="G38" s="101">
        <v>27.12</v>
      </c>
      <c r="H38" s="182">
        <f t="shared" si="3"/>
        <v>1166.1600000000001</v>
      </c>
      <c r="I38" s="550">
        <f t="shared" si="0"/>
        <v>1.0323619009247886</v>
      </c>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row>
    <row r="39" spans="1:1579" s="50" customFormat="1" hidden="1" x14ac:dyDescent="0.25">
      <c r="A39" s="86"/>
      <c r="B39" s="48" t="s">
        <v>1196</v>
      </c>
      <c r="C39" s="1273" t="s">
        <v>1197</v>
      </c>
      <c r="D39" s="1274"/>
      <c r="E39" s="73" t="s">
        <v>1066</v>
      </c>
      <c r="F39" s="74">
        <v>9</v>
      </c>
      <c r="G39" s="101">
        <v>49.76</v>
      </c>
      <c r="H39" s="182">
        <f t="shared" si="3"/>
        <v>447.84</v>
      </c>
      <c r="I39" s="550">
        <f t="shared" si="0"/>
        <v>0.39645756475111243</v>
      </c>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row>
    <row r="40" spans="1:1579" s="50" customFormat="1" hidden="1" x14ac:dyDescent="0.25">
      <c r="A40" s="86"/>
      <c r="B40" s="48" t="s">
        <v>1198</v>
      </c>
      <c r="C40" s="1273" t="s">
        <v>1199</v>
      </c>
      <c r="D40" s="1274"/>
      <c r="E40" s="73" t="s">
        <v>1144</v>
      </c>
      <c r="F40" s="74">
        <v>9</v>
      </c>
      <c r="G40" s="101">
        <v>27.12</v>
      </c>
      <c r="H40" s="182">
        <f t="shared" si="3"/>
        <v>244.08</v>
      </c>
      <c r="I40" s="550">
        <f t="shared" si="0"/>
        <v>0.21607574670518828</v>
      </c>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row>
    <row r="41" spans="1:1579" s="50" customFormat="1" hidden="1" x14ac:dyDescent="0.25">
      <c r="A41" s="86"/>
      <c r="B41" s="48" t="s">
        <v>1200</v>
      </c>
      <c r="C41" s="1273" t="s">
        <v>1201</v>
      </c>
      <c r="D41" s="1274"/>
      <c r="E41" s="73" t="s">
        <v>1066</v>
      </c>
      <c r="F41" s="74">
        <v>9</v>
      </c>
      <c r="G41" s="101">
        <v>43.709999999999994</v>
      </c>
      <c r="H41" s="182">
        <f t="shared" si="3"/>
        <v>393.38999999999993</v>
      </c>
      <c r="I41" s="550">
        <f t="shared" si="0"/>
        <v>0.34825482627152571</v>
      </c>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row>
    <row r="42" spans="1:1579" s="50" customFormat="1" hidden="1" x14ac:dyDescent="0.25">
      <c r="A42" s="86"/>
      <c r="B42" s="48" t="s">
        <v>1202</v>
      </c>
      <c r="C42" s="1273" t="s">
        <v>1203</v>
      </c>
      <c r="D42" s="1274"/>
      <c r="E42" s="73" t="s">
        <v>1144</v>
      </c>
      <c r="F42" s="74">
        <v>9</v>
      </c>
      <c r="G42" s="101">
        <v>27.12</v>
      </c>
      <c r="H42" s="182">
        <f t="shared" si="3"/>
        <v>244.08</v>
      </c>
      <c r="I42" s="550">
        <f t="shared" si="0"/>
        <v>0.21607574670518828</v>
      </c>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row>
    <row r="43" spans="1:1579" s="50" customFormat="1" hidden="1" x14ac:dyDescent="0.25">
      <c r="A43" s="86"/>
      <c r="B43" s="48" t="s">
        <v>1204</v>
      </c>
      <c r="C43" s="1273" t="s">
        <v>1205</v>
      </c>
      <c r="D43" s="1274"/>
      <c r="E43" s="73" t="s">
        <v>1066</v>
      </c>
      <c r="F43" s="74">
        <v>3</v>
      </c>
      <c r="G43" s="101">
        <v>127.27000000000001</v>
      </c>
      <c r="H43" s="182">
        <f t="shared" si="3"/>
        <v>381.81000000000006</v>
      </c>
      <c r="I43" s="550">
        <f t="shared" si="0"/>
        <v>0.33800344497504076</v>
      </c>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row>
    <row r="44" spans="1:1579" s="50" customFormat="1" hidden="1" x14ac:dyDescent="0.25">
      <c r="A44" s="86"/>
      <c r="B44" s="48" t="s">
        <v>1206</v>
      </c>
      <c r="C44" s="1273" t="s">
        <v>1207</v>
      </c>
      <c r="D44" s="1274"/>
      <c r="E44" s="73" t="s">
        <v>1066</v>
      </c>
      <c r="F44" s="74">
        <v>1</v>
      </c>
      <c r="G44" s="101">
        <v>72.180000000000007</v>
      </c>
      <c r="H44" s="182">
        <f t="shared" si="3"/>
        <v>72.180000000000007</v>
      </c>
      <c r="I44" s="550">
        <f t="shared" si="0"/>
        <v>6.3898506215914835E-2</v>
      </c>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row>
    <row r="45" spans="1:1579" s="50" customFormat="1" hidden="1" x14ac:dyDescent="0.25">
      <c r="A45" s="86"/>
      <c r="B45" s="48" t="s">
        <v>1208</v>
      </c>
      <c r="C45" s="1273" t="s">
        <v>1209</v>
      </c>
      <c r="D45" s="1274"/>
      <c r="E45" s="73" t="s">
        <v>1066</v>
      </c>
      <c r="F45" s="74">
        <v>2</v>
      </c>
      <c r="G45" s="101">
        <v>30.11</v>
      </c>
      <c r="H45" s="182">
        <f t="shared" si="3"/>
        <v>60.22</v>
      </c>
      <c r="I45" s="550">
        <f t="shared" si="0"/>
        <v>5.3310723806073573E-2</v>
      </c>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row>
    <row r="46" spans="1:1579" s="50" customFormat="1" hidden="1" x14ac:dyDescent="0.25">
      <c r="A46" s="86"/>
      <c r="B46" s="48" t="s">
        <v>1210</v>
      </c>
      <c r="C46" s="1273" t="s">
        <v>1211</v>
      </c>
      <c r="D46" s="1274"/>
      <c r="E46" s="73" t="s">
        <v>1116</v>
      </c>
      <c r="F46" s="74">
        <v>0</v>
      </c>
      <c r="G46" s="101">
        <v>1006.44</v>
      </c>
      <c r="H46" s="182">
        <f t="shared" si="3"/>
        <v>0</v>
      </c>
      <c r="I46" s="550">
        <f t="shared" si="0"/>
        <v>0</v>
      </c>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row>
    <row r="47" spans="1:1579" s="94" customFormat="1" x14ac:dyDescent="0.25">
      <c r="A47" s="89"/>
      <c r="B47" s="68" t="s">
        <v>885</v>
      </c>
      <c r="C47" s="526" t="s">
        <v>968</v>
      </c>
      <c r="D47" s="527"/>
      <c r="E47" s="71"/>
      <c r="F47" s="72"/>
      <c r="G47" s="91"/>
      <c r="H47" s="179">
        <f>SUM(H48:H58)</f>
        <v>21329.929999999997</v>
      </c>
      <c r="I47" s="550">
        <f t="shared" si="0"/>
        <v>18.882663683707783</v>
      </c>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c r="JB47" s="93"/>
      <c r="JC47" s="93"/>
      <c r="JD47" s="93"/>
      <c r="JE47" s="93"/>
      <c r="JF47" s="93"/>
      <c r="JG47" s="93"/>
      <c r="JH47" s="93"/>
      <c r="JI47" s="93"/>
      <c r="JJ47" s="93"/>
      <c r="JK47" s="93"/>
      <c r="JL47" s="93"/>
      <c r="JM47" s="93"/>
      <c r="JN47" s="93"/>
      <c r="JO47" s="93"/>
      <c r="JP47" s="93"/>
      <c r="JQ47" s="93"/>
      <c r="JR47" s="93"/>
      <c r="JS47" s="93"/>
      <c r="JT47" s="93"/>
      <c r="JU47" s="93"/>
      <c r="JV47" s="93"/>
      <c r="JW47" s="93"/>
      <c r="JX47" s="93"/>
      <c r="JY47" s="93"/>
      <c r="JZ47" s="93"/>
      <c r="KA47" s="93"/>
      <c r="KB47" s="93"/>
      <c r="KC47" s="93"/>
      <c r="KD47" s="93"/>
      <c r="KE47" s="93"/>
      <c r="KF47" s="93"/>
      <c r="KG47" s="93"/>
      <c r="KH47" s="93"/>
      <c r="KI47" s="93"/>
      <c r="KJ47" s="93"/>
      <c r="KK47" s="93"/>
      <c r="KL47" s="93"/>
      <c r="KM47" s="93"/>
      <c r="KN47" s="93"/>
      <c r="KO47" s="93"/>
      <c r="KP47" s="93"/>
      <c r="KQ47" s="93"/>
      <c r="KR47" s="93"/>
      <c r="KS47" s="93"/>
      <c r="KT47" s="93"/>
      <c r="KU47" s="93"/>
      <c r="KV47" s="93"/>
      <c r="KW47" s="93"/>
      <c r="KX47" s="93"/>
      <c r="KY47" s="93"/>
      <c r="KZ47" s="93"/>
      <c r="LA47" s="93"/>
      <c r="LB47" s="93"/>
      <c r="LC47" s="93"/>
      <c r="LD47" s="93"/>
      <c r="LE47" s="93"/>
      <c r="LF47" s="93"/>
      <c r="LG47" s="93"/>
      <c r="LH47" s="93"/>
      <c r="LI47" s="93"/>
      <c r="LJ47" s="93"/>
      <c r="LK47" s="93"/>
      <c r="LL47" s="93"/>
      <c r="LM47" s="93"/>
      <c r="LN47" s="93"/>
      <c r="LO47" s="93"/>
      <c r="LP47" s="93"/>
      <c r="LQ47" s="93"/>
      <c r="LR47" s="93"/>
      <c r="LS47" s="93"/>
      <c r="LT47" s="93"/>
      <c r="LU47" s="93"/>
      <c r="LV47" s="93"/>
      <c r="LW47" s="93"/>
      <c r="LX47" s="93"/>
      <c r="LY47" s="93"/>
      <c r="LZ47" s="93"/>
      <c r="MA47" s="93"/>
      <c r="MB47" s="93"/>
      <c r="MC47" s="93"/>
      <c r="MD47" s="93"/>
      <c r="ME47" s="93"/>
      <c r="MF47" s="93"/>
      <c r="MG47" s="93"/>
      <c r="MH47" s="93"/>
      <c r="MI47" s="93"/>
      <c r="MJ47" s="93"/>
      <c r="MK47" s="93"/>
      <c r="ML47" s="93"/>
      <c r="MM47" s="93"/>
      <c r="MN47" s="93"/>
      <c r="MO47" s="93"/>
      <c r="MP47" s="93"/>
      <c r="MQ47" s="93"/>
      <c r="MR47" s="93"/>
      <c r="MS47" s="93"/>
      <c r="MT47" s="93"/>
      <c r="MU47" s="93"/>
      <c r="MV47" s="93"/>
      <c r="MW47" s="93"/>
      <c r="MX47" s="93"/>
      <c r="MY47" s="93"/>
      <c r="MZ47" s="93"/>
      <c r="NA47" s="93"/>
      <c r="NB47" s="93"/>
      <c r="NC47" s="93"/>
      <c r="ND47" s="93"/>
      <c r="NE47" s="93"/>
      <c r="NF47" s="93"/>
      <c r="NG47" s="93"/>
      <c r="NH47" s="93"/>
      <c r="NI47" s="93"/>
      <c r="NJ47" s="93"/>
      <c r="NK47" s="93"/>
      <c r="NL47" s="93"/>
      <c r="NM47" s="93"/>
      <c r="NN47" s="93"/>
      <c r="NO47" s="93"/>
      <c r="NP47" s="93"/>
      <c r="NQ47" s="93"/>
      <c r="NR47" s="93"/>
      <c r="NS47" s="93"/>
      <c r="NT47" s="93"/>
      <c r="NU47" s="93"/>
      <c r="NV47" s="93"/>
      <c r="NW47" s="93"/>
      <c r="NX47" s="93"/>
      <c r="NY47" s="93"/>
      <c r="NZ47" s="93"/>
      <c r="OA47" s="93"/>
      <c r="OB47" s="93"/>
      <c r="OC47" s="93"/>
      <c r="OD47" s="93"/>
      <c r="OE47" s="93"/>
      <c r="OF47" s="93"/>
      <c r="OG47" s="93"/>
      <c r="OH47" s="93"/>
      <c r="OI47" s="93"/>
      <c r="OJ47" s="93"/>
      <c r="OK47" s="93"/>
      <c r="OL47" s="93"/>
      <c r="OM47" s="93"/>
      <c r="ON47" s="93"/>
      <c r="OO47" s="93"/>
      <c r="OP47" s="93"/>
      <c r="OQ47" s="93"/>
      <c r="OR47" s="93"/>
      <c r="OS47" s="93"/>
      <c r="OT47" s="93"/>
      <c r="OU47" s="93"/>
      <c r="OV47" s="93"/>
      <c r="OW47" s="93"/>
      <c r="OX47" s="93"/>
      <c r="OY47" s="93"/>
      <c r="OZ47" s="93"/>
      <c r="PA47" s="93"/>
      <c r="PB47" s="93"/>
      <c r="PC47" s="93"/>
      <c r="PD47" s="93"/>
      <c r="PE47" s="93"/>
      <c r="PF47" s="93"/>
      <c r="PG47" s="93"/>
      <c r="PH47" s="93"/>
      <c r="PI47" s="93"/>
      <c r="PJ47" s="93"/>
      <c r="PK47" s="93"/>
      <c r="PL47" s="93"/>
      <c r="PM47" s="93"/>
      <c r="PN47" s="93"/>
      <c r="PO47" s="93"/>
      <c r="PP47" s="93"/>
      <c r="PQ47" s="93"/>
      <c r="PR47" s="93"/>
      <c r="PS47" s="93"/>
      <c r="PT47" s="93"/>
      <c r="PU47" s="93"/>
      <c r="PV47" s="93"/>
      <c r="PW47" s="93"/>
      <c r="PX47" s="93"/>
      <c r="PY47" s="93"/>
      <c r="PZ47" s="93"/>
      <c r="QA47" s="93"/>
      <c r="QB47" s="93"/>
      <c r="QC47" s="93"/>
      <c r="QD47" s="93"/>
      <c r="QE47" s="93"/>
      <c r="QF47" s="93"/>
      <c r="QG47" s="93"/>
      <c r="QH47" s="93"/>
      <c r="QI47" s="93"/>
      <c r="QJ47" s="93"/>
      <c r="QK47" s="93"/>
      <c r="QL47" s="93"/>
      <c r="QM47" s="93"/>
      <c r="QN47" s="93"/>
      <c r="QO47" s="93"/>
      <c r="QP47" s="93"/>
      <c r="QQ47" s="93"/>
      <c r="QR47" s="93"/>
      <c r="QS47" s="93"/>
      <c r="QT47" s="93"/>
      <c r="QU47" s="93"/>
      <c r="QV47" s="93"/>
      <c r="QW47" s="93"/>
      <c r="QX47" s="93"/>
      <c r="QY47" s="93"/>
      <c r="QZ47" s="93"/>
      <c r="RA47" s="93"/>
      <c r="RB47" s="93"/>
      <c r="RC47" s="93"/>
      <c r="RD47" s="93"/>
      <c r="RE47" s="93"/>
      <c r="RF47" s="93"/>
      <c r="RG47" s="93"/>
      <c r="RH47" s="93"/>
      <c r="RI47" s="93"/>
      <c r="RJ47" s="93"/>
      <c r="RK47" s="93"/>
      <c r="RL47" s="93"/>
      <c r="RM47" s="93"/>
      <c r="RN47" s="93"/>
      <c r="RO47" s="93"/>
      <c r="RP47" s="93"/>
      <c r="RQ47" s="93"/>
      <c r="RR47" s="93"/>
      <c r="RS47" s="93"/>
      <c r="RT47" s="93"/>
      <c r="RU47" s="93"/>
      <c r="RV47" s="93"/>
      <c r="RW47" s="93"/>
      <c r="RX47" s="93"/>
      <c r="RY47" s="93"/>
      <c r="RZ47" s="93"/>
      <c r="SA47" s="93"/>
      <c r="SB47" s="93"/>
      <c r="SC47" s="93"/>
      <c r="SD47" s="93"/>
      <c r="SE47" s="93"/>
      <c r="SF47" s="93"/>
      <c r="SG47" s="93"/>
      <c r="SH47" s="93"/>
      <c r="SI47" s="93"/>
      <c r="SJ47" s="93"/>
      <c r="SK47" s="93"/>
      <c r="SL47" s="93"/>
      <c r="SM47" s="93"/>
      <c r="SN47" s="93"/>
      <c r="SO47" s="93"/>
      <c r="SP47" s="93"/>
      <c r="SQ47" s="93"/>
      <c r="SR47" s="93"/>
      <c r="SS47" s="93"/>
      <c r="ST47" s="93"/>
      <c r="SU47" s="93"/>
      <c r="SV47" s="93"/>
      <c r="SW47" s="93"/>
      <c r="SX47" s="93"/>
      <c r="SY47" s="93"/>
      <c r="SZ47" s="93"/>
      <c r="TA47" s="93"/>
      <c r="TB47" s="93"/>
      <c r="TC47" s="93"/>
      <c r="TD47" s="93"/>
      <c r="TE47" s="93"/>
      <c r="TF47" s="93"/>
      <c r="TG47" s="93"/>
      <c r="TH47" s="93"/>
      <c r="TI47" s="93"/>
      <c r="TJ47" s="93"/>
      <c r="TK47" s="93"/>
      <c r="TL47" s="93"/>
      <c r="TM47" s="93"/>
      <c r="TN47" s="93"/>
      <c r="TO47" s="93"/>
      <c r="TP47" s="93"/>
      <c r="TQ47" s="93"/>
      <c r="TR47" s="93"/>
      <c r="TS47" s="93"/>
      <c r="TT47" s="93"/>
      <c r="TU47" s="93"/>
      <c r="TV47" s="93"/>
      <c r="TW47" s="93"/>
      <c r="TX47" s="93"/>
      <c r="TY47" s="93"/>
      <c r="TZ47" s="93"/>
      <c r="UA47" s="93"/>
      <c r="UB47" s="93"/>
      <c r="UC47" s="93"/>
      <c r="UD47" s="93"/>
      <c r="UE47" s="93"/>
      <c r="UF47" s="93"/>
      <c r="UG47" s="93"/>
      <c r="UH47" s="93"/>
      <c r="UI47" s="93"/>
      <c r="UJ47" s="93"/>
      <c r="UK47" s="93"/>
      <c r="UL47" s="93"/>
      <c r="UM47" s="93"/>
      <c r="UN47" s="93"/>
      <c r="UO47" s="93"/>
      <c r="UP47" s="93"/>
      <c r="UQ47" s="93"/>
      <c r="UR47" s="93"/>
      <c r="US47" s="93"/>
      <c r="UT47" s="93"/>
      <c r="UU47" s="93"/>
      <c r="UV47" s="93"/>
      <c r="UW47" s="93"/>
      <c r="UX47" s="93"/>
      <c r="UY47" s="93"/>
      <c r="UZ47" s="93"/>
      <c r="VA47" s="93"/>
      <c r="VB47" s="93"/>
      <c r="VC47" s="93"/>
      <c r="VD47" s="93"/>
      <c r="VE47" s="93"/>
      <c r="VF47" s="93"/>
      <c r="VG47" s="93"/>
      <c r="VH47" s="93"/>
      <c r="VI47" s="93"/>
      <c r="VJ47" s="93"/>
      <c r="VK47" s="93"/>
      <c r="VL47" s="93"/>
      <c r="VM47" s="93"/>
      <c r="VN47" s="93"/>
      <c r="VO47" s="93"/>
      <c r="VP47" s="93"/>
      <c r="VQ47" s="93"/>
      <c r="VR47" s="93"/>
      <c r="VS47" s="93"/>
      <c r="VT47" s="93"/>
      <c r="VU47" s="93"/>
      <c r="VV47" s="93"/>
      <c r="VW47" s="93"/>
      <c r="VX47" s="93"/>
      <c r="VY47" s="93"/>
      <c r="VZ47" s="93"/>
      <c r="WA47" s="93"/>
      <c r="WB47" s="93"/>
      <c r="WC47" s="93"/>
      <c r="WD47" s="93"/>
      <c r="WE47" s="93"/>
      <c r="WF47" s="93"/>
      <c r="WG47" s="93"/>
      <c r="WH47" s="93"/>
      <c r="WI47" s="93"/>
      <c r="WJ47" s="93"/>
      <c r="WK47" s="93"/>
      <c r="WL47" s="93"/>
      <c r="WM47" s="93"/>
      <c r="WN47" s="93"/>
      <c r="WO47" s="93"/>
      <c r="WP47" s="93"/>
      <c r="WQ47" s="93"/>
      <c r="WR47" s="93"/>
      <c r="WS47" s="93"/>
      <c r="WT47" s="93"/>
      <c r="WU47" s="93"/>
      <c r="WV47" s="93"/>
      <c r="WW47" s="93"/>
      <c r="WX47" s="93"/>
      <c r="WY47" s="93"/>
      <c r="WZ47" s="93"/>
      <c r="XA47" s="93"/>
      <c r="XB47" s="93"/>
      <c r="XC47" s="93"/>
      <c r="XD47" s="93"/>
      <c r="XE47" s="93"/>
      <c r="XF47" s="93"/>
      <c r="XG47" s="93"/>
      <c r="XH47" s="93"/>
      <c r="XI47" s="93"/>
      <c r="XJ47" s="93"/>
      <c r="XK47" s="93"/>
      <c r="XL47" s="93"/>
      <c r="XM47" s="93"/>
      <c r="XN47" s="93"/>
      <c r="XO47" s="93"/>
      <c r="XP47" s="93"/>
      <c r="XQ47" s="93"/>
      <c r="XR47" s="93"/>
      <c r="XS47" s="93"/>
      <c r="XT47" s="93"/>
      <c r="XU47" s="93"/>
      <c r="XV47" s="93"/>
      <c r="XW47" s="93"/>
      <c r="XX47" s="93"/>
      <c r="XY47" s="93"/>
      <c r="XZ47" s="93"/>
      <c r="YA47" s="93"/>
      <c r="YB47" s="93"/>
      <c r="YC47" s="93"/>
      <c r="YD47" s="93"/>
      <c r="YE47" s="93"/>
      <c r="YF47" s="93"/>
      <c r="YG47" s="93"/>
      <c r="YH47" s="93"/>
      <c r="YI47" s="93"/>
      <c r="YJ47" s="93"/>
      <c r="YK47" s="93"/>
      <c r="YL47" s="93"/>
      <c r="YM47" s="93"/>
      <c r="YN47" s="93"/>
      <c r="YO47" s="93"/>
      <c r="YP47" s="93"/>
      <c r="YQ47" s="93"/>
      <c r="YR47" s="93"/>
      <c r="YS47" s="93"/>
      <c r="YT47" s="93"/>
      <c r="YU47" s="93"/>
      <c r="YV47" s="93"/>
      <c r="YW47" s="93"/>
      <c r="YX47" s="93"/>
      <c r="YY47" s="93"/>
      <c r="YZ47" s="93"/>
      <c r="ZA47" s="93"/>
      <c r="ZB47" s="93"/>
      <c r="ZC47" s="93"/>
      <c r="ZD47" s="93"/>
      <c r="ZE47" s="93"/>
      <c r="ZF47" s="93"/>
      <c r="ZG47" s="93"/>
      <c r="ZH47" s="93"/>
      <c r="ZI47" s="93"/>
      <c r="ZJ47" s="93"/>
      <c r="ZK47" s="93"/>
      <c r="ZL47" s="93"/>
      <c r="ZM47" s="93"/>
      <c r="ZN47" s="93"/>
      <c r="ZO47" s="93"/>
      <c r="ZP47" s="93"/>
      <c r="ZQ47" s="93"/>
      <c r="ZR47" s="93"/>
      <c r="ZS47" s="93"/>
      <c r="ZT47" s="93"/>
      <c r="ZU47" s="93"/>
      <c r="ZV47" s="93"/>
      <c r="ZW47" s="93"/>
      <c r="ZX47" s="93"/>
      <c r="ZY47" s="93"/>
      <c r="ZZ47" s="93"/>
      <c r="AAA47" s="93"/>
      <c r="AAB47" s="93"/>
      <c r="AAC47" s="93"/>
      <c r="AAD47" s="93"/>
      <c r="AAE47" s="93"/>
      <c r="AAF47" s="93"/>
      <c r="AAG47" s="93"/>
      <c r="AAH47" s="93"/>
      <c r="AAI47" s="93"/>
      <c r="AAJ47" s="93"/>
      <c r="AAK47" s="93"/>
      <c r="AAL47" s="93"/>
      <c r="AAM47" s="93"/>
      <c r="AAN47" s="93"/>
      <c r="AAO47" s="93"/>
      <c r="AAP47" s="93"/>
      <c r="AAQ47" s="93"/>
      <c r="AAR47" s="93"/>
      <c r="AAS47" s="93"/>
      <c r="AAT47" s="93"/>
      <c r="AAU47" s="93"/>
      <c r="AAV47" s="93"/>
      <c r="AAW47" s="93"/>
      <c r="AAX47" s="93"/>
      <c r="AAY47" s="93"/>
      <c r="AAZ47" s="93"/>
      <c r="ABA47" s="93"/>
      <c r="ABB47" s="93"/>
      <c r="ABC47" s="93"/>
      <c r="ABD47" s="93"/>
      <c r="ABE47" s="93"/>
      <c r="ABF47" s="93"/>
      <c r="ABG47" s="93"/>
      <c r="ABH47" s="93"/>
      <c r="ABI47" s="93"/>
      <c r="ABJ47" s="93"/>
      <c r="ABK47" s="93"/>
      <c r="ABL47" s="93"/>
      <c r="ABM47" s="93"/>
      <c r="ABN47" s="93"/>
      <c r="ABO47" s="93"/>
      <c r="ABP47" s="93"/>
      <c r="ABQ47" s="93"/>
      <c r="ABR47" s="93"/>
      <c r="ABS47" s="93"/>
      <c r="ABT47" s="93"/>
      <c r="ABU47" s="93"/>
      <c r="ABV47" s="93"/>
      <c r="ABW47" s="93"/>
      <c r="ABX47" s="93"/>
      <c r="ABY47" s="93"/>
      <c r="ABZ47" s="93"/>
      <c r="ACA47" s="93"/>
      <c r="ACB47" s="93"/>
      <c r="ACC47" s="93"/>
      <c r="ACD47" s="93"/>
      <c r="ACE47" s="93"/>
      <c r="ACF47" s="93"/>
      <c r="ACG47" s="93"/>
      <c r="ACH47" s="93"/>
      <c r="ACI47" s="93"/>
      <c r="ACJ47" s="93"/>
      <c r="ACK47" s="93"/>
      <c r="ACL47" s="93"/>
      <c r="ACM47" s="93"/>
      <c r="ACN47" s="93"/>
      <c r="ACO47" s="93"/>
      <c r="ACP47" s="93"/>
      <c r="ACQ47" s="93"/>
      <c r="ACR47" s="93"/>
      <c r="ACS47" s="93"/>
      <c r="ACT47" s="93"/>
      <c r="ACU47" s="93"/>
      <c r="ACV47" s="93"/>
      <c r="ACW47" s="93"/>
      <c r="ACX47" s="93"/>
      <c r="ACY47" s="93"/>
      <c r="ACZ47" s="93"/>
      <c r="ADA47" s="93"/>
      <c r="ADB47" s="93"/>
      <c r="ADC47" s="93"/>
      <c r="ADD47" s="93"/>
      <c r="ADE47" s="93"/>
      <c r="ADF47" s="93"/>
      <c r="ADG47" s="93"/>
      <c r="ADH47" s="93"/>
      <c r="ADI47" s="93"/>
      <c r="ADJ47" s="93"/>
      <c r="ADK47" s="93"/>
      <c r="ADL47" s="93"/>
      <c r="ADM47" s="93"/>
      <c r="ADN47" s="93"/>
      <c r="ADO47" s="93"/>
      <c r="ADP47" s="93"/>
      <c r="ADQ47" s="93"/>
      <c r="ADR47" s="93"/>
      <c r="ADS47" s="93"/>
      <c r="ADT47" s="93"/>
      <c r="ADU47" s="93"/>
      <c r="ADV47" s="93"/>
      <c r="ADW47" s="93"/>
      <c r="ADX47" s="93"/>
      <c r="ADY47" s="93"/>
      <c r="ADZ47" s="93"/>
      <c r="AEA47" s="93"/>
      <c r="AEB47" s="93"/>
      <c r="AEC47" s="93"/>
      <c r="AED47" s="93"/>
      <c r="AEE47" s="93"/>
      <c r="AEF47" s="93"/>
      <c r="AEG47" s="93"/>
      <c r="AEH47" s="93"/>
      <c r="AEI47" s="93"/>
      <c r="AEJ47" s="93"/>
      <c r="AEK47" s="93"/>
      <c r="AEL47" s="93"/>
      <c r="AEM47" s="93"/>
      <c r="AEN47" s="93"/>
      <c r="AEO47" s="93"/>
      <c r="AEP47" s="93"/>
      <c r="AEQ47" s="93"/>
      <c r="AER47" s="93"/>
      <c r="AES47" s="93"/>
      <c r="AET47" s="93"/>
      <c r="AEU47" s="93"/>
      <c r="AEV47" s="93"/>
      <c r="AEW47" s="93"/>
      <c r="AEX47" s="93"/>
      <c r="AEY47" s="93"/>
      <c r="AEZ47" s="93"/>
      <c r="AFA47" s="93"/>
      <c r="AFB47" s="93"/>
      <c r="AFC47" s="93"/>
      <c r="AFD47" s="93"/>
      <c r="AFE47" s="93"/>
      <c r="AFF47" s="93"/>
      <c r="AFG47" s="93"/>
      <c r="AFH47" s="93"/>
      <c r="AFI47" s="93"/>
      <c r="AFJ47" s="93"/>
      <c r="AFK47" s="93"/>
      <c r="AFL47" s="93"/>
      <c r="AFM47" s="93"/>
      <c r="AFN47" s="93"/>
      <c r="AFO47" s="93"/>
      <c r="AFP47" s="93"/>
      <c r="AFQ47" s="93"/>
      <c r="AFR47" s="93"/>
      <c r="AFS47" s="93"/>
      <c r="AFT47" s="93"/>
      <c r="AFU47" s="93"/>
      <c r="AFV47" s="93"/>
      <c r="AFW47" s="93"/>
      <c r="AFX47" s="93"/>
      <c r="AFY47" s="93"/>
      <c r="AFZ47" s="93"/>
      <c r="AGA47" s="93"/>
      <c r="AGB47" s="93"/>
      <c r="AGC47" s="93"/>
      <c r="AGD47" s="93"/>
      <c r="AGE47" s="93"/>
      <c r="AGF47" s="93"/>
      <c r="AGG47" s="93"/>
      <c r="AGH47" s="93"/>
      <c r="AGI47" s="93"/>
      <c r="AGJ47" s="93"/>
      <c r="AGK47" s="93"/>
      <c r="AGL47" s="93"/>
      <c r="AGM47" s="93"/>
      <c r="AGN47" s="93"/>
      <c r="AGO47" s="93"/>
      <c r="AGP47" s="93"/>
      <c r="AGQ47" s="93"/>
      <c r="AGR47" s="93"/>
      <c r="AGS47" s="93"/>
      <c r="AGT47" s="93"/>
      <c r="AGU47" s="93"/>
      <c r="AGV47" s="93"/>
      <c r="AGW47" s="93"/>
      <c r="AGX47" s="93"/>
      <c r="AGY47" s="93"/>
      <c r="AGZ47" s="93"/>
      <c r="AHA47" s="93"/>
      <c r="AHB47" s="93"/>
      <c r="AHC47" s="93"/>
      <c r="AHD47" s="93"/>
      <c r="AHE47" s="93"/>
      <c r="AHF47" s="93"/>
      <c r="AHG47" s="93"/>
      <c r="AHH47" s="93"/>
      <c r="AHI47" s="93"/>
      <c r="AHJ47" s="93"/>
      <c r="AHK47" s="93"/>
      <c r="AHL47" s="93"/>
      <c r="AHM47" s="93"/>
      <c r="AHN47" s="93"/>
      <c r="AHO47" s="93"/>
      <c r="AHP47" s="93"/>
      <c r="AHQ47" s="93"/>
      <c r="AHR47" s="93"/>
      <c r="AHS47" s="93"/>
      <c r="AHT47" s="93"/>
      <c r="AHU47" s="93"/>
      <c r="AHV47" s="93"/>
      <c r="AHW47" s="93"/>
      <c r="AHX47" s="93"/>
      <c r="AHY47" s="93"/>
      <c r="AHZ47" s="93"/>
      <c r="AIA47" s="93"/>
      <c r="AIB47" s="93"/>
      <c r="AIC47" s="93"/>
      <c r="AID47" s="93"/>
      <c r="AIE47" s="93"/>
      <c r="AIF47" s="93"/>
      <c r="AIG47" s="93"/>
      <c r="AIH47" s="93"/>
      <c r="AII47" s="93"/>
      <c r="AIJ47" s="93"/>
      <c r="AIK47" s="93"/>
      <c r="AIL47" s="93"/>
      <c r="AIM47" s="93"/>
      <c r="AIN47" s="93"/>
      <c r="AIO47" s="93"/>
      <c r="AIP47" s="93"/>
      <c r="AIQ47" s="93"/>
      <c r="AIR47" s="93"/>
      <c r="AIS47" s="93"/>
      <c r="AIT47" s="93"/>
      <c r="AIU47" s="93"/>
      <c r="AIV47" s="93"/>
      <c r="AIW47" s="93"/>
      <c r="AIX47" s="93"/>
      <c r="AIY47" s="93"/>
      <c r="AIZ47" s="93"/>
      <c r="AJA47" s="93"/>
      <c r="AJB47" s="93"/>
      <c r="AJC47" s="93"/>
      <c r="AJD47" s="93"/>
      <c r="AJE47" s="93"/>
      <c r="AJF47" s="93"/>
      <c r="AJG47" s="93"/>
      <c r="AJH47" s="93"/>
      <c r="AJI47" s="93"/>
      <c r="AJJ47" s="93"/>
      <c r="AJK47" s="93"/>
      <c r="AJL47" s="93"/>
      <c r="AJM47" s="93"/>
      <c r="AJN47" s="93"/>
      <c r="AJO47" s="93"/>
      <c r="AJP47" s="93"/>
      <c r="AJQ47" s="93"/>
      <c r="AJR47" s="93"/>
      <c r="AJS47" s="93"/>
      <c r="AJT47" s="93"/>
      <c r="AJU47" s="93"/>
      <c r="AJV47" s="93"/>
      <c r="AJW47" s="93"/>
      <c r="AJX47" s="93"/>
      <c r="AJY47" s="93"/>
      <c r="AJZ47" s="93"/>
      <c r="AKA47" s="93"/>
      <c r="AKB47" s="93"/>
      <c r="AKC47" s="93"/>
      <c r="AKD47" s="93"/>
      <c r="AKE47" s="93"/>
      <c r="AKF47" s="93"/>
      <c r="AKG47" s="93"/>
      <c r="AKH47" s="93"/>
      <c r="AKI47" s="93"/>
      <c r="AKJ47" s="93"/>
      <c r="AKK47" s="93"/>
      <c r="AKL47" s="93"/>
      <c r="AKM47" s="93"/>
      <c r="AKN47" s="93"/>
      <c r="AKO47" s="93"/>
      <c r="AKP47" s="93"/>
      <c r="AKQ47" s="93"/>
      <c r="AKR47" s="93"/>
      <c r="AKS47" s="93"/>
      <c r="AKT47" s="93"/>
      <c r="AKU47" s="93"/>
      <c r="AKV47" s="93"/>
      <c r="AKW47" s="93"/>
      <c r="AKX47" s="93"/>
      <c r="AKY47" s="93"/>
      <c r="AKZ47" s="93"/>
      <c r="ALA47" s="93"/>
      <c r="ALB47" s="93"/>
      <c r="ALC47" s="93"/>
      <c r="ALD47" s="93"/>
      <c r="ALE47" s="93"/>
      <c r="ALF47" s="93"/>
      <c r="ALG47" s="93"/>
      <c r="ALH47" s="93"/>
      <c r="ALI47" s="93"/>
      <c r="ALJ47" s="93"/>
      <c r="ALK47" s="93"/>
      <c r="ALL47" s="93"/>
      <c r="ALM47" s="93"/>
      <c r="ALN47" s="93"/>
      <c r="ALO47" s="93"/>
      <c r="ALP47" s="93"/>
      <c r="ALQ47" s="93"/>
      <c r="ALR47" s="93"/>
      <c r="ALS47" s="93"/>
      <c r="ALT47" s="93"/>
      <c r="ALU47" s="93"/>
      <c r="ALV47" s="93"/>
      <c r="ALW47" s="93"/>
      <c r="ALX47" s="93"/>
      <c r="ALY47" s="93"/>
      <c r="ALZ47" s="93"/>
      <c r="AMA47" s="93"/>
      <c r="AMB47" s="93"/>
      <c r="AMC47" s="93"/>
      <c r="AMD47" s="93"/>
      <c r="AME47" s="93"/>
      <c r="AMF47" s="93"/>
      <c r="AMG47" s="93"/>
      <c r="AMH47" s="93"/>
      <c r="AMI47" s="93"/>
      <c r="AMJ47" s="93"/>
      <c r="AMK47" s="93"/>
      <c r="AML47" s="93"/>
      <c r="AMM47" s="93"/>
      <c r="AMN47" s="93"/>
      <c r="AMO47" s="93"/>
      <c r="AMP47" s="93"/>
      <c r="AMQ47" s="93"/>
      <c r="AMR47" s="93"/>
      <c r="AMS47" s="93"/>
      <c r="AMT47" s="93"/>
      <c r="AMU47" s="93"/>
      <c r="AMV47" s="93"/>
      <c r="AMW47" s="93"/>
      <c r="AMX47" s="93"/>
      <c r="AMY47" s="93"/>
      <c r="AMZ47" s="93"/>
      <c r="ANA47" s="93"/>
      <c r="ANB47" s="93"/>
      <c r="ANC47" s="93"/>
      <c r="AND47" s="93"/>
      <c r="ANE47" s="93"/>
      <c r="ANF47" s="93"/>
      <c r="ANG47" s="93"/>
      <c r="ANH47" s="93"/>
      <c r="ANI47" s="93"/>
      <c r="ANJ47" s="93"/>
      <c r="ANK47" s="93"/>
      <c r="ANL47" s="93"/>
      <c r="ANM47" s="93"/>
      <c r="ANN47" s="93"/>
      <c r="ANO47" s="93"/>
      <c r="ANP47" s="93"/>
      <c r="ANQ47" s="93"/>
      <c r="ANR47" s="93"/>
      <c r="ANS47" s="93"/>
      <c r="ANT47" s="93"/>
      <c r="ANU47" s="93"/>
      <c r="ANV47" s="93"/>
      <c r="ANW47" s="93"/>
      <c r="ANX47" s="93"/>
      <c r="ANY47" s="93"/>
      <c r="ANZ47" s="93"/>
      <c r="AOA47" s="93"/>
      <c r="AOB47" s="93"/>
      <c r="AOC47" s="93"/>
      <c r="AOD47" s="93"/>
      <c r="AOE47" s="93"/>
      <c r="AOF47" s="93"/>
      <c r="AOG47" s="93"/>
      <c r="AOH47" s="93"/>
      <c r="AOI47" s="93"/>
      <c r="AOJ47" s="93"/>
      <c r="AOK47" s="93"/>
      <c r="AOL47" s="93"/>
      <c r="AOM47" s="93"/>
      <c r="AON47" s="93"/>
      <c r="AOO47" s="93"/>
      <c r="AOP47" s="93"/>
      <c r="AOQ47" s="93"/>
      <c r="AOR47" s="93"/>
      <c r="AOS47" s="93"/>
      <c r="AOT47" s="93"/>
      <c r="AOU47" s="93"/>
      <c r="AOV47" s="93"/>
      <c r="AOW47" s="93"/>
      <c r="AOX47" s="93"/>
      <c r="AOY47" s="93"/>
      <c r="AOZ47" s="93"/>
      <c r="APA47" s="93"/>
      <c r="APB47" s="93"/>
      <c r="APC47" s="93"/>
      <c r="APD47" s="93"/>
      <c r="APE47" s="93"/>
      <c r="APF47" s="93"/>
      <c r="APG47" s="93"/>
      <c r="APH47" s="93"/>
      <c r="API47" s="93"/>
      <c r="APJ47" s="93"/>
      <c r="APK47" s="93"/>
      <c r="APL47" s="93"/>
      <c r="APM47" s="93"/>
      <c r="APN47" s="93"/>
      <c r="APO47" s="93"/>
      <c r="APP47" s="93"/>
      <c r="APQ47" s="93"/>
      <c r="APR47" s="93"/>
      <c r="APS47" s="93"/>
      <c r="APT47" s="93"/>
      <c r="APU47" s="93"/>
      <c r="APV47" s="93"/>
      <c r="APW47" s="93"/>
      <c r="APX47" s="93"/>
      <c r="APY47" s="93"/>
      <c r="APZ47" s="93"/>
      <c r="AQA47" s="93"/>
      <c r="AQB47" s="93"/>
      <c r="AQC47" s="93"/>
      <c r="AQD47" s="93"/>
      <c r="AQE47" s="93"/>
      <c r="AQF47" s="93"/>
      <c r="AQG47" s="93"/>
      <c r="AQH47" s="93"/>
      <c r="AQI47" s="93"/>
      <c r="AQJ47" s="93"/>
      <c r="AQK47" s="93"/>
      <c r="AQL47" s="93"/>
      <c r="AQM47" s="93"/>
      <c r="AQN47" s="93"/>
      <c r="AQO47" s="93"/>
      <c r="AQP47" s="93"/>
      <c r="AQQ47" s="93"/>
      <c r="AQR47" s="93"/>
      <c r="AQS47" s="93"/>
      <c r="AQT47" s="93"/>
      <c r="AQU47" s="93"/>
      <c r="AQV47" s="93"/>
      <c r="AQW47" s="93"/>
      <c r="AQX47" s="93"/>
      <c r="AQY47" s="93"/>
      <c r="AQZ47" s="93"/>
      <c r="ARA47" s="93"/>
      <c r="ARB47" s="93"/>
      <c r="ARC47" s="93"/>
      <c r="ARD47" s="93"/>
      <c r="ARE47" s="93"/>
      <c r="ARF47" s="93"/>
      <c r="ARG47" s="93"/>
      <c r="ARH47" s="93"/>
      <c r="ARI47" s="93"/>
      <c r="ARJ47" s="93"/>
      <c r="ARK47" s="93"/>
      <c r="ARL47" s="93"/>
      <c r="ARM47" s="93"/>
      <c r="ARN47" s="93"/>
      <c r="ARO47" s="93"/>
      <c r="ARP47" s="93"/>
      <c r="ARQ47" s="93"/>
      <c r="ARR47" s="93"/>
      <c r="ARS47" s="93"/>
      <c r="ART47" s="93"/>
      <c r="ARU47" s="93"/>
      <c r="ARV47" s="93"/>
      <c r="ARW47" s="93"/>
      <c r="ARX47" s="93"/>
      <c r="ARY47" s="93"/>
      <c r="ARZ47" s="93"/>
      <c r="ASA47" s="93"/>
      <c r="ASB47" s="93"/>
      <c r="ASC47" s="93"/>
      <c r="ASD47" s="93"/>
      <c r="ASE47" s="93"/>
      <c r="ASF47" s="93"/>
      <c r="ASG47" s="93"/>
      <c r="ASH47" s="93"/>
      <c r="ASI47" s="93"/>
      <c r="ASJ47" s="93"/>
      <c r="ASK47" s="93"/>
      <c r="ASL47" s="93"/>
      <c r="ASM47" s="93"/>
      <c r="ASN47" s="93"/>
      <c r="ASO47" s="93"/>
      <c r="ASP47" s="93"/>
      <c r="ASQ47" s="93"/>
      <c r="ASR47" s="93"/>
      <c r="ASS47" s="93"/>
      <c r="AST47" s="93"/>
      <c r="ASU47" s="93"/>
      <c r="ASV47" s="93"/>
      <c r="ASW47" s="93"/>
      <c r="ASX47" s="93"/>
      <c r="ASY47" s="93"/>
      <c r="ASZ47" s="93"/>
      <c r="ATA47" s="93"/>
      <c r="ATB47" s="93"/>
      <c r="ATC47" s="93"/>
      <c r="ATD47" s="93"/>
      <c r="ATE47" s="93"/>
      <c r="ATF47" s="93"/>
      <c r="ATG47" s="93"/>
      <c r="ATH47" s="93"/>
      <c r="ATI47" s="93"/>
      <c r="ATJ47" s="93"/>
      <c r="ATK47" s="93"/>
      <c r="ATL47" s="93"/>
      <c r="ATM47" s="93"/>
      <c r="ATN47" s="93"/>
      <c r="ATO47" s="93"/>
      <c r="ATP47" s="93"/>
      <c r="ATQ47" s="93"/>
      <c r="ATR47" s="93"/>
      <c r="ATS47" s="93"/>
      <c r="ATT47" s="93"/>
      <c r="ATU47" s="93"/>
      <c r="ATV47" s="93"/>
      <c r="ATW47" s="93"/>
      <c r="ATX47" s="93"/>
      <c r="ATY47" s="93"/>
      <c r="ATZ47" s="93"/>
      <c r="AUA47" s="93"/>
      <c r="AUB47" s="93"/>
      <c r="AUC47" s="93"/>
      <c r="AUD47" s="93"/>
      <c r="AUE47" s="93"/>
      <c r="AUF47" s="93"/>
      <c r="AUG47" s="93"/>
      <c r="AUH47" s="93"/>
      <c r="AUI47" s="93"/>
      <c r="AUJ47" s="93"/>
      <c r="AUK47" s="93"/>
      <c r="AUL47" s="93"/>
      <c r="AUM47" s="93"/>
      <c r="AUN47" s="93"/>
      <c r="AUO47" s="93"/>
      <c r="AUP47" s="93"/>
      <c r="AUQ47" s="93"/>
      <c r="AUR47" s="93"/>
      <c r="AUS47" s="93"/>
      <c r="AUT47" s="93"/>
      <c r="AUU47" s="93"/>
      <c r="AUV47" s="93"/>
      <c r="AUW47" s="93"/>
      <c r="AUX47" s="93"/>
      <c r="AUY47" s="93"/>
      <c r="AUZ47" s="93"/>
      <c r="AVA47" s="93"/>
      <c r="AVB47" s="93"/>
      <c r="AVC47" s="93"/>
      <c r="AVD47" s="93"/>
      <c r="AVE47" s="93"/>
      <c r="AVF47" s="93"/>
      <c r="AVG47" s="93"/>
      <c r="AVH47" s="93"/>
      <c r="AVI47" s="93"/>
      <c r="AVJ47" s="93"/>
      <c r="AVK47" s="93"/>
      <c r="AVL47" s="93"/>
      <c r="AVM47" s="93"/>
      <c r="AVN47" s="93"/>
      <c r="AVO47" s="93"/>
      <c r="AVP47" s="93"/>
      <c r="AVQ47" s="93"/>
      <c r="AVR47" s="93"/>
      <c r="AVS47" s="93"/>
      <c r="AVT47" s="93"/>
      <c r="AVU47" s="93"/>
      <c r="AVV47" s="93"/>
      <c r="AVW47" s="93"/>
      <c r="AVX47" s="93"/>
      <c r="AVY47" s="93"/>
      <c r="AVZ47" s="93"/>
      <c r="AWA47" s="93"/>
      <c r="AWB47" s="93"/>
      <c r="AWC47" s="93"/>
      <c r="AWD47" s="93"/>
      <c r="AWE47" s="93"/>
      <c r="AWF47" s="93"/>
      <c r="AWG47" s="93"/>
      <c r="AWH47" s="93"/>
      <c r="AWI47" s="93"/>
      <c r="AWJ47" s="93"/>
      <c r="AWK47" s="93"/>
      <c r="AWL47" s="93"/>
      <c r="AWM47" s="93"/>
      <c r="AWN47" s="93"/>
      <c r="AWO47" s="93"/>
      <c r="AWP47" s="93"/>
      <c r="AWQ47" s="93"/>
      <c r="AWR47" s="93"/>
      <c r="AWS47" s="93"/>
      <c r="AWT47" s="93"/>
      <c r="AWU47" s="93"/>
      <c r="AWV47" s="93"/>
      <c r="AWW47" s="93"/>
      <c r="AWX47" s="93"/>
      <c r="AWY47" s="93"/>
      <c r="AWZ47" s="93"/>
      <c r="AXA47" s="93"/>
      <c r="AXB47" s="93"/>
      <c r="AXC47" s="93"/>
      <c r="AXD47" s="93"/>
      <c r="AXE47" s="93"/>
      <c r="AXF47" s="93"/>
      <c r="AXG47" s="93"/>
      <c r="AXH47" s="93"/>
      <c r="AXI47" s="93"/>
      <c r="AXJ47" s="93"/>
      <c r="AXK47" s="93"/>
      <c r="AXL47" s="93"/>
      <c r="AXM47" s="93"/>
      <c r="AXN47" s="93"/>
      <c r="AXO47" s="93"/>
      <c r="AXP47" s="93"/>
      <c r="AXQ47" s="93"/>
      <c r="AXR47" s="93"/>
      <c r="AXS47" s="93"/>
      <c r="AXT47" s="93"/>
      <c r="AXU47" s="93"/>
      <c r="AXV47" s="93"/>
      <c r="AXW47" s="93"/>
      <c r="AXX47" s="93"/>
      <c r="AXY47" s="93"/>
      <c r="AXZ47" s="93"/>
      <c r="AYA47" s="93"/>
      <c r="AYB47" s="93"/>
      <c r="AYC47" s="93"/>
      <c r="AYD47" s="93"/>
      <c r="AYE47" s="93"/>
      <c r="AYF47" s="93"/>
      <c r="AYG47" s="93"/>
      <c r="AYH47" s="93"/>
      <c r="AYI47" s="93"/>
      <c r="AYJ47" s="93"/>
      <c r="AYK47" s="93"/>
      <c r="AYL47" s="93"/>
      <c r="AYM47" s="93"/>
      <c r="AYN47" s="93"/>
      <c r="AYO47" s="93"/>
      <c r="AYP47" s="93"/>
      <c r="AYQ47" s="93"/>
      <c r="AYR47" s="93"/>
      <c r="AYS47" s="93"/>
      <c r="AYT47" s="93"/>
      <c r="AYU47" s="93"/>
      <c r="AYV47" s="93"/>
      <c r="AYW47" s="93"/>
      <c r="AYX47" s="93"/>
      <c r="AYY47" s="93"/>
      <c r="AYZ47" s="93"/>
      <c r="AZA47" s="93"/>
      <c r="AZB47" s="93"/>
      <c r="AZC47" s="93"/>
      <c r="AZD47" s="93"/>
      <c r="AZE47" s="93"/>
      <c r="AZF47" s="93"/>
      <c r="AZG47" s="93"/>
      <c r="AZH47" s="93"/>
      <c r="AZI47" s="93"/>
      <c r="AZJ47" s="93"/>
      <c r="AZK47" s="93"/>
      <c r="AZL47" s="93"/>
      <c r="AZM47" s="93"/>
      <c r="AZN47" s="93"/>
      <c r="AZO47" s="93"/>
      <c r="AZP47" s="93"/>
      <c r="AZQ47" s="93"/>
      <c r="AZR47" s="93"/>
      <c r="AZS47" s="93"/>
      <c r="AZT47" s="93"/>
      <c r="AZU47" s="93"/>
      <c r="AZV47" s="93"/>
      <c r="AZW47" s="93"/>
      <c r="AZX47" s="93"/>
      <c r="AZY47" s="93"/>
      <c r="AZZ47" s="93"/>
      <c r="BAA47" s="93"/>
      <c r="BAB47" s="93"/>
      <c r="BAC47" s="93"/>
      <c r="BAD47" s="93"/>
      <c r="BAE47" s="93"/>
      <c r="BAF47" s="93"/>
      <c r="BAG47" s="93"/>
      <c r="BAH47" s="93"/>
      <c r="BAI47" s="93"/>
      <c r="BAJ47" s="93"/>
      <c r="BAK47" s="93"/>
      <c r="BAL47" s="93"/>
      <c r="BAM47" s="93"/>
      <c r="BAN47" s="93"/>
      <c r="BAO47" s="93"/>
      <c r="BAP47" s="93"/>
      <c r="BAQ47" s="93"/>
      <c r="BAR47" s="93"/>
      <c r="BAS47" s="93"/>
      <c r="BAT47" s="93"/>
      <c r="BAU47" s="93"/>
      <c r="BAV47" s="93"/>
      <c r="BAW47" s="93"/>
      <c r="BAX47" s="93"/>
      <c r="BAY47" s="93"/>
      <c r="BAZ47" s="93"/>
      <c r="BBA47" s="93"/>
      <c r="BBB47" s="93"/>
      <c r="BBC47" s="93"/>
      <c r="BBD47" s="93"/>
      <c r="BBE47" s="93"/>
      <c r="BBF47" s="93"/>
      <c r="BBG47" s="93"/>
      <c r="BBH47" s="93"/>
      <c r="BBI47" s="93"/>
      <c r="BBJ47" s="93"/>
      <c r="BBK47" s="93"/>
      <c r="BBL47" s="93"/>
      <c r="BBM47" s="93"/>
      <c r="BBN47" s="93"/>
      <c r="BBO47" s="93"/>
      <c r="BBP47" s="93"/>
      <c r="BBQ47" s="93"/>
      <c r="BBR47" s="93"/>
      <c r="BBS47" s="93"/>
      <c r="BBT47" s="93"/>
      <c r="BBU47" s="93"/>
      <c r="BBV47" s="93"/>
      <c r="BBW47" s="93"/>
      <c r="BBX47" s="93"/>
      <c r="BBY47" s="93"/>
      <c r="BBZ47" s="93"/>
      <c r="BCA47" s="93"/>
      <c r="BCB47" s="93"/>
      <c r="BCC47" s="93"/>
      <c r="BCD47" s="93"/>
      <c r="BCE47" s="93"/>
      <c r="BCF47" s="93"/>
      <c r="BCG47" s="93"/>
      <c r="BCH47" s="93"/>
      <c r="BCI47" s="93"/>
      <c r="BCJ47" s="93"/>
      <c r="BCK47" s="93"/>
      <c r="BCL47" s="93"/>
      <c r="BCM47" s="93"/>
      <c r="BCN47" s="93"/>
      <c r="BCO47" s="93"/>
      <c r="BCP47" s="93"/>
      <c r="BCQ47" s="93"/>
      <c r="BCR47" s="93"/>
      <c r="BCS47" s="93"/>
      <c r="BCT47" s="93"/>
      <c r="BCU47" s="93"/>
      <c r="BCV47" s="93"/>
      <c r="BCW47" s="93"/>
      <c r="BCX47" s="93"/>
      <c r="BCY47" s="93"/>
      <c r="BCZ47" s="93"/>
      <c r="BDA47" s="93"/>
      <c r="BDB47" s="93"/>
      <c r="BDC47" s="93"/>
      <c r="BDD47" s="93"/>
      <c r="BDE47" s="93"/>
      <c r="BDF47" s="93"/>
      <c r="BDG47" s="93"/>
      <c r="BDH47" s="93"/>
      <c r="BDI47" s="93"/>
      <c r="BDJ47" s="93"/>
      <c r="BDK47" s="93"/>
      <c r="BDL47" s="93"/>
      <c r="BDM47" s="93"/>
      <c r="BDN47" s="93"/>
      <c r="BDO47" s="93"/>
      <c r="BDP47" s="93"/>
      <c r="BDQ47" s="93"/>
      <c r="BDR47" s="93"/>
      <c r="BDS47" s="93"/>
      <c r="BDT47" s="93"/>
      <c r="BDU47" s="93"/>
      <c r="BDV47" s="93"/>
      <c r="BDW47" s="93"/>
      <c r="BDX47" s="93"/>
      <c r="BDY47" s="93"/>
      <c r="BDZ47" s="93"/>
      <c r="BEA47" s="93"/>
      <c r="BEB47" s="93"/>
      <c r="BEC47" s="93"/>
      <c r="BED47" s="93"/>
      <c r="BEE47" s="93"/>
      <c r="BEF47" s="93"/>
      <c r="BEG47" s="93"/>
      <c r="BEH47" s="93"/>
      <c r="BEI47" s="93"/>
      <c r="BEJ47" s="93"/>
      <c r="BEK47" s="93"/>
      <c r="BEL47" s="93"/>
      <c r="BEM47" s="93"/>
      <c r="BEN47" s="93"/>
      <c r="BEO47" s="93"/>
      <c r="BEP47" s="93"/>
      <c r="BEQ47" s="93"/>
      <c r="BER47" s="93"/>
      <c r="BES47" s="93"/>
      <c r="BET47" s="93"/>
      <c r="BEU47" s="93"/>
      <c r="BEV47" s="93"/>
      <c r="BEW47" s="93"/>
      <c r="BEX47" s="93"/>
      <c r="BEY47" s="93"/>
      <c r="BEZ47" s="93"/>
      <c r="BFA47" s="93"/>
      <c r="BFB47" s="93"/>
      <c r="BFC47" s="93"/>
      <c r="BFD47" s="93"/>
      <c r="BFE47" s="93"/>
      <c r="BFF47" s="93"/>
      <c r="BFG47" s="93"/>
      <c r="BFH47" s="93"/>
      <c r="BFI47" s="93"/>
      <c r="BFJ47" s="93"/>
      <c r="BFK47" s="93"/>
      <c r="BFL47" s="93"/>
      <c r="BFM47" s="93"/>
      <c r="BFN47" s="93"/>
      <c r="BFO47" s="93"/>
      <c r="BFP47" s="93"/>
      <c r="BFQ47" s="93"/>
      <c r="BFR47" s="93"/>
      <c r="BFS47" s="93"/>
      <c r="BFT47" s="93"/>
      <c r="BFU47" s="93"/>
      <c r="BFV47" s="93"/>
      <c r="BFW47" s="93"/>
      <c r="BFX47" s="93"/>
      <c r="BFY47" s="93"/>
      <c r="BFZ47" s="93"/>
      <c r="BGA47" s="93"/>
      <c r="BGB47" s="93"/>
      <c r="BGC47" s="93"/>
      <c r="BGD47" s="93"/>
      <c r="BGE47" s="93"/>
      <c r="BGF47" s="93"/>
      <c r="BGG47" s="93"/>
      <c r="BGH47" s="93"/>
      <c r="BGI47" s="93"/>
      <c r="BGJ47" s="93"/>
      <c r="BGK47" s="93"/>
      <c r="BGL47" s="93"/>
      <c r="BGM47" s="93"/>
      <c r="BGN47" s="93"/>
      <c r="BGO47" s="93"/>
      <c r="BGP47" s="93"/>
      <c r="BGQ47" s="93"/>
      <c r="BGR47" s="93"/>
      <c r="BGS47" s="93"/>
      <c r="BGT47" s="93"/>
      <c r="BGU47" s="93"/>
      <c r="BGV47" s="93"/>
      <c r="BGW47" s="93"/>
      <c r="BGX47" s="93"/>
      <c r="BGY47" s="93"/>
      <c r="BGZ47" s="93"/>
      <c r="BHA47" s="93"/>
      <c r="BHB47" s="93"/>
      <c r="BHC47" s="93"/>
      <c r="BHD47" s="93"/>
      <c r="BHE47" s="93"/>
      <c r="BHF47" s="93"/>
      <c r="BHG47" s="93"/>
      <c r="BHH47" s="93"/>
      <c r="BHI47" s="93"/>
      <c r="BHJ47" s="93"/>
      <c r="BHK47" s="93"/>
      <c r="BHL47" s="93"/>
      <c r="BHM47" s="93"/>
      <c r="BHN47" s="93"/>
      <c r="BHO47" s="93"/>
      <c r="BHP47" s="93"/>
      <c r="BHQ47" s="93"/>
      <c r="BHR47" s="93"/>
      <c r="BHS47" s="93"/>
    </row>
    <row r="48" spans="1:1579" s="50" customFormat="1" hidden="1" x14ac:dyDescent="0.25">
      <c r="A48" s="86"/>
      <c r="B48" s="48" t="s">
        <v>1212</v>
      </c>
      <c r="C48" s="1273" t="s">
        <v>1213</v>
      </c>
      <c r="D48" s="1274"/>
      <c r="E48" s="73" t="s">
        <v>683</v>
      </c>
      <c r="F48" s="74">
        <v>15</v>
      </c>
      <c r="G48" s="101">
        <v>11.41</v>
      </c>
      <c r="H48" s="182">
        <f t="shared" si="3"/>
        <v>171.15</v>
      </c>
      <c r="I48" s="550">
        <f t="shared" si="0"/>
        <v>0.15151329092343893</v>
      </c>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row>
    <row r="49" spans="1:1579" s="50" customFormat="1" hidden="1" x14ac:dyDescent="0.25">
      <c r="A49" s="86"/>
      <c r="B49" s="48" t="s">
        <v>1214</v>
      </c>
      <c r="C49" s="1273" t="s">
        <v>1215</v>
      </c>
      <c r="D49" s="1274"/>
      <c r="E49" s="73" t="s">
        <v>683</v>
      </c>
      <c r="F49" s="74">
        <f>30*34</f>
        <v>1020</v>
      </c>
      <c r="G49" s="101">
        <v>14.739999999999998</v>
      </c>
      <c r="H49" s="182">
        <f t="shared" si="3"/>
        <v>15034.8</v>
      </c>
      <c r="I49" s="550">
        <f t="shared" si="0"/>
        <v>13.30979857654525</v>
      </c>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row>
    <row r="50" spans="1:1579" s="50" customFormat="1" hidden="1" x14ac:dyDescent="0.25">
      <c r="A50" s="86"/>
      <c r="B50" s="48" t="s">
        <v>1216</v>
      </c>
      <c r="C50" s="1273" t="s">
        <v>1217</v>
      </c>
      <c r="D50" s="1274"/>
      <c r="E50" s="73" t="s">
        <v>683</v>
      </c>
      <c r="F50" s="74">
        <v>50</v>
      </c>
      <c r="G50" s="101">
        <v>15.41</v>
      </c>
      <c r="H50" s="182">
        <f t="shared" si="3"/>
        <v>770.5</v>
      </c>
      <c r="I50" s="550">
        <f t="shared" si="0"/>
        <v>0.68209752063400342</v>
      </c>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row>
    <row r="51" spans="1:1579" s="50" customFormat="1" hidden="1" x14ac:dyDescent="0.25">
      <c r="A51" s="86"/>
      <c r="B51" s="48" t="s">
        <v>1218</v>
      </c>
      <c r="C51" s="1273" t="s">
        <v>1219</v>
      </c>
      <c r="D51" s="1274"/>
      <c r="E51" s="73" t="s">
        <v>683</v>
      </c>
      <c r="F51" s="74">
        <v>40</v>
      </c>
      <c r="G51" s="101">
        <v>27.1</v>
      </c>
      <c r="H51" s="182">
        <f t="shared" si="3"/>
        <v>1084</v>
      </c>
      <c r="I51" s="550">
        <f t="shared" si="0"/>
        <v>0.95962843915283547</v>
      </c>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row>
    <row r="52" spans="1:1579" s="50" customFormat="1" hidden="1" x14ac:dyDescent="0.25">
      <c r="A52" s="86"/>
      <c r="B52" s="48" t="s">
        <v>1220</v>
      </c>
      <c r="C52" s="1273" t="s">
        <v>1221</v>
      </c>
      <c r="D52" s="1274"/>
      <c r="E52" s="73" t="s">
        <v>683</v>
      </c>
      <c r="F52" s="74">
        <v>50</v>
      </c>
      <c r="G52" s="101">
        <v>20.209999999999997</v>
      </c>
      <c r="H52" s="182">
        <f t="shared" si="3"/>
        <v>1010.4999999999999</v>
      </c>
      <c r="I52" s="550">
        <f t="shared" si="0"/>
        <v>0.89456138170105182</v>
      </c>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row>
    <row r="53" spans="1:1579" s="50" customFormat="1" hidden="1" x14ac:dyDescent="0.25">
      <c r="A53" s="86"/>
      <c r="B53" s="48" t="s">
        <v>1222</v>
      </c>
      <c r="C53" s="1273" t="s">
        <v>1223</v>
      </c>
      <c r="D53" s="1274"/>
      <c r="E53" s="73" t="s">
        <v>683</v>
      </c>
      <c r="F53" s="74">
        <v>30</v>
      </c>
      <c r="G53" s="101">
        <v>54.510000000000005</v>
      </c>
      <c r="H53" s="182">
        <f t="shared" si="3"/>
        <v>1635.3000000000002</v>
      </c>
      <c r="I53" s="550">
        <f t="shared" si="0"/>
        <v>1.4476756333456016</v>
      </c>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row>
    <row r="54" spans="1:1579" s="50" customFormat="1" hidden="1" x14ac:dyDescent="0.25">
      <c r="A54" s="86"/>
      <c r="B54" s="48" t="s">
        <v>1224</v>
      </c>
      <c r="C54" s="1273" t="s">
        <v>1225</v>
      </c>
      <c r="D54" s="1274"/>
      <c r="E54" s="73" t="s">
        <v>683</v>
      </c>
      <c r="F54" s="74">
        <v>25</v>
      </c>
      <c r="G54" s="101">
        <v>10.95</v>
      </c>
      <c r="H54" s="182">
        <f t="shared" si="3"/>
        <v>273.75</v>
      </c>
      <c r="I54" s="550">
        <f t="shared" si="0"/>
        <v>0.24234159152960214</v>
      </c>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row>
    <row r="55" spans="1:1579" s="50" customFormat="1" hidden="1" x14ac:dyDescent="0.25">
      <c r="A55" s="86"/>
      <c r="B55" s="48" t="s">
        <v>1226</v>
      </c>
      <c r="C55" s="1273" t="s">
        <v>1227</v>
      </c>
      <c r="D55" s="1274"/>
      <c r="E55" s="73" t="s">
        <v>683</v>
      </c>
      <c r="F55" s="74">
        <v>25</v>
      </c>
      <c r="G55" s="101">
        <v>10.95</v>
      </c>
      <c r="H55" s="182">
        <f t="shared" si="3"/>
        <v>273.75</v>
      </c>
      <c r="I55" s="550">
        <f t="shared" si="0"/>
        <v>0.24234159152960214</v>
      </c>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row>
    <row r="56" spans="1:1579" s="50" customFormat="1" hidden="1" x14ac:dyDescent="0.25">
      <c r="A56" s="86"/>
      <c r="B56" s="48" t="s">
        <v>1228</v>
      </c>
      <c r="C56" s="1273" t="s">
        <v>1229</v>
      </c>
      <c r="D56" s="1274"/>
      <c r="E56" s="73" t="s">
        <v>683</v>
      </c>
      <c r="F56" s="74">
        <v>25</v>
      </c>
      <c r="G56" s="101">
        <v>10.95</v>
      </c>
      <c r="H56" s="182">
        <f t="shared" si="3"/>
        <v>273.75</v>
      </c>
      <c r="I56" s="550">
        <f t="shared" si="0"/>
        <v>0.24234159152960214</v>
      </c>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row>
    <row r="57" spans="1:1579" s="50" customFormat="1" hidden="1" x14ac:dyDescent="0.25">
      <c r="A57" s="86"/>
      <c r="B57" s="48" t="s">
        <v>1230</v>
      </c>
      <c r="C57" s="1273" t="s">
        <v>1231</v>
      </c>
      <c r="D57" s="1274"/>
      <c r="E57" s="73" t="s">
        <v>683</v>
      </c>
      <c r="F57" s="74">
        <v>34</v>
      </c>
      <c r="G57" s="101">
        <v>14.02</v>
      </c>
      <c r="H57" s="182">
        <f t="shared" si="3"/>
        <v>476.68</v>
      </c>
      <c r="I57" s="550">
        <f t="shared" si="0"/>
        <v>0.4219886387226694</v>
      </c>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row>
    <row r="58" spans="1:1579" s="50" customFormat="1" hidden="1" x14ac:dyDescent="0.25">
      <c r="A58" s="86"/>
      <c r="B58" s="48" t="s">
        <v>1232</v>
      </c>
      <c r="C58" s="1273" t="s">
        <v>1233</v>
      </c>
      <c r="D58" s="1274"/>
      <c r="E58" s="73" t="s">
        <v>683</v>
      </c>
      <c r="F58" s="74">
        <v>25</v>
      </c>
      <c r="G58" s="101">
        <v>13.03</v>
      </c>
      <c r="H58" s="182">
        <f t="shared" si="3"/>
        <v>325.75</v>
      </c>
      <c r="I58" s="550">
        <f t="shared" si="0"/>
        <v>0.2883754280941293</v>
      </c>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row>
    <row r="59" spans="1:1579" s="94" customFormat="1" ht="15.75" thickBot="1" x14ac:dyDescent="0.3">
      <c r="A59" s="89"/>
      <c r="B59" s="68" t="s">
        <v>887</v>
      </c>
      <c r="C59" s="526" t="s">
        <v>1234</v>
      </c>
      <c r="D59" s="527"/>
      <c r="E59" s="71"/>
      <c r="F59" s="72"/>
      <c r="G59" s="91"/>
      <c r="H59" s="179">
        <f>SUM(H60:H74)</f>
        <v>18986.95</v>
      </c>
      <c r="I59" s="550">
        <f t="shared" si="0"/>
        <v>16.808502945362481</v>
      </c>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c r="GR59" s="93"/>
      <c r="GS59" s="93"/>
      <c r="GT59" s="93"/>
      <c r="GU59" s="93"/>
      <c r="GV59" s="93"/>
      <c r="GW59" s="93"/>
      <c r="GX59" s="93"/>
      <c r="GY59" s="93"/>
      <c r="GZ59" s="93"/>
      <c r="HA59" s="93"/>
      <c r="HB59" s="93"/>
      <c r="HC59" s="93"/>
      <c r="HD59" s="93"/>
      <c r="HE59" s="93"/>
      <c r="HF59" s="93"/>
      <c r="HG59" s="93"/>
      <c r="HH59" s="93"/>
      <c r="HI59" s="93"/>
      <c r="HJ59" s="93"/>
      <c r="HK59" s="93"/>
      <c r="HL59" s="93"/>
      <c r="HM59" s="93"/>
      <c r="HN59" s="93"/>
      <c r="HO59" s="93"/>
      <c r="HP59" s="93"/>
      <c r="HQ59" s="93"/>
      <c r="HR59" s="93"/>
      <c r="HS59" s="93"/>
      <c r="HT59" s="93"/>
      <c r="HU59" s="93"/>
      <c r="HV59" s="93"/>
      <c r="HW59" s="93"/>
      <c r="HX59" s="93"/>
      <c r="HY59" s="93"/>
      <c r="HZ59" s="93"/>
      <c r="IA59" s="93"/>
      <c r="IB59" s="93"/>
      <c r="IC59" s="93"/>
      <c r="ID59" s="93"/>
      <c r="IE59" s="93"/>
      <c r="IF59" s="93"/>
      <c r="IG59" s="93"/>
      <c r="IH59" s="93"/>
      <c r="II59" s="93"/>
      <c r="IJ59" s="93"/>
      <c r="IK59" s="93"/>
      <c r="IL59" s="93"/>
      <c r="IM59" s="93"/>
      <c r="IN59" s="93"/>
      <c r="IO59" s="93"/>
      <c r="IP59" s="93"/>
      <c r="IQ59" s="93"/>
      <c r="IR59" s="93"/>
      <c r="IS59" s="93"/>
      <c r="IT59" s="93"/>
      <c r="IU59" s="93"/>
      <c r="IV59" s="93"/>
      <c r="IW59" s="93"/>
      <c r="IX59" s="93"/>
      <c r="IY59" s="93"/>
      <c r="IZ59" s="93"/>
      <c r="JA59" s="93"/>
      <c r="JB59" s="93"/>
      <c r="JC59" s="93"/>
      <c r="JD59" s="93"/>
      <c r="JE59" s="93"/>
      <c r="JF59" s="93"/>
      <c r="JG59" s="93"/>
      <c r="JH59" s="93"/>
      <c r="JI59" s="93"/>
      <c r="JJ59" s="93"/>
      <c r="JK59" s="93"/>
      <c r="JL59" s="93"/>
      <c r="JM59" s="93"/>
      <c r="JN59" s="93"/>
      <c r="JO59" s="93"/>
      <c r="JP59" s="93"/>
      <c r="JQ59" s="93"/>
      <c r="JR59" s="93"/>
      <c r="JS59" s="93"/>
      <c r="JT59" s="93"/>
      <c r="JU59" s="93"/>
      <c r="JV59" s="93"/>
      <c r="JW59" s="93"/>
      <c r="JX59" s="93"/>
      <c r="JY59" s="93"/>
      <c r="JZ59" s="93"/>
      <c r="KA59" s="93"/>
      <c r="KB59" s="93"/>
      <c r="KC59" s="93"/>
      <c r="KD59" s="93"/>
      <c r="KE59" s="93"/>
      <c r="KF59" s="93"/>
      <c r="KG59" s="93"/>
      <c r="KH59" s="93"/>
      <c r="KI59" s="93"/>
      <c r="KJ59" s="93"/>
      <c r="KK59" s="93"/>
      <c r="KL59" s="93"/>
      <c r="KM59" s="93"/>
      <c r="KN59" s="93"/>
      <c r="KO59" s="93"/>
      <c r="KP59" s="93"/>
      <c r="KQ59" s="93"/>
      <c r="KR59" s="93"/>
      <c r="KS59" s="93"/>
      <c r="KT59" s="93"/>
      <c r="KU59" s="93"/>
      <c r="KV59" s="93"/>
      <c r="KW59" s="93"/>
      <c r="KX59" s="93"/>
      <c r="KY59" s="93"/>
      <c r="KZ59" s="93"/>
      <c r="LA59" s="93"/>
      <c r="LB59" s="93"/>
      <c r="LC59" s="93"/>
      <c r="LD59" s="93"/>
      <c r="LE59" s="93"/>
      <c r="LF59" s="93"/>
      <c r="LG59" s="93"/>
      <c r="LH59" s="93"/>
      <c r="LI59" s="93"/>
      <c r="LJ59" s="93"/>
      <c r="LK59" s="93"/>
      <c r="LL59" s="93"/>
      <c r="LM59" s="93"/>
      <c r="LN59" s="93"/>
      <c r="LO59" s="93"/>
      <c r="LP59" s="93"/>
      <c r="LQ59" s="93"/>
      <c r="LR59" s="93"/>
      <c r="LS59" s="93"/>
      <c r="LT59" s="93"/>
      <c r="LU59" s="93"/>
      <c r="LV59" s="93"/>
      <c r="LW59" s="93"/>
      <c r="LX59" s="93"/>
      <c r="LY59" s="93"/>
      <c r="LZ59" s="93"/>
      <c r="MA59" s="93"/>
      <c r="MB59" s="93"/>
      <c r="MC59" s="93"/>
      <c r="MD59" s="93"/>
      <c r="ME59" s="93"/>
      <c r="MF59" s="93"/>
      <c r="MG59" s="93"/>
      <c r="MH59" s="93"/>
      <c r="MI59" s="93"/>
      <c r="MJ59" s="93"/>
      <c r="MK59" s="93"/>
      <c r="ML59" s="93"/>
      <c r="MM59" s="93"/>
      <c r="MN59" s="93"/>
      <c r="MO59" s="93"/>
      <c r="MP59" s="93"/>
      <c r="MQ59" s="93"/>
      <c r="MR59" s="93"/>
      <c r="MS59" s="93"/>
      <c r="MT59" s="93"/>
      <c r="MU59" s="93"/>
      <c r="MV59" s="93"/>
      <c r="MW59" s="93"/>
      <c r="MX59" s="93"/>
      <c r="MY59" s="93"/>
      <c r="MZ59" s="93"/>
      <c r="NA59" s="93"/>
      <c r="NB59" s="93"/>
      <c r="NC59" s="93"/>
      <c r="ND59" s="93"/>
      <c r="NE59" s="93"/>
      <c r="NF59" s="93"/>
      <c r="NG59" s="93"/>
      <c r="NH59" s="93"/>
      <c r="NI59" s="93"/>
      <c r="NJ59" s="93"/>
      <c r="NK59" s="93"/>
      <c r="NL59" s="93"/>
      <c r="NM59" s="93"/>
      <c r="NN59" s="93"/>
      <c r="NO59" s="93"/>
      <c r="NP59" s="93"/>
      <c r="NQ59" s="93"/>
      <c r="NR59" s="93"/>
      <c r="NS59" s="93"/>
      <c r="NT59" s="93"/>
      <c r="NU59" s="93"/>
      <c r="NV59" s="93"/>
      <c r="NW59" s="93"/>
      <c r="NX59" s="93"/>
      <c r="NY59" s="93"/>
      <c r="NZ59" s="93"/>
      <c r="OA59" s="93"/>
      <c r="OB59" s="93"/>
      <c r="OC59" s="93"/>
      <c r="OD59" s="93"/>
      <c r="OE59" s="93"/>
      <c r="OF59" s="93"/>
      <c r="OG59" s="93"/>
      <c r="OH59" s="93"/>
      <c r="OI59" s="93"/>
      <c r="OJ59" s="93"/>
      <c r="OK59" s="93"/>
      <c r="OL59" s="93"/>
      <c r="OM59" s="93"/>
      <c r="ON59" s="93"/>
      <c r="OO59" s="93"/>
      <c r="OP59" s="93"/>
      <c r="OQ59" s="93"/>
      <c r="OR59" s="93"/>
      <c r="OS59" s="93"/>
      <c r="OT59" s="93"/>
      <c r="OU59" s="93"/>
      <c r="OV59" s="93"/>
      <c r="OW59" s="93"/>
      <c r="OX59" s="93"/>
      <c r="OY59" s="93"/>
      <c r="OZ59" s="93"/>
      <c r="PA59" s="93"/>
      <c r="PB59" s="93"/>
      <c r="PC59" s="93"/>
      <c r="PD59" s="93"/>
      <c r="PE59" s="93"/>
      <c r="PF59" s="93"/>
      <c r="PG59" s="93"/>
      <c r="PH59" s="93"/>
      <c r="PI59" s="93"/>
      <c r="PJ59" s="93"/>
      <c r="PK59" s="93"/>
      <c r="PL59" s="93"/>
      <c r="PM59" s="93"/>
      <c r="PN59" s="93"/>
      <c r="PO59" s="93"/>
      <c r="PP59" s="93"/>
      <c r="PQ59" s="93"/>
      <c r="PR59" s="93"/>
      <c r="PS59" s="93"/>
      <c r="PT59" s="93"/>
      <c r="PU59" s="93"/>
      <c r="PV59" s="93"/>
      <c r="PW59" s="93"/>
      <c r="PX59" s="93"/>
      <c r="PY59" s="93"/>
      <c r="PZ59" s="93"/>
      <c r="QA59" s="93"/>
      <c r="QB59" s="93"/>
      <c r="QC59" s="93"/>
      <c r="QD59" s="93"/>
      <c r="QE59" s="93"/>
      <c r="QF59" s="93"/>
      <c r="QG59" s="93"/>
      <c r="QH59" s="93"/>
      <c r="QI59" s="93"/>
      <c r="QJ59" s="93"/>
      <c r="QK59" s="93"/>
      <c r="QL59" s="93"/>
      <c r="QM59" s="93"/>
      <c r="QN59" s="93"/>
      <c r="QO59" s="93"/>
      <c r="QP59" s="93"/>
      <c r="QQ59" s="93"/>
      <c r="QR59" s="93"/>
      <c r="QS59" s="93"/>
      <c r="QT59" s="93"/>
      <c r="QU59" s="93"/>
      <c r="QV59" s="93"/>
      <c r="QW59" s="93"/>
      <c r="QX59" s="93"/>
      <c r="QY59" s="93"/>
      <c r="QZ59" s="93"/>
      <c r="RA59" s="93"/>
      <c r="RB59" s="93"/>
      <c r="RC59" s="93"/>
      <c r="RD59" s="93"/>
      <c r="RE59" s="93"/>
      <c r="RF59" s="93"/>
      <c r="RG59" s="93"/>
      <c r="RH59" s="93"/>
      <c r="RI59" s="93"/>
      <c r="RJ59" s="93"/>
      <c r="RK59" s="93"/>
      <c r="RL59" s="93"/>
      <c r="RM59" s="93"/>
      <c r="RN59" s="93"/>
      <c r="RO59" s="93"/>
      <c r="RP59" s="93"/>
      <c r="RQ59" s="93"/>
      <c r="RR59" s="93"/>
      <c r="RS59" s="93"/>
      <c r="RT59" s="93"/>
      <c r="RU59" s="93"/>
      <c r="RV59" s="93"/>
      <c r="RW59" s="93"/>
      <c r="RX59" s="93"/>
      <c r="RY59" s="93"/>
      <c r="RZ59" s="93"/>
      <c r="SA59" s="93"/>
      <c r="SB59" s="93"/>
      <c r="SC59" s="93"/>
      <c r="SD59" s="93"/>
      <c r="SE59" s="93"/>
      <c r="SF59" s="93"/>
      <c r="SG59" s="93"/>
      <c r="SH59" s="93"/>
      <c r="SI59" s="93"/>
      <c r="SJ59" s="93"/>
      <c r="SK59" s="93"/>
      <c r="SL59" s="93"/>
      <c r="SM59" s="93"/>
      <c r="SN59" s="93"/>
      <c r="SO59" s="93"/>
      <c r="SP59" s="93"/>
      <c r="SQ59" s="93"/>
      <c r="SR59" s="93"/>
      <c r="SS59" s="93"/>
      <c r="ST59" s="93"/>
      <c r="SU59" s="93"/>
      <c r="SV59" s="93"/>
      <c r="SW59" s="93"/>
      <c r="SX59" s="93"/>
      <c r="SY59" s="93"/>
      <c r="SZ59" s="93"/>
      <c r="TA59" s="93"/>
      <c r="TB59" s="93"/>
      <c r="TC59" s="93"/>
      <c r="TD59" s="93"/>
      <c r="TE59" s="93"/>
      <c r="TF59" s="93"/>
      <c r="TG59" s="93"/>
      <c r="TH59" s="93"/>
      <c r="TI59" s="93"/>
      <c r="TJ59" s="93"/>
      <c r="TK59" s="93"/>
      <c r="TL59" s="93"/>
      <c r="TM59" s="93"/>
      <c r="TN59" s="93"/>
      <c r="TO59" s="93"/>
      <c r="TP59" s="93"/>
      <c r="TQ59" s="93"/>
      <c r="TR59" s="93"/>
      <c r="TS59" s="93"/>
      <c r="TT59" s="93"/>
      <c r="TU59" s="93"/>
      <c r="TV59" s="93"/>
      <c r="TW59" s="93"/>
      <c r="TX59" s="93"/>
      <c r="TY59" s="93"/>
      <c r="TZ59" s="93"/>
      <c r="UA59" s="93"/>
      <c r="UB59" s="93"/>
      <c r="UC59" s="93"/>
      <c r="UD59" s="93"/>
      <c r="UE59" s="93"/>
      <c r="UF59" s="93"/>
      <c r="UG59" s="93"/>
      <c r="UH59" s="93"/>
      <c r="UI59" s="93"/>
      <c r="UJ59" s="93"/>
      <c r="UK59" s="93"/>
      <c r="UL59" s="93"/>
      <c r="UM59" s="93"/>
      <c r="UN59" s="93"/>
      <c r="UO59" s="93"/>
      <c r="UP59" s="93"/>
      <c r="UQ59" s="93"/>
      <c r="UR59" s="93"/>
      <c r="US59" s="93"/>
      <c r="UT59" s="93"/>
      <c r="UU59" s="93"/>
      <c r="UV59" s="93"/>
      <c r="UW59" s="93"/>
      <c r="UX59" s="93"/>
      <c r="UY59" s="93"/>
      <c r="UZ59" s="93"/>
      <c r="VA59" s="93"/>
      <c r="VB59" s="93"/>
      <c r="VC59" s="93"/>
      <c r="VD59" s="93"/>
      <c r="VE59" s="93"/>
      <c r="VF59" s="93"/>
      <c r="VG59" s="93"/>
      <c r="VH59" s="93"/>
      <c r="VI59" s="93"/>
      <c r="VJ59" s="93"/>
      <c r="VK59" s="93"/>
      <c r="VL59" s="93"/>
      <c r="VM59" s="93"/>
      <c r="VN59" s="93"/>
      <c r="VO59" s="93"/>
      <c r="VP59" s="93"/>
      <c r="VQ59" s="93"/>
      <c r="VR59" s="93"/>
      <c r="VS59" s="93"/>
      <c r="VT59" s="93"/>
      <c r="VU59" s="93"/>
      <c r="VV59" s="93"/>
      <c r="VW59" s="93"/>
      <c r="VX59" s="93"/>
      <c r="VY59" s="93"/>
      <c r="VZ59" s="93"/>
      <c r="WA59" s="93"/>
      <c r="WB59" s="93"/>
      <c r="WC59" s="93"/>
      <c r="WD59" s="93"/>
      <c r="WE59" s="93"/>
      <c r="WF59" s="93"/>
      <c r="WG59" s="93"/>
      <c r="WH59" s="93"/>
      <c r="WI59" s="93"/>
      <c r="WJ59" s="93"/>
      <c r="WK59" s="93"/>
      <c r="WL59" s="93"/>
      <c r="WM59" s="93"/>
      <c r="WN59" s="93"/>
      <c r="WO59" s="93"/>
      <c r="WP59" s="93"/>
      <c r="WQ59" s="93"/>
      <c r="WR59" s="93"/>
      <c r="WS59" s="93"/>
      <c r="WT59" s="93"/>
      <c r="WU59" s="93"/>
      <c r="WV59" s="93"/>
      <c r="WW59" s="93"/>
      <c r="WX59" s="93"/>
      <c r="WY59" s="93"/>
      <c r="WZ59" s="93"/>
      <c r="XA59" s="93"/>
      <c r="XB59" s="93"/>
      <c r="XC59" s="93"/>
      <c r="XD59" s="93"/>
      <c r="XE59" s="93"/>
      <c r="XF59" s="93"/>
      <c r="XG59" s="93"/>
      <c r="XH59" s="93"/>
      <c r="XI59" s="93"/>
      <c r="XJ59" s="93"/>
      <c r="XK59" s="93"/>
      <c r="XL59" s="93"/>
      <c r="XM59" s="93"/>
      <c r="XN59" s="93"/>
      <c r="XO59" s="93"/>
      <c r="XP59" s="93"/>
      <c r="XQ59" s="93"/>
      <c r="XR59" s="93"/>
      <c r="XS59" s="93"/>
      <c r="XT59" s="93"/>
      <c r="XU59" s="93"/>
      <c r="XV59" s="93"/>
      <c r="XW59" s="93"/>
      <c r="XX59" s="93"/>
      <c r="XY59" s="93"/>
      <c r="XZ59" s="93"/>
      <c r="YA59" s="93"/>
      <c r="YB59" s="93"/>
      <c r="YC59" s="93"/>
      <c r="YD59" s="93"/>
      <c r="YE59" s="93"/>
      <c r="YF59" s="93"/>
      <c r="YG59" s="93"/>
      <c r="YH59" s="93"/>
      <c r="YI59" s="93"/>
      <c r="YJ59" s="93"/>
      <c r="YK59" s="93"/>
      <c r="YL59" s="93"/>
      <c r="YM59" s="93"/>
      <c r="YN59" s="93"/>
      <c r="YO59" s="93"/>
      <c r="YP59" s="93"/>
      <c r="YQ59" s="93"/>
      <c r="YR59" s="93"/>
      <c r="YS59" s="93"/>
      <c r="YT59" s="93"/>
      <c r="YU59" s="93"/>
      <c r="YV59" s="93"/>
      <c r="YW59" s="93"/>
      <c r="YX59" s="93"/>
      <c r="YY59" s="93"/>
      <c r="YZ59" s="93"/>
      <c r="ZA59" s="93"/>
      <c r="ZB59" s="93"/>
      <c r="ZC59" s="93"/>
      <c r="ZD59" s="93"/>
      <c r="ZE59" s="93"/>
      <c r="ZF59" s="93"/>
      <c r="ZG59" s="93"/>
      <c r="ZH59" s="93"/>
      <c r="ZI59" s="93"/>
      <c r="ZJ59" s="93"/>
      <c r="ZK59" s="93"/>
      <c r="ZL59" s="93"/>
      <c r="ZM59" s="93"/>
      <c r="ZN59" s="93"/>
      <c r="ZO59" s="93"/>
      <c r="ZP59" s="93"/>
      <c r="ZQ59" s="93"/>
      <c r="ZR59" s="93"/>
      <c r="ZS59" s="93"/>
      <c r="ZT59" s="93"/>
      <c r="ZU59" s="93"/>
      <c r="ZV59" s="93"/>
      <c r="ZW59" s="93"/>
      <c r="ZX59" s="93"/>
      <c r="ZY59" s="93"/>
      <c r="ZZ59" s="93"/>
      <c r="AAA59" s="93"/>
      <c r="AAB59" s="93"/>
      <c r="AAC59" s="93"/>
      <c r="AAD59" s="93"/>
      <c r="AAE59" s="93"/>
      <c r="AAF59" s="93"/>
      <c r="AAG59" s="93"/>
      <c r="AAH59" s="93"/>
      <c r="AAI59" s="93"/>
      <c r="AAJ59" s="93"/>
      <c r="AAK59" s="93"/>
      <c r="AAL59" s="93"/>
      <c r="AAM59" s="93"/>
      <c r="AAN59" s="93"/>
      <c r="AAO59" s="93"/>
      <c r="AAP59" s="93"/>
      <c r="AAQ59" s="93"/>
      <c r="AAR59" s="93"/>
      <c r="AAS59" s="93"/>
      <c r="AAT59" s="93"/>
      <c r="AAU59" s="93"/>
      <c r="AAV59" s="93"/>
      <c r="AAW59" s="93"/>
      <c r="AAX59" s="93"/>
      <c r="AAY59" s="93"/>
      <c r="AAZ59" s="93"/>
      <c r="ABA59" s="93"/>
      <c r="ABB59" s="93"/>
      <c r="ABC59" s="93"/>
      <c r="ABD59" s="93"/>
      <c r="ABE59" s="93"/>
      <c r="ABF59" s="93"/>
      <c r="ABG59" s="93"/>
      <c r="ABH59" s="93"/>
      <c r="ABI59" s="93"/>
      <c r="ABJ59" s="93"/>
      <c r="ABK59" s="93"/>
      <c r="ABL59" s="93"/>
      <c r="ABM59" s="93"/>
      <c r="ABN59" s="93"/>
      <c r="ABO59" s="93"/>
      <c r="ABP59" s="93"/>
      <c r="ABQ59" s="93"/>
      <c r="ABR59" s="93"/>
      <c r="ABS59" s="93"/>
      <c r="ABT59" s="93"/>
      <c r="ABU59" s="93"/>
      <c r="ABV59" s="93"/>
      <c r="ABW59" s="93"/>
      <c r="ABX59" s="93"/>
      <c r="ABY59" s="93"/>
      <c r="ABZ59" s="93"/>
      <c r="ACA59" s="93"/>
      <c r="ACB59" s="93"/>
      <c r="ACC59" s="93"/>
      <c r="ACD59" s="93"/>
      <c r="ACE59" s="93"/>
      <c r="ACF59" s="93"/>
      <c r="ACG59" s="93"/>
      <c r="ACH59" s="93"/>
      <c r="ACI59" s="93"/>
      <c r="ACJ59" s="93"/>
      <c r="ACK59" s="93"/>
      <c r="ACL59" s="93"/>
      <c r="ACM59" s="93"/>
      <c r="ACN59" s="93"/>
      <c r="ACO59" s="93"/>
      <c r="ACP59" s="93"/>
      <c r="ACQ59" s="93"/>
      <c r="ACR59" s="93"/>
      <c r="ACS59" s="93"/>
      <c r="ACT59" s="93"/>
      <c r="ACU59" s="93"/>
      <c r="ACV59" s="93"/>
      <c r="ACW59" s="93"/>
      <c r="ACX59" s="93"/>
      <c r="ACY59" s="93"/>
      <c r="ACZ59" s="93"/>
      <c r="ADA59" s="93"/>
      <c r="ADB59" s="93"/>
      <c r="ADC59" s="93"/>
      <c r="ADD59" s="93"/>
      <c r="ADE59" s="93"/>
      <c r="ADF59" s="93"/>
      <c r="ADG59" s="93"/>
      <c r="ADH59" s="93"/>
      <c r="ADI59" s="93"/>
      <c r="ADJ59" s="93"/>
      <c r="ADK59" s="93"/>
      <c r="ADL59" s="93"/>
      <c r="ADM59" s="93"/>
      <c r="ADN59" s="93"/>
      <c r="ADO59" s="93"/>
      <c r="ADP59" s="93"/>
      <c r="ADQ59" s="93"/>
      <c r="ADR59" s="93"/>
      <c r="ADS59" s="93"/>
      <c r="ADT59" s="93"/>
      <c r="ADU59" s="93"/>
      <c r="ADV59" s="93"/>
      <c r="ADW59" s="93"/>
      <c r="ADX59" s="93"/>
      <c r="ADY59" s="93"/>
      <c r="ADZ59" s="93"/>
      <c r="AEA59" s="93"/>
      <c r="AEB59" s="93"/>
      <c r="AEC59" s="93"/>
      <c r="AED59" s="93"/>
      <c r="AEE59" s="93"/>
      <c r="AEF59" s="93"/>
      <c r="AEG59" s="93"/>
      <c r="AEH59" s="93"/>
      <c r="AEI59" s="93"/>
      <c r="AEJ59" s="93"/>
      <c r="AEK59" s="93"/>
      <c r="AEL59" s="93"/>
      <c r="AEM59" s="93"/>
      <c r="AEN59" s="93"/>
      <c r="AEO59" s="93"/>
      <c r="AEP59" s="93"/>
      <c r="AEQ59" s="93"/>
      <c r="AER59" s="93"/>
      <c r="AES59" s="93"/>
      <c r="AET59" s="93"/>
      <c r="AEU59" s="93"/>
      <c r="AEV59" s="93"/>
      <c r="AEW59" s="93"/>
      <c r="AEX59" s="93"/>
      <c r="AEY59" s="93"/>
      <c r="AEZ59" s="93"/>
      <c r="AFA59" s="93"/>
      <c r="AFB59" s="93"/>
      <c r="AFC59" s="93"/>
      <c r="AFD59" s="93"/>
      <c r="AFE59" s="93"/>
      <c r="AFF59" s="93"/>
      <c r="AFG59" s="93"/>
      <c r="AFH59" s="93"/>
      <c r="AFI59" s="93"/>
      <c r="AFJ59" s="93"/>
      <c r="AFK59" s="93"/>
      <c r="AFL59" s="93"/>
      <c r="AFM59" s="93"/>
      <c r="AFN59" s="93"/>
      <c r="AFO59" s="93"/>
      <c r="AFP59" s="93"/>
      <c r="AFQ59" s="93"/>
      <c r="AFR59" s="93"/>
      <c r="AFS59" s="93"/>
      <c r="AFT59" s="93"/>
      <c r="AFU59" s="93"/>
      <c r="AFV59" s="93"/>
      <c r="AFW59" s="93"/>
      <c r="AFX59" s="93"/>
      <c r="AFY59" s="93"/>
      <c r="AFZ59" s="93"/>
      <c r="AGA59" s="93"/>
      <c r="AGB59" s="93"/>
      <c r="AGC59" s="93"/>
      <c r="AGD59" s="93"/>
      <c r="AGE59" s="93"/>
      <c r="AGF59" s="93"/>
      <c r="AGG59" s="93"/>
      <c r="AGH59" s="93"/>
      <c r="AGI59" s="93"/>
      <c r="AGJ59" s="93"/>
      <c r="AGK59" s="93"/>
      <c r="AGL59" s="93"/>
      <c r="AGM59" s="93"/>
      <c r="AGN59" s="93"/>
      <c r="AGO59" s="93"/>
      <c r="AGP59" s="93"/>
      <c r="AGQ59" s="93"/>
      <c r="AGR59" s="93"/>
      <c r="AGS59" s="93"/>
      <c r="AGT59" s="93"/>
      <c r="AGU59" s="93"/>
      <c r="AGV59" s="93"/>
      <c r="AGW59" s="93"/>
      <c r="AGX59" s="93"/>
      <c r="AGY59" s="93"/>
      <c r="AGZ59" s="93"/>
      <c r="AHA59" s="93"/>
      <c r="AHB59" s="93"/>
      <c r="AHC59" s="93"/>
      <c r="AHD59" s="93"/>
      <c r="AHE59" s="93"/>
      <c r="AHF59" s="93"/>
      <c r="AHG59" s="93"/>
      <c r="AHH59" s="93"/>
      <c r="AHI59" s="93"/>
      <c r="AHJ59" s="93"/>
      <c r="AHK59" s="93"/>
      <c r="AHL59" s="93"/>
      <c r="AHM59" s="93"/>
      <c r="AHN59" s="93"/>
      <c r="AHO59" s="93"/>
      <c r="AHP59" s="93"/>
      <c r="AHQ59" s="93"/>
      <c r="AHR59" s="93"/>
      <c r="AHS59" s="93"/>
      <c r="AHT59" s="93"/>
      <c r="AHU59" s="93"/>
      <c r="AHV59" s="93"/>
      <c r="AHW59" s="93"/>
      <c r="AHX59" s="93"/>
      <c r="AHY59" s="93"/>
      <c r="AHZ59" s="93"/>
      <c r="AIA59" s="93"/>
      <c r="AIB59" s="93"/>
      <c r="AIC59" s="93"/>
      <c r="AID59" s="93"/>
      <c r="AIE59" s="93"/>
      <c r="AIF59" s="93"/>
      <c r="AIG59" s="93"/>
      <c r="AIH59" s="93"/>
      <c r="AII59" s="93"/>
      <c r="AIJ59" s="93"/>
      <c r="AIK59" s="93"/>
      <c r="AIL59" s="93"/>
      <c r="AIM59" s="93"/>
      <c r="AIN59" s="93"/>
      <c r="AIO59" s="93"/>
      <c r="AIP59" s="93"/>
      <c r="AIQ59" s="93"/>
      <c r="AIR59" s="93"/>
      <c r="AIS59" s="93"/>
      <c r="AIT59" s="93"/>
      <c r="AIU59" s="93"/>
      <c r="AIV59" s="93"/>
      <c r="AIW59" s="93"/>
      <c r="AIX59" s="93"/>
      <c r="AIY59" s="93"/>
      <c r="AIZ59" s="93"/>
      <c r="AJA59" s="93"/>
      <c r="AJB59" s="93"/>
      <c r="AJC59" s="93"/>
      <c r="AJD59" s="93"/>
      <c r="AJE59" s="93"/>
      <c r="AJF59" s="93"/>
      <c r="AJG59" s="93"/>
      <c r="AJH59" s="93"/>
      <c r="AJI59" s="93"/>
      <c r="AJJ59" s="93"/>
      <c r="AJK59" s="93"/>
      <c r="AJL59" s="93"/>
      <c r="AJM59" s="93"/>
      <c r="AJN59" s="93"/>
      <c r="AJO59" s="93"/>
      <c r="AJP59" s="93"/>
      <c r="AJQ59" s="93"/>
      <c r="AJR59" s="93"/>
      <c r="AJS59" s="93"/>
      <c r="AJT59" s="93"/>
      <c r="AJU59" s="93"/>
      <c r="AJV59" s="93"/>
      <c r="AJW59" s="93"/>
      <c r="AJX59" s="93"/>
      <c r="AJY59" s="93"/>
      <c r="AJZ59" s="93"/>
      <c r="AKA59" s="93"/>
      <c r="AKB59" s="93"/>
      <c r="AKC59" s="93"/>
      <c r="AKD59" s="93"/>
      <c r="AKE59" s="93"/>
      <c r="AKF59" s="93"/>
      <c r="AKG59" s="93"/>
      <c r="AKH59" s="93"/>
      <c r="AKI59" s="93"/>
      <c r="AKJ59" s="93"/>
      <c r="AKK59" s="93"/>
      <c r="AKL59" s="93"/>
      <c r="AKM59" s="93"/>
      <c r="AKN59" s="93"/>
      <c r="AKO59" s="93"/>
      <c r="AKP59" s="93"/>
      <c r="AKQ59" s="93"/>
      <c r="AKR59" s="93"/>
      <c r="AKS59" s="93"/>
      <c r="AKT59" s="93"/>
      <c r="AKU59" s="93"/>
      <c r="AKV59" s="93"/>
      <c r="AKW59" s="93"/>
      <c r="AKX59" s="93"/>
      <c r="AKY59" s="93"/>
      <c r="AKZ59" s="93"/>
      <c r="ALA59" s="93"/>
      <c r="ALB59" s="93"/>
      <c r="ALC59" s="93"/>
      <c r="ALD59" s="93"/>
      <c r="ALE59" s="93"/>
      <c r="ALF59" s="93"/>
      <c r="ALG59" s="93"/>
      <c r="ALH59" s="93"/>
      <c r="ALI59" s="93"/>
      <c r="ALJ59" s="93"/>
      <c r="ALK59" s="93"/>
      <c r="ALL59" s="93"/>
      <c r="ALM59" s="93"/>
      <c r="ALN59" s="93"/>
      <c r="ALO59" s="93"/>
      <c r="ALP59" s="93"/>
      <c r="ALQ59" s="93"/>
      <c r="ALR59" s="93"/>
      <c r="ALS59" s="93"/>
      <c r="ALT59" s="93"/>
      <c r="ALU59" s="93"/>
      <c r="ALV59" s="93"/>
      <c r="ALW59" s="93"/>
      <c r="ALX59" s="93"/>
      <c r="ALY59" s="93"/>
      <c r="ALZ59" s="93"/>
      <c r="AMA59" s="93"/>
      <c r="AMB59" s="93"/>
      <c r="AMC59" s="93"/>
      <c r="AMD59" s="93"/>
      <c r="AME59" s="93"/>
      <c r="AMF59" s="93"/>
      <c r="AMG59" s="93"/>
      <c r="AMH59" s="93"/>
      <c r="AMI59" s="93"/>
      <c r="AMJ59" s="93"/>
      <c r="AMK59" s="93"/>
      <c r="AML59" s="93"/>
      <c r="AMM59" s="93"/>
      <c r="AMN59" s="93"/>
      <c r="AMO59" s="93"/>
      <c r="AMP59" s="93"/>
      <c r="AMQ59" s="93"/>
      <c r="AMR59" s="93"/>
      <c r="AMS59" s="93"/>
      <c r="AMT59" s="93"/>
      <c r="AMU59" s="93"/>
      <c r="AMV59" s="93"/>
      <c r="AMW59" s="93"/>
      <c r="AMX59" s="93"/>
      <c r="AMY59" s="93"/>
      <c r="AMZ59" s="93"/>
      <c r="ANA59" s="93"/>
      <c r="ANB59" s="93"/>
      <c r="ANC59" s="93"/>
      <c r="AND59" s="93"/>
      <c r="ANE59" s="93"/>
      <c r="ANF59" s="93"/>
      <c r="ANG59" s="93"/>
      <c r="ANH59" s="93"/>
      <c r="ANI59" s="93"/>
      <c r="ANJ59" s="93"/>
      <c r="ANK59" s="93"/>
      <c r="ANL59" s="93"/>
      <c r="ANM59" s="93"/>
      <c r="ANN59" s="93"/>
      <c r="ANO59" s="93"/>
      <c r="ANP59" s="93"/>
      <c r="ANQ59" s="93"/>
      <c r="ANR59" s="93"/>
      <c r="ANS59" s="93"/>
      <c r="ANT59" s="93"/>
      <c r="ANU59" s="93"/>
      <c r="ANV59" s="93"/>
      <c r="ANW59" s="93"/>
      <c r="ANX59" s="93"/>
      <c r="ANY59" s="93"/>
      <c r="ANZ59" s="93"/>
      <c r="AOA59" s="93"/>
      <c r="AOB59" s="93"/>
      <c r="AOC59" s="93"/>
      <c r="AOD59" s="93"/>
      <c r="AOE59" s="93"/>
      <c r="AOF59" s="93"/>
      <c r="AOG59" s="93"/>
      <c r="AOH59" s="93"/>
      <c r="AOI59" s="93"/>
      <c r="AOJ59" s="93"/>
      <c r="AOK59" s="93"/>
      <c r="AOL59" s="93"/>
      <c r="AOM59" s="93"/>
      <c r="AON59" s="93"/>
      <c r="AOO59" s="93"/>
      <c r="AOP59" s="93"/>
      <c r="AOQ59" s="93"/>
      <c r="AOR59" s="93"/>
      <c r="AOS59" s="93"/>
      <c r="AOT59" s="93"/>
      <c r="AOU59" s="93"/>
      <c r="AOV59" s="93"/>
      <c r="AOW59" s="93"/>
      <c r="AOX59" s="93"/>
      <c r="AOY59" s="93"/>
      <c r="AOZ59" s="93"/>
      <c r="APA59" s="93"/>
      <c r="APB59" s="93"/>
      <c r="APC59" s="93"/>
      <c r="APD59" s="93"/>
      <c r="APE59" s="93"/>
      <c r="APF59" s="93"/>
      <c r="APG59" s="93"/>
      <c r="APH59" s="93"/>
      <c r="API59" s="93"/>
      <c r="APJ59" s="93"/>
      <c r="APK59" s="93"/>
      <c r="APL59" s="93"/>
      <c r="APM59" s="93"/>
      <c r="APN59" s="93"/>
      <c r="APO59" s="93"/>
      <c r="APP59" s="93"/>
      <c r="APQ59" s="93"/>
      <c r="APR59" s="93"/>
      <c r="APS59" s="93"/>
      <c r="APT59" s="93"/>
      <c r="APU59" s="93"/>
      <c r="APV59" s="93"/>
      <c r="APW59" s="93"/>
      <c r="APX59" s="93"/>
      <c r="APY59" s="93"/>
      <c r="APZ59" s="93"/>
      <c r="AQA59" s="93"/>
      <c r="AQB59" s="93"/>
      <c r="AQC59" s="93"/>
      <c r="AQD59" s="93"/>
      <c r="AQE59" s="93"/>
      <c r="AQF59" s="93"/>
      <c r="AQG59" s="93"/>
      <c r="AQH59" s="93"/>
      <c r="AQI59" s="93"/>
      <c r="AQJ59" s="93"/>
      <c r="AQK59" s="93"/>
      <c r="AQL59" s="93"/>
      <c r="AQM59" s="93"/>
      <c r="AQN59" s="93"/>
      <c r="AQO59" s="93"/>
      <c r="AQP59" s="93"/>
      <c r="AQQ59" s="93"/>
      <c r="AQR59" s="93"/>
      <c r="AQS59" s="93"/>
      <c r="AQT59" s="93"/>
      <c r="AQU59" s="93"/>
      <c r="AQV59" s="93"/>
      <c r="AQW59" s="93"/>
      <c r="AQX59" s="93"/>
      <c r="AQY59" s="93"/>
      <c r="AQZ59" s="93"/>
      <c r="ARA59" s="93"/>
      <c r="ARB59" s="93"/>
      <c r="ARC59" s="93"/>
      <c r="ARD59" s="93"/>
      <c r="ARE59" s="93"/>
      <c r="ARF59" s="93"/>
      <c r="ARG59" s="93"/>
      <c r="ARH59" s="93"/>
      <c r="ARI59" s="93"/>
      <c r="ARJ59" s="93"/>
      <c r="ARK59" s="93"/>
      <c r="ARL59" s="93"/>
      <c r="ARM59" s="93"/>
      <c r="ARN59" s="93"/>
      <c r="ARO59" s="93"/>
      <c r="ARP59" s="93"/>
      <c r="ARQ59" s="93"/>
      <c r="ARR59" s="93"/>
      <c r="ARS59" s="93"/>
      <c r="ART59" s="93"/>
      <c r="ARU59" s="93"/>
      <c r="ARV59" s="93"/>
      <c r="ARW59" s="93"/>
      <c r="ARX59" s="93"/>
      <c r="ARY59" s="93"/>
      <c r="ARZ59" s="93"/>
      <c r="ASA59" s="93"/>
      <c r="ASB59" s="93"/>
      <c r="ASC59" s="93"/>
      <c r="ASD59" s="93"/>
      <c r="ASE59" s="93"/>
      <c r="ASF59" s="93"/>
      <c r="ASG59" s="93"/>
      <c r="ASH59" s="93"/>
      <c r="ASI59" s="93"/>
      <c r="ASJ59" s="93"/>
      <c r="ASK59" s="93"/>
      <c r="ASL59" s="93"/>
      <c r="ASM59" s="93"/>
      <c r="ASN59" s="93"/>
      <c r="ASO59" s="93"/>
      <c r="ASP59" s="93"/>
      <c r="ASQ59" s="93"/>
      <c r="ASR59" s="93"/>
      <c r="ASS59" s="93"/>
      <c r="AST59" s="93"/>
      <c r="ASU59" s="93"/>
      <c r="ASV59" s="93"/>
      <c r="ASW59" s="93"/>
      <c r="ASX59" s="93"/>
      <c r="ASY59" s="93"/>
      <c r="ASZ59" s="93"/>
      <c r="ATA59" s="93"/>
      <c r="ATB59" s="93"/>
      <c r="ATC59" s="93"/>
      <c r="ATD59" s="93"/>
      <c r="ATE59" s="93"/>
      <c r="ATF59" s="93"/>
      <c r="ATG59" s="93"/>
      <c r="ATH59" s="93"/>
      <c r="ATI59" s="93"/>
      <c r="ATJ59" s="93"/>
      <c r="ATK59" s="93"/>
      <c r="ATL59" s="93"/>
      <c r="ATM59" s="93"/>
      <c r="ATN59" s="93"/>
      <c r="ATO59" s="93"/>
      <c r="ATP59" s="93"/>
      <c r="ATQ59" s="93"/>
      <c r="ATR59" s="93"/>
      <c r="ATS59" s="93"/>
      <c r="ATT59" s="93"/>
      <c r="ATU59" s="93"/>
      <c r="ATV59" s="93"/>
      <c r="ATW59" s="93"/>
      <c r="ATX59" s="93"/>
      <c r="ATY59" s="93"/>
      <c r="ATZ59" s="93"/>
      <c r="AUA59" s="93"/>
      <c r="AUB59" s="93"/>
      <c r="AUC59" s="93"/>
      <c r="AUD59" s="93"/>
      <c r="AUE59" s="93"/>
      <c r="AUF59" s="93"/>
      <c r="AUG59" s="93"/>
      <c r="AUH59" s="93"/>
      <c r="AUI59" s="93"/>
      <c r="AUJ59" s="93"/>
      <c r="AUK59" s="93"/>
      <c r="AUL59" s="93"/>
      <c r="AUM59" s="93"/>
      <c r="AUN59" s="93"/>
      <c r="AUO59" s="93"/>
      <c r="AUP59" s="93"/>
      <c r="AUQ59" s="93"/>
      <c r="AUR59" s="93"/>
      <c r="AUS59" s="93"/>
      <c r="AUT59" s="93"/>
      <c r="AUU59" s="93"/>
      <c r="AUV59" s="93"/>
      <c r="AUW59" s="93"/>
      <c r="AUX59" s="93"/>
      <c r="AUY59" s="93"/>
      <c r="AUZ59" s="93"/>
      <c r="AVA59" s="93"/>
      <c r="AVB59" s="93"/>
      <c r="AVC59" s="93"/>
      <c r="AVD59" s="93"/>
      <c r="AVE59" s="93"/>
      <c r="AVF59" s="93"/>
      <c r="AVG59" s="93"/>
      <c r="AVH59" s="93"/>
      <c r="AVI59" s="93"/>
      <c r="AVJ59" s="93"/>
      <c r="AVK59" s="93"/>
      <c r="AVL59" s="93"/>
      <c r="AVM59" s="93"/>
      <c r="AVN59" s="93"/>
      <c r="AVO59" s="93"/>
      <c r="AVP59" s="93"/>
      <c r="AVQ59" s="93"/>
      <c r="AVR59" s="93"/>
      <c r="AVS59" s="93"/>
      <c r="AVT59" s="93"/>
      <c r="AVU59" s="93"/>
      <c r="AVV59" s="93"/>
      <c r="AVW59" s="93"/>
      <c r="AVX59" s="93"/>
      <c r="AVY59" s="93"/>
      <c r="AVZ59" s="93"/>
      <c r="AWA59" s="93"/>
      <c r="AWB59" s="93"/>
      <c r="AWC59" s="93"/>
      <c r="AWD59" s="93"/>
      <c r="AWE59" s="93"/>
      <c r="AWF59" s="93"/>
      <c r="AWG59" s="93"/>
      <c r="AWH59" s="93"/>
      <c r="AWI59" s="93"/>
      <c r="AWJ59" s="93"/>
      <c r="AWK59" s="93"/>
      <c r="AWL59" s="93"/>
      <c r="AWM59" s="93"/>
      <c r="AWN59" s="93"/>
      <c r="AWO59" s="93"/>
      <c r="AWP59" s="93"/>
      <c r="AWQ59" s="93"/>
      <c r="AWR59" s="93"/>
      <c r="AWS59" s="93"/>
      <c r="AWT59" s="93"/>
      <c r="AWU59" s="93"/>
      <c r="AWV59" s="93"/>
      <c r="AWW59" s="93"/>
      <c r="AWX59" s="93"/>
      <c r="AWY59" s="93"/>
      <c r="AWZ59" s="93"/>
      <c r="AXA59" s="93"/>
      <c r="AXB59" s="93"/>
      <c r="AXC59" s="93"/>
      <c r="AXD59" s="93"/>
      <c r="AXE59" s="93"/>
      <c r="AXF59" s="93"/>
      <c r="AXG59" s="93"/>
      <c r="AXH59" s="93"/>
      <c r="AXI59" s="93"/>
      <c r="AXJ59" s="93"/>
      <c r="AXK59" s="93"/>
      <c r="AXL59" s="93"/>
      <c r="AXM59" s="93"/>
      <c r="AXN59" s="93"/>
      <c r="AXO59" s="93"/>
      <c r="AXP59" s="93"/>
      <c r="AXQ59" s="93"/>
      <c r="AXR59" s="93"/>
      <c r="AXS59" s="93"/>
      <c r="AXT59" s="93"/>
      <c r="AXU59" s="93"/>
      <c r="AXV59" s="93"/>
      <c r="AXW59" s="93"/>
      <c r="AXX59" s="93"/>
      <c r="AXY59" s="93"/>
      <c r="AXZ59" s="93"/>
      <c r="AYA59" s="93"/>
      <c r="AYB59" s="93"/>
      <c r="AYC59" s="93"/>
      <c r="AYD59" s="93"/>
      <c r="AYE59" s="93"/>
      <c r="AYF59" s="93"/>
      <c r="AYG59" s="93"/>
      <c r="AYH59" s="93"/>
      <c r="AYI59" s="93"/>
      <c r="AYJ59" s="93"/>
      <c r="AYK59" s="93"/>
      <c r="AYL59" s="93"/>
      <c r="AYM59" s="93"/>
      <c r="AYN59" s="93"/>
      <c r="AYO59" s="93"/>
      <c r="AYP59" s="93"/>
      <c r="AYQ59" s="93"/>
      <c r="AYR59" s="93"/>
      <c r="AYS59" s="93"/>
      <c r="AYT59" s="93"/>
      <c r="AYU59" s="93"/>
      <c r="AYV59" s="93"/>
      <c r="AYW59" s="93"/>
      <c r="AYX59" s="93"/>
      <c r="AYY59" s="93"/>
      <c r="AYZ59" s="93"/>
      <c r="AZA59" s="93"/>
      <c r="AZB59" s="93"/>
      <c r="AZC59" s="93"/>
      <c r="AZD59" s="93"/>
      <c r="AZE59" s="93"/>
      <c r="AZF59" s="93"/>
      <c r="AZG59" s="93"/>
      <c r="AZH59" s="93"/>
      <c r="AZI59" s="93"/>
      <c r="AZJ59" s="93"/>
      <c r="AZK59" s="93"/>
      <c r="AZL59" s="93"/>
      <c r="AZM59" s="93"/>
      <c r="AZN59" s="93"/>
      <c r="AZO59" s="93"/>
      <c r="AZP59" s="93"/>
      <c r="AZQ59" s="93"/>
      <c r="AZR59" s="93"/>
      <c r="AZS59" s="93"/>
      <c r="AZT59" s="93"/>
      <c r="AZU59" s="93"/>
      <c r="AZV59" s="93"/>
      <c r="AZW59" s="93"/>
      <c r="AZX59" s="93"/>
      <c r="AZY59" s="93"/>
      <c r="AZZ59" s="93"/>
      <c r="BAA59" s="93"/>
      <c r="BAB59" s="93"/>
      <c r="BAC59" s="93"/>
      <c r="BAD59" s="93"/>
      <c r="BAE59" s="93"/>
      <c r="BAF59" s="93"/>
      <c r="BAG59" s="93"/>
      <c r="BAH59" s="93"/>
      <c r="BAI59" s="93"/>
      <c r="BAJ59" s="93"/>
      <c r="BAK59" s="93"/>
      <c r="BAL59" s="93"/>
      <c r="BAM59" s="93"/>
      <c r="BAN59" s="93"/>
      <c r="BAO59" s="93"/>
      <c r="BAP59" s="93"/>
      <c r="BAQ59" s="93"/>
      <c r="BAR59" s="93"/>
      <c r="BAS59" s="93"/>
      <c r="BAT59" s="93"/>
      <c r="BAU59" s="93"/>
      <c r="BAV59" s="93"/>
      <c r="BAW59" s="93"/>
      <c r="BAX59" s="93"/>
      <c r="BAY59" s="93"/>
      <c r="BAZ59" s="93"/>
      <c r="BBA59" s="93"/>
      <c r="BBB59" s="93"/>
      <c r="BBC59" s="93"/>
      <c r="BBD59" s="93"/>
      <c r="BBE59" s="93"/>
      <c r="BBF59" s="93"/>
      <c r="BBG59" s="93"/>
      <c r="BBH59" s="93"/>
      <c r="BBI59" s="93"/>
      <c r="BBJ59" s="93"/>
      <c r="BBK59" s="93"/>
      <c r="BBL59" s="93"/>
      <c r="BBM59" s="93"/>
      <c r="BBN59" s="93"/>
      <c r="BBO59" s="93"/>
      <c r="BBP59" s="93"/>
      <c r="BBQ59" s="93"/>
      <c r="BBR59" s="93"/>
      <c r="BBS59" s="93"/>
      <c r="BBT59" s="93"/>
      <c r="BBU59" s="93"/>
      <c r="BBV59" s="93"/>
      <c r="BBW59" s="93"/>
      <c r="BBX59" s="93"/>
      <c r="BBY59" s="93"/>
      <c r="BBZ59" s="93"/>
      <c r="BCA59" s="93"/>
      <c r="BCB59" s="93"/>
      <c r="BCC59" s="93"/>
      <c r="BCD59" s="93"/>
      <c r="BCE59" s="93"/>
      <c r="BCF59" s="93"/>
      <c r="BCG59" s="93"/>
      <c r="BCH59" s="93"/>
      <c r="BCI59" s="93"/>
      <c r="BCJ59" s="93"/>
      <c r="BCK59" s="93"/>
      <c r="BCL59" s="93"/>
      <c r="BCM59" s="93"/>
      <c r="BCN59" s="93"/>
      <c r="BCO59" s="93"/>
      <c r="BCP59" s="93"/>
      <c r="BCQ59" s="93"/>
      <c r="BCR59" s="93"/>
      <c r="BCS59" s="93"/>
      <c r="BCT59" s="93"/>
      <c r="BCU59" s="93"/>
      <c r="BCV59" s="93"/>
      <c r="BCW59" s="93"/>
      <c r="BCX59" s="93"/>
      <c r="BCY59" s="93"/>
      <c r="BCZ59" s="93"/>
      <c r="BDA59" s="93"/>
      <c r="BDB59" s="93"/>
      <c r="BDC59" s="93"/>
      <c r="BDD59" s="93"/>
      <c r="BDE59" s="93"/>
      <c r="BDF59" s="93"/>
      <c r="BDG59" s="93"/>
      <c r="BDH59" s="93"/>
      <c r="BDI59" s="93"/>
      <c r="BDJ59" s="93"/>
      <c r="BDK59" s="93"/>
      <c r="BDL59" s="93"/>
      <c r="BDM59" s="93"/>
      <c r="BDN59" s="93"/>
      <c r="BDO59" s="93"/>
      <c r="BDP59" s="93"/>
      <c r="BDQ59" s="93"/>
      <c r="BDR59" s="93"/>
      <c r="BDS59" s="93"/>
      <c r="BDT59" s="93"/>
      <c r="BDU59" s="93"/>
      <c r="BDV59" s="93"/>
      <c r="BDW59" s="93"/>
      <c r="BDX59" s="93"/>
      <c r="BDY59" s="93"/>
      <c r="BDZ59" s="93"/>
      <c r="BEA59" s="93"/>
      <c r="BEB59" s="93"/>
      <c r="BEC59" s="93"/>
      <c r="BED59" s="93"/>
      <c r="BEE59" s="93"/>
      <c r="BEF59" s="93"/>
      <c r="BEG59" s="93"/>
      <c r="BEH59" s="93"/>
      <c r="BEI59" s="93"/>
      <c r="BEJ59" s="93"/>
      <c r="BEK59" s="93"/>
      <c r="BEL59" s="93"/>
      <c r="BEM59" s="93"/>
      <c r="BEN59" s="93"/>
      <c r="BEO59" s="93"/>
      <c r="BEP59" s="93"/>
      <c r="BEQ59" s="93"/>
      <c r="BER59" s="93"/>
      <c r="BES59" s="93"/>
      <c r="BET59" s="93"/>
      <c r="BEU59" s="93"/>
      <c r="BEV59" s="93"/>
      <c r="BEW59" s="93"/>
      <c r="BEX59" s="93"/>
      <c r="BEY59" s="93"/>
      <c r="BEZ59" s="93"/>
      <c r="BFA59" s="93"/>
      <c r="BFB59" s="93"/>
      <c r="BFC59" s="93"/>
      <c r="BFD59" s="93"/>
      <c r="BFE59" s="93"/>
      <c r="BFF59" s="93"/>
      <c r="BFG59" s="93"/>
      <c r="BFH59" s="93"/>
      <c r="BFI59" s="93"/>
      <c r="BFJ59" s="93"/>
      <c r="BFK59" s="93"/>
      <c r="BFL59" s="93"/>
      <c r="BFM59" s="93"/>
      <c r="BFN59" s="93"/>
      <c r="BFO59" s="93"/>
      <c r="BFP59" s="93"/>
      <c r="BFQ59" s="93"/>
      <c r="BFR59" s="93"/>
      <c r="BFS59" s="93"/>
      <c r="BFT59" s="93"/>
      <c r="BFU59" s="93"/>
      <c r="BFV59" s="93"/>
      <c r="BFW59" s="93"/>
      <c r="BFX59" s="93"/>
      <c r="BFY59" s="93"/>
      <c r="BFZ59" s="93"/>
      <c r="BGA59" s="93"/>
      <c r="BGB59" s="93"/>
      <c r="BGC59" s="93"/>
      <c r="BGD59" s="93"/>
      <c r="BGE59" s="93"/>
      <c r="BGF59" s="93"/>
      <c r="BGG59" s="93"/>
      <c r="BGH59" s="93"/>
      <c r="BGI59" s="93"/>
      <c r="BGJ59" s="93"/>
      <c r="BGK59" s="93"/>
      <c r="BGL59" s="93"/>
      <c r="BGM59" s="93"/>
      <c r="BGN59" s="93"/>
      <c r="BGO59" s="93"/>
      <c r="BGP59" s="93"/>
      <c r="BGQ59" s="93"/>
      <c r="BGR59" s="93"/>
      <c r="BGS59" s="93"/>
      <c r="BGT59" s="93"/>
      <c r="BGU59" s="93"/>
      <c r="BGV59" s="93"/>
      <c r="BGW59" s="93"/>
      <c r="BGX59" s="93"/>
      <c r="BGY59" s="93"/>
      <c r="BGZ59" s="93"/>
      <c r="BHA59" s="93"/>
      <c r="BHB59" s="93"/>
      <c r="BHC59" s="93"/>
      <c r="BHD59" s="93"/>
      <c r="BHE59" s="93"/>
      <c r="BHF59" s="93"/>
      <c r="BHG59" s="93"/>
      <c r="BHH59" s="93"/>
      <c r="BHI59" s="93"/>
      <c r="BHJ59" s="93"/>
      <c r="BHK59" s="93"/>
      <c r="BHL59" s="93"/>
      <c r="BHM59" s="93"/>
      <c r="BHN59" s="93"/>
      <c r="BHO59" s="93"/>
      <c r="BHP59" s="93"/>
      <c r="BHQ59" s="93"/>
      <c r="BHR59" s="93"/>
      <c r="BHS59" s="93"/>
    </row>
    <row r="60" spans="1:1579" s="50" customFormat="1" ht="15.75" hidden="1" thickBot="1" x14ac:dyDescent="0.3">
      <c r="A60" s="86"/>
      <c r="B60" s="48" t="s">
        <v>1235</v>
      </c>
      <c r="C60" s="1268" t="s">
        <v>1236</v>
      </c>
      <c r="D60" s="1269"/>
      <c r="E60" s="73" t="s">
        <v>1066</v>
      </c>
      <c r="F60" s="74">
        <v>1</v>
      </c>
      <c r="G60" s="101">
        <v>5588.75</v>
      </c>
      <c r="H60" s="182">
        <f t="shared" si="3"/>
        <v>5588.75</v>
      </c>
      <c r="I60" s="55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row>
    <row r="61" spans="1:1579" s="50" customFormat="1" ht="15.75" hidden="1" thickBot="1" x14ac:dyDescent="0.3">
      <c r="A61" s="86"/>
      <c r="B61" s="48" t="s">
        <v>1237</v>
      </c>
      <c r="C61" s="1268" t="s">
        <v>1238</v>
      </c>
      <c r="D61" s="1269"/>
      <c r="E61" s="73" t="s">
        <v>1066</v>
      </c>
      <c r="F61" s="74">
        <v>34</v>
      </c>
      <c r="G61" s="101">
        <v>158.17000000000002</v>
      </c>
      <c r="H61" s="182">
        <f t="shared" si="3"/>
        <v>5377.7800000000007</v>
      </c>
      <c r="I61" s="550"/>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row>
    <row r="62" spans="1:1579" s="50" customFormat="1" ht="15.75" hidden="1" thickBot="1" x14ac:dyDescent="0.3">
      <c r="A62" s="86"/>
      <c r="B62" s="48" t="s">
        <v>1239</v>
      </c>
      <c r="C62" s="1268" t="s">
        <v>1240</v>
      </c>
      <c r="D62" s="1269"/>
      <c r="E62" s="73" t="s">
        <v>1066</v>
      </c>
      <c r="F62" s="74">
        <v>2</v>
      </c>
      <c r="G62" s="101">
        <v>110.21</v>
      </c>
      <c r="H62" s="182">
        <f t="shared" si="3"/>
        <v>220.42</v>
      </c>
      <c r="I62" s="550"/>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row>
    <row r="63" spans="1:1579" s="50" customFormat="1" ht="15.75" hidden="1" thickBot="1" x14ac:dyDescent="0.3">
      <c r="A63" s="86"/>
      <c r="B63" s="48" t="s">
        <v>1241</v>
      </c>
      <c r="C63" s="1268" t="s">
        <v>1242</v>
      </c>
      <c r="D63" s="1269"/>
      <c r="E63" s="73" t="s">
        <v>1066</v>
      </c>
      <c r="F63" s="74">
        <v>2</v>
      </c>
      <c r="G63" s="101">
        <v>249.78</v>
      </c>
      <c r="H63" s="182">
        <f t="shared" si="3"/>
        <v>499.56</v>
      </c>
      <c r="I63" s="550"/>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row>
    <row r="64" spans="1:1579" s="50" customFormat="1" ht="15.75" hidden="1" thickBot="1" x14ac:dyDescent="0.3">
      <c r="A64" s="86"/>
      <c r="B64" s="48" t="s">
        <v>1243</v>
      </c>
      <c r="C64" s="1268" t="s">
        <v>1244</v>
      </c>
      <c r="D64" s="1269"/>
      <c r="E64" s="73" t="s">
        <v>1066</v>
      </c>
      <c r="F64" s="74">
        <v>1</v>
      </c>
      <c r="G64" s="101">
        <v>448.57</v>
      </c>
      <c r="H64" s="182">
        <f t="shared" si="3"/>
        <v>448.57</v>
      </c>
      <c r="I64" s="550"/>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row>
    <row r="65" spans="1:1579" s="50" customFormat="1" ht="15.75" hidden="1" thickBot="1" x14ac:dyDescent="0.3">
      <c r="A65" s="86"/>
      <c r="B65" s="48" t="s">
        <v>1245</v>
      </c>
      <c r="C65" s="1268" t="s">
        <v>1246</v>
      </c>
      <c r="D65" s="1269"/>
      <c r="E65" s="73" t="s">
        <v>1066</v>
      </c>
      <c r="F65" s="74">
        <v>233</v>
      </c>
      <c r="G65" s="101">
        <v>8.7800000000000011</v>
      </c>
      <c r="H65" s="182">
        <f t="shared" si="3"/>
        <v>2045.7400000000002</v>
      </c>
      <c r="I65" s="550"/>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row>
    <row r="66" spans="1:1579" s="50" customFormat="1" ht="15.75" hidden="1" thickBot="1" x14ac:dyDescent="0.3">
      <c r="A66" s="86"/>
      <c r="B66" s="48" t="s">
        <v>1247</v>
      </c>
      <c r="C66" s="1268" t="s">
        <v>1248</v>
      </c>
      <c r="D66" s="1269"/>
      <c r="E66" s="73" t="s">
        <v>1066</v>
      </c>
      <c r="F66" s="74">
        <v>70</v>
      </c>
      <c r="G66" s="101">
        <v>12.72</v>
      </c>
      <c r="H66" s="182">
        <f t="shared" si="3"/>
        <v>890.40000000000009</v>
      </c>
      <c r="I66" s="550"/>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row>
    <row r="67" spans="1:1579" s="50" customFormat="1" ht="15.75" hidden="1" thickBot="1" x14ac:dyDescent="0.3">
      <c r="A67" s="86"/>
      <c r="B67" s="48" t="s">
        <v>1249</v>
      </c>
      <c r="C67" s="1268" t="s">
        <v>1250</v>
      </c>
      <c r="D67" s="1269"/>
      <c r="E67" s="73" t="s">
        <v>1066</v>
      </c>
      <c r="F67" s="74">
        <v>4</v>
      </c>
      <c r="G67" s="101">
        <v>75.069999999999993</v>
      </c>
      <c r="H67" s="182">
        <f t="shared" si="3"/>
        <v>300.27999999999997</v>
      </c>
      <c r="I67" s="550"/>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row>
    <row r="68" spans="1:1579" s="50" customFormat="1" ht="15.75" hidden="1" thickBot="1" x14ac:dyDescent="0.3">
      <c r="A68" s="86"/>
      <c r="B68" s="48" t="s">
        <v>1251</v>
      </c>
      <c r="C68" s="1268" t="s">
        <v>1252</v>
      </c>
      <c r="D68" s="1269"/>
      <c r="E68" s="73" t="s">
        <v>1066</v>
      </c>
      <c r="F68" s="74">
        <v>2</v>
      </c>
      <c r="G68" s="101">
        <v>177.29</v>
      </c>
      <c r="H68" s="182">
        <f t="shared" si="3"/>
        <v>354.58</v>
      </c>
      <c r="I68" s="550"/>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row>
    <row r="69" spans="1:1579" s="50" customFormat="1" ht="15.75" hidden="1" thickBot="1" x14ac:dyDescent="0.3">
      <c r="A69" s="86"/>
      <c r="B69" s="48" t="s">
        <v>1253</v>
      </c>
      <c r="C69" s="1268" t="s">
        <v>1254</v>
      </c>
      <c r="D69" s="1269"/>
      <c r="E69" s="73" t="s">
        <v>1066</v>
      </c>
      <c r="F69" s="74">
        <v>1</v>
      </c>
      <c r="G69" s="101">
        <v>629.80999999999995</v>
      </c>
      <c r="H69" s="182">
        <f t="shared" si="3"/>
        <v>629.80999999999995</v>
      </c>
      <c r="I69" s="550"/>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row>
    <row r="70" spans="1:1579" s="50" customFormat="1" ht="15.75" hidden="1" thickBot="1" x14ac:dyDescent="0.3">
      <c r="A70" s="86"/>
      <c r="B70" s="48" t="s">
        <v>1255</v>
      </c>
      <c r="C70" s="1268" t="s">
        <v>1256</v>
      </c>
      <c r="D70" s="1269"/>
      <c r="E70" s="73" t="s">
        <v>1066</v>
      </c>
      <c r="F70" s="74">
        <v>1</v>
      </c>
      <c r="G70" s="101">
        <v>671.91000000000008</v>
      </c>
      <c r="H70" s="182">
        <f t="shared" si="3"/>
        <v>671.91000000000008</v>
      </c>
      <c r="I70" s="55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row>
    <row r="71" spans="1:1579" s="50" customFormat="1" ht="15.75" hidden="1" thickBot="1" x14ac:dyDescent="0.3">
      <c r="A71" s="86"/>
      <c r="B71" s="48" t="s">
        <v>1257</v>
      </c>
      <c r="C71" s="1268" t="s">
        <v>1258</v>
      </c>
      <c r="D71" s="1269"/>
      <c r="E71" s="73" t="s">
        <v>683</v>
      </c>
      <c r="F71" s="74">
        <v>70</v>
      </c>
      <c r="G71" s="101">
        <v>7.77</v>
      </c>
      <c r="H71" s="182">
        <f t="shared" si="3"/>
        <v>543.9</v>
      </c>
      <c r="I71" s="550"/>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row>
    <row r="72" spans="1:1579" s="50" customFormat="1" ht="15.75" hidden="1" thickBot="1" x14ac:dyDescent="0.3">
      <c r="A72" s="86"/>
      <c r="B72" s="48" t="s">
        <v>1259</v>
      </c>
      <c r="C72" s="1268" t="s">
        <v>1260</v>
      </c>
      <c r="D72" s="1269"/>
      <c r="E72" s="73" t="s">
        <v>1066</v>
      </c>
      <c r="F72" s="74">
        <v>1</v>
      </c>
      <c r="G72" s="101">
        <v>282.77999999999997</v>
      </c>
      <c r="H72" s="182">
        <f t="shared" si="3"/>
        <v>282.77999999999997</v>
      </c>
      <c r="I72" s="550"/>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row>
    <row r="73" spans="1:1579" s="50" customFormat="1" ht="15.75" hidden="1" thickBot="1" x14ac:dyDescent="0.3">
      <c r="A73" s="86"/>
      <c r="B73" s="48" t="s">
        <v>1261</v>
      </c>
      <c r="C73" s="1268" t="s">
        <v>1262</v>
      </c>
      <c r="D73" s="1269"/>
      <c r="E73" s="73" t="s">
        <v>1066</v>
      </c>
      <c r="F73" s="74">
        <v>1</v>
      </c>
      <c r="G73" s="101">
        <v>831.32</v>
      </c>
      <c r="H73" s="182">
        <f t="shared" si="3"/>
        <v>831.32</v>
      </c>
      <c r="I73" s="550"/>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row>
    <row r="74" spans="1:1579" s="50" customFormat="1" ht="15.75" hidden="1" thickBot="1" x14ac:dyDescent="0.3">
      <c r="A74" s="86"/>
      <c r="B74" s="48" t="s">
        <v>1263</v>
      </c>
      <c r="C74" s="1268" t="s">
        <v>1264</v>
      </c>
      <c r="D74" s="1269"/>
      <c r="E74" s="73" t="s">
        <v>1066</v>
      </c>
      <c r="F74" s="74">
        <v>1</v>
      </c>
      <c r="G74" s="101">
        <v>301.14999999999998</v>
      </c>
      <c r="H74" s="182">
        <f t="shared" si="3"/>
        <v>301.14999999999998</v>
      </c>
      <c r="I74" s="550"/>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row>
    <row r="75" spans="1:1579" s="50" customFormat="1" ht="24" thickBot="1" x14ac:dyDescent="0.3">
      <c r="A75"/>
      <c r="B75" s="1270" t="s">
        <v>1128</v>
      </c>
      <c r="C75" s="1271"/>
      <c r="D75" s="1271"/>
      <c r="E75" s="1271"/>
      <c r="F75" s="1271"/>
      <c r="G75" s="1272"/>
      <c r="H75" s="183">
        <f>SUM(H3:H74)/2</f>
        <v>112960.38714285711</v>
      </c>
      <c r="I75" s="550">
        <v>100</v>
      </c>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row>
    <row r="76" spans="1:1579" ht="24" hidden="1" thickBot="1" x14ac:dyDescent="0.3">
      <c r="B76" s="104"/>
      <c r="C76" s="105"/>
      <c r="D76" s="105"/>
      <c r="E76" s="105"/>
      <c r="F76" s="1267" t="s">
        <v>1129</v>
      </c>
      <c r="G76" s="1267"/>
      <c r="H76" s="106">
        <f>+H75*0.12</f>
        <v>13555.246457142854</v>
      </c>
    </row>
    <row r="77" spans="1:1579" ht="24" hidden="1" thickBot="1" x14ac:dyDescent="0.3">
      <c r="B77" s="104"/>
      <c r="C77" s="105"/>
      <c r="D77" s="105"/>
      <c r="E77" s="105"/>
      <c r="F77" s="1267" t="s">
        <v>1265</v>
      </c>
      <c r="G77" s="1267"/>
      <c r="H77" s="106">
        <f>+H75+H76</f>
        <v>126515.63359999997</v>
      </c>
    </row>
    <row r="78" spans="1:1579" hidden="1" x14ac:dyDescent="0.25">
      <c r="B78" s="1253" t="s">
        <v>1266</v>
      </c>
      <c r="C78" s="1253"/>
      <c r="D78" s="1253"/>
      <c r="E78" s="1253"/>
      <c r="F78" s="1253"/>
      <c r="G78" s="1253"/>
      <c r="H78" s="1253"/>
    </row>
    <row r="79" spans="1:1579" hidden="1" x14ac:dyDescent="0.25">
      <c r="B79"/>
      <c r="G79"/>
      <c r="H79"/>
    </row>
    <row r="80" spans="1:1579" ht="14.45" hidden="1" customHeight="1" x14ac:dyDescent="0.25">
      <c r="C80" s="1253" t="s">
        <v>1133</v>
      </c>
      <c r="D80" s="1253"/>
      <c r="G80" s="1258" t="s">
        <v>1134</v>
      </c>
      <c r="H80" s="1258"/>
      <c r="I80" s="50"/>
    </row>
    <row r="81" spans="1:1579" s="50" customFormat="1" hidden="1" x14ac:dyDescent="0.25">
      <c r="A81"/>
      <c r="B81" s="49"/>
      <c r="C81" s="1253" t="s">
        <v>1135</v>
      </c>
      <c r="D81" s="1253"/>
      <c r="E81"/>
      <c r="F81"/>
      <c r="G81" s="1253" t="s">
        <v>1136</v>
      </c>
      <c r="H81" s="1253"/>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row>
    <row r="82" spans="1:1579" s="50" customFormat="1" hidden="1" x14ac:dyDescent="0.25">
      <c r="A82"/>
      <c r="B82" s="49"/>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c r="APV82"/>
      <c r="APW82"/>
      <c r="APX82"/>
      <c r="APY82"/>
      <c r="APZ82"/>
      <c r="AQA82"/>
      <c r="AQB82"/>
      <c r="AQC82"/>
      <c r="AQD82"/>
      <c r="AQE82"/>
      <c r="AQF82"/>
      <c r="AQG82"/>
      <c r="AQH82"/>
      <c r="AQI82"/>
      <c r="AQJ82"/>
      <c r="AQK82"/>
      <c r="AQL82"/>
      <c r="AQM82"/>
      <c r="AQN82"/>
      <c r="AQO82"/>
      <c r="AQP82"/>
      <c r="AQQ82"/>
      <c r="AQR82"/>
      <c r="AQS82"/>
      <c r="AQT82"/>
      <c r="AQU82"/>
      <c r="AQV82"/>
      <c r="AQW82"/>
      <c r="AQX82"/>
      <c r="AQY82"/>
      <c r="AQZ82"/>
      <c r="ARA82"/>
      <c r="ARB82"/>
      <c r="ARC82"/>
      <c r="ARD82"/>
      <c r="ARE82"/>
      <c r="ARF82"/>
      <c r="ARG82"/>
      <c r="ARH82"/>
      <c r="ARI82"/>
      <c r="ARJ82"/>
      <c r="ARK82"/>
      <c r="ARL82"/>
      <c r="ARM82"/>
      <c r="ARN82"/>
      <c r="ARO82"/>
      <c r="ARP82"/>
      <c r="ARQ82"/>
      <c r="ARR82"/>
      <c r="ARS82"/>
      <c r="ART82"/>
      <c r="ARU82"/>
      <c r="ARV82"/>
      <c r="ARW82"/>
      <c r="ARX82"/>
      <c r="ARY82"/>
      <c r="ARZ82"/>
      <c r="ASA82"/>
      <c r="ASB82"/>
      <c r="ASC82"/>
      <c r="ASD82"/>
      <c r="ASE82"/>
      <c r="ASF82"/>
      <c r="ASG82"/>
      <c r="ASH82"/>
      <c r="ASI82"/>
      <c r="ASJ82"/>
      <c r="ASK82"/>
      <c r="ASL82"/>
      <c r="ASM82"/>
      <c r="ASN82"/>
      <c r="ASO82"/>
      <c r="ASP82"/>
      <c r="ASQ82"/>
      <c r="ASR82"/>
      <c r="ASS82"/>
      <c r="AST82"/>
      <c r="ASU82"/>
      <c r="ASV82"/>
      <c r="ASW82"/>
      <c r="ASX82"/>
      <c r="ASY82"/>
      <c r="ASZ82"/>
      <c r="ATA82"/>
      <c r="ATB82"/>
      <c r="ATC82"/>
      <c r="ATD82"/>
      <c r="ATE82"/>
      <c r="ATF82"/>
      <c r="ATG82"/>
      <c r="ATH82"/>
      <c r="ATI82"/>
      <c r="ATJ82"/>
      <c r="ATK82"/>
      <c r="ATL82"/>
      <c r="ATM82"/>
      <c r="ATN82"/>
      <c r="ATO82"/>
      <c r="ATP82"/>
      <c r="ATQ82"/>
      <c r="ATR82"/>
      <c r="ATS82"/>
      <c r="ATT82"/>
      <c r="ATU82"/>
      <c r="ATV82"/>
      <c r="ATW82"/>
      <c r="ATX82"/>
      <c r="ATY82"/>
      <c r="ATZ82"/>
      <c r="AUA82"/>
      <c r="AUB82"/>
      <c r="AUC82"/>
      <c r="AUD82"/>
      <c r="AUE82"/>
      <c r="AUF82"/>
      <c r="AUG82"/>
      <c r="AUH82"/>
      <c r="AUI82"/>
      <c r="AUJ82"/>
      <c r="AUK82"/>
      <c r="AUL82"/>
      <c r="AUM82"/>
      <c r="AUN82"/>
      <c r="AUO82"/>
      <c r="AUP82"/>
      <c r="AUQ82"/>
      <c r="AUR82"/>
      <c r="AUS82"/>
      <c r="AUT82"/>
      <c r="AUU82"/>
      <c r="AUV82"/>
      <c r="AUW82"/>
      <c r="AUX82"/>
      <c r="AUY82"/>
      <c r="AUZ82"/>
      <c r="AVA82"/>
      <c r="AVB82"/>
      <c r="AVC82"/>
      <c r="AVD82"/>
      <c r="AVE82"/>
      <c r="AVF82"/>
      <c r="AVG82"/>
      <c r="AVH82"/>
      <c r="AVI82"/>
      <c r="AVJ82"/>
      <c r="AVK82"/>
      <c r="AVL82"/>
      <c r="AVM82"/>
      <c r="AVN82"/>
      <c r="AVO82"/>
      <c r="AVP82"/>
      <c r="AVQ82"/>
      <c r="AVR82"/>
      <c r="AVS82"/>
      <c r="AVT82"/>
      <c r="AVU82"/>
      <c r="AVV82"/>
      <c r="AVW82"/>
      <c r="AVX82"/>
      <c r="AVY82"/>
      <c r="AVZ82"/>
      <c r="AWA82"/>
      <c r="AWB82"/>
      <c r="AWC82"/>
      <c r="AWD82"/>
      <c r="AWE82"/>
      <c r="AWF82"/>
      <c r="AWG82"/>
      <c r="AWH82"/>
      <c r="AWI82"/>
      <c r="AWJ82"/>
      <c r="AWK82"/>
      <c r="AWL82"/>
      <c r="AWM82"/>
      <c r="AWN82"/>
      <c r="AWO82"/>
      <c r="AWP82"/>
      <c r="AWQ82"/>
      <c r="AWR82"/>
      <c r="AWS82"/>
      <c r="AWT82"/>
      <c r="AWU82"/>
      <c r="AWV82"/>
      <c r="AWW82"/>
      <c r="AWX82"/>
      <c r="AWY82"/>
      <c r="AWZ82"/>
      <c r="AXA82"/>
      <c r="AXB82"/>
      <c r="AXC82"/>
      <c r="AXD82"/>
      <c r="AXE82"/>
      <c r="AXF82"/>
      <c r="AXG82"/>
      <c r="AXH82"/>
      <c r="AXI82"/>
      <c r="AXJ82"/>
      <c r="AXK82"/>
      <c r="AXL82"/>
      <c r="AXM82"/>
      <c r="AXN82"/>
      <c r="AXO82"/>
      <c r="AXP82"/>
      <c r="AXQ82"/>
      <c r="AXR82"/>
      <c r="AXS82"/>
      <c r="AXT82"/>
      <c r="AXU82"/>
      <c r="AXV82"/>
      <c r="AXW82"/>
      <c r="AXX82"/>
      <c r="AXY82"/>
      <c r="AXZ82"/>
      <c r="AYA82"/>
      <c r="AYB82"/>
      <c r="AYC82"/>
      <c r="AYD82"/>
      <c r="AYE82"/>
      <c r="AYF82"/>
      <c r="AYG82"/>
      <c r="AYH82"/>
      <c r="AYI82"/>
      <c r="AYJ82"/>
      <c r="AYK82"/>
      <c r="AYL82"/>
      <c r="AYM82"/>
      <c r="AYN82"/>
      <c r="AYO82"/>
      <c r="AYP82"/>
      <c r="AYQ82"/>
      <c r="AYR82"/>
      <c r="AYS82"/>
      <c r="AYT82"/>
      <c r="AYU82"/>
      <c r="AYV82"/>
      <c r="AYW82"/>
      <c r="AYX82"/>
      <c r="AYY82"/>
      <c r="AYZ82"/>
      <c r="AZA82"/>
      <c r="AZB82"/>
      <c r="AZC82"/>
      <c r="AZD82"/>
      <c r="AZE82"/>
      <c r="AZF82"/>
      <c r="AZG82"/>
      <c r="AZH82"/>
      <c r="AZI82"/>
      <c r="AZJ82"/>
      <c r="AZK82"/>
      <c r="AZL82"/>
      <c r="AZM82"/>
      <c r="AZN82"/>
      <c r="AZO82"/>
      <c r="AZP82"/>
      <c r="AZQ82"/>
      <c r="AZR82"/>
      <c r="AZS82"/>
      <c r="AZT82"/>
      <c r="AZU82"/>
      <c r="AZV82"/>
      <c r="AZW82"/>
      <c r="AZX82"/>
      <c r="AZY82"/>
      <c r="AZZ82"/>
      <c r="BAA82"/>
      <c r="BAB82"/>
      <c r="BAC82"/>
      <c r="BAD82"/>
      <c r="BAE82"/>
      <c r="BAF82"/>
      <c r="BAG82"/>
      <c r="BAH82"/>
      <c r="BAI82"/>
      <c r="BAJ82"/>
      <c r="BAK82"/>
      <c r="BAL82"/>
      <c r="BAM82"/>
      <c r="BAN82"/>
      <c r="BAO82"/>
      <c r="BAP82"/>
      <c r="BAQ82"/>
      <c r="BAR82"/>
      <c r="BAS82"/>
      <c r="BAT82"/>
      <c r="BAU82"/>
      <c r="BAV82"/>
      <c r="BAW82"/>
      <c r="BAX82"/>
      <c r="BAY82"/>
      <c r="BAZ82"/>
      <c r="BBA82"/>
      <c r="BBB82"/>
      <c r="BBC82"/>
      <c r="BBD82"/>
      <c r="BBE82"/>
      <c r="BBF82"/>
      <c r="BBG82"/>
      <c r="BBH82"/>
      <c r="BBI82"/>
      <c r="BBJ82"/>
      <c r="BBK82"/>
      <c r="BBL82"/>
      <c r="BBM82"/>
      <c r="BBN82"/>
      <c r="BBO82"/>
      <c r="BBP82"/>
      <c r="BBQ82"/>
      <c r="BBR82"/>
      <c r="BBS82"/>
      <c r="BBT82"/>
      <c r="BBU82"/>
      <c r="BBV82"/>
      <c r="BBW82"/>
      <c r="BBX82"/>
      <c r="BBY82"/>
      <c r="BBZ82"/>
      <c r="BCA82"/>
      <c r="BCB82"/>
      <c r="BCC82"/>
      <c r="BCD82"/>
      <c r="BCE82"/>
      <c r="BCF82"/>
      <c r="BCG82"/>
      <c r="BCH82"/>
      <c r="BCI82"/>
      <c r="BCJ82"/>
      <c r="BCK82"/>
      <c r="BCL82"/>
      <c r="BCM82"/>
      <c r="BCN82"/>
      <c r="BCO82"/>
      <c r="BCP82"/>
      <c r="BCQ82"/>
      <c r="BCR82"/>
      <c r="BCS82"/>
      <c r="BCT82"/>
      <c r="BCU82"/>
      <c r="BCV82"/>
      <c r="BCW82"/>
      <c r="BCX82"/>
      <c r="BCY82"/>
      <c r="BCZ82"/>
      <c r="BDA82"/>
      <c r="BDB82"/>
      <c r="BDC82"/>
      <c r="BDD82"/>
      <c r="BDE82"/>
      <c r="BDF82"/>
      <c r="BDG82"/>
      <c r="BDH82"/>
      <c r="BDI82"/>
      <c r="BDJ82"/>
      <c r="BDK82"/>
      <c r="BDL82"/>
      <c r="BDM82"/>
      <c r="BDN82"/>
      <c r="BDO82"/>
      <c r="BDP82"/>
      <c r="BDQ82"/>
      <c r="BDR82"/>
      <c r="BDS82"/>
      <c r="BDT82"/>
      <c r="BDU82"/>
      <c r="BDV82"/>
      <c r="BDW82"/>
      <c r="BDX82"/>
      <c r="BDY82"/>
      <c r="BDZ82"/>
      <c r="BEA82"/>
      <c r="BEB82"/>
      <c r="BEC82"/>
      <c r="BED82"/>
      <c r="BEE82"/>
      <c r="BEF82"/>
      <c r="BEG82"/>
      <c r="BEH82"/>
      <c r="BEI82"/>
      <c r="BEJ82"/>
      <c r="BEK82"/>
      <c r="BEL82"/>
      <c r="BEM82"/>
      <c r="BEN82"/>
      <c r="BEO82"/>
      <c r="BEP82"/>
      <c r="BEQ82"/>
      <c r="BER82"/>
      <c r="BES82"/>
      <c r="BET82"/>
      <c r="BEU82"/>
      <c r="BEV82"/>
      <c r="BEW82"/>
      <c r="BEX82"/>
      <c r="BEY82"/>
      <c r="BEZ82"/>
      <c r="BFA82"/>
      <c r="BFB82"/>
      <c r="BFC82"/>
      <c r="BFD82"/>
      <c r="BFE82"/>
      <c r="BFF82"/>
      <c r="BFG82"/>
      <c r="BFH82"/>
      <c r="BFI82"/>
      <c r="BFJ82"/>
      <c r="BFK82"/>
      <c r="BFL82"/>
      <c r="BFM82"/>
      <c r="BFN82"/>
      <c r="BFO82"/>
      <c r="BFP82"/>
      <c r="BFQ82"/>
      <c r="BFR82"/>
      <c r="BFS82"/>
      <c r="BFT82"/>
      <c r="BFU82"/>
      <c r="BFV82"/>
      <c r="BFW82"/>
      <c r="BFX82"/>
      <c r="BFY82"/>
      <c r="BFZ82"/>
      <c r="BGA82"/>
      <c r="BGB82"/>
      <c r="BGC82"/>
      <c r="BGD82"/>
      <c r="BGE82"/>
      <c r="BGF82"/>
      <c r="BGG82"/>
      <c r="BGH82"/>
      <c r="BGI82"/>
      <c r="BGJ82"/>
      <c r="BGK82"/>
      <c r="BGL82"/>
      <c r="BGM82"/>
      <c r="BGN82"/>
      <c r="BGO82"/>
      <c r="BGP82"/>
      <c r="BGQ82"/>
      <c r="BGR82"/>
      <c r="BGS82"/>
      <c r="BGT82"/>
      <c r="BGU82"/>
      <c r="BGV82"/>
      <c r="BGW82"/>
      <c r="BGX82"/>
      <c r="BGY82"/>
      <c r="BGZ82"/>
      <c r="BHA82"/>
      <c r="BHB82"/>
      <c r="BHC82"/>
      <c r="BHD82"/>
      <c r="BHE82"/>
      <c r="BHF82"/>
      <c r="BHG82"/>
      <c r="BHH82"/>
      <c r="BHI82"/>
      <c r="BHJ82"/>
      <c r="BHK82"/>
      <c r="BHL82"/>
      <c r="BHM82"/>
      <c r="BHN82"/>
      <c r="BHO82"/>
      <c r="BHP82"/>
      <c r="BHQ82"/>
      <c r="BHR82"/>
      <c r="BHS82"/>
    </row>
    <row r="83" spans="1:1579" s="50" customFormat="1" hidden="1" x14ac:dyDescent="0.25">
      <c r="A83"/>
      <c r="B83" s="49"/>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c r="AMK83"/>
      <c r="AML83"/>
      <c r="AMM83"/>
      <c r="AMN83"/>
      <c r="AMO83"/>
      <c r="AMP83"/>
      <c r="AMQ83"/>
      <c r="AMR83"/>
      <c r="AMS83"/>
      <c r="AMT83"/>
      <c r="AMU83"/>
      <c r="AMV83"/>
      <c r="AMW83"/>
      <c r="AMX83"/>
      <c r="AMY83"/>
      <c r="AMZ83"/>
      <c r="ANA83"/>
      <c r="ANB83"/>
      <c r="ANC83"/>
      <c r="AND83"/>
      <c r="ANE83"/>
      <c r="ANF83"/>
      <c r="ANG83"/>
      <c r="ANH83"/>
      <c r="ANI83"/>
      <c r="ANJ83"/>
      <c r="ANK83"/>
      <c r="ANL83"/>
      <c r="ANM83"/>
      <c r="ANN83"/>
      <c r="ANO83"/>
      <c r="ANP83"/>
      <c r="ANQ83"/>
      <c r="ANR83"/>
      <c r="ANS83"/>
      <c r="ANT83"/>
      <c r="ANU83"/>
      <c r="ANV83"/>
      <c r="ANW83"/>
      <c r="ANX83"/>
      <c r="ANY83"/>
      <c r="ANZ83"/>
      <c r="AOA83"/>
      <c r="AOB83"/>
      <c r="AOC83"/>
      <c r="AOD83"/>
      <c r="AOE83"/>
      <c r="AOF83"/>
      <c r="AOG83"/>
      <c r="AOH83"/>
      <c r="AOI83"/>
      <c r="AOJ83"/>
      <c r="AOK83"/>
      <c r="AOL83"/>
      <c r="AOM83"/>
      <c r="AON83"/>
      <c r="AOO83"/>
      <c r="AOP83"/>
      <c r="AOQ83"/>
      <c r="AOR83"/>
      <c r="AOS83"/>
      <c r="AOT83"/>
      <c r="AOU83"/>
      <c r="AOV83"/>
      <c r="AOW83"/>
      <c r="AOX83"/>
      <c r="AOY83"/>
      <c r="AOZ83"/>
      <c r="APA83"/>
      <c r="APB83"/>
      <c r="APC83"/>
      <c r="APD83"/>
      <c r="APE83"/>
      <c r="APF83"/>
      <c r="APG83"/>
      <c r="APH83"/>
      <c r="API83"/>
      <c r="APJ83"/>
      <c r="APK83"/>
      <c r="APL83"/>
      <c r="APM83"/>
      <c r="APN83"/>
      <c r="APO83"/>
      <c r="APP83"/>
      <c r="APQ83"/>
      <c r="APR83"/>
      <c r="APS83"/>
      <c r="APT83"/>
      <c r="APU83"/>
      <c r="APV83"/>
      <c r="APW83"/>
      <c r="APX83"/>
      <c r="APY83"/>
      <c r="APZ83"/>
      <c r="AQA83"/>
      <c r="AQB83"/>
      <c r="AQC83"/>
      <c r="AQD83"/>
      <c r="AQE83"/>
      <c r="AQF83"/>
      <c r="AQG83"/>
      <c r="AQH83"/>
      <c r="AQI83"/>
      <c r="AQJ83"/>
      <c r="AQK83"/>
      <c r="AQL83"/>
      <c r="AQM83"/>
      <c r="AQN83"/>
      <c r="AQO83"/>
      <c r="AQP83"/>
      <c r="AQQ83"/>
      <c r="AQR83"/>
      <c r="AQS83"/>
      <c r="AQT83"/>
      <c r="AQU83"/>
      <c r="AQV83"/>
      <c r="AQW83"/>
      <c r="AQX83"/>
      <c r="AQY83"/>
      <c r="AQZ83"/>
      <c r="ARA83"/>
      <c r="ARB83"/>
      <c r="ARC83"/>
      <c r="ARD83"/>
      <c r="ARE83"/>
      <c r="ARF83"/>
      <c r="ARG83"/>
      <c r="ARH83"/>
      <c r="ARI83"/>
      <c r="ARJ83"/>
      <c r="ARK83"/>
      <c r="ARL83"/>
      <c r="ARM83"/>
      <c r="ARN83"/>
      <c r="ARO83"/>
      <c r="ARP83"/>
      <c r="ARQ83"/>
      <c r="ARR83"/>
      <c r="ARS83"/>
      <c r="ART83"/>
      <c r="ARU83"/>
      <c r="ARV83"/>
      <c r="ARW83"/>
      <c r="ARX83"/>
      <c r="ARY83"/>
      <c r="ARZ83"/>
      <c r="ASA83"/>
      <c r="ASB83"/>
      <c r="ASC83"/>
      <c r="ASD83"/>
      <c r="ASE83"/>
      <c r="ASF83"/>
      <c r="ASG83"/>
      <c r="ASH83"/>
      <c r="ASI83"/>
      <c r="ASJ83"/>
      <c r="ASK83"/>
      <c r="ASL83"/>
      <c r="ASM83"/>
      <c r="ASN83"/>
      <c r="ASO83"/>
      <c r="ASP83"/>
      <c r="ASQ83"/>
      <c r="ASR83"/>
      <c r="ASS83"/>
      <c r="AST83"/>
      <c r="ASU83"/>
      <c r="ASV83"/>
      <c r="ASW83"/>
      <c r="ASX83"/>
      <c r="ASY83"/>
      <c r="ASZ83"/>
      <c r="ATA83"/>
      <c r="ATB83"/>
      <c r="ATC83"/>
      <c r="ATD83"/>
      <c r="ATE83"/>
      <c r="ATF83"/>
      <c r="ATG83"/>
      <c r="ATH83"/>
      <c r="ATI83"/>
      <c r="ATJ83"/>
      <c r="ATK83"/>
      <c r="ATL83"/>
      <c r="ATM83"/>
      <c r="ATN83"/>
      <c r="ATO83"/>
      <c r="ATP83"/>
      <c r="ATQ83"/>
      <c r="ATR83"/>
      <c r="ATS83"/>
      <c r="ATT83"/>
      <c r="ATU83"/>
      <c r="ATV83"/>
      <c r="ATW83"/>
      <c r="ATX83"/>
      <c r="ATY83"/>
      <c r="ATZ83"/>
      <c r="AUA83"/>
      <c r="AUB83"/>
      <c r="AUC83"/>
      <c r="AUD83"/>
      <c r="AUE83"/>
      <c r="AUF83"/>
      <c r="AUG83"/>
      <c r="AUH83"/>
      <c r="AUI83"/>
      <c r="AUJ83"/>
      <c r="AUK83"/>
      <c r="AUL83"/>
      <c r="AUM83"/>
      <c r="AUN83"/>
      <c r="AUO83"/>
      <c r="AUP83"/>
      <c r="AUQ83"/>
      <c r="AUR83"/>
      <c r="AUS83"/>
      <c r="AUT83"/>
      <c r="AUU83"/>
      <c r="AUV83"/>
      <c r="AUW83"/>
      <c r="AUX83"/>
      <c r="AUY83"/>
      <c r="AUZ83"/>
      <c r="AVA83"/>
      <c r="AVB83"/>
      <c r="AVC83"/>
      <c r="AVD83"/>
      <c r="AVE83"/>
      <c r="AVF83"/>
      <c r="AVG83"/>
      <c r="AVH83"/>
      <c r="AVI83"/>
      <c r="AVJ83"/>
      <c r="AVK83"/>
      <c r="AVL83"/>
      <c r="AVM83"/>
      <c r="AVN83"/>
      <c r="AVO83"/>
      <c r="AVP83"/>
      <c r="AVQ83"/>
      <c r="AVR83"/>
      <c r="AVS83"/>
      <c r="AVT83"/>
      <c r="AVU83"/>
      <c r="AVV83"/>
      <c r="AVW83"/>
      <c r="AVX83"/>
      <c r="AVY83"/>
      <c r="AVZ83"/>
      <c r="AWA83"/>
      <c r="AWB83"/>
      <c r="AWC83"/>
      <c r="AWD83"/>
      <c r="AWE83"/>
      <c r="AWF83"/>
      <c r="AWG83"/>
      <c r="AWH83"/>
      <c r="AWI83"/>
      <c r="AWJ83"/>
      <c r="AWK83"/>
      <c r="AWL83"/>
      <c r="AWM83"/>
      <c r="AWN83"/>
      <c r="AWO83"/>
      <c r="AWP83"/>
      <c r="AWQ83"/>
      <c r="AWR83"/>
      <c r="AWS83"/>
      <c r="AWT83"/>
      <c r="AWU83"/>
      <c r="AWV83"/>
      <c r="AWW83"/>
      <c r="AWX83"/>
      <c r="AWY83"/>
      <c r="AWZ83"/>
      <c r="AXA83"/>
      <c r="AXB83"/>
      <c r="AXC83"/>
      <c r="AXD83"/>
      <c r="AXE83"/>
      <c r="AXF83"/>
      <c r="AXG83"/>
      <c r="AXH83"/>
      <c r="AXI83"/>
      <c r="AXJ83"/>
      <c r="AXK83"/>
      <c r="AXL83"/>
      <c r="AXM83"/>
      <c r="AXN83"/>
      <c r="AXO83"/>
      <c r="AXP83"/>
      <c r="AXQ83"/>
      <c r="AXR83"/>
      <c r="AXS83"/>
      <c r="AXT83"/>
      <c r="AXU83"/>
      <c r="AXV83"/>
      <c r="AXW83"/>
      <c r="AXX83"/>
      <c r="AXY83"/>
      <c r="AXZ83"/>
      <c r="AYA83"/>
      <c r="AYB83"/>
      <c r="AYC83"/>
      <c r="AYD83"/>
      <c r="AYE83"/>
      <c r="AYF83"/>
      <c r="AYG83"/>
      <c r="AYH83"/>
      <c r="AYI83"/>
      <c r="AYJ83"/>
      <c r="AYK83"/>
      <c r="AYL83"/>
      <c r="AYM83"/>
      <c r="AYN83"/>
      <c r="AYO83"/>
      <c r="AYP83"/>
      <c r="AYQ83"/>
      <c r="AYR83"/>
      <c r="AYS83"/>
      <c r="AYT83"/>
      <c r="AYU83"/>
      <c r="AYV83"/>
      <c r="AYW83"/>
      <c r="AYX83"/>
      <c r="AYY83"/>
      <c r="AYZ83"/>
      <c r="AZA83"/>
      <c r="AZB83"/>
      <c r="AZC83"/>
      <c r="AZD83"/>
      <c r="AZE83"/>
      <c r="AZF83"/>
      <c r="AZG83"/>
      <c r="AZH83"/>
      <c r="AZI83"/>
      <c r="AZJ83"/>
      <c r="AZK83"/>
      <c r="AZL83"/>
      <c r="AZM83"/>
      <c r="AZN83"/>
      <c r="AZO83"/>
      <c r="AZP83"/>
      <c r="AZQ83"/>
      <c r="AZR83"/>
      <c r="AZS83"/>
      <c r="AZT83"/>
      <c r="AZU83"/>
      <c r="AZV83"/>
      <c r="AZW83"/>
      <c r="AZX83"/>
      <c r="AZY83"/>
      <c r="AZZ83"/>
      <c r="BAA83"/>
      <c r="BAB83"/>
      <c r="BAC83"/>
      <c r="BAD83"/>
      <c r="BAE83"/>
      <c r="BAF83"/>
      <c r="BAG83"/>
      <c r="BAH83"/>
      <c r="BAI83"/>
      <c r="BAJ83"/>
      <c r="BAK83"/>
      <c r="BAL83"/>
      <c r="BAM83"/>
      <c r="BAN83"/>
      <c r="BAO83"/>
      <c r="BAP83"/>
      <c r="BAQ83"/>
      <c r="BAR83"/>
      <c r="BAS83"/>
      <c r="BAT83"/>
      <c r="BAU83"/>
      <c r="BAV83"/>
      <c r="BAW83"/>
      <c r="BAX83"/>
      <c r="BAY83"/>
      <c r="BAZ83"/>
      <c r="BBA83"/>
      <c r="BBB83"/>
      <c r="BBC83"/>
      <c r="BBD83"/>
      <c r="BBE83"/>
      <c r="BBF83"/>
      <c r="BBG83"/>
      <c r="BBH83"/>
      <c r="BBI83"/>
      <c r="BBJ83"/>
      <c r="BBK83"/>
      <c r="BBL83"/>
      <c r="BBM83"/>
      <c r="BBN83"/>
      <c r="BBO83"/>
      <c r="BBP83"/>
      <c r="BBQ83"/>
      <c r="BBR83"/>
      <c r="BBS83"/>
      <c r="BBT83"/>
      <c r="BBU83"/>
      <c r="BBV83"/>
      <c r="BBW83"/>
      <c r="BBX83"/>
      <c r="BBY83"/>
      <c r="BBZ83"/>
      <c r="BCA83"/>
      <c r="BCB83"/>
      <c r="BCC83"/>
      <c r="BCD83"/>
      <c r="BCE83"/>
      <c r="BCF83"/>
      <c r="BCG83"/>
      <c r="BCH83"/>
      <c r="BCI83"/>
      <c r="BCJ83"/>
      <c r="BCK83"/>
      <c r="BCL83"/>
      <c r="BCM83"/>
      <c r="BCN83"/>
      <c r="BCO83"/>
      <c r="BCP83"/>
      <c r="BCQ83"/>
      <c r="BCR83"/>
      <c r="BCS83"/>
      <c r="BCT83"/>
      <c r="BCU83"/>
      <c r="BCV83"/>
      <c r="BCW83"/>
      <c r="BCX83"/>
      <c r="BCY83"/>
      <c r="BCZ83"/>
      <c r="BDA83"/>
      <c r="BDB83"/>
      <c r="BDC83"/>
      <c r="BDD83"/>
      <c r="BDE83"/>
      <c r="BDF83"/>
      <c r="BDG83"/>
      <c r="BDH83"/>
      <c r="BDI83"/>
      <c r="BDJ83"/>
      <c r="BDK83"/>
      <c r="BDL83"/>
      <c r="BDM83"/>
      <c r="BDN83"/>
      <c r="BDO83"/>
      <c r="BDP83"/>
      <c r="BDQ83"/>
      <c r="BDR83"/>
      <c r="BDS83"/>
      <c r="BDT83"/>
      <c r="BDU83"/>
      <c r="BDV83"/>
      <c r="BDW83"/>
      <c r="BDX83"/>
      <c r="BDY83"/>
      <c r="BDZ83"/>
      <c r="BEA83"/>
      <c r="BEB83"/>
      <c r="BEC83"/>
      <c r="BED83"/>
      <c r="BEE83"/>
      <c r="BEF83"/>
      <c r="BEG83"/>
      <c r="BEH83"/>
      <c r="BEI83"/>
      <c r="BEJ83"/>
      <c r="BEK83"/>
      <c r="BEL83"/>
      <c r="BEM83"/>
      <c r="BEN83"/>
      <c r="BEO83"/>
      <c r="BEP83"/>
      <c r="BEQ83"/>
      <c r="BER83"/>
      <c r="BES83"/>
      <c r="BET83"/>
      <c r="BEU83"/>
      <c r="BEV83"/>
      <c r="BEW83"/>
      <c r="BEX83"/>
      <c r="BEY83"/>
      <c r="BEZ83"/>
      <c r="BFA83"/>
      <c r="BFB83"/>
      <c r="BFC83"/>
      <c r="BFD83"/>
      <c r="BFE83"/>
      <c r="BFF83"/>
      <c r="BFG83"/>
      <c r="BFH83"/>
      <c r="BFI83"/>
      <c r="BFJ83"/>
      <c r="BFK83"/>
      <c r="BFL83"/>
      <c r="BFM83"/>
      <c r="BFN83"/>
      <c r="BFO83"/>
      <c r="BFP83"/>
      <c r="BFQ83"/>
      <c r="BFR83"/>
      <c r="BFS83"/>
      <c r="BFT83"/>
      <c r="BFU83"/>
      <c r="BFV83"/>
      <c r="BFW83"/>
      <c r="BFX83"/>
      <c r="BFY83"/>
      <c r="BFZ83"/>
      <c r="BGA83"/>
      <c r="BGB83"/>
      <c r="BGC83"/>
      <c r="BGD83"/>
      <c r="BGE83"/>
      <c r="BGF83"/>
      <c r="BGG83"/>
      <c r="BGH83"/>
      <c r="BGI83"/>
      <c r="BGJ83"/>
      <c r="BGK83"/>
      <c r="BGL83"/>
      <c r="BGM83"/>
      <c r="BGN83"/>
      <c r="BGO83"/>
      <c r="BGP83"/>
      <c r="BGQ83"/>
      <c r="BGR83"/>
      <c r="BGS83"/>
      <c r="BGT83"/>
      <c r="BGU83"/>
      <c r="BGV83"/>
      <c r="BGW83"/>
      <c r="BGX83"/>
      <c r="BGY83"/>
      <c r="BGZ83"/>
      <c r="BHA83"/>
      <c r="BHB83"/>
      <c r="BHC83"/>
      <c r="BHD83"/>
      <c r="BHE83"/>
      <c r="BHF83"/>
      <c r="BHG83"/>
      <c r="BHH83"/>
      <c r="BHI83"/>
      <c r="BHJ83"/>
      <c r="BHK83"/>
      <c r="BHL83"/>
      <c r="BHM83"/>
      <c r="BHN83"/>
      <c r="BHO83"/>
      <c r="BHP83"/>
      <c r="BHQ83"/>
      <c r="BHR83"/>
      <c r="BHS83"/>
    </row>
    <row r="84" spans="1:1579" hidden="1" x14ac:dyDescent="0.25">
      <c r="G84"/>
      <c r="H84"/>
    </row>
    <row r="85" spans="1:1579" ht="15.75" hidden="1" thickBot="1" x14ac:dyDescent="0.3">
      <c r="C85" s="84"/>
      <c r="D85" s="84"/>
      <c r="G85" s="84"/>
      <c r="H85" s="84"/>
    </row>
    <row r="86" spans="1:1579" hidden="1" x14ac:dyDescent="0.25">
      <c r="C86" s="49" t="s">
        <v>1137</v>
      </c>
      <c r="D86" s="49" t="s">
        <v>1138</v>
      </c>
      <c r="G86" s="1253" t="s">
        <v>1139</v>
      </c>
      <c r="H86" s="1253"/>
    </row>
  </sheetData>
  <mergeCells count="61">
    <mergeCell ref="C18:D18"/>
    <mergeCell ref="B1:I1"/>
    <mergeCell ref="C2:D2"/>
    <mergeCell ref="C7:D7"/>
    <mergeCell ref="C8:D8"/>
    <mergeCell ref="C17:D17"/>
    <mergeCell ref="C38:D38"/>
    <mergeCell ref="C19:D19"/>
    <mergeCell ref="C27:D27"/>
    <mergeCell ref="C28:D28"/>
    <mergeCell ref="C30:D30"/>
    <mergeCell ref="C31:D31"/>
    <mergeCell ref="C32:D32"/>
    <mergeCell ref="C33:D33"/>
    <mergeCell ref="C34:D34"/>
    <mergeCell ref="C35:D35"/>
    <mergeCell ref="C36:D36"/>
    <mergeCell ref="C37:D37"/>
    <mergeCell ref="C51:D51"/>
    <mergeCell ref="C39:D39"/>
    <mergeCell ref="C40:D40"/>
    <mergeCell ref="C41:D41"/>
    <mergeCell ref="C42:D42"/>
    <mergeCell ref="C43:D43"/>
    <mergeCell ref="C44:D44"/>
    <mergeCell ref="C45:D45"/>
    <mergeCell ref="C46:D46"/>
    <mergeCell ref="C48:D48"/>
    <mergeCell ref="C49:D49"/>
    <mergeCell ref="C50:D50"/>
    <mergeCell ref="C64:D64"/>
    <mergeCell ref="C52:D52"/>
    <mergeCell ref="C53:D53"/>
    <mergeCell ref="C54:D54"/>
    <mergeCell ref="C55:D55"/>
    <mergeCell ref="C56:D56"/>
    <mergeCell ref="C57:D57"/>
    <mergeCell ref="C58:D58"/>
    <mergeCell ref="C60:D60"/>
    <mergeCell ref="C61:D61"/>
    <mergeCell ref="C62:D62"/>
    <mergeCell ref="C63:D63"/>
    <mergeCell ref="F76:G76"/>
    <mergeCell ref="C65:D65"/>
    <mergeCell ref="C66:D66"/>
    <mergeCell ref="C67:D67"/>
    <mergeCell ref="C68:D68"/>
    <mergeCell ref="C69:D69"/>
    <mergeCell ref="C70:D70"/>
    <mergeCell ref="C71:D71"/>
    <mergeCell ref="C72:D72"/>
    <mergeCell ref="C73:D73"/>
    <mergeCell ref="C74:D74"/>
    <mergeCell ref="B75:G75"/>
    <mergeCell ref="G86:H86"/>
    <mergeCell ref="F77:G77"/>
    <mergeCell ref="B78:H78"/>
    <mergeCell ref="C80:D80"/>
    <mergeCell ref="G80:H80"/>
    <mergeCell ref="C81:D81"/>
    <mergeCell ref="G81:H81"/>
  </mergeCells>
  <pageMargins left="0.70866141732283472" right="0.70866141732283472" top="0.74803149606299213" bottom="0.74803149606299213" header="0.31496062992125984" footer="0.31496062992125984"/>
  <pageSetup paperSize="9" scale="73"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14"/>
  <sheetViews>
    <sheetView showGridLines="0" zoomScale="80" zoomScaleNormal="80" workbookViewId="0">
      <selection activeCell="A33" sqref="A33:G57"/>
    </sheetView>
  </sheetViews>
  <sheetFormatPr baseColWidth="10" defaultColWidth="9.140625" defaultRowHeight="15" x14ac:dyDescent="0.25"/>
  <cols>
    <col min="1" max="1" width="7.5703125" customWidth="1"/>
    <col min="2" max="2" width="23.42578125" customWidth="1"/>
    <col min="3" max="3" width="24.42578125" customWidth="1"/>
    <col min="4" max="4" width="17" hidden="1" customWidth="1"/>
    <col min="5" max="5" width="12.42578125" hidden="1" customWidth="1"/>
    <col min="6" max="6" width="18.140625" hidden="1" customWidth="1"/>
    <col min="7" max="7" width="16.85546875" customWidth="1"/>
    <col min="8" max="8" width="10.85546875" bestFit="1" customWidth="1"/>
    <col min="257" max="257" width="7.5703125" customWidth="1"/>
    <col min="258" max="258" width="23.42578125" customWidth="1"/>
    <col min="259" max="259" width="24.42578125" customWidth="1"/>
    <col min="260" max="260" width="17" customWidth="1"/>
    <col min="261" max="261" width="12.42578125" customWidth="1"/>
    <col min="262" max="262" width="18.140625" customWidth="1"/>
    <col min="263" max="263" width="16.85546875" customWidth="1"/>
    <col min="513" max="513" width="7.5703125" customWidth="1"/>
    <col min="514" max="514" width="23.42578125" customWidth="1"/>
    <col min="515" max="515" width="24.42578125" customWidth="1"/>
    <col min="516" max="516" width="17" customWidth="1"/>
    <col min="517" max="517" width="12.42578125" customWidth="1"/>
    <col min="518" max="518" width="18.140625" customWidth="1"/>
    <col min="519" max="519" width="16.85546875" customWidth="1"/>
    <col min="769" max="769" width="7.5703125" customWidth="1"/>
    <col min="770" max="770" width="23.42578125" customWidth="1"/>
    <col min="771" max="771" width="24.42578125" customWidth="1"/>
    <col min="772" max="772" width="17" customWidth="1"/>
    <col min="773" max="773" width="12.42578125" customWidth="1"/>
    <col min="774" max="774" width="18.140625" customWidth="1"/>
    <col min="775" max="775" width="16.85546875" customWidth="1"/>
    <col min="1025" max="1025" width="7.5703125" customWidth="1"/>
    <col min="1026" max="1026" width="23.42578125" customWidth="1"/>
    <col min="1027" max="1027" width="24.42578125" customWidth="1"/>
    <col min="1028" max="1028" width="17" customWidth="1"/>
    <col min="1029" max="1029" width="12.42578125" customWidth="1"/>
    <col min="1030" max="1030" width="18.140625" customWidth="1"/>
    <col min="1031" max="1031" width="16.85546875" customWidth="1"/>
    <col min="1281" max="1281" width="7.5703125" customWidth="1"/>
    <col min="1282" max="1282" width="23.42578125" customWidth="1"/>
    <col min="1283" max="1283" width="24.42578125" customWidth="1"/>
    <col min="1284" max="1284" width="17" customWidth="1"/>
    <col min="1285" max="1285" width="12.42578125" customWidth="1"/>
    <col min="1286" max="1286" width="18.140625" customWidth="1"/>
    <col min="1287" max="1287" width="16.85546875" customWidth="1"/>
    <col min="1537" max="1537" width="7.5703125" customWidth="1"/>
    <col min="1538" max="1538" width="23.42578125" customWidth="1"/>
    <col min="1539" max="1539" width="24.42578125" customWidth="1"/>
    <col min="1540" max="1540" width="17" customWidth="1"/>
    <col min="1541" max="1541" width="12.42578125" customWidth="1"/>
    <col min="1542" max="1542" width="18.140625" customWidth="1"/>
    <col min="1543" max="1543" width="16.85546875" customWidth="1"/>
    <col min="1793" max="1793" width="7.5703125" customWidth="1"/>
    <col min="1794" max="1794" width="23.42578125" customWidth="1"/>
    <col min="1795" max="1795" width="24.42578125" customWidth="1"/>
    <col min="1796" max="1796" width="17" customWidth="1"/>
    <col min="1797" max="1797" width="12.42578125" customWidth="1"/>
    <col min="1798" max="1798" width="18.140625" customWidth="1"/>
    <col min="1799" max="1799" width="16.85546875" customWidth="1"/>
    <col min="2049" max="2049" width="7.5703125" customWidth="1"/>
    <col min="2050" max="2050" width="23.42578125" customWidth="1"/>
    <col min="2051" max="2051" width="24.42578125" customWidth="1"/>
    <col min="2052" max="2052" width="17" customWidth="1"/>
    <col min="2053" max="2053" width="12.42578125" customWidth="1"/>
    <col min="2054" max="2054" width="18.140625" customWidth="1"/>
    <col min="2055" max="2055" width="16.85546875" customWidth="1"/>
    <col min="2305" max="2305" width="7.5703125" customWidth="1"/>
    <col min="2306" max="2306" width="23.42578125" customWidth="1"/>
    <col min="2307" max="2307" width="24.42578125" customWidth="1"/>
    <col min="2308" max="2308" width="17" customWidth="1"/>
    <col min="2309" max="2309" width="12.42578125" customWidth="1"/>
    <col min="2310" max="2310" width="18.140625" customWidth="1"/>
    <col min="2311" max="2311" width="16.85546875" customWidth="1"/>
    <col min="2561" max="2561" width="7.5703125" customWidth="1"/>
    <col min="2562" max="2562" width="23.42578125" customWidth="1"/>
    <col min="2563" max="2563" width="24.42578125" customWidth="1"/>
    <col min="2564" max="2564" width="17" customWidth="1"/>
    <col min="2565" max="2565" width="12.42578125" customWidth="1"/>
    <col min="2566" max="2566" width="18.140625" customWidth="1"/>
    <col min="2567" max="2567" width="16.85546875" customWidth="1"/>
    <col min="2817" max="2817" width="7.5703125" customWidth="1"/>
    <col min="2818" max="2818" width="23.42578125" customWidth="1"/>
    <col min="2819" max="2819" width="24.42578125" customWidth="1"/>
    <col min="2820" max="2820" width="17" customWidth="1"/>
    <col min="2821" max="2821" width="12.42578125" customWidth="1"/>
    <col min="2822" max="2822" width="18.140625" customWidth="1"/>
    <col min="2823" max="2823" width="16.85546875" customWidth="1"/>
    <col min="3073" max="3073" width="7.5703125" customWidth="1"/>
    <col min="3074" max="3074" width="23.42578125" customWidth="1"/>
    <col min="3075" max="3075" width="24.42578125" customWidth="1"/>
    <col min="3076" max="3076" width="17" customWidth="1"/>
    <col min="3077" max="3077" width="12.42578125" customWidth="1"/>
    <col min="3078" max="3078" width="18.140625" customWidth="1"/>
    <col min="3079" max="3079" width="16.85546875" customWidth="1"/>
    <col min="3329" max="3329" width="7.5703125" customWidth="1"/>
    <col min="3330" max="3330" width="23.42578125" customWidth="1"/>
    <col min="3331" max="3331" width="24.42578125" customWidth="1"/>
    <col min="3332" max="3332" width="17" customWidth="1"/>
    <col min="3333" max="3333" width="12.42578125" customWidth="1"/>
    <col min="3334" max="3334" width="18.140625" customWidth="1"/>
    <col min="3335" max="3335" width="16.85546875" customWidth="1"/>
    <col min="3585" max="3585" width="7.5703125" customWidth="1"/>
    <col min="3586" max="3586" width="23.42578125" customWidth="1"/>
    <col min="3587" max="3587" width="24.42578125" customWidth="1"/>
    <col min="3588" max="3588" width="17" customWidth="1"/>
    <col min="3589" max="3589" width="12.42578125" customWidth="1"/>
    <col min="3590" max="3590" width="18.140625" customWidth="1"/>
    <col min="3591" max="3591" width="16.85546875" customWidth="1"/>
    <col min="3841" max="3841" width="7.5703125" customWidth="1"/>
    <col min="3842" max="3842" width="23.42578125" customWidth="1"/>
    <col min="3843" max="3843" width="24.42578125" customWidth="1"/>
    <col min="3844" max="3844" width="17" customWidth="1"/>
    <col min="3845" max="3845" width="12.42578125" customWidth="1"/>
    <col min="3846" max="3846" width="18.140625" customWidth="1"/>
    <col min="3847" max="3847" width="16.85546875" customWidth="1"/>
    <col min="4097" max="4097" width="7.5703125" customWidth="1"/>
    <col min="4098" max="4098" width="23.42578125" customWidth="1"/>
    <col min="4099" max="4099" width="24.42578125" customWidth="1"/>
    <col min="4100" max="4100" width="17" customWidth="1"/>
    <col min="4101" max="4101" width="12.42578125" customWidth="1"/>
    <col min="4102" max="4102" width="18.140625" customWidth="1"/>
    <col min="4103" max="4103" width="16.85546875" customWidth="1"/>
    <col min="4353" max="4353" width="7.5703125" customWidth="1"/>
    <col min="4354" max="4354" width="23.42578125" customWidth="1"/>
    <col min="4355" max="4355" width="24.42578125" customWidth="1"/>
    <col min="4356" max="4356" width="17" customWidth="1"/>
    <col min="4357" max="4357" width="12.42578125" customWidth="1"/>
    <col min="4358" max="4358" width="18.140625" customWidth="1"/>
    <col min="4359" max="4359" width="16.85546875" customWidth="1"/>
    <col min="4609" max="4609" width="7.5703125" customWidth="1"/>
    <col min="4610" max="4610" width="23.42578125" customWidth="1"/>
    <col min="4611" max="4611" width="24.42578125" customWidth="1"/>
    <col min="4612" max="4612" width="17" customWidth="1"/>
    <col min="4613" max="4613" width="12.42578125" customWidth="1"/>
    <col min="4614" max="4614" width="18.140625" customWidth="1"/>
    <col min="4615" max="4615" width="16.85546875" customWidth="1"/>
    <col min="4865" max="4865" width="7.5703125" customWidth="1"/>
    <col min="4866" max="4866" width="23.42578125" customWidth="1"/>
    <col min="4867" max="4867" width="24.42578125" customWidth="1"/>
    <col min="4868" max="4868" width="17" customWidth="1"/>
    <col min="4869" max="4869" width="12.42578125" customWidth="1"/>
    <col min="4870" max="4870" width="18.140625" customWidth="1"/>
    <col min="4871" max="4871" width="16.85546875" customWidth="1"/>
    <col min="5121" max="5121" width="7.5703125" customWidth="1"/>
    <col min="5122" max="5122" width="23.42578125" customWidth="1"/>
    <col min="5123" max="5123" width="24.42578125" customWidth="1"/>
    <col min="5124" max="5124" width="17" customWidth="1"/>
    <col min="5125" max="5125" width="12.42578125" customWidth="1"/>
    <col min="5126" max="5126" width="18.140625" customWidth="1"/>
    <col min="5127" max="5127" width="16.85546875" customWidth="1"/>
    <col min="5377" max="5377" width="7.5703125" customWidth="1"/>
    <col min="5378" max="5378" width="23.42578125" customWidth="1"/>
    <col min="5379" max="5379" width="24.42578125" customWidth="1"/>
    <col min="5380" max="5380" width="17" customWidth="1"/>
    <col min="5381" max="5381" width="12.42578125" customWidth="1"/>
    <col min="5382" max="5382" width="18.140625" customWidth="1"/>
    <col min="5383" max="5383" width="16.85546875" customWidth="1"/>
    <col min="5633" max="5633" width="7.5703125" customWidth="1"/>
    <col min="5634" max="5634" width="23.42578125" customWidth="1"/>
    <col min="5635" max="5635" width="24.42578125" customWidth="1"/>
    <col min="5636" max="5636" width="17" customWidth="1"/>
    <col min="5637" max="5637" width="12.42578125" customWidth="1"/>
    <col min="5638" max="5638" width="18.140625" customWidth="1"/>
    <col min="5639" max="5639" width="16.85546875" customWidth="1"/>
    <col min="5889" max="5889" width="7.5703125" customWidth="1"/>
    <col min="5890" max="5890" width="23.42578125" customWidth="1"/>
    <col min="5891" max="5891" width="24.42578125" customWidth="1"/>
    <col min="5892" max="5892" width="17" customWidth="1"/>
    <col min="5893" max="5893" width="12.42578125" customWidth="1"/>
    <col min="5894" max="5894" width="18.140625" customWidth="1"/>
    <col min="5895" max="5895" width="16.85546875" customWidth="1"/>
    <col min="6145" max="6145" width="7.5703125" customWidth="1"/>
    <col min="6146" max="6146" width="23.42578125" customWidth="1"/>
    <col min="6147" max="6147" width="24.42578125" customWidth="1"/>
    <col min="6148" max="6148" width="17" customWidth="1"/>
    <col min="6149" max="6149" width="12.42578125" customWidth="1"/>
    <col min="6150" max="6150" width="18.140625" customWidth="1"/>
    <col min="6151" max="6151" width="16.85546875" customWidth="1"/>
    <col min="6401" max="6401" width="7.5703125" customWidth="1"/>
    <col min="6402" max="6402" width="23.42578125" customWidth="1"/>
    <col min="6403" max="6403" width="24.42578125" customWidth="1"/>
    <col min="6404" max="6404" width="17" customWidth="1"/>
    <col min="6405" max="6405" width="12.42578125" customWidth="1"/>
    <col min="6406" max="6406" width="18.140625" customWidth="1"/>
    <col min="6407" max="6407" width="16.85546875" customWidth="1"/>
    <col min="6657" max="6657" width="7.5703125" customWidth="1"/>
    <col min="6658" max="6658" width="23.42578125" customWidth="1"/>
    <col min="6659" max="6659" width="24.42578125" customWidth="1"/>
    <col min="6660" max="6660" width="17" customWidth="1"/>
    <col min="6661" max="6661" width="12.42578125" customWidth="1"/>
    <col min="6662" max="6662" width="18.140625" customWidth="1"/>
    <col min="6663" max="6663" width="16.85546875" customWidth="1"/>
    <col min="6913" max="6913" width="7.5703125" customWidth="1"/>
    <col min="6914" max="6914" width="23.42578125" customWidth="1"/>
    <col min="6915" max="6915" width="24.42578125" customWidth="1"/>
    <col min="6916" max="6916" width="17" customWidth="1"/>
    <col min="6917" max="6917" width="12.42578125" customWidth="1"/>
    <col min="6918" max="6918" width="18.140625" customWidth="1"/>
    <col min="6919" max="6919" width="16.85546875" customWidth="1"/>
    <col min="7169" max="7169" width="7.5703125" customWidth="1"/>
    <col min="7170" max="7170" width="23.42578125" customWidth="1"/>
    <col min="7171" max="7171" width="24.42578125" customWidth="1"/>
    <col min="7172" max="7172" width="17" customWidth="1"/>
    <col min="7173" max="7173" width="12.42578125" customWidth="1"/>
    <col min="7174" max="7174" width="18.140625" customWidth="1"/>
    <col min="7175" max="7175" width="16.85546875" customWidth="1"/>
    <col min="7425" max="7425" width="7.5703125" customWidth="1"/>
    <col min="7426" max="7426" width="23.42578125" customWidth="1"/>
    <col min="7427" max="7427" width="24.42578125" customWidth="1"/>
    <col min="7428" max="7428" width="17" customWidth="1"/>
    <col min="7429" max="7429" width="12.42578125" customWidth="1"/>
    <col min="7430" max="7430" width="18.140625" customWidth="1"/>
    <col min="7431" max="7431" width="16.85546875" customWidth="1"/>
    <col min="7681" max="7681" width="7.5703125" customWidth="1"/>
    <col min="7682" max="7682" width="23.42578125" customWidth="1"/>
    <col min="7683" max="7683" width="24.42578125" customWidth="1"/>
    <col min="7684" max="7684" width="17" customWidth="1"/>
    <col min="7685" max="7685" width="12.42578125" customWidth="1"/>
    <col min="7686" max="7686" width="18.140625" customWidth="1"/>
    <col min="7687" max="7687" width="16.85546875" customWidth="1"/>
    <col min="7937" max="7937" width="7.5703125" customWidth="1"/>
    <col min="7938" max="7938" width="23.42578125" customWidth="1"/>
    <col min="7939" max="7939" width="24.42578125" customWidth="1"/>
    <col min="7940" max="7940" width="17" customWidth="1"/>
    <col min="7941" max="7941" width="12.42578125" customWidth="1"/>
    <col min="7942" max="7942" width="18.140625" customWidth="1"/>
    <col min="7943" max="7943" width="16.85546875" customWidth="1"/>
    <col min="8193" max="8193" width="7.5703125" customWidth="1"/>
    <col min="8194" max="8194" width="23.42578125" customWidth="1"/>
    <col min="8195" max="8195" width="24.42578125" customWidth="1"/>
    <col min="8196" max="8196" width="17" customWidth="1"/>
    <col min="8197" max="8197" width="12.42578125" customWidth="1"/>
    <col min="8198" max="8198" width="18.140625" customWidth="1"/>
    <col min="8199" max="8199" width="16.85546875" customWidth="1"/>
    <col min="8449" max="8449" width="7.5703125" customWidth="1"/>
    <col min="8450" max="8450" width="23.42578125" customWidth="1"/>
    <col min="8451" max="8451" width="24.42578125" customWidth="1"/>
    <col min="8452" max="8452" width="17" customWidth="1"/>
    <col min="8453" max="8453" width="12.42578125" customWidth="1"/>
    <col min="8454" max="8454" width="18.140625" customWidth="1"/>
    <col min="8455" max="8455" width="16.85546875" customWidth="1"/>
    <col min="8705" max="8705" width="7.5703125" customWidth="1"/>
    <col min="8706" max="8706" width="23.42578125" customWidth="1"/>
    <col min="8707" max="8707" width="24.42578125" customWidth="1"/>
    <col min="8708" max="8708" width="17" customWidth="1"/>
    <col min="8709" max="8709" width="12.42578125" customWidth="1"/>
    <col min="8710" max="8710" width="18.140625" customWidth="1"/>
    <col min="8711" max="8711" width="16.85546875" customWidth="1"/>
    <col min="8961" max="8961" width="7.5703125" customWidth="1"/>
    <col min="8962" max="8962" width="23.42578125" customWidth="1"/>
    <col min="8963" max="8963" width="24.42578125" customWidth="1"/>
    <col min="8964" max="8964" width="17" customWidth="1"/>
    <col min="8965" max="8965" width="12.42578125" customWidth="1"/>
    <col min="8966" max="8966" width="18.140625" customWidth="1"/>
    <col min="8967" max="8967" width="16.85546875" customWidth="1"/>
    <col min="9217" max="9217" width="7.5703125" customWidth="1"/>
    <col min="9218" max="9218" width="23.42578125" customWidth="1"/>
    <col min="9219" max="9219" width="24.42578125" customWidth="1"/>
    <col min="9220" max="9220" width="17" customWidth="1"/>
    <col min="9221" max="9221" width="12.42578125" customWidth="1"/>
    <col min="9222" max="9222" width="18.140625" customWidth="1"/>
    <col min="9223" max="9223" width="16.85546875" customWidth="1"/>
    <col min="9473" max="9473" width="7.5703125" customWidth="1"/>
    <col min="9474" max="9474" width="23.42578125" customWidth="1"/>
    <col min="9475" max="9475" width="24.42578125" customWidth="1"/>
    <col min="9476" max="9476" width="17" customWidth="1"/>
    <col min="9477" max="9477" width="12.42578125" customWidth="1"/>
    <col min="9478" max="9478" width="18.140625" customWidth="1"/>
    <col min="9479" max="9479" width="16.85546875" customWidth="1"/>
    <col min="9729" max="9729" width="7.5703125" customWidth="1"/>
    <col min="9730" max="9730" width="23.42578125" customWidth="1"/>
    <col min="9731" max="9731" width="24.42578125" customWidth="1"/>
    <col min="9732" max="9732" width="17" customWidth="1"/>
    <col min="9733" max="9733" width="12.42578125" customWidth="1"/>
    <col min="9734" max="9734" width="18.140625" customWidth="1"/>
    <col min="9735" max="9735" width="16.85546875" customWidth="1"/>
    <col min="9985" max="9985" width="7.5703125" customWidth="1"/>
    <col min="9986" max="9986" width="23.42578125" customWidth="1"/>
    <col min="9987" max="9987" width="24.42578125" customWidth="1"/>
    <col min="9988" max="9988" width="17" customWidth="1"/>
    <col min="9989" max="9989" width="12.42578125" customWidth="1"/>
    <col min="9990" max="9990" width="18.140625" customWidth="1"/>
    <col min="9991" max="9991" width="16.85546875" customWidth="1"/>
    <col min="10241" max="10241" width="7.5703125" customWidth="1"/>
    <col min="10242" max="10242" width="23.42578125" customWidth="1"/>
    <col min="10243" max="10243" width="24.42578125" customWidth="1"/>
    <col min="10244" max="10244" width="17" customWidth="1"/>
    <col min="10245" max="10245" width="12.42578125" customWidth="1"/>
    <col min="10246" max="10246" width="18.140625" customWidth="1"/>
    <col min="10247" max="10247" width="16.85546875" customWidth="1"/>
    <col min="10497" max="10497" width="7.5703125" customWidth="1"/>
    <col min="10498" max="10498" width="23.42578125" customWidth="1"/>
    <col min="10499" max="10499" width="24.42578125" customWidth="1"/>
    <col min="10500" max="10500" width="17" customWidth="1"/>
    <col min="10501" max="10501" width="12.42578125" customWidth="1"/>
    <col min="10502" max="10502" width="18.140625" customWidth="1"/>
    <col min="10503" max="10503" width="16.85546875" customWidth="1"/>
    <col min="10753" max="10753" width="7.5703125" customWidth="1"/>
    <col min="10754" max="10754" width="23.42578125" customWidth="1"/>
    <col min="10755" max="10755" width="24.42578125" customWidth="1"/>
    <col min="10756" max="10756" width="17" customWidth="1"/>
    <col min="10757" max="10757" width="12.42578125" customWidth="1"/>
    <col min="10758" max="10758" width="18.140625" customWidth="1"/>
    <col min="10759" max="10759" width="16.85546875" customWidth="1"/>
    <col min="11009" max="11009" width="7.5703125" customWidth="1"/>
    <col min="11010" max="11010" width="23.42578125" customWidth="1"/>
    <col min="11011" max="11011" width="24.42578125" customWidth="1"/>
    <col min="11012" max="11012" width="17" customWidth="1"/>
    <col min="11013" max="11013" width="12.42578125" customWidth="1"/>
    <col min="11014" max="11014" width="18.140625" customWidth="1"/>
    <col min="11015" max="11015" width="16.85546875" customWidth="1"/>
    <col min="11265" max="11265" width="7.5703125" customWidth="1"/>
    <col min="11266" max="11266" width="23.42578125" customWidth="1"/>
    <col min="11267" max="11267" width="24.42578125" customWidth="1"/>
    <col min="11268" max="11268" width="17" customWidth="1"/>
    <col min="11269" max="11269" width="12.42578125" customWidth="1"/>
    <col min="11270" max="11270" width="18.140625" customWidth="1"/>
    <col min="11271" max="11271" width="16.85546875" customWidth="1"/>
    <col min="11521" max="11521" width="7.5703125" customWidth="1"/>
    <col min="11522" max="11522" width="23.42578125" customWidth="1"/>
    <col min="11523" max="11523" width="24.42578125" customWidth="1"/>
    <col min="11524" max="11524" width="17" customWidth="1"/>
    <col min="11525" max="11525" width="12.42578125" customWidth="1"/>
    <col min="11526" max="11526" width="18.140625" customWidth="1"/>
    <col min="11527" max="11527" width="16.85546875" customWidth="1"/>
    <col min="11777" max="11777" width="7.5703125" customWidth="1"/>
    <col min="11778" max="11778" width="23.42578125" customWidth="1"/>
    <col min="11779" max="11779" width="24.42578125" customWidth="1"/>
    <col min="11780" max="11780" width="17" customWidth="1"/>
    <col min="11781" max="11781" width="12.42578125" customWidth="1"/>
    <col min="11782" max="11782" width="18.140625" customWidth="1"/>
    <col min="11783" max="11783" width="16.85546875" customWidth="1"/>
    <col min="12033" max="12033" width="7.5703125" customWidth="1"/>
    <col min="12034" max="12034" width="23.42578125" customWidth="1"/>
    <col min="12035" max="12035" width="24.42578125" customWidth="1"/>
    <col min="12036" max="12036" width="17" customWidth="1"/>
    <col min="12037" max="12037" width="12.42578125" customWidth="1"/>
    <col min="12038" max="12038" width="18.140625" customWidth="1"/>
    <col min="12039" max="12039" width="16.85546875" customWidth="1"/>
    <col min="12289" max="12289" width="7.5703125" customWidth="1"/>
    <col min="12290" max="12290" width="23.42578125" customWidth="1"/>
    <col min="12291" max="12291" width="24.42578125" customWidth="1"/>
    <col min="12292" max="12292" width="17" customWidth="1"/>
    <col min="12293" max="12293" width="12.42578125" customWidth="1"/>
    <col min="12294" max="12294" width="18.140625" customWidth="1"/>
    <col min="12295" max="12295" width="16.85546875" customWidth="1"/>
    <col min="12545" max="12545" width="7.5703125" customWidth="1"/>
    <col min="12546" max="12546" width="23.42578125" customWidth="1"/>
    <col min="12547" max="12547" width="24.42578125" customWidth="1"/>
    <col min="12548" max="12548" width="17" customWidth="1"/>
    <col min="12549" max="12549" width="12.42578125" customWidth="1"/>
    <col min="12550" max="12550" width="18.140625" customWidth="1"/>
    <col min="12551" max="12551" width="16.85546875" customWidth="1"/>
    <col min="12801" max="12801" width="7.5703125" customWidth="1"/>
    <col min="12802" max="12802" width="23.42578125" customWidth="1"/>
    <col min="12803" max="12803" width="24.42578125" customWidth="1"/>
    <col min="12804" max="12804" width="17" customWidth="1"/>
    <col min="12805" max="12805" width="12.42578125" customWidth="1"/>
    <col min="12806" max="12806" width="18.140625" customWidth="1"/>
    <col min="12807" max="12807" width="16.85546875" customWidth="1"/>
    <col min="13057" max="13057" width="7.5703125" customWidth="1"/>
    <col min="13058" max="13058" width="23.42578125" customWidth="1"/>
    <col min="13059" max="13059" width="24.42578125" customWidth="1"/>
    <col min="13060" max="13060" width="17" customWidth="1"/>
    <col min="13061" max="13061" width="12.42578125" customWidth="1"/>
    <col min="13062" max="13062" width="18.140625" customWidth="1"/>
    <col min="13063" max="13063" width="16.85546875" customWidth="1"/>
    <col min="13313" max="13313" width="7.5703125" customWidth="1"/>
    <col min="13314" max="13314" width="23.42578125" customWidth="1"/>
    <col min="13315" max="13315" width="24.42578125" customWidth="1"/>
    <col min="13316" max="13316" width="17" customWidth="1"/>
    <col min="13317" max="13317" width="12.42578125" customWidth="1"/>
    <col min="13318" max="13318" width="18.140625" customWidth="1"/>
    <col min="13319" max="13319" width="16.85546875" customWidth="1"/>
    <col min="13569" max="13569" width="7.5703125" customWidth="1"/>
    <col min="13570" max="13570" width="23.42578125" customWidth="1"/>
    <col min="13571" max="13571" width="24.42578125" customWidth="1"/>
    <col min="13572" max="13572" width="17" customWidth="1"/>
    <col min="13573" max="13573" width="12.42578125" customWidth="1"/>
    <col min="13574" max="13574" width="18.140625" customWidth="1"/>
    <col min="13575" max="13575" width="16.85546875" customWidth="1"/>
    <col min="13825" max="13825" width="7.5703125" customWidth="1"/>
    <col min="13826" max="13826" width="23.42578125" customWidth="1"/>
    <col min="13827" max="13827" width="24.42578125" customWidth="1"/>
    <col min="13828" max="13828" width="17" customWidth="1"/>
    <col min="13829" max="13829" width="12.42578125" customWidth="1"/>
    <col min="13830" max="13830" width="18.140625" customWidth="1"/>
    <col min="13831" max="13831" width="16.85546875" customWidth="1"/>
    <col min="14081" max="14081" width="7.5703125" customWidth="1"/>
    <col min="14082" max="14082" width="23.42578125" customWidth="1"/>
    <col min="14083" max="14083" width="24.42578125" customWidth="1"/>
    <col min="14084" max="14084" width="17" customWidth="1"/>
    <col min="14085" max="14085" width="12.42578125" customWidth="1"/>
    <col min="14086" max="14086" width="18.140625" customWidth="1"/>
    <col min="14087" max="14087" width="16.85546875" customWidth="1"/>
    <col min="14337" max="14337" width="7.5703125" customWidth="1"/>
    <col min="14338" max="14338" width="23.42578125" customWidth="1"/>
    <col min="14339" max="14339" width="24.42578125" customWidth="1"/>
    <col min="14340" max="14340" width="17" customWidth="1"/>
    <col min="14341" max="14341" width="12.42578125" customWidth="1"/>
    <col min="14342" max="14342" width="18.140625" customWidth="1"/>
    <col min="14343" max="14343" width="16.85546875" customWidth="1"/>
    <col min="14593" max="14593" width="7.5703125" customWidth="1"/>
    <col min="14594" max="14594" width="23.42578125" customWidth="1"/>
    <col min="14595" max="14595" width="24.42578125" customWidth="1"/>
    <col min="14596" max="14596" width="17" customWidth="1"/>
    <col min="14597" max="14597" width="12.42578125" customWidth="1"/>
    <col min="14598" max="14598" width="18.140625" customWidth="1"/>
    <col min="14599" max="14599" width="16.85546875" customWidth="1"/>
    <col min="14849" max="14849" width="7.5703125" customWidth="1"/>
    <col min="14850" max="14850" width="23.42578125" customWidth="1"/>
    <col min="14851" max="14851" width="24.42578125" customWidth="1"/>
    <col min="14852" max="14852" width="17" customWidth="1"/>
    <col min="14853" max="14853" width="12.42578125" customWidth="1"/>
    <col min="14854" max="14854" width="18.140625" customWidth="1"/>
    <col min="14855" max="14855" width="16.85546875" customWidth="1"/>
    <col min="15105" max="15105" width="7.5703125" customWidth="1"/>
    <col min="15106" max="15106" width="23.42578125" customWidth="1"/>
    <col min="15107" max="15107" width="24.42578125" customWidth="1"/>
    <col min="15108" max="15108" width="17" customWidth="1"/>
    <col min="15109" max="15109" width="12.42578125" customWidth="1"/>
    <col min="15110" max="15110" width="18.140625" customWidth="1"/>
    <col min="15111" max="15111" width="16.85546875" customWidth="1"/>
    <col min="15361" max="15361" width="7.5703125" customWidth="1"/>
    <col min="15362" max="15362" width="23.42578125" customWidth="1"/>
    <col min="15363" max="15363" width="24.42578125" customWidth="1"/>
    <col min="15364" max="15364" width="17" customWidth="1"/>
    <col min="15365" max="15365" width="12.42578125" customWidth="1"/>
    <col min="15366" max="15366" width="18.140625" customWidth="1"/>
    <col min="15367" max="15367" width="16.85546875" customWidth="1"/>
    <col min="15617" max="15617" width="7.5703125" customWidth="1"/>
    <col min="15618" max="15618" width="23.42578125" customWidth="1"/>
    <col min="15619" max="15619" width="24.42578125" customWidth="1"/>
    <col min="15620" max="15620" width="17" customWidth="1"/>
    <col min="15621" max="15621" width="12.42578125" customWidth="1"/>
    <col min="15622" max="15622" width="18.140625" customWidth="1"/>
    <col min="15623" max="15623" width="16.85546875" customWidth="1"/>
    <col min="15873" max="15873" width="7.5703125" customWidth="1"/>
    <col min="15874" max="15874" width="23.42578125" customWidth="1"/>
    <col min="15875" max="15875" width="24.42578125" customWidth="1"/>
    <col min="15876" max="15876" width="17" customWidth="1"/>
    <col min="15877" max="15877" width="12.42578125" customWidth="1"/>
    <col min="15878" max="15878" width="18.140625" customWidth="1"/>
    <col min="15879" max="15879" width="16.85546875" customWidth="1"/>
    <col min="16129" max="16129" width="7.5703125" customWidth="1"/>
    <col min="16130" max="16130" width="23.42578125" customWidth="1"/>
    <col min="16131" max="16131" width="24.42578125" customWidth="1"/>
    <col min="16132" max="16132" width="17" customWidth="1"/>
    <col min="16133" max="16133" width="12.42578125" customWidth="1"/>
    <col min="16134" max="16134" width="18.140625" customWidth="1"/>
    <col min="16135" max="16135" width="16.85546875" customWidth="1"/>
  </cols>
  <sheetData>
    <row r="1" spans="1:8" ht="21" x14ac:dyDescent="0.25">
      <c r="A1" s="1292" t="s">
        <v>1018</v>
      </c>
      <c r="B1" s="1292"/>
      <c r="C1" s="1292"/>
      <c r="D1" s="1292"/>
      <c r="E1" s="1292"/>
      <c r="F1" s="1292"/>
      <c r="G1" s="1292"/>
      <c r="H1" s="1292"/>
    </row>
    <row r="2" spans="1:8" x14ac:dyDescent="0.25">
      <c r="A2" s="538" t="s">
        <v>1019</v>
      </c>
      <c r="B2" s="1293" t="s">
        <v>535</v>
      </c>
      <c r="C2" s="1294"/>
      <c r="D2" s="538" t="s">
        <v>1020</v>
      </c>
      <c r="E2" s="538" t="s">
        <v>1021</v>
      </c>
      <c r="F2" s="538" t="s">
        <v>1022</v>
      </c>
      <c r="G2" s="538" t="s">
        <v>1023</v>
      </c>
      <c r="H2" s="539" t="s">
        <v>504</v>
      </c>
    </row>
    <row r="3" spans="1:8" hidden="1" x14ac:dyDescent="0.25">
      <c r="A3" s="540">
        <v>5</v>
      </c>
      <c r="B3" s="1283" t="s">
        <v>1024</v>
      </c>
      <c r="C3" s="1284"/>
      <c r="D3" s="1284"/>
      <c r="E3" s="1284"/>
      <c r="F3" s="1284"/>
      <c r="G3" s="541">
        <f>SUM(G4:G7)</f>
        <v>0</v>
      </c>
      <c r="H3" s="542">
        <f>+G3*100/$G$102</f>
        <v>0</v>
      </c>
    </row>
    <row r="4" spans="1:8" hidden="1" x14ac:dyDescent="0.25">
      <c r="A4" s="543">
        <v>64</v>
      </c>
      <c r="B4" s="1285" t="s">
        <v>1025</v>
      </c>
      <c r="C4" s="1286"/>
      <c r="D4" s="543" t="s">
        <v>571</v>
      </c>
      <c r="E4" s="544">
        <v>0</v>
      </c>
      <c r="F4" s="545">
        <v>5.09</v>
      </c>
      <c r="G4" s="546">
        <f>F4*E4</f>
        <v>0</v>
      </c>
      <c r="H4" s="542">
        <f t="shared" ref="H4:H67" si="0">+G4*100/$G$102</f>
        <v>0</v>
      </c>
    </row>
    <row r="5" spans="1:8" hidden="1" x14ac:dyDescent="0.25">
      <c r="A5" s="543">
        <v>66</v>
      </c>
      <c r="B5" s="1285" t="s">
        <v>685</v>
      </c>
      <c r="C5" s="1286"/>
      <c r="D5" s="543" t="s">
        <v>683</v>
      </c>
      <c r="E5" s="544">
        <v>0</v>
      </c>
      <c r="F5" s="545">
        <v>14.33</v>
      </c>
      <c r="G5" s="546">
        <f>F5*E5</f>
        <v>0</v>
      </c>
      <c r="H5" s="542">
        <f t="shared" si="0"/>
        <v>0</v>
      </c>
    </row>
    <row r="6" spans="1:8" hidden="1" x14ac:dyDescent="0.25">
      <c r="A6" s="543">
        <v>67</v>
      </c>
      <c r="B6" s="1285" t="s">
        <v>687</v>
      </c>
      <c r="C6" s="1286"/>
      <c r="D6" s="543" t="s">
        <v>683</v>
      </c>
      <c r="E6" s="544">
        <v>0</v>
      </c>
      <c r="F6" s="545">
        <v>5.34</v>
      </c>
      <c r="G6" s="546">
        <f>F6*E6</f>
        <v>0</v>
      </c>
      <c r="H6" s="542">
        <f t="shared" si="0"/>
        <v>0</v>
      </c>
    </row>
    <row r="7" spans="1:8" hidden="1" x14ac:dyDescent="0.25">
      <c r="A7" s="543">
        <v>68</v>
      </c>
      <c r="B7" s="1285" t="s">
        <v>689</v>
      </c>
      <c r="C7" s="1286"/>
      <c r="D7" s="543" t="s">
        <v>683</v>
      </c>
      <c r="E7" s="544">
        <v>0</v>
      </c>
      <c r="F7" s="545">
        <v>10.139999999999999</v>
      </c>
      <c r="G7" s="546">
        <f>F7*E7</f>
        <v>0</v>
      </c>
      <c r="H7" s="542">
        <f t="shared" si="0"/>
        <v>0</v>
      </c>
    </row>
    <row r="8" spans="1:8" x14ac:dyDescent="0.25">
      <c r="A8" s="540">
        <v>6</v>
      </c>
      <c r="B8" s="1283" t="s">
        <v>1026</v>
      </c>
      <c r="C8" s="1284"/>
      <c r="D8" s="1284"/>
      <c r="E8" s="1284"/>
      <c r="F8" s="1284"/>
      <c r="G8" s="547">
        <f>SUM(G9:G19)</f>
        <v>103962.52446</v>
      </c>
      <c r="H8" s="551">
        <f>SUM(H9:H19)</f>
        <v>22.237211435699681</v>
      </c>
    </row>
    <row r="9" spans="1:8" hidden="1" x14ac:dyDescent="0.25">
      <c r="A9" s="543">
        <v>69</v>
      </c>
      <c r="B9" s="1285" t="s">
        <v>1027</v>
      </c>
      <c r="C9" s="1286"/>
      <c r="D9" s="543" t="s">
        <v>571</v>
      </c>
      <c r="E9" s="544">
        <v>1141.01</v>
      </c>
      <c r="F9" s="545">
        <v>25.2</v>
      </c>
      <c r="G9" s="548">
        <f>F9*E9</f>
        <v>28753.451999999997</v>
      </c>
      <c r="H9" s="552">
        <f t="shared" si="0"/>
        <v>6.1502603457484559</v>
      </c>
    </row>
    <row r="10" spans="1:8" hidden="1" x14ac:dyDescent="0.25">
      <c r="A10" s="543">
        <v>70</v>
      </c>
      <c r="B10" s="1285" t="s">
        <v>1028</v>
      </c>
      <c r="C10" s="1286"/>
      <c r="D10" s="543" t="s">
        <v>571</v>
      </c>
      <c r="E10" s="544">
        <v>605</v>
      </c>
      <c r="F10" s="545">
        <v>25.2</v>
      </c>
      <c r="G10" s="548">
        <f t="shared" ref="G10:G19" si="1">F10*E10</f>
        <v>15246</v>
      </c>
      <c r="H10" s="552">
        <f t="shared" si="0"/>
        <v>3.2610647664593788</v>
      </c>
    </row>
    <row r="11" spans="1:8" hidden="1" x14ac:dyDescent="0.25">
      <c r="A11" s="543">
        <v>71</v>
      </c>
      <c r="B11" s="1285" t="s">
        <v>1029</v>
      </c>
      <c r="C11" s="1286"/>
      <c r="D11" s="543" t="s">
        <v>571</v>
      </c>
      <c r="E11" s="544">
        <v>0</v>
      </c>
      <c r="F11" s="545">
        <v>34.020000000000003</v>
      </c>
      <c r="G11" s="548">
        <f t="shared" si="1"/>
        <v>0</v>
      </c>
      <c r="H11" s="552">
        <f t="shared" si="0"/>
        <v>0</v>
      </c>
    </row>
    <row r="12" spans="1:8" hidden="1" x14ac:dyDescent="0.25">
      <c r="A12" s="543">
        <v>72</v>
      </c>
      <c r="B12" s="1285" t="s">
        <v>1030</v>
      </c>
      <c r="C12" s="1286"/>
      <c r="D12" s="543" t="s">
        <v>571</v>
      </c>
      <c r="E12" s="544">
        <v>155.94</v>
      </c>
      <c r="F12" s="545">
        <v>25.2</v>
      </c>
      <c r="G12" s="548">
        <f t="shared" si="1"/>
        <v>3929.6879999999996</v>
      </c>
      <c r="H12" s="552">
        <f t="shared" si="0"/>
        <v>0.84054618129202563</v>
      </c>
    </row>
    <row r="13" spans="1:8" hidden="1" x14ac:dyDescent="0.25">
      <c r="A13" s="543">
        <v>73</v>
      </c>
      <c r="B13" s="1285" t="s">
        <v>1031</v>
      </c>
      <c r="C13" s="1286"/>
      <c r="D13" s="543" t="s">
        <v>571</v>
      </c>
      <c r="E13" s="544">
        <v>1727.36</v>
      </c>
      <c r="F13" s="545">
        <v>19.73</v>
      </c>
      <c r="G13" s="548">
        <f t="shared" si="1"/>
        <v>34080.8128</v>
      </c>
      <c r="H13" s="552">
        <f t="shared" si="0"/>
        <v>7.2897637304458742</v>
      </c>
    </row>
    <row r="14" spans="1:8" hidden="1" x14ac:dyDescent="0.25">
      <c r="A14" s="543">
        <v>74</v>
      </c>
      <c r="B14" s="1285" t="s">
        <v>1032</v>
      </c>
      <c r="C14" s="1286"/>
      <c r="D14" s="543" t="s">
        <v>683</v>
      </c>
      <c r="E14" s="544">
        <v>0</v>
      </c>
      <c r="F14" s="545">
        <v>3.98</v>
      </c>
      <c r="G14" s="548">
        <f t="shared" si="1"/>
        <v>0</v>
      </c>
      <c r="H14" s="552">
        <f t="shared" si="0"/>
        <v>0</v>
      </c>
    </row>
    <row r="15" spans="1:8" hidden="1" x14ac:dyDescent="0.25">
      <c r="A15" s="543">
        <v>75</v>
      </c>
      <c r="B15" s="1285" t="s">
        <v>1033</v>
      </c>
      <c r="C15" s="1286"/>
      <c r="D15" s="543" t="s">
        <v>683</v>
      </c>
      <c r="E15" s="544">
        <v>486.21</v>
      </c>
      <c r="F15" s="545">
        <v>6</v>
      </c>
      <c r="G15" s="548">
        <f t="shared" si="1"/>
        <v>2917.2599999999998</v>
      </c>
      <c r="H15" s="552">
        <f t="shared" si="0"/>
        <v>0.62399146009453543</v>
      </c>
    </row>
    <row r="16" spans="1:8" hidden="1" x14ac:dyDescent="0.25">
      <c r="A16" s="543">
        <v>77</v>
      </c>
      <c r="B16" s="1285" t="s">
        <v>1034</v>
      </c>
      <c r="C16" s="1286"/>
      <c r="D16" s="543" t="s">
        <v>571</v>
      </c>
      <c r="E16" s="544">
        <f>6.4*9.35*1.05</f>
        <v>62.832000000000008</v>
      </c>
      <c r="F16" s="545">
        <v>102.73</v>
      </c>
      <c r="G16" s="548">
        <f t="shared" si="1"/>
        <v>6454.7313600000007</v>
      </c>
      <c r="H16" s="552">
        <f t="shared" si="0"/>
        <v>1.380643907586018</v>
      </c>
    </row>
    <row r="17" spans="1:8" hidden="1" x14ac:dyDescent="0.25">
      <c r="A17" s="543">
        <v>78</v>
      </c>
      <c r="B17" s="1285" t="s">
        <v>1035</v>
      </c>
      <c r="C17" s="1286"/>
      <c r="D17" s="543" t="s">
        <v>571</v>
      </c>
      <c r="E17" s="544">
        <v>82.72</v>
      </c>
      <c r="F17" s="545">
        <v>12.95</v>
      </c>
      <c r="G17" s="548">
        <f t="shared" si="1"/>
        <v>1071.2239999999999</v>
      </c>
      <c r="H17" s="552">
        <f t="shared" si="0"/>
        <v>0.22913097490395393</v>
      </c>
    </row>
    <row r="18" spans="1:8" hidden="1" x14ac:dyDescent="0.25">
      <c r="A18" s="543">
        <v>79</v>
      </c>
      <c r="B18" s="1285" t="s">
        <v>1036</v>
      </c>
      <c r="C18" s="1286"/>
      <c r="D18" s="543" t="s">
        <v>571</v>
      </c>
      <c r="E18" s="544">
        <v>694.59</v>
      </c>
      <c r="F18" s="545">
        <v>16.57</v>
      </c>
      <c r="G18" s="548">
        <f t="shared" si="1"/>
        <v>11509.356300000001</v>
      </c>
      <c r="H18" s="552">
        <f t="shared" si="0"/>
        <v>2.4618100691694402</v>
      </c>
    </row>
    <row r="19" spans="1:8" hidden="1" x14ac:dyDescent="0.25">
      <c r="A19" s="543">
        <v>80</v>
      </c>
      <c r="B19" s="1285" t="s">
        <v>1037</v>
      </c>
      <c r="C19" s="1286"/>
      <c r="D19" s="543" t="s">
        <v>1038</v>
      </c>
      <c r="E19" s="544">
        <v>0</v>
      </c>
      <c r="F19" s="545">
        <v>29.13</v>
      </c>
      <c r="G19" s="548">
        <f t="shared" si="1"/>
        <v>0</v>
      </c>
      <c r="H19" s="552">
        <f t="shared" si="0"/>
        <v>0</v>
      </c>
    </row>
    <row r="20" spans="1:8" x14ac:dyDescent="0.25">
      <c r="A20" s="540">
        <v>7</v>
      </c>
      <c r="B20" s="1283" t="s">
        <v>1039</v>
      </c>
      <c r="C20" s="1284"/>
      <c r="D20" s="1284"/>
      <c r="E20" s="1284"/>
      <c r="F20" s="1284"/>
      <c r="G20" s="547">
        <f>SUM(G21:G26)</f>
        <v>51745.880000000005</v>
      </c>
      <c r="H20" s="551">
        <f t="shared" si="0"/>
        <v>11.068258302337338</v>
      </c>
    </row>
    <row r="21" spans="1:8" hidden="1" x14ac:dyDescent="0.25">
      <c r="A21" s="543">
        <v>81</v>
      </c>
      <c r="B21" s="1285" t="s">
        <v>1040</v>
      </c>
      <c r="C21" s="1286"/>
      <c r="D21" s="543" t="s">
        <v>1038</v>
      </c>
      <c r="E21" s="544">
        <v>0</v>
      </c>
      <c r="F21" s="545">
        <v>1.0699999999999998</v>
      </c>
      <c r="G21" s="548">
        <f t="shared" ref="G21:G26" si="2">F21*E21</f>
        <v>0</v>
      </c>
      <c r="H21" s="551">
        <f t="shared" si="0"/>
        <v>0</v>
      </c>
    </row>
    <row r="22" spans="1:8" hidden="1" x14ac:dyDescent="0.25">
      <c r="A22" s="543">
        <v>82</v>
      </c>
      <c r="B22" s="1285" t="s">
        <v>1041</v>
      </c>
      <c r="C22" s="1286"/>
      <c r="D22" s="543" t="s">
        <v>571</v>
      </c>
      <c r="E22" s="544">
        <v>0</v>
      </c>
      <c r="F22" s="545">
        <v>7.0500000000000007</v>
      </c>
      <c r="G22" s="548">
        <f t="shared" si="2"/>
        <v>0</v>
      </c>
      <c r="H22" s="551">
        <f t="shared" si="0"/>
        <v>0</v>
      </c>
    </row>
    <row r="23" spans="1:8" hidden="1" x14ac:dyDescent="0.25">
      <c r="A23" s="543">
        <v>83</v>
      </c>
      <c r="B23" s="1285" t="s">
        <v>1042</v>
      </c>
      <c r="C23" s="1286"/>
      <c r="D23" s="543" t="s">
        <v>571</v>
      </c>
      <c r="E23" s="544">
        <v>8724.5</v>
      </c>
      <c r="F23" s="545">
        <v>3.17</v>
      </c>
      <c r="G23" s="548">
        <f t="shared" si="2"/>
        <v>27656.665000000001</v>
      </c>
      <c r="H23" s="551">
        <f t="shared" si="0"/>
        <v>5.915661536748674</v>
      </c>
    </row>
    <row r="24" spans="1:8" hidden="1" x14ac:dyDescent="0.25">
      <c r="A24" s="543">
        <v>84</v>
      </c>
      <c r="B24" s="1285" t="s">
        <v>1043</v>
      </c>
      <c r="C24" s="1286"/>
      <c r="D24" s="543" t="s">
        <v>571</v>
      </c>
      <c r="E24" s="544">
        <v>0</v>
      </c>
      <c r="F24" s="545">
        <v>5.2</v>
      </c>
      <c r="G24" s="548">
        <f t="shared" si="2"/>
        <v>0</v>
      </c>
      <c r="H24" s="551">
        <f t="shared" si="0"/>
        <v>0</v>
      </c>
    </row>
    <row r="25" spans="1:8" hidden="1" x14ac:dyDescent="0.25">
      <c r="A25" s="543">
        <v>85</v>
      </c>
      <c r="B25" s="1285" t="s">
        <v>1044</v>
      </c>
      <c r="C25" s="1286"/>
      <c r="D25" s="543" t="s">
        <v>571</v>
      </c>
      <c r="E25" s="544">
        <v>5500</v>
      </c>
      <c r="F25" s="545">
        <v>2.58</v>
      </c>
      <c r="G25" s="548">
        <f t="shared" si="2"/>
        <v>14190</v>
      </c>
      <c r="H25" s="551">
        <f t="shared" si="0"/>
        <v>3.0351901506007208</v>
      </c>
    </row>
    <row r="26" spans="1:8" hidden="1" x14ac:dyDescent="0.25">
      <c r="A26" s="543">
        <v>86</v>
      </c>
      <c r="B26" s="1285" t="s">
        <v>1045</v>
      </c>
      <c r="C26" s="1286"/>
      <c r="D26" s="543" t="s">
        <v>571</v>
      </c>
      <c r="E26" s="544">
        <v>3224.5</v>
      </c>
      <c r="F26" s="545">
        <v>3.07</v>
      </c>
      <c r="G26" s="548">
        <f t="shared" si="2"/>
        <v>9899.2150000000001</v>
      </c>
      <c r="H26" s="551">
        <f t="shared" si="0"/>
        <v>2.1174066149879431</v>
      </c>
    </row>
    <row r="27" spans="1:8" x14ac:dyDescent="0.25">
      <c r="A27" s="540">
        <v>8</v>
      </c>
      <c r="B27" s="1283" t="s">
        <v>1046</v>
      </c>
      <c r="C27" s="1284"/>
      <c r="D27" s="1284"/>
      <c r="E27" s="1284"/>
      <c r="F27" s="1284"/>
      <c r="G27" s="547">
        <f>SUM(G28:G42)</f>
        <v>33591.483800000002</v>
      </c>
      <c r="H27" s="551">
        <f t="shared" si="0"/>
        <v>7.1850980108402878</v>
      </c>
    </row>
    <row r="28" spans="1:8" hidden="1" x14ac:dyDescent="0.25">
      <c r="A28" s="543">
        <v>87</v>
      </c>
      <c r="B28" s="1285" t="s">
        <v>1047</v>
      </c>
      <c r="C28" s="1286"/>
      <c r="D28" s="543" t="s">
        <v>1038</v>
      </c>
      <c r="E28" s="544">
        <v>110</v>
      </c>
      <c r="F28" s="545">
        <v>84.26</v>
      </c>
      <c r="G28" s="548">
        <f>F28*E28</f>
        <v>9268.6</v>
      </c>
      <c r="H28" s="551">
        <f t="shared" si="0"/>
        <v>1.9825203262760986</v>
      </c>
    </row>
    <row r="29" spans="1:8" hidden="1" x14ac:dyDescent="0.25">
      <c r="A29" s="543">
        <v>88</v>
      </c>
      <c r="B29" s="1285" t="s">
        <v>1048</v>
      </c>
      <c r="C29" s="1286"/>
      <c r="D29" s="543" t="s">
        <v>1038</v>
      </c>
      <c r="E29" s="544">
        <v>155.96</v>
      </c>
      <c r="F29" s="545">
        <v>105.53</v>
      </c>
      <c r="G29" s="548">
        <f t="shared" ref="G29:G42" si="3">F29*E29</f>
        <v>16458.4588</v>
      </c>
      <c r="H29" s="551">
        <f t="shared" si="0"/>
        <v>3.5204053589730626</v>
      </c>
    </row>
    <row r="30" spans="1:8" hidden="1" x14ac:dyDescent="0.25">
      <c r="A30" s="543">
        <v>89</v>
      </c>
      <c r="B30" s="1285" t="s">
        <v>1049</v>
      </c>
      <c r="C30" s="1286"/>
      <c r="D30" s="543" t="s">
        <v>1050</v>
      </c>
      <c r="E30" s="544">
        <v>0</v>
      </c>
      <c r="F30" s="545">
        <v>671.23</v>
      </c>
      <c r="G30" s="548">
        <f t="shared" si="3"/>
        <v>0</v>
      </c>
      <c r="H30" s="551">
        <f t="shared" si="0"/>
        <v>0</v>
      </c>
    </row>
    <row r="31" spans="1:8" hidden="1" x14ac:dyDescent="0.25">
      <c r="A31" s="543">
        <v>90</v>
      </c>
      <c r="B31" s="1285" t="s">
        <v>1051</v>
      </c>
      <c r="C31" s="1286"/>
      <c r="D31" s="543" t="s">
        <v>1050</v>
      </c>
      <c r="E31" s="544">
        <v>0</v>
      </c>
      <c r="F31" s="545">
        <v>177.07</v>
      </c>
      <c r="G31" s="548">
        <f t="shared" si="3"/>
        <v>0</v>
      </c>
      <c r="H31" s="551">
        <f t="shared" si="0"/>
        <v>0</v>
      </c>
    </row>
    <row r="32" spans="1:8" hidden="1" x14ac:dyDescent="0.25">
      <c r="A32" s="543">
        <v>91</v>
      </c>
      <c r="B32" s="1285" t="s">
        <v>1052</v>
      </c>
      <c r="C32" s="1286"/>
      <c r="D32" s="543" t="s">
        <v>1050</v>
      </c>
      <c r="E32" s="544">
        <v>0</v>
      </c>
      <c r="F32" s="545">
        <v>186.25</v>
      </c>
      <c r="G32" s="548">
        <f t="shared" si="3"/>
        <v>0</v>
      </c>
      <c r="H32" s="551">
        <f t="shared" si="0"/>
        <v>0</v>
      </c>
    </row>
    <row r="33" spans="1:8" hidden="1" x14ac:dyDescent="0.25">
      <c r="A33" s="543">
        <v>92</v>
      </c>
      <c r="B33" s="1285" t="s">
        <v>1053</v>
      </c>
      <c r="C33" s="1286"/>
      <c r="D33" s="543" t="s">
        <v>571</v>
      </c>
      <c r="E33" s="544">
        <v>0</v>
      </c>
      <c r="F33" s="545">
        <v>37.950000000000003</v>
      </c>
      <c r="G33" s="548">
        <f t="shared" si="3"/>
        <v>0</v>
      </c>
      <c r="H33" s="551">
        <f t="shared" si="0"/>
        <v>0</v>
      </c>
    </row>
    <row r="34" spans="1:8" hidden="1" x14ac:dyDescent="0.25">
      <c r="A34" s="543">
        <v>93</v>
      </c>
      <c r="B34" s="1285" t="s">
        <v>1054</v>
      </c>
      <c r="C34" s="1286"/>
      <c r="D34" s="543" t="s">
        <v>1050</v>
      </c>
      <c r="E34" s="544">
        <v>0</v>
      </c>
      <c r="F34" s="545">
        <v>186.25</v>
      </c>
      <c r="G34" s="548">
        <f t="shared" si="3"/>
        <v>0</v>
      </c>
      <c r="H34" s="551">
        <f t="shared" si="0"/>
        <v>0</v>
      </c>
    </row>
    <row r="35" spans="1:8" hidden="1" x14ac:dyDescent="0.25">
      <c r="A35" s="543">
        <v>94</v>
      </c>
      <c r="B35" s="1285" t="s">
        <v>1055</v>
      </c>
      <c r="C35" s="1286"/>
      <c r="D35" s="543" t="s">
        <v>1050</v>
      </c>
      <c r="E35" s="544">
        <v>28</v>
      </c>
      <c r="F35" s="545">
        <v>76.900000000000006</v>
      </c>
      <c r="G35" s="548">
        <f t="shared" si="3"/>
        <v>2153.2000000000003</v>
      </c>
      <c r="H35" s="551">
        <f t="shared" si="0"/>
        <v>0.46056176407846883</v>
      </c>
    </row>
    <row r="36" spans="1:8" hidden="1" x14ac:dyDescent="0.25">
      <c r="A36" s="543">
        <v>95</v>
      </c>
      <c r="B36" s="1285" t="s">
        <v>1056</v>
      </c>
      <c r="C36" s="1286"/>
      <c r="D36" s="543" t="s">
        <v>571</v>
      </c>
      <c r="E36" s="544">
        <v>13.5</v>
      </c>
      <c r="F36" s="545">
        <v>291.97000000000003</v>
      </c>
      <c r="G36" s="548">
        <f t="shared" si="3"/>
        <v>3941.5950000000003</v>
      </c>
      <c r="H36" s="551">
        <f t="shared" si="0"/>
        <v>0.84309304592368195</v>
      </c>
    </row>
    <row r="37" spans="1:8" hidden="1" x14ac:dyDescent="0.25">
      <c r="A37" s="543">
        <v>96</v>
      </c>
      <c r="B37" s="1285" t="s">
        <v>1057</v>
      </c>
      <c r="C37" s="1286"/>
      <c r="D37" s="543" t="s">
        <v>1050</v>
      </c>
      <c r="E37" s="544">
        <v>1</v>
      </c>
      <c r="F37" s="545">
        <v>177.07</v>
      </c>
      <c r="G37" s="548">
        <f t="shared" si="3"/>
        <v>177.07</v>
      </c>
      <c r="H37" s="551">
        <f t="shared" si="0"/>
        <v>3.7874638475466495E-2</v>
      </c>
    </row>
    <row r="38" spans="1:8" hidden="1" x14ac:dyDescent="0.25">
      <c r="A38" s="543">
        <v>97</v>
      </c>
      <c r="B38" s="1285" t="s">
        <v>1058</v>
      </c>
      <c r="C38" s="1286"/>
      <c r="D38" s="543" t="s">
        <v>1050</v>
      </c>
      <c r="E38" s="544">
        <v>1</v>
      </c>
      <c r="F38" s="545">
        <v>177.07</v>
      </c>
      <c r="G38" s="548">
        <f t="shared" si="3"/>
        <v>177.07</v>
      </c>
      <c r="H38" s="551">
        <f t="shared" si="0"/>
        <v>3.7874638475466495E-2</v>
      </c>
    </row>
    <row r="39" spans="1:8" hidden="1" x14ac:dyDescent="0.25">
      <c r="A39" s="543">
        <v>98</v>
      </c>
      <c r="B39" s="1285" t="s">
        <v>1059</v>
      </c>
      <c r="C39" s="1286"/>
      <c r="D39" s="543" t="s">
        <v>1050</v>
      </c>
      <c r="E39" s="544">
        <v>1</v>
      </c>
      <c r="F39" s="545">
        <v>177.07</v>
      </c>
      <c r="G39" s="548">
        <f t="shared" si="3"/>
        <v>177.07</v>
      </c>
      <c r="H39" s="551">
        <f t="shared" si="0"/>
        <v>3.7874638475466495E-2</v>
      </c>
    </row>
    <row r="40" spans="1:8" hidden="1" x14ac:dyDescent="0.25">
      <c r="A40" s="543">
        <v>99</v>
      </c>
      <c r="B40" s="1285" t="s">
        <v>1060</v>
      </c>
      <c r="C40" s="1286"/>
      <c r="D40" s="543" t="s">
        <v>1050</v>
      </c>
      <c r="E40" s="544">
        <v>2</v>
      </c>
      <c r="F40" s="545">
        <v>73.849999999999994</v>
      </c>
      <c r="G40" s="548">
        <f t="shared" si="3"/>
        <v>147.69999999999999</v>
      </c>
      <c r="H40" s="551">
        <f t="shared" si="0"/>
        <v>3.1592500721897558E-2</v>
      </c>
    </row>
    <row r="41" spans="1:8" hidden="1" x14ac:dyDescent="0.25">
      <c r="A41" s="543">
        <v>100</v>
      </c>
      <c r="B41" s="1285" t="s">
        <v>1061</v>
      </c>
      <c r="C41" s="1286"/>
      <c r="D41" s="543" t="s">
        <v>1050</v>
      </c>
      <c r="E41" s="544">
        <v>0</v>
      </c>
      <c r="F41" s="545">
        <v>10.25</v>
      </c>
      <c r="G41" s="548">
        <f t="shared" si="3"/>
        <v>0</v>
      </c>
      <c r="H41" s="551">
        <f t="shared" si="0"/>
        <v>0</v>
      </c>
    </row>
    <row r="42" spans="1:8" hidden="1" x14ac:dyDescent="0.25">
      <c r="A42" s="543">
        <v>101</v>
      </c>
      <c r="B42" s="1285" t="s">
        <v>1062</v>
      </c>
      <c r="C42" s="1286"/>
      <c r="D42" s="543" t="s">
        <v>1063</v>
      </c>
      <c r="E42" s="544">
        <v>68</v>
      </c>
      <c r="F42" s="545">
        <v>16.04</v>
      </c>
      <c r="G42" s="548">
        <f t="shared" si="3"/>
        <v>1090.72</v>
      </c>
      <c r="H42" s="551">
        <f t="shared" si="0"/>
        <v>0.23330109944067781</v>
      </c>
    </row>
    <row r="43" spans="1:8" x14ac:dyDescent="0.25">
      <c r="A43" s="540">
        <v>9</v>
      </c>
      <c r="B43" s="1283" t="s">
        <v>1064</v>
      </c>
      <c r="C43" s="1284"/>
      <c r="D43" s="1284"/>
      <c r="E43" s="1284"/>
      <c r="F43" s="1284"/>
      <c r="G43" s="547">
        <f>SUM(G44:G47)</f>
        <v>29870.28</v>
      </c>
      <c r="H43" s="551">
        <f t="shared" si="0"/>
        <v>6.3891458528319731</v>
      </c>
    </row>
    <row r="44" spans="1:8" hidden="1" x14ac:dyDescent="0.25">
      <c r="A44" s="543">
        <v>104</v>
      </c>
      <c r="B44" s="1285" t="s">
        <v>1065</v>
      </c>
      <c r="C44" s="1286"/>
      <c r="D44" s="543" t="s">
        <v>1066</v>
      </c>
      <c r="E44" s="544">
        <v>90</v>
      </c>
      <c r="F44" s="545">
        <v>174.13</v>
      </c>
      <c r="G44" s="548">
        <f>F44*E44</f>
        <v>15671.699999999999</v>
      </c>
      <c r="H44" s="551">
        <f t="shared" si="0"/>
        <v>3.3521204709774004</v>
      </c>
    </row>
    <row r="45" spans="1:8" hidden="1" x14ac:dyDescent="0.25">
      <c r="A45" s="543">
        <v>105</v>
      </c>
      <c r="B45" s="1285" t="s">
        <v>1067</v>
      </c>
      <c r="C45" s="1286"/>
      <c r="D45" s="543" t="s">
        <v>1066</v>
      </c>
      <c r="E45" s="544">
        <v>66</v>
      </c>
      <c r="F45" s="545">
        <v>174.13</v>
      </c>
      <c r="G45" s="548">
        <f>F45*E45</f>
        <v>11492.58</v>
      </c>
      <c r="H45" s="551">
        <f t="shared" si="0"/>
        <v>2.4582216787167606</v>
      </c>
    </row>
    <row r="46" spans="1:8" hidden="1" x14ac:dyDescent="0.25">
      <c r="A46" s="543">
        <v>106</v>
      </c>
      <c r="B46" s="1285" t="s">
        <v>1068</v>
      </c>
      <c r="C46" s="1286"/>
      <c r="D46" s="543" t="s">
        <v>1066</v>
      </c>
      <c r="E46" s="544">
        <v>90</v>
      </c>
      <c r="F46" s="545">
        <v>16.5</v>
      </c>
      <c r="G46" s="548">
        <f>F46*E46</f>
        <v>1485</v>
      </c>
      <c r="H46" s="551">
        <f t="shared" si="0"/>
        <v>0.31763617855123821</v>
      </c>
    </row>
    <row r="47" spans="1:8" hidden="1" x14ac:dyDescent="0.25">
      <c r="A47" s="543">
        <v>107</v>
      </c>
      <c r="B47" s="1285" t="s">
        <v>1069</v>
      </c>
      <c r="C47" s="1286"/>
      <c r="D47" s="543" t="s">
        <v>1066</v>
      </c>
      <c r="E47" s="544">
        <v>66</v>
      </c>
      <c r="F47" s="545">
        <v>18.5</v>
      </c>
      <c r="G47" s="548">
        <f>F47*E47</f>
        <v>1221</v>
      </c>
      <c r="H47" s="551">
        <f t="shared" si="0"/>
        <v>0.26116752458657366</v>
      </c>
    </row>
    <row r="48" spans="1:8" hidden="1" x14ac:dyDescent="0.25">
      <c r="A48" s="543" t="s">
        <v>1070</v>
      </c>
      <c r="B48" s="1285" t="s">
        <v>1071</v>
      </c>
      <c r="C48" s="1286"/>
      <c r="D48" s="543" t="s">
        <v>1066</v>
      </c>
      <c r="E48" s="544">
        <v>34</v>
      </c>
      <c r="F48" s="545">
        <v>85.6</v>
      </c>
      <c r="G48" s="548">
        <f>F48*E48</f>
        <v>2910.3999999999996</v>
      </c>
      <c r="H48" s="551">
        <f t="shared" si="0"/>
        <v>0.6225241306771202</v>
      </c>
    </row>
    <row r="49" spans="1:8" x14ac:dyDescent="0.25">
      <c r="A49" s="540">
        <v>10</v>
      </c>
      <c r="B49" s="1283" t="s">
        <v>1072</v>
      </c>
      <c r="C49" s="1284"/>
      <c r="D49" s="1284"/>
      <c r="E49" s="1284"/>
      <c r="F49" s="1284"/>
      <c r="G49" s="547">
        <f>SUM(G50:G53)</f>
        <v>7410.55</v>
      </c>
      <c r="H49" s="551">
        <f t="shared" si="0"/>
        <v>1.5850900895372917</v>
      </c>
    </row>
    <row r="50" spans="1:8" hidden="1" x14ac:dyDescent="0.25">
      <c r="A50" s="543">
        <v>108</v>
      </c>
      <c r="B50" s="1285" t="s">
        <v>1073</v>
      </c>
      <c r="C50" s="1286"/>
      <c r="D50" s="543" t="s">
        <v>1066</v>
      </c>
      <c r="E50" s="544">
        <v>2</v>
      </c>
      <c r="F50" s="545">
        <v>1530.15</v>
      </c>
      <c r="G50" s="548">
        <f>F50*E50</f>
        <v>3060.3</v>
      </c>
      <c r="H50" s="551">
        <f t="shared" si="0"/>
        <v>0.65458720351539013</v>
      </c>
    </row>
    <row r="51" spans="1:8" hidden="1" x14ac:dyDescent="0.25">
      <c r="A51" s="543">
        <v>109</v>
      </c>
      <c r="B51" s="1285" t="s">
        <v>1074</v>
      </c>
      <c r="C51" s="1286"/>
      <c r="D51" s="543" t="s">
        <v>1066</v>
      </c>
      <c r="E51" s="544">
        <v>1</v>
      </c>
      <c r="F51" s="545">
        <v>460</v>
      </c>
      <c r="G51" s="548">
        <f>F51*E51</f>
        <v>460</v>
      </c>
      <c r="H51" s="551">
        <f t="shared" si="0"/>
        <v>9.839235160509735E-2</v>
      </c>
    </row>
    <row r="52" spans="1:8" hidden="1" x14ac:dyDescent="0.25">
      <c r="A52" s="543">
        <v>110</v>
      </c>
      <c r="B52" s="1285" t="s">
        <v>1075</v>
      </c>
      <c r="C52" s="1286"/>
      <c r="D52" s="543" t="s">
        <v>571</v>
      </c>
      <c r="E52" s="544">
        <v>13.65</v>
      </c>
      <c r="F52" s="545">
        <v>285</v>
      </c>
      <c r="G52" s="548">
        <f>F52*E52</f>
        <v>3890.25</v>
      </c>
      <c r="H52" s="551">
        <f t="shared" si="0"/>
        <v>0.83211053441680438</v>
      </c>
    </row>
    <row r="53" spans="1:8" hidden="1" x14ac:dyDescent="0.25">
      <c r="A53" s="543">
        <v>119</v>
      </c>
      <c r="B53" s="1285" t="s">
        <v>1076</v>
      </c>
      <c r="C53" s="1286"/>
      <c r="D53" s="543" t="s">
        <v>571</v>
      </c>
      <c r="E53" s="544">
        <v>0</v>
      </c>
      <c r="F53" s="545">
        <v>85.84</v>
      </c>
      <c r="G53" s="548">
        <f>F53*E53</f>
        <v>0</v>
      </c>
      <c r="H53" s="551">
        <f t="shared" si="0"/>
        <v>0</v>
      </c>
    </row>
    <row r="54" spans="1:8" x14ac:dyDescent="0.25">
      <c r="A54" s="540">
        <v>11</v>
      </c>
      <c r="B54" s="1283" t="s">
        <v>1077</v>
      </c>
      <c r="C54" s="1284"/>
      <c r="D54" s="1284"/>
      <c r="E54" s="1284"/>
      <c r="F54" s="1284"/>
      <c r="G54" s="547">
        <f>SUM(G55:G61)</f>
        <v>112761.98543</v>
      </c>
      <c r="H54" s="551">
        <f t="shared" si="0"/>
        <v>24.119384604603098</v>
      </c>
    </row>
    <row r="55" spans="1:8" hidden="1" x14ac:dyDescent="0.25">
      <c r="A55" s="543">
        <v>120</v>
      </c>
      <c r="B55" s="1285" t="s">
        <v>1078</v>
      </c>
      <c r="C55" s="1286"/>
      <c r="D55" s="543" t="s">
        <v>683</v>
      </c>
      <c r="E55" s="544">
        <v>70</v>
      </c>
      <c r="F55" s="545">
        <f>185.36*1.05</f>
        <v>194.62800000000001</v>
      </c>
      <c r="G55" s="548">
        <f t="shared" ref="G55:G61" si="4">F55*E55</f>
        <v>13623.960000000001</v>
      </c>
      <c r="H55" s="551">
        <f t="shared" si="0"/>
        <v>2.914116222986483</v>
      </c>
    </row>
    <row r="56" spans="1:8" hidden="1" x14ac:dyDescent="0.25">
      <c r="A56" s="543">
        <v>121</v>
      </c>
      <c r="B56" s="1285" t="s">
        <v>1079</v>
      </c>
      <c r="C56" s="1286"/>
      <c r="D56" s="543" t="s">
        <v>683</v>
      </c>
      <c r="E56" s="544">
        <v>93.09</v>
      </c>
      <c r="F56" s="545">
        <f>179.74*1.05</f>
        <v>188.727</v>
      </c>
      <c r="G56" s="548">
        <f t="shared" si="4"/>
        <v>17568.596430000001</v>
      </c>
      <c r="H56" s="551">
        <f t="shared" si="0"/>
        <v>3.7578598198883006</v>
      </c>
    </row>
    <row r="57" spans="1:8" hidden="1" x14ac:dyDescent="0.25">
      <c r="A57" s="543">
        <v>122</v>
      </c>
      <c r="B57" s="1285" t="s">
        <v>1080</v>
      </c>
      <c r="C57" s="1286"/>
      <c r="D57" s="543" t="s">
        <v>683</v>
      </c>
      <c r="E57" s="544">
        <v>74</v>
      </c>
      <c r="F57" s="545">
        <v>174.13</v>
      </c>
      <c r="G57" s="548">
        <f t="shared" si="4"/>
        <v>12885.619999999999</v>
      </c>
      <c r="H57" s="551">
        <f t="shared" si="0"/>
        <v>2.7561879428036407</v>
      </c>
    </row>
    <row r="58" spans="1:8" hidden="1" x14ac:dyDescent="0.25">
      <c r="A58" s="543">
        <v>123</v>
      </c>
      <c r="B58" s="1285" t="s">
        <v>1081</v>
      </c>
      <c r="C58" s="1286"/>
      <c r="D58" s="543" t="s">
        <v>571</v>
      </c>
      <c r="E58" s="544">
        <v>305.22000000000003</v>
      </c>
      <c r="F58" s="545">
        <v>156.26</v>
      </c>
      <c r="G58" s="548">
        <f t="shared" si="4"/>
        <v>47693.677199999998</v>
      </c>
      <c r="H58" s="551">
        <f t="shared" si="0"/>
        <v>10.201506644353076</v>
      </c>
    </row>
    <row r="59" spans="1:8" hidden="1" x14ac:dyDescent="0.25">
      <c r="A59" s="543">
        <v>124</v>
      </c>
      <c r="B59" s="1285" t="s">
        <v>1082</v>
      </c>
      <c r="C59" s="1286"/>
      <c r="D59" s="543" t="s">
        <v>571</v>
      </c>
      <c r="E59" s="544">
        <v>57.59</v>
      </c>
      <c r="F59" s="545">
        <v>73.02</v>
      </c>
      <c r="G59" s="548">
        <f t="shared" si="4"/>
        <v>4205.2218000000003</v>
      </c>
      <c r="H59" s="551">
        <f t="shared" si="0"/>
        <v>0.89948187374569666</v>
      </c>
    </row>
    <row r="60" spans="1:8" hidden="1" x14ac:dyDescent="0.25">
      <c r="A60" s="543">
        <v>125</v>
      </c>
      <c r="B60" s="1285" t="s">
        <v>1083</v>
      </c>
      <c r="C60" s="1286"/>
      <c r="D60" s="543" t="s">
        <v>571</v>
      </c>
      <c r="E60" s="544">
        <v>135</v>
      </c>
      <c r="F60" s="545">
        <v>45.25</v>
      </c>
      <c r="G60" s="548">
        <f t="shared" si="4"/>
        <v>6108.75</v>
      </c>
      <c r="H60" s="551">
        <f t="shared" si="0"/>
        <v>1.3066397344948661</v>
      </c>
    </row>
    <row r="61" spans="1:8" hidden="1" x14ac:dyDescent="0.25">
      <c r="A61" s="543">
        <v>126</v>
      </c>
      <c r="B61" s="1285" t="s">
        <v>1084</v>
      </c>
      <c r="C61" s="1286"/>
      <c r="D61" s="543" t="s">
        <v>683</v>
      </c>
      <c r="E61" s="544">
        <v>144</v>
      </c>
      <c r="F61" s="545">
        <v>74.14</v>
      </c>
      <c r="G61" s="548">
        <f t="shared" si="4"/>
        <v>10676.16</v>
      </c>
      <c r="H61" s="551">
        <f t="shared" si="0"/>
        <v>2.2835923663310354</v>
      </c>
    </row>
    <row r="62" spans="1:8" x14ac:dyDescent="0.25">
      <c r="A62" s="540">
        <v>12</v>
      </c>
      <c r="B62" s="1283" t="s">
        <v>1085</v>
      </c>
      <c r="C62" s="1284"/>
      <c r="D62" s="1284"/>
      <c r="E62" s="1284"/>
      <c r="F62" s="1284"/>
      <c r="G62" s="547">
        <f>SUM(G63:G81)</f>
        <v>90221.69</v>
      </c>
      <c r="H62" s="551">
        <f t="shared" si="0"/>
        <v>19.298096184534991</v>
      </c>
    </row>
    <row r="63" spans="1:8" hidden="1" x14ac:dyDescent="0.25">
      <c r="A63" s="543">
        <v>127</v>
      </c>
      <c r="B63" s="1285" t="s">
        <v>1086</v>
      </c>
      <c r="C63" s="1286"/>
      <c r="D63" s="543" t="s">
        <v>1066</v>
      </c>
      <c r="E63" s="544">
        <v>150</v>
      </c>
      <c r="F63" s="545">
        <v>7.4700000000000006</v>
      </c>
      <c r="G63" s="548">
        <f t="shared" ref="G63:G81" si="5">F63*E63</f>
        <v>1120.5</v>
      </c>
      <c r="H63" s="551">
        <f t="shared" si="0"/>
        <v>0.23967093472502518</v>
      </c>
    </row>
    <row r="64" spans="1:8" hidden="1" x14ac:dyDescent="0.25">
      <c r="A64" s="543">
        <v>128</v>
      </c>
      <c r="B64" s="1285" t="s">
        <v>1087</v>
      </c>
      <c r="C64" s="1286"/>
      <c r="D64" s="543" t="s">
        <v>1066</v>
      </c>
      <c r="E64" s="544">
        <v>20</v>
      </c>
      <c r="F64" s="545">
        <v>8.18</v>
      </c>
      <c r="G64" s="548">
        <f t="shared" si="5"/>
        <v>163.6</v>
      </c>
      <c r="H64" s="551">
        <f t="shared" si="0"/>
        <v>3.4993453744769407E-2</v>
      </c>
    </row>
    <row r="65" spans="1:8" hidden="1" x14ac:dyDescent="0.25">
      <c r="A65" s="543">
        <v>129</v>
      </c>
      <c r="B65" s="1285" t="s">
        <v>1088</v>
      </c>
      <c r="C65" s="1286"/>
      <c r="D65" s="543" t="s">
        <v>1066</v>
      </c>
      <c r="E65" s="544">
        <v>23</v>
      </c>
      <c r="F65" s="545">
        <v>10.87</v>
      </c>
      <c r="G65" s="548">
        <f t="shared" si="5"/>
        <v>250.01</v>
      </c>
      <c r="H65" s="551">
        <f t="shared" si="0"/>
        <v>5.347624309737041E-2</v>
      </c>
    </row>
    <row r="66" spans="1:8" hidden="1" x14ac:dyDescent="0.25">
      <c r="A66" s="543">
        <v>130</v>
      </c>
      <c r="B66" s="1285" t="s">
        <v>1089</v>
      </c>
      <c r="C66" s="1286"/>
      <c r="D66" s="543" t="s">
        <v>1066</v>
      </c>
      <c r="E66" s="544">
        <v>97</v>
      </c>
      <c r="F66" s="545">
        <v>148.5</v>
      </c>
      <c r="G66" s="548">
        <f t="shared" si="5"/>
        <v>14404.5</v>
      </c>
      <c r="H66" s="551">
        <f t="shared" si="0"/>
        <v>3.0810709319470106</v>
      </c>
    </row>
    <row r="67" spans="1:8" hidden="1" x14ac:dyDescent="0.25">
      <c r="A67" s="543">
        <v>131</v>
      </c>
      <c r="B67" s="1285" t="s">
        <v>1090</v>
      </c>
      <c r="C67" s="1286"/>
      <c r="D67" s="543" t="s">
        <v>1066</v>
      </c>
      <c r="E67" s="544">
        <v>103</v>
      </c>
      <c r="F67" s="545">
        <v>66.36</v>
      </c>
      <c r="G67" s="548">
        <f t="shared" si="5"/>
        <v>6835.08</v>
      </c>
      <c r="H67" s="551">
        <f t="shared" si="0"/>
        <v>1.4619991187151498</v>
      </c>
    </row>
    <row r="68" spans="1:8" hidden="1" x14ac:dyDescent="0.25">
      <c r="A68" s="543">
        <v>132</v>
      </c>
      <c r="B68" s="1285" t="s">
        <v>1091</v>
      </c>
      <c r="C68" s="1286"/>
      <c r="D68" s="543" t="s">
        <v>1066</v>
      </c>
      <c r="E68" s="544">
        <v>103</v>
      </c>
      <c r="F68" s="545">
        <v>114.71</v>
      </c>
      <c r="G68" s="548">
        <f t="shared" si="5"/>
        <v>11815.13</v>
      </c>
      <c r="H68" s="551">
        <f t="shared" ref="H68:H101" si="6">+G68*100/$G$102</f>
        <v>2.5272139678694217</v>
      </c>
    </row>
    <row r="69" spans="1:8" hidden="1" x14ac:dyDescent="0.25">
      <c r="A69" s="543">
        <v>133</v>
      </c>
      <c r="B69" s="1285" t="s">
        <v>1092</v>
      </c>
      <c r="C69" s="1286"/>
      <c r="D69" s="543" t="s">
        <v>1066</v>
      </c>
      <c r="E69" s="544">
        <v>35</v>
      </c>
      <c r="F69" s="545">
        <v>270.08</v>
      </c>
      <c r="G69" s="548">
        <f t="shared" si="5"/>
        <v>9452.7999999999993</v>
      </c>
      <c r="H69" s="551">
        <f t="shared" si="6"/>
        <v>2.0219200462014437</v>
      </c>
    </row>
    <row r="70" spans="1:8" hidden="1" x14ac:dyDescent="0.25">
      <c r="A70" s="543">
        <v>134</v>
      </c>
      <c r="B70" s="1285" t="s">
        <v>1093</v>
      </c>
      <c r="C70" s="1286"/>
      <c r="D70" s="543" t="s">
        <v>1066</v>
      </c>
      <c r="E70" s="544">
        <v>35</v>
      </c>
      <c r="F70" s="545">
        <v>80.839999999999989</v>
      </c>
      <c r="G70" s="548">
        <f t="shared" si="5"/>
        <v>2829.3999999999996</v>
      </c>
      <c r="H70" s="551">
        <f t="shared" si="6"/>
        <v>0.60519852093796178</v>
      </c>
    </row>
    <row r="71" spans="1:8" hidden="1" x14ac:dyDescent="0.25">
      <c r="A71" s="543">
        <v>135</v>
      </c>
      <c r="B71" s="1285" t="s">
        <v>1094</v>
      </c>
      <c r="C71" s="1286"/>
      <c r="D71" s="543" t="s">
        <v>1066</v>
      </c>
      <c r="E71" s="544">
        <v>56</v>
      </c>
      <c r="F71" s="545">
        <v>138.59</v>
      </c>
      <c r="G71" s="548">
        <f t="shared" si="5"/>
        <v>7761.04</v>
      </c>
      <c r="H71" s="551">
        <f t="shared" si="6"/>
        <v>1.66005864456788</v>
      </c>
    </row>
    <row r="72" spans="1:8" hidden="1" x14ac:dyDescent="0.25">
      <c r="A72" s="543">
        <v>136</v>
      </c>
      <c r="B72" s="1285" t="s">
        <v>1095</v>
      </c>
      <c r="C72" s="1286"/>
      <c r="D72" s="543" t="s">
        <v>1066</v>
      </c>
      <c r="E72" s="544">
        <v>34</v>
      </c>
      <c r="F72" s="545">
        <v>320</v>
      </c>
      <c r="G72" s="548">
        <f t="shared" si="5"/>
        <v>10880</v>
      </c>
      <c r="H72" s="551">
        <f t="shared" si="6"/>
        <v>2.3271930118770854</v>
      </c>
    </row>
    <row r="73" spans="1:8" hidden="1" x14ac:dyDescent="0.25">
      <c r="A73" s="543" t="s">
        <v>1096</v>
      </c>
      <c r="B73" s="401" t="s">
        <v>1097</v>
      </c>
      <c r="C73" s="402"/>
      <c r="D73" s="543" t="s">
        <v>1066</v>
      </c>
      <c r="E73" s="544">
        <v>34</v>
      </c>
      <c r="F73" s="545">
        <v>250</v>
      </c>
      <c r="G73" s="548">
        <f t="shared" si="5"/>
        <v>8500</v>
      </c>
      <c r="H73" s="551">
        <f t="shared" si="6"/>
        <v>1.818119540528973</v>
      </c>
    </row>
    <row r="74" spans="1:8" hidden="1" x14ac:dyDescent="0.25">
      <c r="A74" s="543">
        <v>137</v>
      </c>
      <c r="B74" s="1285" t="s">
        <v>1098</v>
      </c>
      <c r="C74" s="1286"/>
      <c r="D74" s="543" t="s">
        <v>1066</v>
      </c>
      <c r="E74" s="544">
        <v>34</v>
      </c>
      <c r="F74" s="545">
        <v>230</v>
      </c>
      <c r="G74" s="548">
        <f t="shared" si="5"/>
        <v>7820</v>
      </c>
      <c r="H74" s="551">
        <f t="shared" si="6"/>
        <v>1.6726699772866551</v>
      </c>
    </row>
    <row r="75" spans="1:8" hidden="1" x14ac:dyDescent="0.25">
      <c r="A75" s="543">
        <v>138</v>
      </c>
      <c r="B75" s="1285" t="s">
        <v>1099</v>
      </c>
      <c r="C75" s="1286"/>
      <c r="D75" s="543" t="s">
        <v>1066</v>
      </c>
      <c r="E75" s="544">
        <v>20</v>
      </c>
      <c r="F75" s="545">
        <v>42.6</v>
      </c>
      <c r="G75" s="548">
        <f t="shared" si="5"/>
        <v>852</v>
      </c>
      <c r="H75" s="551">
        <f t="shared" si="6"/>
        <v>0.18223974688596292</v>
      </c>
    </row>
    <row r="76" spans="1:8" hidden="1" x14ac:dyDescent="0.25">
      <c r="A76" s="543">
        <v>139</v>
      </c>
      <c r="B76" s="1285" t="s">
        <v>1100</v>
      </c>
      <c r="C76" s="1286"/>
      <c r="D76" s="543" t="s">
        <v>1066</v>
      </c>
      <c r="E76" s="544">
        <v>4</v>
      </c>
      <c r="F76" s="545">
        <v>86.41</v>
      </c>
      <c r="G76" s="548">
        <f t="shared" si="5"/>
        <v>345.64</v>
      </c>
      <c r="H76" s="551">
        <f t="shared" si="6"/>
        <v>7.3931157410404028E-2</v>
      </c>
    </row>
    <row r="77" spans="1:8" hidden="1" x14ac:dyDescent="0.25">
      <c r="A77" s="543">
        <v>140</v>
      </c>
      <c r="B77" s="1285" t="s">
        <v>1101</v>
      </c>
      <c r="C77" s="1286"/>
      <c r="D77" s="543" t="s">
        <v>1066</v>
      </c>
      <c r="E77" s="544">
        <v>8</v>
      </c>
      <c r="F77" s="545">
        <v>25.7</v>
      </c>
      <c r="G77" s="548">
        <f t="shared" si="5"/>
        <v>205.6</v>
      </c>
      <c r="H77" s="551">
        <f t="shared" si="6"/>
        <v>4.3977103239147865E-2</v>
      </c>
    </row>
    <row r="78" spans="1:8" hidden="1" x14ac:dyDescent="0.25">
      <c r="A78" s="543">
        <v>141</v>
      </c>
      <c r="B78" s="1285" t="s">
        <v>1102</v>
      </c>
      <c r="C78" s="1286"/>
      <c r="D78" s="543" t="s">
        <v>1066</v>
      </c>
      <c r="E78" s="544">
        <v>7</v>
      </c>
      <c r="F78" s="545">
        <v>81.23</v>
      </c>
      <c r="G78" s="548">
        <f t="shared" si="5"/>
        <v>568.61</v>
      </c>
      <c r="H78" s="551">
        <f t="shared" si="6"/>
        <v>0.12162364140472698</v>
      </c>
    </row>
    <row r="79" spans="1:8" hidden="1" x14ac:dyDescent="0.25">
      <c r="A79" s="543">
        <v>142</v>
      </c>
      <c r="B79" s="1285" t="s">
        <v>1103</v>
      </c>
      <c r="C79" s="1286"/>
      <c r="D79" s="543" t="s">
        <v>1066</v>
      </c>
      <c r="E79" s="544">
        <v>8</v>
      </c>
      <c r="F79" s="545">
        <v>54.35</v>
      </c>
      <c r="G79" s="548">
        <f t="shared" si="5"/>
        <v>434.8</v>
      </c>
      <c r="H79" s="551">
        <f t="shared" si="6"/>
        <v>9.3002161908470285E-2</v>
      </c>
    </row>
    <row r="80" spans="1:8" hidden="1" x14ac:dyDescent="0.25">
      <c r="A80" s="543">
        <v>143</v>
      </c>
      <c r="B80" s="1285" t="s">
        <v>1104</v>
      </c>
      <c r="C80" s="1286"/>
      <c r="D80" s="543" t="s">
        <v>1066</v>
      </c>
      <c r="E80" s="544">
        <v>34</v>
      </c>
      <c r="F80" s="545">
        <v>139.63999999999999</v>
      </c>
      <c r="G80" s="548">
        <f t="shared" si="5"/>
        <v>4747.7599999999993</v>
      </c>
      <c r="H80" s="551">
        <f t="shared" si="6"/>
        <v>1.015528850557863</v>
      </c>
    </row>
    <row r="81" spans="1:8" hidden="1" x14ac:dyDescent="0.25">
      <c r="A81" s="543">
        <v>144</v>
      </c>
      <c r="B81" s="1285" t="s">
        <v>1105</v>
      </c>
      <c r="C81" s="1286"/>
      <c r="D81" s="543" t="s">
        <v>1066</v>
      </c>
      <c r="E81" s="544">
        <v>34</v>
      </c>
      <c r="F81" s="545">
        <v>36.330000000000005</v>
      </c>
      <c r="G81" s="548">
        <f t="shared" si="5"/>
        <v>1235.2200000000003</v>
      </c>
      <c r="H81" s="551">
        <f t="shared" si="6"/>
        <v>0.26420913162967041</v>
      </c>
    </row>
    <row r="82" spans="1:8" x14ac:dyDescent="0.25">
      <c r="A82" s="540">
        <v>13</v>
      </c>
      <c r="B82" s="1283" t="s">
        <v>1106</v>
      </c>
      <c r="C82" s="1284"/>
      <c r="D82" s="1284"/>
      <c r="E82" s="1284"/>
      <c r="F82" s="1284"/>
      <c r="G82" s="547">
        <f>SUM(G83:G88)</f>
        <v>6501</v>
      </c>
      <c r="H82" s="551">
        <f t="shared" si="6"/>
        <v>1.3905406038798651</v>
      </c>
    </row>
    <row r="83" spans="1:8" hidden="1" x14ac:dyDescent="0.25">
      <c r="A83" s="543">
        <v>145</v>
      </c>
      <c r="B83" s="1285" t="s">
        <v>1107</v>
      </c>
      <c r="C83" s="1286"/>
      <c r="D83" s="543" t="s">
        <v>1050</v>
      </c>
      <c r="E83" s="544">
        <v>0</v>
      </c>
      <c r="F83" s="545">
        <v>5.74</v>
      </c>
      <c r="G83" s="548">
        <f t="shared" ref="G83:G88" si="7">F83*E83</f>
        <v>0</v>
      </c>
      <c r="H83" s="551">
        <f t="shared" si="6"/>
        <v>0</v>
      </c>
    </row>
    <row r="84" spans="1:8" hidden="1" x14ac:dyDescent="0.25">
      <c r="A84" s="543">
        <v>146</v>
      </c>
      <c r="B84" s="1285" t="s">
        <v>1108</v>
      </c>
      <c r="C84" s="1286"/>
      <c r="D84" s="543" t="s">
        <v>1050</v>
      </c>
      <c r="E84" s="544">
        <v>0</v>
      </c>
      <c r="F84" s="545">
        <v>114.6</v>
      </c>
      <c r="G84" s="548">
        <f t="shared" si="7"/>
        <v>0</v>
      </c>
      <c r="H84" s="551">
        <f t="shared" si="6"/>
        <v>0</v>
      </c>
    </row>
    <row r="85" spans="1:8" hidden="1" x14ac:dyDescent="0.25">
      <c r="A85" s="543">
        <v>147</v>
      </c>
      <c r="B85" s="1285" t="s">
        <v>1109</v>
      </c>
      <c r="C85" s="1286"/>
      <c r="D85" s="543" t="s">
        <v>571</v>
      </c>
      <c r="E85" s="544">
        <v>0</v>
      </c>
      <c r="F85" s="545">
        <v>66.39</v>
      </c>
      <c r="G85" s="548">
        <f t="shared" si="7"/>
        <v>0</v>
      </c>
      <c r="H85" s="551">
        <f t="shared" si="6"/>
        <v>0</v>
      </c>
    </row>
    <row r="86" spans="1:8" hidden="1" x14ac:dyDescent="0.25">
      <c r="A86" s="543">
        <v>148</v>
      </c>
      <c r="B86" s="1285" t="s">
        <v>1110</v>
      </c>
      <c r="C86" s="1286"/>
      <c r="D86" s="543" t="s">
        <v>1111</v>
      </c>
      <c r="E86" s="544">
        <v>0</v>
      </c>
      <c r="F86" s="545">
        <v>28.8</v>
      </c>
      <c r="G86" s="548">
        <f t="shared" si="7"/>
        <v>0</v>
      </c>
      <c r="H86" s="551">
        <f t="shared" si="6"/>
        <v>0</v>
      </c>
    </row>
    <row r="87" spans="1:8" hidden="1" x14ac:dyDescent="0.25">
      <c r="A87" s="543">
        <v>149</v>
      </c>
      <c r="B87" s="1285" t="s">
        <v>1112</v>
      </c>
      <c r="C87" s="1286"/>
      <c r="D87" s="543" t="s">
        <v>571</v>
      </c>
      <c r="E87" s="544">
        <v>0</v>
      </c>
      <c r="F87" s="545">
        <v>4.01</v>
      </c>
      <c r="G87" s="548">
        <f t="shared" si="7"/>
        <v>0</v>
      </c>
      <c r="H87" s="551">
        <f t="shared" si="6"/>
        <v>0</v>
      </c>
    </row>
    <row r="88" spans="1:8" hidden="1" x14ac:dyDescent="0.25">
      <c r="A88" s="543">
        <v>150</v>
      </c>
      <c r="B88" s="1285" t="s">
        <v>1113</v>
      </c>
      <c r="C88" s="1286"/>
      <c r="D88" s="543" t="s">
        <v>571</v>
      </c>
      <c r="E88" s="544">
        <v>3300</v>
      </c>
      <c r="F88" s="545">
        <v>1.97</v>
      </c>
      <c r="G88" s="548">
        <f t="shared" si="7"/>
        <v>6501</v>
      </c>
      <c r="H88" s="551">
        <f t="shared" si="6"/>
        <v>1.3905406038798651</v>
      </c>
    </row>
    <row r="89" spans="1:8" hidden="1" x14ac:dyDescent="0.25">
      <c r="A89" s="540">
        <v>14</v>
      </c>
      <c r="B89" s="1283" t="s">
        <v>1114</v>
      </c>
      <c r="C89" s="1284"/>
      <c r="D89" s="1284"/>
      <c r="E89" s="1284"/>
      <c r="F89" s="1284"/>
      <c r="G89" s="547">
        <f>SUM(G90:G91)</f>
        <v>0</v>
      </c>
      <c r="H89" s="551">
        <f t="shared" si="6"/>
        <v>0</v>
      </c>
    </row>
    <row r="90" spans="1:8" hidden="1" x14ac:dyDescent="0.25">
      <c r="A90" s="543">
        <v>152</v>
      </c>
      <c r="B90" s="1285" t="s">
        <v>1115</v>
      </c>
      <c r="C90" s="1286"/>
      <c r="D90" s="543" t="s">
        <v>1116</v>
      </c>
      <c r="E90" s="544">
        <v>0</v>
      </c>
      <c r="F90" s="545">
        <v>4455.3999999999996</v>
      </c>
      <c r="G90" s="548">
        <f>F90*E90</f>
        <v>0</v>
      </c>
      <c r="H90" s="551">
        <f t="shared" si="6"/>
        <v>0</v>
      </c>
    </row>
    <row r="91" spans="1:8" hidden="1" x14ac:dyDescent="0.25">
      <c r="A91" s="543">
        <v>153</v>
      </c>
      <c r="B91" s="1285" t="s">
        <v>1117</v>
      </c>
      <c r="C91" s="1286"/>
      <c r="D91" s="543" t="s">
        <v>1116</v>
      </c>
      <c r="E91" s="544">
        <v>0</v>
      </c>
      <c r="F91" s="545">
        <v>10825.82</v>
      </c>
      <c r="G91" s="548">
        <f>F91*E91</f>
        <v>0</v>
      </c>
      <c r="H91" s="551">
        <f t="shared" si="6"/>
        <v>0</v>
      </c>
    </row>
    <row r="92" spans="1:8" hidden="1" x14ac:dyDescent="0.25">
      <c r="A92" s="540">
        <v>25</v>
      </c>
      <c r="B92" s="1283" t="s">
        <v>1118</v>
      </c>
      <c r="C92" s="1284"/>
      <c r="D92" s="1284"/>
      <c r="E92" s="1284"/>
      <c r="F92" s="1284"/>
      <c r="G92" s="547"/>
      <c r="H92" s="551">
        <f t="shared" si="6"/>
        <v>0</v>
      </c>
    </row>
    <row r="93" spans="1:8" x14ac:dyDescent="0.25">
      <c r="A93" s="540">
        <v>26</v>
      </c>
      <c r="B93" s="1283" t="s">
        <v>1119</v>
      </c>
      <c r="C93" s="1284"/>
      <c r="D93" s="1284"/>
      <c r="E93" s="1284"/>
      <c r="F93" s="1284"/>
      <c r="G93" s="547">
        <f>SUM(G94:G96)</f>
        <v>21957.63</v>
      </c>
      <c r="H93" s="551">
        <f t="shared" si="6"/>
        <v>4.6966583725535518</v>
      </c>
    </row>
    <row r="94" spans="1:8" hidden="1" x14ac:dyDescent="0.25">
      <c r="A94" s="543">
        <v>233</v>
      </c>
      <c r="B94" s="1285" t="s">
        <v>1120</v>
      </c>
      <c r="C94" s="1286"/>
      <c r="D94" s="543" t="s">
        <v>1066</v>
      </c>
      <c r="E94" s="544">
        <v>1</v>
      </c>
      <c r="F94" s="545">
        <v>4335.59</v>
      </c>
      <c r="G94" s="548">
        <f>F94*E94</f>
        <v>4335.59</v>
      </c>
      <c r="H94" s="551">
        <f t="shared" si="6"/>
        <v>0.92736716455553059</v>
      </c>
    </row>
    <row r="95" spans="1:8" hidden="1" x14ac:dyDescent="0.25">
      <c r="A95" s="543">
        <v>234</v>
      </c>
      <c r="B95" s="1285" t="s">
        <v>1121</v>
      </c>
      <c r="C95" s="1286"/>
      <c r="D95" s="543" t="s">
        <v>1066</v>
      </c>
      <c r="E95" s="544">
        <v>1</v>
      </c>
      <c r="F95" s="545">
        <v>674.04</v>
      </c>
      <c r="G95" s="548">
        <f>F95*E95</f>
        <v>674.04</v>
      </c>
      <c r="H95" s="551">
        <f t="shared" si="6"/>
        <v>0.14417474059978222</v>
      </c>
    </row>
    <row r="96" spans="1:8" hidden="1" x14ac:dyDescent="0.25">
      <c r="A96" s="543">
        <v>255</v>
      </c>
      <c r="B96" s="1285" t="s">
        <v>1122</v>
      </c>
      <c r="C96" s="1286"/>
      <c r="D96" s="543" t="s">
        <v>1050</v>
      </c>
      <c r="E96" s="544">
        <v>40</v>
      </c>
      <c r="F96" s="545">
        <v>423.70000000000005</v>
      </c>
      <c r="G96" s="548">
        <f>F96*E96</f>
        <v>16948</v>
      </c>
      <c r="H96" s="551">
        <f t="shared" si="6"/>
        <v>3.625116467398239</v>
      </c>
    </row>
    <row r="97" spans="1:8" hidden="1" x14ac:dyDescent="0.25">
      <c r="A97" s="540">
        <v>27</v>
      </c>
      <c r="B97" s="1283" t="s">
        <v>1123</v>
      </c>
      <c r="C97" s="1284"/>
      <c r="D97" s="1284"/>
      <c r="E97" s="1284"/>
      <c r="F97" s="1284"/>
      <c r="G97" s="547">
        <v>0</v>
      </c>
      <c r="H97" s="551">
        <f t="shared" si="6"/>
        <v>0</v>
      </c>
    </row>
    <row r="98" spans="1:8" ht="15.75" thickBot="1" x14ac:dyDescent="0.3">
      <c r="A98" s="540">
        <v>28</v>
      </c>
      <c r="B98" s="1283" t="s">
        <v>1124</v>
      </c>
      <c r="C98" s="1284"/>
      <c r="D98" s="1284"/>
      <c r="E98" s="1284"/>
      <c r="F98" s="1284"/>
      <c r="G98" s="547">
        <f>SUM(G99:G101)</f>
        <v>8037.79</v>
      </c>
      <c r="H98" s="551">
        <f t="shared" si="6"/>
        <v>1.7192544778433381</v>
      </c>
    </row>
    <row r="99" spans="1:8" ht="15.75" hidden="1" thickBot="1" x14ac:dyDescent="0.3">
      <c r="A99" s="543">
        <v>275</v>
      </c>
      <c r="B99" s="1285" t="s">
        <v>1125</v>
      </c>
      <c r="C99" s="1286"/>
      <c r="D99" s="543" t="s">
        <v>1050</v>
      </c>
      <c r="E99" s="544">
        <v>1</v>
      </c>
      <c r="F99" s="545">
        <v>4335.59</v>
      </c>
      <c r="G99" s="548">
        <f>F99*E99</f>
        <v>4335.59</v>
      </c>
      <c r="H99" s="552">
        <f t="shared" si="6"/>
        <v>0.92736716455553059</v>
      </c>
    </row>
    <row r="100" spans="1:8" ht="15.75" hidden="1" thickBot="1" x14ac:dyDescent="0.3">
      <c r="A100" s="543">
        <v>276</v>
      </c>
      <c r="B100" s="1285" t="s">
        <v>1126</v>
      </c>
      <c r="C100" s="1286"/>
      <c r="D100" s="543" t="s">
        <v>1050</v>
      </c>
      <c r="E100" s="544">
        <v>1</v>
      </c>
      <c r="F100" s="545">
        <v>3028.1600000000003</v>
      </c>
      <c r="G100" s="548">
        <f>F100*E100</f>
        <v>3028.1600000000003</v>
      </c>
      <c r="H100" s="552">
        <f t="shared" si="6"/>
        <v>0.6477125726880254</v>
      </c>
    </row>
    <row r="101" spans="1:8" ht="15.75" hidden="1" thickBot="1" x14ac:dyDescent="0.3">
      <c r="A101" s="543">
        <v>277</v>
      </c>
      <c r="B101" s="1285" t="s">
        <v>1127</v>
      </c>
      <c r="C101" s="1286"/>
      <c r="D101" s="543" t="s">
        <v>1050</v>
      </c>
      <c r="E101" s="544">
        <v>1</v>
      </c>
      <c r="F101" s="544">
        <v>674.04</v>
      </c>
      <c r="G101" s="548">
        <f>F101*E101</f>
        <v>674.04</v>
      </c>
      <c r="H101" s="552">
        <f t="shared" si="6"/>
        <v>0.14417474059978222</v>
      </c>
    </row>
    <row r="102" spans="1:8" ht="24" thickBot="1" x14ac:dyDescent="0.3">
      <c r="A102" s="1287" t="s">
        <v>1128</v>
      </c>
      <c r="B102" s="1288"/>
      <c r="C102" s="1288"/>
      <c r="D102" s="1288"/>
      <c r="E102" s="1288"/>
      <c r="F102" s="1289"/>
      <c r="G102" s="549">
        <f>SUM(G3:G101)/2</f>
        <v>467516.01369000011</v>
      </c>
      <c r="H102" s="553">
        <v>100</v>
      </c>
    </row>
    <row r="103" spans="1:8" ht="15.75" hidden="1" thickBot="1" x14ac:dyDescent="0.3">
      <c r="A103" s="77"/>
      <c r="B103" s="78"/>
      <c r="C103" s="78"/>
      <c r="D103" s="79"/>
      <c r="E103" s="1290" t="s">
        <v>1129</v>
      </c>
      <c r="F103" s="1291"/>
      <c r="G103" s="80">
        <f>+G102*0.12</f>
        <v>56101.921642800015</v>
      </c>
    </row>
    <row r="104" spans="1:8" ht="29.25" hidden="1" thickBot="1" x14ac:dyDescent="0.5">
      <c r="A104" s="81"/>
      <c r="B104" s="82" t="s">
        <v>1130</v>
      </c>
      <c r="C104" s="82"/>
      <c r="D104" s="83"/>
      <c r="E104" s="1281" t="s">
        <v>1131</v>
      </c>
      <c r="F104" s="1282"/>
      <c r="G104" s="80">
        <f>+G102+G103</f>
        <v>523617.93533280015</v>
      </c>
    </row>
    <row r="105" spans="1:8" hidden="1" x14ac:dyDescent="0.25">
      <c r="A105" s="1253" t="s">
        <v>1132</v>
      </c>
      <c r="B105" s="1253"/>
      <c r="C105" s="1253"/>
      <c r="D105" s="1253"/>
      <c r="E105" s="1253"/>
      <c r="F105" s="1253"/>
      <c r="G105" s="1253"/>
    </row>
    <row r="106" spans="1:8" hidden="1" x14ac:dyDescent="0.25"/>
    <row r="107" spans="1:8" ht="14.45" hidden="1" customHeight="1" x14ac:dyDescent="0.25">
      <c r="A107" s="49"/>
      <c r="B107" s="1253" t="s">
        <v>1133</v>
      </c>
      <c r="C107" s="1253"/>
      <c r="F107" s="1258" t="s">
        <v>1134</v>
      </c>
      <c r="G107" s="1258"/>
    </row>
    <row r="108" spans="1:8" hidden="1" x14ac:dyDescent="0.25">
      <c r="A108" s="49"/>
      <c r="B108" s="1253" t="s">
        <v>1135</v>
      </c>
      <c r="C108" s="1253"/>
      <c r="F108" s="1253" t="s">
        <v>1136</v>
      </c>
      <c r="G108" s="1253"/>
    </row>
    <row r="109" spans="1:8" hidden="1" x14ac:dyDescent="0.25">
      <c r="A109" s="49"/>
    </row>
    <row r="110" spans="1:8" hidden="1" x14ac:dyDescent="0.25">
      <c r="A110" s="49"/>
    </row>
    <row r="111" spans="1:8" hidden="1" x14ac:dyDescent="0.25">
      <c r="A111" s="49"/>
    </row>
    <row r="112" spans="1:8" ht="15.75" hidden="1" thickBot="1" x14ac:dyDescent="0.3">
      <c r="A112" s="49"/>
      <c r="B112" s="84"/>
      <c r="C112" s="84"/>
      <c r="F112" s="85"/>
      <c r="G112" s="85"/>
    </row>
    <row r="113" spans="1:6" hidden="1" x14ac:dyDescent="0.25">
      <c r="A113" s="49"/>
      <c r="B113" s="49" t="s">
        <v>1137</v>
      </c>
      <c r="C113" s="49" t="s">
        <v>1138</v>
      </c>
      <c r="F113" t="s">
        <v>1139</v>
      </c>
    </row>
    <row r="114" spans="1:6" hidden="1" x14ac:dyDescent="0.25"/>
  </sheetData>
  <mergeCells count="108">
    <mergeCell ref="A1:H1"/>
    <mergeCell ref="B7:C7"/>
    <mergeCell ref="B8:F8"/>
    <mergeCell ref="B9:C9"/>
    <mergeCell ref="B10:C10"/>
    <mergeCell ref="B11:C11"/>
    <mergeCell ref="B12:C12"/>
    <mergeCell ref="B2:C2"/>
    <mergeCell ref="B3:F3"/>
    <mergeCell ref="B4:C4"/>
    <mergeCell ref="B5:C5"/>
    <mergeCell ref="B6:C6"/>
    <mergeCell ref="B19:C19"/>
    <mergeCell ref="B20:F20"/>
    <mergeCell ref="B21:C21"/>
    <mergeCell ref="B22:C22"/>
    <mergeCell ref="B23:C23"/>
    <mergeCell ref="B24:C24"/>
    <mergeCell ref="B13:C13"/>
    <mergeCell ref="B14:C14"/>
    <mergeCell ref="B15:C15"/>
    <mergeCell ref="B16:C16"/>
    <mergeCell ref="B17:C17"/>
    <mergeCell ref="B18:C18"/>
    <mergeCell ref="B31:C31"/>
    <mergeCell ref="B32:C32"/>
    <mergeCell ref="B33:C33"/>
    <mergeCell ref="B34:C34"/>
    <mergeCell ref="B35:C35"/>
    <mergeCell ref="B36:C36"/>
    <mergeCell ref="B25:C25"/>
    <mergeCell ref="B26:C26"/>
    <mergeCell ref="B27:F27"/>
    <mergeCell ref="B28:C28"/>
    <mergeCell ref="B29:C29"/>
    <mergeCell ref="B30:C30"/>
    <mergeCell ref="B43:F43"/>
    <mergeCell ref="B44:C44"/>
    <mergeCell ref="B45:C45"/>
    <mergeCell ref="B46:C46"/>
    <mergeCell ref="B47:C47"/>
    <mergeCell ref="B48:C48"/>
    <mergeCell ref="B37:C37"/>
    <mergeCell ref="B38:C38"/>
    <mergeCell ref="B39:C39"/>
    <mergeCell ref="B40:C40"/>
    <mergeCell ref="B41:C41"/>
    <mergeCell ref="B42:C42"/>
    <mergeCell ref="B55:C55"/>
    <mergeCell ref="B56:C56"/>
    <mergeCell ref="B57:C57"/>
    <mergeCell ref="B58:C58"/>
    <mergeCell ref="B59:C59"/>
    <mergeCell ref="B60:C60"/>
    <mergeCell ref="B49:F49"/>
    <mergeCell ref="B50:C50"/>
    <mergeCell ref="B51:C51"/>
    <mergeCell ref="B52:C52"/>
    <mergeCell ref="B53:C53"/>
    <mergeCell ref="B54:F54"/>
    <mergeCell ref="B67:C67"/>
    <mergeCell ref="B68:C68"/>
    <mergeCell ref="B69:C69"/>
    <mergeCell ref="B70:C70"/>
    <mergeCell ref="B71:C71"/>
    <mergeCell ref="B72:C72"/>
    <mergeCell ref="B61:C61"/>
    <mergeCell ref="B62:F62"/>
    <mergeCell ref="B63:C63"/>
    <mergeCell ref="B64:C64"/>
    <mergeCell ref="B65:C65"/>
    <mergeCell ref="B66:C66"/>
    <mergeCell ref="B80:C80"/>
    <mergeCell ref="B81:C81"/>
    <mergeCell ref="B82:F82"/>
    <mergeCell ref="B83:C83"/>
    <mergeCell ref="B84:C84"/>
    <mergeCell ref="B85:C85"/>
    <mergeCell ref="B74:C74"/>
    <mergeCell ref="B75:C75"/>
    <mergeCell ref="B76:C76"/>
    <mergeCell ref="B77:C77"/>
    <mergeCell ref="B78:C78"/>
    <mergeCell ref="B79:C79"/>
    <mergeCell ref="B92:F92"/>
    <mergeCell ref="B93:F93"/>
    <mergeCell ref="B94:C94"/>
    <mergeCell ref="B95:C95"/>
    <mergeCell ref="B96:C96"/>
    <mergeCell ref="B97:F97"/>
    <mergeCell ref="B86:C86"/>
    <mergeCell ref="B87:C87"/>
    <mergeCell ref="B88:C88"/>
    <mergeCell ref="B89:F89"/>
    <mergeCell ref="B90:C90"/>
    <mergeCell ref="B91:C91"/>
    <mergeCell ref="E104:F104"/>
    <mergeCell ref="A105:G105"/>
    <mergeCell ref="B107:C107"/>
    <mergeCell ref="F107:G107"/>
    <mergeCell ref="B108:C108"/>
    <mergeCell ref="F108:G108"/>
    <mergeCell ref="B98:F98"/>
    <mergeCell ref="B99:C99"/>
    <mergeCell ref="B100:C100"/>
    <mergeCell ref="B101:C101"/>
    <mergeCell ref="A102:F102"/>
    <mergeCell ref="E103:F103"/>
  </mergeCells>
  <pageMargins left="0.7" right="0.7" top="0.75" bottom="0.75" header="0.3" footer="0.3"/>
  <pageSetup paperSize="9" scale="72" fitToHeight="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E7"/>
  <sheetViews>
    <sheetView workbookViewId="0">
      <selection activeCell="A33" sqref="A33:G57"/>
    </sheetView>
  </sheetViews>
  <sheetFormatPr baseColWidth="10" defaultRowHeight="15" x14ac:dyDescent="0.25"/>
  <cols>
    <col min="2" max="2" width="18.7109375" bestFit="1" customWidth="1"/>
    <col min="3" max="3" width="14.42578125" bestFit="1" customWidth="1"/>
    <col min="4" max="4" width="13.5703125" hidden="1" customWidth="1"/>
    <col min="5" max="5" width="12" customWidth="1"/>
  </cols>
  <sheetData>
    <row r="1" spans="2:5" x14ac:dyDescent="0.25">
      <c r="E1" s="184"/>
    </row>
    <row r="3" spans="2:5" ht="38.25" customHeight="1" x14ac:dyDescent="0.25">
      <c r="B3" s="1210" t="s">
        <v>1630</v>
      </c>
      <c r="C3" s="1210"/>
      <c r="D3" s="1210"/>
      <c r="E3" s="1210"/>
    </row>
    <row r="4" spans="2:5" ht="38.25" customHeight="1" x14ac:dyDescent="0.25">
      <c r="B4" s="121" t="s">
        <v>1631</v>
      </c>
      <c r="C4" s="515">
        <v>1431190.48</v>
      </c>
      <c r="D4" s="121">
        <v>1431190.48</v>
      </c>
      <c r="E4" s="500">
        <f>+D4*100/$D$7</f>
        <v>71.14450678832074</v>
      </c>
    </row>
    <row r="5" spans="2:5" ht="38.25" customHeight="1" x14ac:dyDescent="0.25">
      <c r="B5" s="121" t="s">
        <v>1632</v>
      </c>
      <c r="C5" s="515">
        <v>112960.39</v>
      </c>
      <c r="D5" s="121">
        <v>112960.39</v>
      </c>
      <c r="E5" s="500">
        <f t="shared" ref="E5:E7" si="0">+D5*100/$D$7</f>
        <v>5.6152631990441684</v>
      </c>
    </row>
    <row r="6" spans="2:5" ht="38.25" customHeight="1" x14ac:dyDescent="0.25">
      <c r="B6" s="121" t="s">
        <v>1633</v>
      </c>
      <c r="C6" s="515">
        <v>467516.01</v>
      </c>
      <c r="D6" s="121">
        <v>467516.01</v>
      </c>
      <c r="E6" s="500">
        <f t="shared" si="0"/>
        <v>23.240230012635095</v>
      </c>
    </row>
    <row r="7" spans="2:5" ht="38.25" customHeight="1" x14ac:dyDescent="0.25">
      <c r="B7" s="121" t="s">
        <v>503</v>
      </c>
      <c r="C7" s="515">
        <f>+SUM(C4:C6)</f>
        <v>2011666.88</v>
      </c>
      <c r="D7" s="121">
        <f>+SUM(D4:D6)</f>
        <v>2011666.88</v>
      </c>
      <c r="E7" s="500">
        <f t="shared" si="0"/>
        <v>100</v>
      </c>
    </row>
  </sheetData>
  <mergeCells count="1">
    <mergeCell ref="B3:E3"/>
  </mergeCells>
  <pageMargins left="0.7" right="0.7" top="0.75" bottom="0.75" header="0.3" footer="0.3"/>
  <pageSetup paperSize="9"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4:M182"/>
  <sheetViews>
    <sheetView topLeftCell="A45" workbookViewId="0">
      <selection activeCell="A33" sqref="A33:G57"/>
    </sheetView>
  </sheetViews>
  <sheetFormatPr baseColWidth="10" defaultRowHeight="15" x14ac:dyDescent="0.25"/>
  <cols>
    <col min="1" max="1" width="2.85546875" style="390" customWidth="1"/>
    <col min="2" max="2" width="29.5703125" style="390" customWidth="1"/>
    <col min="3" max="3" width="12.5703125" style="390" customWidth="1"/>
    <col min="4" max="4" width="12.28515625" style="390" customWidth="1"/>
    <col min="5" max="5" width="12.85546875" style="390" customWidth="1"/>
    <col min="6" max="6" width="6.5703125" style="390" customWidth="1"/>
    <col min="7" max="7" width="11.42578125" style="390"/>
    <col min="8" max="8" width="8.7109375" style="390" customWidth="1"/>
    <col min="9" max="9" width="10.85546875" style="390" customWidth="1"/>
    <col min="10" max="10" width="8.7109375" style="390" customWidth="1"/>
    <col min="11" max="11" width="12.85546875" style="390" bestFit="1" customWidth="1"/>
    <col min="12" max="12" width="11.42578125" style="390" customWidth="1"/>
    <col min="13" max="13" width="11.42578125" style="569"/>
    <col min="14" max="256" width="11.42578125" style="390"/>
    <col min="257" max="257" width="2.85546875" style="390" customWidth="1"/>
    <col min="258" max="258" width="29.5703125" style="390" customWidth="1"/>
    <col min="259" max="259" width="12.5703125" style="390" customWidth="1"/>
    <col min="260" max="260" width="12.28515625" style="390" customWidth="1"/>
    <col min="261" max="262" width="0" style="390" hidden="1" customWidth="1"/>
    <col min="263" max="263" width="11.42578125" style="390"/>
    <col min="264" max="266" width="0" style="390" hidden="1" customWidth="1"/>
    <col min="267" max="267" width="12.85546875" style="390" bestFit="1" customWidth="1"/>
    <col min="268" max="268" width="0" style="390" hidden="1" customWidth="1"/>
    <col min="269" max="512" width="11.42578125" style="390"/>
    <col min="513" max="513" width="2.85546875" style="390" customWidth="1"/>
    <col min="514" max="514" width="29.5703125" style="390" customWidth="1"/>
    <col min="515" max="515" width="12.5703125" style="390" customWidth="1"/>
    <col min="516" max="516" width="12.28515625" style="390" customWidth="1"/>
    <col min="517" max="518" width="0" style="390" hidden="1" customWidth="1"/>
    <col min="519" max="519" width="11.42578125" style="390"/>
    <col min="520" max="522" width="0" style="390" hidden="1" customWidth="1"/>
    <col min="523" max="523" width="12.85546875" style="390" bestFit="1" customWidth="1"/>
    <col min="524" max="524" width="0" style="390" hidden="1" customWidth="1"/>
    <col min="525" max="768" width="11.42578125" style="390"/>
    <col min="769" max="769" width="2.85546875" style="390" customWidth="1"/>
    <col min="770" max="770" width="29.5703125" style="390" customWidth="1"/>
    <col min="771" max="771" width="12.5703125" style="390" customWidth="1"/>
    <col min="772" max="772" width="12.28515625" style="390" customWidth="1"/>
    <col min="773" max="774" width="0" style="390" hidden="1" customWidth="1"/>
    <col min="775" max="775" width="11.42578125" style="390"/>
    <col min="776" max="778" width="0" style="390" hidden="1" customWidth="1"/>
    <col min="779" max="779" width="12.85546875" style="390" bestFit="1" customWidth="1"/>
    <col min="780" max="780" width="0" style="390" hidden="1" customWidth="1"/>
    <col min="781" max="1024" width="11.42578125" style="390"/>
    <col min="1025" max="1025" width="2.85546875" style="390" customWidth="1"/>
    <col min="1026" max="1026" width="29.5703125" style="390" customWidth="1"/>
    <col min="1027" max="1027" width="12.5703125" style="390" customWidth="1"/>
    <col min="1028" max="1028" width="12.28515625" style="390" customWidth="1"/>
    <col min="1029" max="1030" width="0" style="390" hidden="1" customWidth="1"/>
    <col min="1031" max="1031" width="11.42578125" style="390"/>
    <col min="1032" max="1034" width="0" style="390" hidden="1" customWidth="1"/>
    <col min="1035" max="1035" width="12.85546875" style="390" bestFit="1" customWidth="1"/>
    <col min="1036" max="1036" width="0" style="390" hidden="1" customWidth="1"/>
    <col min="1037" max="1280" width="11.42578125" style="390"/>
    <col min="1281" max="1281" width="2.85546875" style="390" customWidth="1"/>
    <col min="1282" max="1282" width="29.5703125" style="390" customWidth="1"/>
    <col min="1283" max="1283" width="12.5703125" style="390" customWidth="1"/>
    <col min="1284" max="1284" width="12.28515625" style="390" customWidth="1"/>
    <col min="1285" max="1286" width="0" style="390" hidden="1" customWidth="1"/>
    <col min="1287" max="1287" width="11.42578125" style="390"/>
    <col min="1288" max="1290" width="0" style="390" hidden="1" customWidth="1"/>
    <col min="1291" max="1291" width="12.85546875" style="390" bestFit="1" customWidth="1"/>
    <col min="1292" max="1292" width="0" style="390" hidden="1" customWidth="1"/>
    <col min="1293" max="1536" width="11.42578125" style="390"/>
    <col min="1537" max="1537" width="2.85546875" style="390" customWidth="1"/>
    <col min="1538" max="1538" width="29.5703125" style="390" customWidth="1"/>
    <col min="1539" max="1539" width="12.5703125" style="390" customWidth="1"/>
    <col min="1540" max="1540" width="12.28515625" style="390" customWidth="1"/>
    <col min="1541" max="1542" width="0" style="390" hidden="1" customWidth="1"/>
    <col min="1543" max="1543" width="11.42578125" style="390"/>
    <col min="1544" max="1546" width="0" style="390" hidden="1" customWidth="1"/>
    <col min="1547" max="1547" width="12.85546875" style="390" bestFit="1" customWidth="1"/>
    <col min="1548" max="1548" width="0" style="390" hidden="1" customWidth="1"/>
    <col min="1549" max="1792" width="11.42578125" style="390"/>
    <col min="1793" max="1793" width="2.85546875" style="390" customWidth="1"/>
    <col min="1794" max="1794" width="29.5703125" style="390" customWidth="1"/>
    <col min="1795" max="1795" width="12.5703125" style="390" customWidth="1"/>
    <col min="1796" max="1796" width="12.28515625" style="390" customWidth="1"/>
    <col min="1797" max="1798" width="0" style="390" hidden="1" customWidth="1"/>
    <col min="1799" max="1799" width="11.42578125" style="390"/>
    <col min="1800" max="1802" width="0" style="390" hidden="1" customWidth="1"/>
    <col min="1803" max="1803" width="12.85546875" style="390" bestFit="1" customWidth="1"/>
    <col min="1804" max="1804" width="0" style="390" hidden="1" customWidth="1"/>
    <col min="1805" max="2048" width="11.42578125" style="390"/>
    <col min="2049" max="2049" width="2.85546875" style="390" customWidth="1"/>
    <col min="2050" max="2050" width="29.5703125" style="390" customWidth="1"/>
    <col min="2051" max="2051" width="12.5703125" style="390" customWidth="1"/>
    <col min="2052" max="2052" width="12.28515625" style="390" customWidth="1"/>
    <col min="2053" max="2054" width="0" style="390" hidden="1" customWidth="1"/>
    <col min="2055" max="2055" width="11.42578125" style="390"/>
    <col min="2056" max="2058" width="0" style="390" hidden="1" customWidth="1"/>
    <col min="2059" max="2059" width="12.85546875" style="390" bestFit="1" customWidth="1"/>
    <col min="2060" max="2060" width="0" style="390" hidden="1" customWidth="1"/>
    <col min="2061" max="2304" width="11.42578125" style="390"/>
    <col min="2305" max="2305" width="2.85546875" style="390" customWidth="1"/>
    <col min="2306" max="2306" width="29.5703125" style="390" customWidth="1"/>
    <col min="2307" max="2307" width="12.5703125" style="390" customWidth="1"/>
    <col min="2308" max="2308" width="12.28515625" style="390" customWidth="1"/>
    <col min="2309" max="2310" width="0" style="390" hidden="1" customWidth="1"/>
    <col min="2311" max="2311" width="11.42578125" style="390"/>
    <col min="2312" max="2314" width="0" style="390" hidden="1" customWidth="1"/>
    <col min="2315" max="2315" width="12.85546875" style="390" bestFit="1" customWidth="1"/>
    <col min="2316" max="2316" width="0" style="390" hidden="1" customWidth="1"/>
    <col min="2317" max="2560" width="11.42578125" style="390"/>
    <col min="2561" max="2561" width="2.85546875" style="390" customWidth="1"/>
    <col min="2562" max="2562" width="29.5703125" style="390" customWidth="1"/>
    <col min="2563" max="2563" width="12.5703125" style="390" customWidth="1"/>
    <col min="2564" max="2564" width="12.28515625" style="390" customWidth="1"/>
    <col min="2565" max="2566" width="0" style="390" hidden="1" customWidth="1"/>
    <col min="2567" max="2567" width="11.42578125" style="390"/>
    <col min="2568" max="2570" width="0" style="390" hidden="1" customWidth="1"/>
    <col min="2571" max="2571" width="12.85546875" style="390" bestFit="1" customWidth="1"/>
    <col min="2572" max="2572" width="0" style="390" hidden="1" customWidth="1"/>
    <col min="2573" max="2816" width="11.42578125" style="390"/>
    <col min="2817" max="2817" width="2.85546875" style="390" customWidth="1"/>
    <col min="2818" max="2818" width="29.5703125" style="390" customWidth="1"/>
    <col min="2819" max="2819" width="12.5703125" style="390" customWidth="1"/>
    <col min="2820" max="2820" width="12.28515625" style="390" customWidth="1"/>
    <col min="2821" max="2822" width="0" style="390" hidden="1" customWidth="1"/>
    <col min="2823" max="2823" width="11.42578125" style="390"/>
    <col min="2824" max="2826" width="0" style="390" hidden="1" customWidth="1"/>
    <col min="2827" max="2827" width="12.85546875" style="390" bestFit="1" customWidth="1"/>
    <col min="2828" max="2828" width="0" style="390" hidden="1" customWidth="1"/>
    <col min="2829" max="3072" width="11.42578125" style="390"/>
    <col min="3073" max="3073" width="2.85546875" style="390" customWidth="1"/>
    <col min="3074" max="3074" width="29.5703125" style="390" customWidth="1"/>
    <col min="3075" max="3075" width="12.5703125" style="390" customWidth="1"/>
    <col min="3076" max="3076" width="12.28515625" style="390" customWidth="1"/>
    <col min="3077" max="3078" width="0" style="390" hidden="1" customWidth="1"/>
    <col min="3079" max="3079" width="11.42578125" style="390"/>
    <col min="3080" max="3082" width="0" style="390" hidden="1" customWidth="1"/>
    <col min="3083" max="3083" width="12.85546875" style="390" bestFit="1" customWidth="1"/>
    <col min="3084" max="3084" width="0" style="390" hidden="1" customWidth="1"/>
    <col min="3085" max="3328" width="11.42578125" style="390"/>
    <col min="3329" max="3329" width="2.85546875" style="390" customWidth="1"/>
    <col min="3330" max="3330" width="29.5703125" style="390" customWidth="1"/>
    <col min="3331" max="3331" width="12.5703125" style="390" customWidth="1"/>
    <col min="3332" max="3332" width="12.28515625" style="390" customWidth="1"/>
    <col min="3333" max="3334" width="0" style="390" hidden="1" customWidth="1"/>
    <col min="3335" max="3335" width="11.42578125" style="390"/>
    <col min="3336" max="3338" width="0" style="390" hidden="1" customWidth="1"/>
    <col min="3339" max="3339" width="12.85546875" style="390" bestFit="1" customWidth="1"/>
    <col min="3340" max="3340" width="0" style="390" hidden="1" customWidth="1"/>
    <col min="3341" max="3584" width="11.42578125" style="390"/>
    <col min="3585" max="3585" width="2.85546875" style="390" customWidth="1"/>
    <col min="3586" max="3586" width="29.5703125" style="390" customWidth="1"/>
    <col min="3587" max="3587" width="12.5703125" style="390" customWidth="1"/>
    <col min="3588" max="3588" width="12.28515625" style="390" customWidth="1"/>
    <col min="3589" max="3590" width="0" style="390" hidden="1" customWidth="1"/>
    <col min="3591" max="3591" width="11.42578125" style="390"/>
    <col min="3592" max="3594" width="0" style="390" hidden="1" customWidth="1"/>
    <col min="3595" max="3595" width="12.85546875" style="390" bestFit="1" customWidth="1"/>
    <col min="3596" max="3596" width="0" style="390" hidden="1" customWidth="1"/>
    <col min="3597" max="3840" width="11.42578125" style="390"/>
    <col min="3841" max="3841" width="2.85546875" style="390" customWidth="1"/>
    <col min="3842" max="3842" width="29.5703125" style="390" customWidth="1"/>
    <col min="3843" max="3843" width="12.5703125" style="390" customWidth="1"/>
    <col min="3844" max="3844" width="12.28515625" style="390" customWidth="1"/>
    <col min="3845" max="3846" width="0" style="390" hidden="1" customWidth="1"/>
    <col min="3847" max="3847" width="11.42578125" style="390"/>
    <col min="3848" max="3850" width="0" style="390" hidden="1" customWidth="1"/>
    <col min="3851" max="3851" width="12.85546875" style="390" bestFit="1" customWidth="1"/>
    <col min="3852" max="3852" width="0" style="390" hidden="1" customWidth="1"/>
    <col min="3853" max="4096" width="11.42578125" style="390"/>
    <col min="4097" max="4097" width="2.85546875" style="390" customWidth="1"/>
    <col min="4098" max="4098" width="29.5703125" style="390" customWidth="1"/>
    <col min="4099" max="4099" width="12.5703125" style="390" customWidth="1"/>
    <col min="4100" max="4100" width="12.28515625" style="390" customWidth="1"/>
    <col min="4101" max="4102" width="0" style="390" hidden="1" customWidth="1"/>
    <col min="4103" max="4103" width="11.42578125" style="390"/>
    <col min="4104" max="4106" width="0" style="390" hidden="1" customWidth="1"/>
    <col min="4107" max="4107" width="12.85546875" style="390" bestFit="1" customWidth="1"/>
    <col min="4108" max="4108" width="0" style="390" hidden="1" customWidth="1"/>
    <col min="4109" max="4352" width="11.42578125" style="390"/>
    <col min="4353" max="4353" width="2.85546875" style="390" customWidth="1"/>
    <col min="4354" max="4354" width="29.5703125" style="390" customWidth="1"/>
    <col min="4355" max="4355" width="12.5703125" style="390" customWidth="1"/>
    <col min="4356" max="4356" width="12.28515625" style="390" customWidth="1"/>
    <col min="4357" max="4358" width="0" style="390" hidden="1" customWidth="1"/>
    <col min="4359" max="4359" width="11.42578125" style="390"/>
    <col min="4360" max="4362" width="0" style="390" hidden="1" customWidth="1"/>
    <col min="4363" max="4363" width="12.85546875" style="390" bestFit="1" customWidth="1"/>
    <col min="4364" max="4364" width="0" style="390" hidden="1" customWidth="1"/>
    <col min="4365" max="4608" width="11.42578125" style="390"/>
    <col min="4609" max="4609" width="2.85546875" style="390" customWidth="1"/>
    <col min="4610" max="4610" width="29.5703125" style="390" customWidth="1"/>
    <col min="4611" max="4611" width="12.5703125" style="390" customWidth="1"/>
    <col min="4612" max="4612" width="12.28515625" style="390" customWidth="1"/>
    <col min="4613" max="4614" width="0" style="390" hidden="1" customWidth="1"/>
    <col min="4615" max="4615" width="11.42578125" style="390"/>
    <col min="4616" max="4618" width="0" style="390" hidden="1" customWidth="1"/>
    <col min="4619" max="4619" width="12.85546875" style="390" bestFit="1" customWidth="1"/>
    <col min="4620" max="4620" width="0" style="390" hidden="1" customWidth="1"/>
    <col min="4621" max="4864" width="11.42578125" style="390"/>
    <col min="4865" max="4865" width="2.85546875" style="390" customWidth="1"/>
    <col min="4866" max="4866" width="29.5703125" style="390" customWidth="1"/>
    <col min="4867" max="4867" width="12.5703125" style="390" customWidth="1"/>
    <col min="4868" max="4868" width="12.28515625" style="390" customWidth="1"/>
    <col min="4869" max="4870" width="0" style="390" hidden="1" customWidth="1"/>
    <col min="4871" max="4871" width="11.42578125" style="390"/>
    <col min="4872" max="4874" width="0" style="390" hidden="1" customWidth="1"/>
    <col min="4875" max="4875" width="12.85546875" style="390" bestFit="1" customWidth="1"/>
    <col min="4876" max="4876" width="0" style="390" hidden="1" customWidth="1"/>
    <col min="4877" max="5120" width="11.42578125" style="390"/>
    <col min="5121" max="5121" width="2.85546875" style="390" customWidth="1"/>
    <col min="5122" max="5122" width="29.5703125" style="390" customWidth="1"/>
    <col min="5123" max="5123" width="12.5703125" style="390" customWidth="1"/>
    <col min="5124" max="5124" width="12.28515625" style="390" customWidth="1"/>
    <col min="5125" max="5126" width="0" style="390" hidden="1" customWidth="1"/>
    <col min="5127" max="5127" width="11.42578125" style="390"/>
    <col min="5128" max="5130" width="0" style="390" hidden="1" customWidth="1"/>
    <col min="5131" max="5131" width="12.85546875" style="390" bestFit="1" customWidth="1"/>
    <col min="5132" max="5132" width="0" style="390" hidden="1" customWidth="1"/>
    <col min="5133" max="5376" width="11.42578125" style="390"/>
    <col min="5377" max="5377" width="2.85546875" style="390" customWidth="1"/>
    <col min="5378" max="5378" width="29.5703125" style="390" customWidth="1"/>
    <col min="5379" max="5379" width="12.5703125" style="390" customWidth="1"/>
    <col min="5380" max="5380" width="12.28515625" style="390" customWidth="1"/>
    <col min="5381" max="5382" width="0" style="390" hidden="1" customWidth="1"/>
    <col min="5383" max="5383" width="11.42578125" style="390"/>
    <col min="5384" max="5386" width="0" style="390" hidden="1" customWidth="1"/>
    <col min="5387" max="5387" width="12.85546875" style="390" bestFit="1" customWidth="1"/>
    <col min="5388" max="5388" width="0" style="390" hidden="1" customWidth="1"/>
    <col min="5389" max="5632" width="11.42578125" style="390"/>
    <col min="5633" max="5633" width="2.85546875" style="390" customWidth="1"/>
    <col min="5634" max="5634" width="29.5703125" style="390" customWidth="1"/>
    <col min="5635" max="5635" width="12.5703125" style="390" customWidth="1"/>
    <col min="5636" max="5636" width="12.28515625" style="390" customWidth="1"/>
    <col min="5637" max="5638" width="0" style="390" hidden="1" customWidth="1"/>
    <col min="5639" max="5639" width="11.42578125" style="390"/>
    <col min="5640" max="5642" width="0" style="390" hidden="1" customWidth="1"/>
    <col min="5643" max="5643" width="12.85546875" style="390" bestFit="1" customWidth="1"/>
    <col min="5644" max="5644" width="0" style="390" hidden="1" customWidth="1"/>
    <col min="5645" max="5888" width="11.42578125" style="390"/>
    <col min="5889" max="5889" width="2.85546875" style="390" customWidth="1"/>
    <col min="5890" max="5890" width="29.5703125" style="390" customWidth="1"/>
    <col min="5891" max="5891" width="12.5703125" style="390" customWidth="1"/>
    <col min="5892" max="5892" width="12.28515625" style="390" customWidth="1"/>
    <col min="5893" max="5894" width="0" style="390" hidden="1" customWidth="1"/>
    <col min="5895" max="5895" width="11.42578125" style="390"/>
    <col min="5896" max="5898" width="0" style="390" hidden="1" customWidth="1"/>
    <col min="5899" max="5899" width="12.85546875" style="390" bestFit="1" customWidth="1"/>
    <col min="5900" max="5900" width="0" style="390" hidden="1" customWidth="1"/>
    <col min="5901" max="6144" width="11.42578125" style="390"/>
    <col min="6145" max="6145" width="2.85546875" style="390" customWidth="1"/>
    <col min="6146" max="6146" width="29.5703125" style="390" customWidth="1"/>
    <col min="6147" max="6147" width="12.5703125" style="390" customWidth="1"/>
    <col min="6148" max="6148" width="12.28515625" style="390" customWidth="1"/>
    <col min="6149" max="6150" width="0" style="390" hidden="1" customWidth="1"/>
    <col min="6151" max="6151" width="11.42578125" style="390"/>
    <col min="6152" max="6154" width="0" style="390" hidden="1" customWidth="1"/>
    <col min="6155" max="6155" width="12.85546875" style="390" bestFit="1" customWidth="1"/>
    <col min="6156" max="6156" width="0" style="390" hidden="1" customWidth="1"/>
    <col min="6157" max="6400" width="11.42578125" style="390"/>
    <col min="6401" max="6401" width="2.85546875" style="390" customWidth="1"/>
    <col min="6402" max="6402" width="29.5703125" style="390" customWidth="1"/>
    <col min="6403" max="6403" width="12.5703125" style="390" customWidth="1"/>
    <col min="6404" max="6404" width="12.28515625" style="390" customWidth="1"/>
    <col min="6405" max="6406" width="0" style="390" hidden="1" customWidth="1"/>
    <col min="6407" max="6407" width="11.42578125" style="390"/>
    <col min="6408" max="6410" width="0" style="390" hidden="1" customWidth="1"/>
    <col min="6411" max="6411" width="12.85546875" style="390" bestFit="1" customWidth="1"/>
    <col min="6412" max="6412" width="0" style="390" hidden="1" customWidth="1"/>
    <col min="6413" max="6656" width="11.42578125" style="390"/>
    <col min="6657" max="6657" width="2.85546875" style="390" customWidth="1"/>
    <col min="6658" max="6658" width="29.5703125" style="390" customWidth="1"/>
    <col min="6659" max="6659" width="12.5703125" style="390" customWidth="1"/>
    <col min="6660" max="6660" width="12.28515625" style="390" customWidth="1"/>
    <col min="6661" max="6662" width="0" style="390" hidden="1" customWidth="1"/>
    <col min="6663" max="6663" width="11.42578125" style="390"/>
    <col min="6664" max="6666" width="0" style="390" hidden="1" customWidth="1"/>
    <col min="6667" max="6667" width="12.85546875" style="390" bestFit="1" customWidth="1"/>
    <col min="6668" max="6668" width="0" style="390" hidden="1" customWidth="1"/>
    <col min="6669" max="6912" width="11.42578125" style="390"/>
    <col min="6913" max="6913" width="2.85546875" style="390" customWidth="1"/>
    <col min="6914" max="6914" width="29.5703125" style="390" customWidth="1"/>
    <col min="6915" max="6915" width="12.5703125" style="390" customWidth="1"/>
    <col min="6916" max="6916" width="12.28515625" style="390" customWidth="1"/>
    <col min="6917" max="6918" width="0" style="390" hidden="1" customWidth="1"/>
    <col min="6919" max="6919" width="11.42578125" style="390"/>
    <col min="6920" max="6922" width="0" style="390" hidden="1" customWidth="1"/>
    <col min="6923" max="6923" width="12.85546875" style="390" bestFit="1" customWidth="1"/>
    <col min="6924" max="6924" width="0" style="390" hidden="1" customWidth="1"/>
    <col min="6925" max="7168" width="11.42578125" style="390"/>
    <col min="7169" max="7169" width="2.85546875" style="390" customWidth="1"/>
    <col min="7170" max="7170" width="29.5703125" style="390" customWidth="1"/>
    <col min="7171" max="7171" width="12.5703125" style="390" customWidth="1"/>
    <col min="7172" max="7172" width="12.28515625" style="390" customWidth="1"/>
    <col min="7173" max="7174" width="0" style="390" hidden="1" customWidth="1"/>
    <col min="7175" max="7175" width="11.42578125" style="390"/>
    <col min="7176" max="7178" width="0" style="390" hidden="1" customWidth="1"/>
    <col min="7179" max="7179" width="12.85546875" style="390" bestFit="1" customWidth="1"/>
    <col min="7180" max="7180" width="0" style="390" hidden="1" customWidth="1"/>
    <col min="7181" max="7424" width="11.42578125" style="390"/>
    <col min="7425" max="7425" width="2.85546875" style="390" customWidth="1"/>
    <col min="7426" max="7426" width="29.5703125" style="390" customWidth="1"/>
    <col min="7427" max="7427" width="12.5703125" style="390" customWidth="1"/>
    <col min="7428" max="7428" width="12.28515625" style="390" customWidth="1"/>
    <col min="7429" max="7430" width="0" style="390" hidden="1" customWidth="1"/>
    <col min="7431" max="7431" width="11.42578125" style="390"/>
    <col min="7432" max="7434" width="0" style="390" hidden="1" customWidth="1"/>
    <col min="7435" max="7435" width="12.85546875" style="390" bestFit="1" customWidth="1"/>
    <col min="7436" max="7436" width="0" style="390" hidden="1" customWidth="1"/>
    <col min="7437" max="7680" width="11.42578125" style="390"/>
    <col min="7681" max="7681" width="2.85546875" style="390" customWidth="1"/>
    <col min="7682" max="7682" width="29.5703125" style="390" customWidth="1"/>
    <col min="7683" max="7683" width="12.5703125" style="390" customWidth="1"/>
    <col min="7684" max="7684" width="12.28515625" style="390" customWidth="1"/>
    <col min="7685" max="7686" width="0" style="390" hidden="1" customWidth="1"/>
    <col min="7687" max="7687" width="11.42578125" style="390"/>
    <col min="7688" max="7690" width="0" style="390" hidden="1" customWidth="1"/>
    <col min="7691" max="7691" width="12.85546875" style="390" bestFit="1" customWidth="1"/>
    <col min="7692" max="7692" width="0" style="390" hidden="1" customWidth="1"/>
    <col min="7693" max="7936" width="11.42578125" style="390"/>
    <col min="7937" max="7937" width="2.85546875" style="390" customWidth="1"/>
    <col min="7938" max="7938" width="29.5703125" style="390" customWidth="1"/>
    <col min="7939" max="7939" width="12.5703125" style="390" customWidth="1"/>
    <col min="7940" max="7940" width="12.28515625" style="390" customWidth="1"/>
    <col min="7941" max="7942" width="0" style="390" hidden="1" customWidth="1"/>
    <col min="7943" max="7943" width="11.42578125" style="390"/>
    <col min="7944" max="7946" width="0" style="390" hidden="1" customWidth="1"/>
    <col min="7947" max="7947" width="12.85546875" style="390" bestFit="1" customWidth="1"/>
    <col min="7948" max="7948" width="0" style="390" hidden="1" customWidth="1"/>
    <col min="7949" max="8192" width="11.42578125" style="390"/>
    <col min="8193" max="8193" width="2.85546875" style="390" customWidth="1"/>
    <col min="8194" max="8194" width="29.5703125" style="390" customWidth="1"/>
    <col min="8195" max="8195" width="12.5703125" style="390" customWidth="1"/>
    <col min="8196" max="8196" width="12.28515625" style="390" customWidth="1"/>
    <col min="8197" max="8198" width="0" style="390" hidden="1" customWidth="1"/>
    <col min="8199" max="8199" width="11.42578125" style="390"/>
    <col min="8200" max="8202" width="0" style="390" hidden="1" customWidth="1"/>
    <col min="8203" max="8203" width="12.85546875" style="390" bestFit="1" customWidth="1"/>
    <col min="8204" max="8204" width="0" style="390" hidden="1" customWidth="1"/>
    <col min="8205" max="8448" width="11.42578125" style="390"/>
    <col min="8449" max="8449" width="2.85546875" style="390" customWidth="1"/>
    <col min="8450" max="8450" width="29.5703125" style="390" customWidth="1"/>
    <col min="8451" max="8451" width="12.5703125" style="390" customWidth="1"/>
    <col min="8452" max="8452" width="12.28515625" style="390" customWidth="1"/>
    <col min="8453" max="8454" width="0" style="390" hidden="1" customWidth="1"/>
    <col min="8455" max="8455" width="11.42578125" style="390"/>
    <col min="8456" max="8458" width="0" style="390" hidden="1" customWidth="1"/>
    <col min="8459" max="8459" width="12.85546875" style="390" bestFit="1" customWidth="1"/>
    <col min="8460" max="8460" width="0" style="390" hidden="1" customWidth="1"/>
    <col min="8461" max="8704" width="11.42578125" style="390"/>
    <col min="8705" max="8705" width="2.85546875" style="390" customWidth="1"/>
    <col min="8706" max="8706" width="29.5703125" style="390" customWidth="1"/>
    <col min="8707" max="8707" width="12.5703125" style="390" customWidth="1"/>
    <col min="8708" max="8708" width="12.28515625" style="390" customWidth="1"/>
    <col min="8709" max="8710" width="0" style="390" hidden="1" customWidth="1"/>
    <col min="8711" max="8711" width="11.42578125" style="390"/>
    <col min="8712" max="8714" width="0" style="390" hidden="1" customWidth="1"/>
    <col min="8715" max="8715" width="12.85546875" style="390" bestFit="1" customWidth="1"/>
    <col min="8716" max="8716" width="0" style="390" hidden="1" customWidth="1"/>
    <col min="8717" max="8960" width="11.42578125" style="390"/>
    <col min="8961" max="8961" width="2.85546875" style="390" customWidth="1"/>
    <col min="8962" max="8962" width="29.5703125" style="390" customWidth="1"/>
    <col min="8963" max="8963" width="12.5703125" style="390" customWidth="1"/>
    <col min="8964" max="8964" width="12.28515625" style="390" customWidth="1"/>
    <col min="8965" max="8966" width="0" style="390" hidden="1" customWidth="1"/>
    <col min="8967" max="8967" width="11.42578125" style="390"/>
    <col min="8968" max="8970" width="0" style="390" hidden="1" customWidth="1"/>
    <col min="8971" max="8971" width="12.85546875" style="390" bestFit="1" customWidth="1"/>
    <col min="8972" max="8972" width="0" style="390" hidden="1" customWidth="1"/>
    <col min="8973" max="9216" width="11.42578125" style="390"/>
    <col min="9217" max="9217" width="2.85546875" style="390" customWidth="1"/>
    <col min="9218" max="9218" width="29.5703125" style="390" customWidth="1"/>
    <col min="9219" max="9219" width="12.5703125" style="390" customWidth="1"/>
    <col min="9220" max="9220" width="12.28515625" style="390" customWidth="1"/>
    <col min="9221" max="9222" width="0" style="390" hidden="1" customWidth="1"/>
    <col min="9223" max="9223" width="11.42578125" style="390"/>
    <col min="9224" max="9226" width="0" style="390" hidden="1" customWidth="1"/>
    <col min="9227" max="9227" width="12.85546875" style="390" bestFit="1" customWidth="1"/>
    <col min="9228" max="9228" width="0" style="390" hidden="1" customWidth="1"/>
    <col min="9229" max="9472" width="11.42578125" style="390"/>
    <col min="9473" max="9473" width="2.85546875" style="390" customWidth="1"/>
    <col min="9474" max="9474" width="29.5703125" style="390" customWidth="1"/>
    <col min="9475" max="9475" width="12.5703125" style="390" customWidth="1"/>
    <col min="9476" max="9476" width="12.28515625" style="390" customWidth="1"/>
    <col min="9477" max="9478" width="0" style="390" hidden="1" customWidth="1"/>
    <col min="9479" max="9479" width="11.42578125" style="390"/>
    <col min="9480" max="9482" width="0" style="390" hidden="1" customWidth="1"/>
    <col min="9483" max="9483" width="12.85546875" style="390" bestFit="1" customWidth="1"/>
    <col min="9484" max="9484" width="0" style="390" hidden="1" customWidth="1"/>
    <col min="9485" max="9728" width="11.42578125" style="390"/>
    <col min="9729" max="9729" width="2.85546875" style="390" customWidth="1"/>
    <col min="9730" max="9730" width="29.5703125" style="390" customWidth="1"/>
    <col min="9731" max="9731" width="12.5703125" style="390" customWidth="1"/>
    <col min="9732" max="9732" width="12.28515625" style="390" customWidth="1"/>
    <col min="9733" max="9734" width="0" style="390" hidden="1" customWidth="1"/>
    <col min="9735" max="9735" width="11.42578125" style="390"/>
    <col min="9736" max="9738" width="0" style="390" hidden="1" customWidth="1"/>
    <col min="9739" max="9739" width="12.85546875" style="390" bestFit="1" customWidth="1"/>
    <col min="9740" max="9740" width="0" style="390" hidden="1" customWidth="1"/>
    <col min="9741" max="9984" width="11.42578125" style="390"/>
    <col min="9985" max="9985" width="2.85546875" style="390" customWidth="1"/>
    <col min="9986" max="9986" width="29.5703125" style="390" customWidth="1"/>
    <col min="9987" max="9987" width="12.5703125" style="390" customWidth="1"/>
    <col min="9988" max="9988" width="12.28515625" style="390" customWidth="1"/>
    <col min="9989" max="9990" width="0" style="390" hidden="1" customWidth="1"/>
    <col min="9991" max="9991" width="11.42578125" style="390"/>
    <col min="9992" max="9994" width="0" style="390" hidden="1" customWidth="1"/>
    <col min="9995" max="9995" width="12.85546875" style="390" bestFit="1" customWidth="1"/>
    <col min="9996" max="9996" width="0" style="390" hidden="1" customWidth="1"/>
    <col min="9997" max="10240" width="11.42578125" style="390"/>
    <col min="10241" max="10241" width="2.85546875" style="390" customWidth="1"/>
    <col min="10242" max="10242" width="29.5703125" style="390" customWidth="1"/>
    <col min="10243" max="10243" width="12.5703125" style="390" customWidth="1"/>
    <col min="10244" max="10244" width="12.28515625" style="390" customWidth="1"/>
    <col min="10245" max="10246" width="0" style="390" hidden="1" customWidth="1"/>
    <col min="10247" max="10247" width="11.42578125" style="390"/>
    <col min="10248" max="10250" width="0" style="390" hidden="1" customWidth="1"/>
    <col min="10251" max="10251" width="12.85546875" style="390" bestFit="1" customWidth="1"/>
    <col min="10252" max="10252" width="0" style="390" hidden="1" customWidth="1"/>
    <col min="10253" max="10496" width="11.42578125" style="390"/>
    <col min="10497" max="10497" width="2.85546875" style="390" customWidth="1"/>
    <col min="10498" max="10498" width="29.5703125" style="390" customWidth="1"/>
    <col min="10499" max="10499" width="12.5703125" style="390" customWidth="1"/>
    <col min="10500" max="10500" width="12.28515625" style="390" customWidth="1"/>
    <col min="10501" max="10502" width="0" style="390" hidden="1" customWidth="1"/>
    <col min="10503" max="10503" width="11.42578125" style="390"/>
    <col min="10504" max="10506" width="0" style="390" hidden="1" customWidth="1"/>
    <col min="10507" max="10507" width="12.85546875" style="390" bestFit="1" customWidth="1"/>
    <col min="10508" max="10508" width="0" style="390" hidden="1" customWidth="1"/>
    <col min="10509" max="10752" width="11.42578125" style="390"/>
    <col min="10753" max="10753" width="2.85546875" style="390" customWidth="1"/>
    <col min="10754" max="10754" width="29.5703125" style="390" customWidth="1"/>
    <col min="10755" max="10755" width="12.5703125" style="390" customWidth="1"/>
    <col min="10756" max="10756" width="12.28515625" style="390" customWidth="1"/>
    <col min="10757" max="10758" width="0" style="390" hidden="1" customWidth="1"/>
    <col min="10759" max="10759" width="11.42578125" style="390"/>
    <col min="10760" max="10762" width="0" style="390" hidden="1" customWidth="1"/>
    <col min="10763" max="10763" width="12.85546875" style="390" bestFit="1" customWidth="1"/>
    <col min="10764" max="10764" width="0" style="390" hidden="1" customWidth="1"/>
    <col min="10765" max="11008" width="11.42578125" style="390"/>
    <col min="11009" max="11009" width="2.85546875" style="390" customWidth="1"/>
    <col min="11010" max="11010" width="29.5703125" style="390" customWidth="1"/>
    <col min="11011" max="11011" width="12.5703125" style="390" customWidth="1"/>
    <col min="11012" max="11012" width="12.28515625" style="390" customWidth="1"/>
    <col min="11013" max="11014" width="0" style="390" hidden="1" customWidth="1"/>
    <col min="11015" max="11015" width="11.42578125" style="390"/>
    <col min="11016" max="11018" width="0" style="390" hidden="1" customWidth="1"/>
    <col min="11019" max="11019" width="12.85546875" style="390" bestFit="1" customWidth="1"/>
    <col min="11020" max="11020" width="0" style="390" hidden="1" customWidth="1"/>
    <col min="11021" max="11264" width="11.42578125" style="390"/>
    <col min="11265" max="11265" width="2.85546875" style="390" customWidth="1"/>
    <col min="11266" max="11266" width="29.5703125" style="390" customWidth="1"/>
    <col min="11267" max="11267" width="12.5703125" style="390" customWidth="1"/>
    <col min="11268" max="11268" width="12.28515625" style="390" customWidth="1"/>
    <col min="11269" max="11270" width="0" style="390" hidden="1" customWidth="1"/>
    <col min="11271" max="11271" width="11.42578125" style="390"/>
    <col min="11272" max="11274" width="0" style="390" hidden="1" customWidth="1"/>
    <col min="11275" max="11275" width="12.85546875" style="390" bestFit="1" customWidth="1"/>
    <col min="11276" max="11276" width="0" style="390" hidden="1" customWidth="1"/>
    <col min="11277" max="11520" width="11.42578125" style="390"/>
    <col min="11521" max="11521" width="2.85546875" style="390" customWidth="1"/>
    <col min="11522" max="11522" width="29.5703125" style="390" customWidth="1"/>
    <col min="11523" max="11523" width="12.5703125" style="390" customWidth="1"/>
    <col min="11524" max="11524" width="12.28515625" style="390" customWidth="1"/>
    <col min="11525" max="11526" width="0" style="390" hidden="1" customWidth="1"/>
    <col min="11527" max="11527" width="11.42578125" style="390"/>
    <col min="11528" max="11530" width="0" style="390" hidden="1" customWidth="1"/>
    <col min="11531" max="11531" width="12.85546875" style="390" bestFit="1" customWidth="1"/>
    <col min="11532" max="11532" width="0" style="390" hidden="1" customWidth="1"/>
    <col min="11533" max="11776" width="11.42578125" style="390"/>
    <col min="11777" max="11777" width="2.85546875" style="390" customWidth="1"/>
    <col min="11778" max="11778" width="29.5703125" style="390" customWidth="1"/>
    <col min="11779" max="11779" width="12.5703125" style="390" customWidth="1"/>
    <col min="11780" max="11780" width="12.28515625" style="390" customWidth="1"/>
    <col min="11781" max="11782" width="0" style="390" hidden="1" customWidth="1"/>
    <col min="11783" max="11783" width="11.42578125" style="390"/>
    <col min="11784" max="11786" width="0" style="390" hidden="1" customWidth="1"/>
    <col min="11787" max="11787" width="12.85546875" style="390" bestFit="1" customWidth="1"/>
    <col min="11788" max="11788" width="0" style="390" hidden="1" customWidth="1"/>
    <col min="11789" max="12032" width="11.42578125" style="390"/>
    <col min="12033" max="12033" width="2.85546875" style="390" customWidth="1"/>
    <col min="12034" max="12034" width="29.5703125" style="390" customWidth="1"/>
    <col min="12035" max="12035" width="12.5703125" style="390" customWidth="1"/>
    <col min="12036" max="12036" width="12.28515625" style="390" customWidth="1"/>
    <col min="12037" max="12038" width="0" style="390" hidden="1" customWidth="1"/>
    <col min="12039" max="12039" width="11.42578125" style="390"/>
    <col min="12040" max="12042" width="0" style="390" hidden="1" customWidth="1"/>
    <col min="12043" max="12043" width="12.85546875" style="390" bestFit="1" customWidth="1"/>
    <col min="12044" max="12044" width="0" style="390" hidden="1" customWidth="1"/>
    <col min="12045" max="12288" width="11.42578125" style="390"/>
    <col min="12289" max="12289" width="2.85546875" style="390" customWidth="1"/>
    <col min="12290" max="12290" width="29.5703125" style="390" customWidth="1"/>
    <col min="12291" max="12291" width="12.5703125" style="390" customWidth="1"/>
    <col min="12292" max="12292" width="12.28515625" style="390" customWidth="1"/>
    <col min="12293" max="12294" width="0" style="390" hidden="1" customWidth="1"/>
    <col min="12295" max="12295" width="11.42578125" style="390"/>
    <col min="12296" max="12298" width="0" style="390" hidden="1" customWidth="1"/>
    <col min="12299" max="12299" width="12.85546875" style="390" bestFit="1" customWidth="1"/>
    <col min="12300" max="12300" width="0" style="390" hidden="1" customWidth="1"/>
    <col min="12301" max="12544" width="11.42578125" style="390"/>
    <col min="12545" max="12545" width="2.85546875" style="390" customWidth="1"/>
    <col min="12546" max="12546" width="29.5703125" style="390" customWidth="1"/>
    <col min="12547" max="12547" width="12.5703125" style="390" customWidth="1"/>
    <col min="12548" max="12548" width="12.28515625" style="390" customWidth="1"/>
    <col min="12549" max="12550" width="0" style="390" hidden="1" customWidth="1"/>
    <col min="12551" max="12551" width="11.42578125" style="390"/>
    <col min="12552" max="12554" width="0" style="390" hidden="1" customWidth="1"/>
    <col min="12555" max="12555" width="12.85546875" style="390" bestFit="1" customWidth="1"/>
    <col min="12556" max="12556" width="0" style="390" hidden="1" customWidth="1"/>
    <col min="12557" max="12800" width="11.42578125" style="390"/>
    <col min="12801" max="12801" width="2.85546875" style="390" customWidth="1"/>
    <col min="12802" max="12802" width="29.5703125" style="390" customWidth="1"/>
    <col min="12803" max="12803" width="12.5703125" style="390" customWidth="1"/>
    <col min="12804" max="12804" width="12.28515625" style="390" customWidth="1"/>
    <col min="12805" max="12806" width="0" style="390" hidden="1" customWidth="1"/>
    <col min="12807" max="12807" width="11.42578125" style="390"/>
    <col min="12808" max="12810" width="0" style="390" hidden="1" customWidth="1"/>
    <col min="12811" max="12811" width="12.85546875" style="390" bestFit="1" customWidth="1"/>
    <col min="12812" max="12812" width="0" style="390" hidden="1" customWidth="1"/>
    <col min="12813" max="13056" width="11.42578125" style="390"/>
    <col min="13057" max="13057" width="2.85546875" style="390" customWidth="1"/>
    <col min="13058" max="13058" width="29.5703125" style="390" customWidth="1"/>
    <col min="13059" max="13059" width="12.5703125" style="390" customWidth="1"/>
    <col min="13060" max="13060" width="12.28515625" style="390" customWidth="1"/>
    <col min="13061" max="13062" width="0" style="390" hidden="1" customWidth="1"/>
    <col min="13063" max="13063" width="11.42578125" style="390"/>
    <col min="13064" max="13066" width="0" style="390" hidden="1" customWidth="1"/>
    <col min="13067" max="13067" width="12.85546875" style="390" bestFit="1" customWidth="1"/>
    <col min="13068" max="13068" width="0" style="390" hidden="1" customWidth="1"/>
    <col min="13069" max="13312" width="11.42578125" style="390"/>
    <col min="13313" max="13313" width="2.85546875" style="390" customWidth="1"/>
    <col min="13314" max="13314" width="29.5703125" style="390" customWidth="1"/>
    <col min="13315" max="13315" width="12.5703125" style="390" customWidth="1"/>
    <col min="13316" max="13316" width="12.28515625" style="390" customWidth="1"/>
    <col min="13317" max="13318" width="0" style="390" hidden="1" customWidth="1"/>
    <col min="13319" max="13319" width="11.42578125" style="390"/>
    <col min="13320" max="13322" width="0" style="390" hidden="1" customWidth="1"/>
    <col min="13323" max="13323" width="12.85546875" style="390" bestFit="1" customWidth="1"/>
    <col min="13324" max="13324" width="0" style="390" hidden="1" customWidth="1"/>
    <col min="13325" max="13568" width="11.42578125" style="390"/>
    <col min="13569" max="13569" width="2.85546875" style="390" customWidth="1"/>
    <col min="13570" max="13570" width="29.5703125" style="390" customWidth="1"/>
    <col min="13571" max="13571" width="12.5703125" style="390" customWidth="1"/>
    <col min="13572" max="13572" width="12.28515625" style="390" customWidth="1"/>
    <col min="13573" max="13574" width="0" style="390" hidden="1" customWidth="1"/>
    <col min="13575" max="13575" width="11.42578125" style="390"/>
    <col min="13576" max="13578" width="0" style="390" hidden="1" customWidth="1"/>
    <col min="13579" max="13579" width="12.85546875" style="390" bestFit="1" customWidth="1"/>
    <col min="13580" max="13580" width="0" style="390" hidden="1" customWidth="1"/>
    <col min="13581" max="13824" width="11.42578125" style="390"/>
    <col min="13825" max="13825" width="2.85546875" style="390" customWidth="1"/>
    <col min="13826" max="13826" width="29.5703125" style="390" customWidth="1"/>
    <col min="13827" max="13827" width="12.5703125" style="390" customWidth="1"/>
    <col min="13828" max="13828" width="12.28515625" style="390" customWidth="1"/>
    <col min="13829" max="13830" width="0" style="390" hidden="1" customWidth="1"/>
    <col min="13831" max="13831" width="11.42578125" style="390"/>
    <col min="13832" max="13834" width="0" style="390" hidden="1" customWidth="1"/>
    <col min="13835" max="13835" width="12.85546875" style="390" bestFit="1" customWidth="1"/>
    <col min="13836" max="13836" width="0" style="390" hidden="1" customWidth="1"/>
    <col min="13837" max="14080" width="11.42578125" style="390"/>
    <col min="14081" max="14081" width="2.85546875" style="390" customWidth="1"/>
    <col min="14082" max="14082" width="29.5703125" style="390" customWidth="1"/>
    <col min="14083" max="14083" width="12.5703125" style="390" customWidth="1"/>
    <col min="14084" max="14084" width="12.28515625" style="390" customWidth="1"/>
    <col min="14085" max="14086" width="0" style="390" hidden="1" customWidth="1"/>
    <col min="14087" max="14087" width="11.42578125" style="390"/>
    <col min="14088" max="14090" width="0" style="390" hidden="1" customWidth="1"/>
    <col min="14091" max="14091" width="12.85546875" style="390" bestFit="1" customWidth="1"/>
    <col min="14092" max="14092" width="0" style="390" hidden="1" customWidth="1"/>
    <col min="14093" max="14336" width="11.42578125" style="390"/>
    <col min="14337" max="14337" width="2.85546875" style="390" customWidth="1"/>
    <col min="14338" max="14338" width="29.5703125" style="390" customWidth="1"/>
    <col min="14339" max="14339" width="12.5703125" style="390" customWidth="1"/>
    <col min="14340" max="14340" width="12.28515625" style="390" customWidth="1"/>
    <col min="14341" max="14342" width="0" style="390" hidden="1" customWidth="1"/>
    <col min="14343" max="14343" width="11.42578125" style="390"/>
    <col min="14344" max="14346" width="0" style="390" hidden="1" customWidth="1"/>
    <col min="14347" max="14347" width="12.85546875" style="390" bestFit="1" customWidth="1"/>
    <col min="14348" max="14348" width="0" style="390" hidden="1" customWidth="1"/>
    <col min="14349" max="14592" width="11.42578125" style="390"/>
    <col min="14593" max="14593" width="2.85546875" style="390" customWidth="1"/>
    <col min="14594" max="14594" width="29.5703125" style="390" customWidth="1"/>
    <col min="14595" max="14595" width="12.5703125" style="390" customWidth="1"/>
    <col min="14596" max="14596" width="12.28515625" style="390" customWidth="1"/>
    <col min="14597" max="14598" width="0" style="390" hidden="1" customWidth="1"/>
    <col min="14599" max="14599" width="11.42578125" style="390"/>
    <col min="14600" max="14602" width="0" style="390" hidden="1" customWidth="1"/>
    <col min="14603" max="14603" width="12.85546875" style="390" bestFit="1" customWidth="1"/>
    <col min="14604" max="14604" width="0" style="390" hidden="1" customWidth="1"/>
    <col min="14605" max="14848" width="11.42578125" style="390"/>
    <col min="14849" max="14849" width="2.85546875" style="390" customWidth="1"/>
    <col min="14850" max="14850" width="29.5703125" style="390" customWidth="1"/>
    <col min="14851" max="14851" width="12.5703125" style="390" customWidth="1"/>
    <col min="14852" max="14852" width="12.28515625" style="390" customWidth="1"/>
    <col min="14853" max="14854" width="0" style="390" hidden="1" customWidth="1"/>
    <col min="14855" max="14855" width="11.42578125" style="390"/>
    <col min="14856" max="14858" width="0" style="390" hidden="1" customWidth="1"/>
    <col min="14859" max="14859" width="12.85546875" style="390" bestFit="1" customWidth="1"/>
    <col min="14860" max="14860" width="0" style="390" hidden="1" customWidth="1"/>
    <col min="14861" max="15104" width="11.42578125" style="390"/>
    <col min="15105" max="15105" width="2.85546875" style="390" customWidth="1"/>
    <col min="15106" max="15106" width="29.5703125" style="390" customWidth="1"/>
    <col min="15107" max="15107" width="12.5703125" style="390" customWidth="1"/>
    <col min="15108" max="15108" width="12.28515625" style="390" customWidth="1"/>
    <col min="15109" max="15110" width="0" style="390" hidden="1" customWidth="1"/>
    <col min="15111" max="15111" width="11.42578125" style="390"/>
    <col min="15112" max="15114" width="0" style="390" hidden="1" customWidth="1"/>
    <col min="15115" max="15115" width="12.85546875" style="390" bestFit="1" customWidth="1"/>
    <col min="15116" max="15116" width="0" style="390" hidden="1" customWidth="1"/>
    <col min="15117" max="15360" width="11.42578125" style="390"/>
    <col min="15361" max="15361" width="2.85546875" style="390" customWidth="1"/>
    <col min="15362" max="15362" width="29.5703125" style="390" customWidth="1"/>
    <col min="15363" max="15363" width="12.5703125" style="390" customWidth="1"/>
    <col min="15364" max="15364" width="12.28515625" style="390" customWidth="1"/>
    <col min="15365" max="15366" width="0" style="390" hidden="1" customWidth="1"/>
    <col min="15367" max="15367" width="11.42578125" style="390"/>
    <col min="15368" max="15370" width="0" style="390" hidden="1" customWidth="1"/>
    <col min="15371" max="15371" width="12.85546875" style="390" bestFit="1" customWidth="1"/>
    <col min="15372" max="15372" width="0" style="390" hidden="1" customWidth="1"/>
    <col min="15373" max="15616" width="11.42578125" style="390"/>
    <col min="15617" max="15617" width="2.85546875" style="390" customWidth="1"/>
    <col min="15618" max="15618" width="29.5703125" style="390" customWidth="1"/>
    <col min="15619" max="15619" width="12.5703125" style="390" customWidth="1"/>
    <col min="15620" max="15620" width="12.28515625" style="390" customWidth="1"/>
    <col min="15621" max="15622" width="0" style="390" hidden="1" customWidth="1"/>
    <col min="15623" max="15623" width="11.42578125" style="390"/>
    <col min="15624" max="15626" width="0" style="390" hidden="1" customWidth="1"/>
    <col min="15627" max="15627" width="12.85546875" style="390" bestFit="1" customWidth="1"/>
    <col min="15628" max="15628" width="0" style="390" hidden="1" customWidth="1"/>
    <col min="15629" max="15872" width="11.42578125" style="390"/>
    <col min="15873" max="15873" width="2.85546875" style="390" customWidth="1"/>
    <col min="15874" max="15874" width="29.5703125" style="390" customWidth="1"/>
    <col min="15875" max="15875" width="12.5703125" style="390" customWidth="1"/>
    <col min="15876" max="15876" width="12.28515625" style="390" customWidth="1"/>
    <col min="15877" max="15878" width="0" style="390" hidden="1" customWidth="1"/>
    <col min="15879" max="15879" width="11.42578125" style="390"/>
    <col min="15880" max="15882" width="0" style="390" hidden="1" customWidth="1"/>
    <col min="15883" max="15883" width="12.85546875" style="390" bestFit="1" customWidth="1"/>
    <col min="15884" max="15884" width="0" style="390" hidden="1" customWidth="1"/>
    <col min="15885" max="16128" width="11.42578125" style="390"/>
    <col min="16129" max="16129" width="2.85546875" style="390" customWidth="1"/>
    <col min="16130" max="16130" width="29.5703125" style="390" customWidth="1"/>
    <col min="16131" max="16131" width="12.5703125" style="390" customWidth="1"/>
    <col min="16132" max="16132" width="12.28515625" style="390" customWidth="1"/>
    <col min="16133" max="16134" width="0" style="390" hidden="1" customWidth="1"/>
    <col min="16135" max="16135" width="11.42578125" style="390"/>
    <col min="16136" max="16138" width="0" style="390" hidden="1" customWidth="1"/>
    <col min="16139" max="16139" width="12.85546875" style="390" bestFit="1" customWidth="1"/>
    <col min="16140" max="16140" width="0" style="390" hidden="1" customWidth="1"/>
    <col min="16141" max="16384" width="11.42578125" style="390"/>
  </cols>
  <sheetData>
    <row r="4" spans="1:13" ht="80.25" hidden="1" customHeight="1" thickTop="1" thickBot="1" x14ac:dyDescent="0.3">
      <c r="A4" s="570"/>
      <c r="B4" s="571"/>
      <c r="C4" s="1295" t="s">
        <v>1421</v>
      </c>
      <c r="D4" s="1296"/>
      <c r="E4" s="1296"/>
      <c r="F4" s="1296"/>
      <c r="G4" s="1296"/>
      <c r="H4" s="1296"/>
      <c r="I4" s="1296"/>
      <c r="J4" s="1296"/>
      <c r="K4" s="1297"/>
      <c r="L4" s="570"/>
      <c r="M4" s="561"/>
    </row>
    <row r="5" spans="1:13" hidden="1" x14ac:dyDescent="0.25">
      <c r="B5" s="188"/>
      <c r="C5" s="189"/>
      <c r="D5" s="189"/>
      <c r="E5" s="190"/>
      <c r="F5" s="190"/>
      <c r="G5" s="190"/>
      <c r="H5" s="190"/>
      <c r="I5" s="190"/>
      <c r="J5" s="190"/>
      <c r="K5" s="191"/>
      <c r="L5" s="570"/>
      <c r="M5" s="561"/>
    </row>
    <row r="6" spans="1:13" hidden="1" x14ac:dyDescent="0.25">
      <c r="A6" s="570"/>
      <c r="B6" s="1298"/>
      <c r="C6" s="1299"/>
      <c r="D6" s="1299"/>
      <c r="E6" s="556"/>
      <c r="F6" s="556"/>
      <c r="G6" s="572"/>
      <c r="H6" s="200"/>
      <c r="I6" s="200"/>
      <c r="J6" s="200"/>
      <c r="K6" s="573"/>
      <c r="L6" s="570"/>
      <c r="M6" s="561"/>
    </row>
    <row r="7" spans="1:13" hidden="1" x14ac:dyDescent="0.25">
      <c r="A7" s="570"/>
      <c r="B7" s="555" t="s">
        <v>1400</v>
      </c>
      <c r="C7" s="267" t="s">
        <v>1273</v>
      </c>
      <c r="D7" s="226"/>
      <c r="E7" s="200"/>
      <c r="F7" s="200"/>
      <c r="G7" s="572"/>
      <c r="H7" s="200"/>
      <c r="I7" s="200"/>
      <c r="J7" s="200"/>
      <c r="K7" s="573"/>
      <c r="L7" s="570"/>
      <c r="M7" s="561"/>
    </row>
    <row r="8" spans="1:13" hidden="1" x14ac:dyDescent="0.25">
      <c r="A8" s="570"/>
      <c r="B8" s="555" t="s">
        <v>1274</v>
      </c>
      <c r="C8" s="205" t="s">
        <v>1401</v>
      </c>
      <c r="D8" s="201"/>
      <c r="E8" s="554"/>
      <c r="F8" s="554"/>
      <c r="G8" s="250"/>
      <c r="H8" s="200"/>
      <c r="I8" s="200"/>
      <c r="J8" s="200"/>
      <c r="K8" s="573"/>
      <c r="L8" s="570"/>
      <c r="M8" s="561"/>
    </row>
    <row r="9" spans="1:13" x14ac:dyDescent="0.25">
      <c r="A9" s="570"/>
      <c r="B9" s="1300" t="s">
        <v>1432</v>
      </c>
      <c r="C9" s="1300"/>
      <c r="D9" s="1300"/>
      <c r="E9" s="1300"/>
      <c r="F9" s="1300"/>
      <c r="G9" s="1300"/>
      <c r="H9" s="1300"/>
      <c r="I9" s="1300"/>
      <c r="J9" s="1300"/>
      <c r="K9" s="1300"/>
      <c r="L9" s="1300"/>
      <c r="M9" s="1300"/>
    </row>
    <row r="10" spans="1:13" ht="13.5" customHeight="1" x14ac:dyDescent="0.25">
      <c r="A10" s="570"/>
      <c r="B10" s="1300"/>
      <c r="C10" s="1300"/>
      <c r="D10" s="1300"/>
      <c r="E10" s="1300"/>
      <c r="F10" s="1300"/>
      <c r="G10" s="1300"/>
      <c r="H10" s="1301" t="s">
        <v>1289</v>
      </c>
      <c r="I10" s="1301"/>
      <c r="J10" s="1301"/>
      <c r="K10" s="574" t="s">
        <v>1290</v>
      </c>
      <c r="L10" s="575"/>
      <c r="M10" s="1302" t="s">
        <v>504</v>
      </c>
    </row>
    <row r="11" spans="1:13" x14ac:dyDescent="0.25">
      <c r="A11" s="570"/>
      <c r="B11" s="1301" t="s">
        <v>1291</v>
      </c>
      <c r="C11" s="1301"/>
      <c r="D11" s="1301"/>
      <c r="E11" s="1301"/>
      <c r="F11" s="1301"/>
      <c r="G11" s="1301"/>
      <c r="H11" s="557">
        <v>1</v>
      </c>
      <c r="I11" s="557">
        <v>2</v>
      </c>
      <c r="J11" s="557">
        <v>3</v>
      </c>
      <c r="K11" s="576">
        <f>K12+K36+K49</f>
        <v>37859.699999999997</v>
      </c>
      <c r="L11" s="575">
        <v>37859.699999999997</v>
      </c>
      <c r="M11" s="1302"/>
    </row>
    <row r="12" spans="1:13" x14ac:dyDescent="0.25">
      <c r="A12" s="205"/>
      <c r="B12" s="577" t="s">
        <v>1292</v>
      </c>
      <c r="C12" s="578"/>
      <c r="D12" s="578"/>
      <c r="E12" s="578"/>
      <c r="F12" s="578"/>
      <c r="G12" s="578"/>
      <c r="H12" s="578"/>
      <c r="I12" s="579"/>
      <c r="J12" s="579"/>
      <c r="K12" s="580">
        <f>SUM(K14:K35)/2</f>
        <v>26451.599999999999</v>
      </c>
      <c r="L12" s="200">
        <v>26451.599999999999</v>
      </c>
      <c r="M12" s="562">
        <f>+L12/$L$60</f>
        <v>0.69867431596129925</v>
      </c>
    </row>
    <row r="13" spans="1:13" s="585" customFormat="1" ht="11.25" hidden="1" x14ac:dyDescent="0.25">
      <c r="A13" s="205"/>
      <c r="B13" s="205"/>
      <c r="C13" s="581"/>
      <c r="D13" s="581"/>
      <c r="E13" s="582">
        <v>0.12</v>
      </c>
      <c r="F13" s="583"/>
      <c r="G13" s="583"/>
      <c r="H13" s="306"/>
      <c r="I13" s="306"/>
      <c r="J13" s="306"/>
      <c r="K13" s="584"/>
      <c r="L13" s="583"/>
      <c r="M13" s="563">
        <f t="shared" ref="M13" si="0">+L13/$L$60</f>
        <v>0</v>
      </c>
    </row>
    <row r="14" spans="1:13" x14ac:dyDescent="0.25">
      <c r="A14" s="570"/>
      <c r="B14" s="586" t="s">
        <v>1405</v>
      </c>
      <c r="C14" s="587" t="s">
        <v>1293</v>
      </c>
      <c r="D14" s="587" t="s">
        <v>1294</v>
      </c>
      <c r="E14" s="588" t="s">
        <v>1295</v>
      </c>
      <c r="F14" s="588" t="s">
        <v>1296</v>
      </c>
      <c r="G14" s="588" t="s">
        <v>1297</v>
      </c>
      <c r="H14" s="588"/>
      <c r="I14" s="588"/>
      <c r="J14" s="588"/>
      <c r="K14" s="589">
        <f>SUM(K15:K18)</f>
        <v>11356.8</v>
      </c>
      <c r="L14" s="200">
        <v>11356.8</v>
      </c>
      <c r="M14" s="563">
        <f t="shared" ref="M14:M59" si="1">+L14/$L$60</f>
        <v>0.29997068122568327</v>
      </c>
    </row>
    <row r="15" spans="1:13" ht="15.75" customHeight="1" x14ac:dyDescent="0.25">
      <c r="A15" s="570"/>
      <c r="B15" s="200" t="s">
        <v>1392</v>
      </c>
      <c r="C15" s="590">
        <v>2000</v>
      </c>
      <c r="D15" s="591">
        <v>0.25</v>
      </c>
      <c r="E15" s="592">
        <f>C15*$E$13*D15</f>
        <v>60</v>
      </c>
      <c r="F15" s="592"/>
      <c r="G15" s="593">
        <f>C15*D15+E15</f>
        <v>560</v>
      </c>
      <c r="H15" s="594">
        <f t="shared" ref="H15:J18" si="2">$G15</f>
        <v>560</v>
      </c>
      <c r="I15" s="594">
        <f t="shared" si="2"/>
        <v>560</v>
      </c>
      <c r="J15" s="594">
        <f t="shared" si="2"/>
        <v>560</v>
      </c>
      <c r="K15" s="584">
        <f>SUM(H15:J15)</f>
        <v>1680</v>
      </c>
      <c r="L15" s="200">
        <v>1680</v>
      </c>
      <c r="M15" s="563">
        <f t="shared" si="1"/>
        <v>4.4374361128059654E-2</v>
      </c>
    </row>
    <row r="16" spans="1:13" x14ac:dyDescent="0.25">
      <c r="A16" s="570"/>
      <c r="B16" s="200" t="s">
        <v>1408</v>
      </c>
      <c r="C16" s="590">
        <v>1200</v>
      </c>
      <c r="D16" s="591">
        <v>0.15</v>
      </c>
      <c r="E16" s="592">
        <f>C16*$E$13*D16</f>
        <v>21.599999999999998</v>
      </c>
      <c r="F16" s="592"/>
      <c r="G16" s="593">
        <f>C16*D16+E16</f>
        <v>201.6</v>
      </c>
      <c r="H16" s="594">
        <f t="shared" si="2"/>
        <v>201.6</v>
      </c>
      <c r="I16" s="594">
        <f t="shared" si="2"/>
        <v>201.6</v>
      </c>
      <c r="J16" s="594">
        <f t="shared" si="2"/>
        <v>201.6</v>
      </c>
      <c r="K16" s="584">
        <f>SUM(H16:J16)</f>
        <v>604.79999999999995</v>
      </c>
      <c r="L16" s="200">
        <v>604.79999999999995</v>
      </c>
      <c r="M16" s="563">
        <f t="shared" si="1"/>
        <v>1.5974770006101476E-2</v>
      </c>
    </row>
    <row r="17" spans="2:13" x14ac:dyDescent="0.25">
      <c r="B17" s="200" t="s">
        <v>1409</v>
      </c>
      <c r="C17" s="590">
        <v>2000</v>
      </c>
      <c r="D17" s="591">
        <v>0.6</v>
      </c>
      <c r="E17" s="592">
        <f>C17*$E$13*D17</f>
        <v>144</v>
      </c>
      <c r="F17" s="592"/>
      <c r="G17" s="593">
        <f>C17*D17+E17</f>
        <v>1344</v>
      </c>
      <c r="H17" s="594">
        <f t="shared" si="2"/>
        <v>1344</v>
      </c>
      <c r="I17" s="594">
        <f t="shared" si="2"/>
        <v>1344</v>
      </c>
      <c r="J17" s="594">
        <f t="shared" si="2"/>
        <v>1344</v>
      </c>
      <c r="K17" s="584">
        <f>SUM(H17:J17)</f>
        <v>4032</v>
      </c>
      <c r="L17" s="200">
        <v>4032</v>
      </c>
      <c r="M17" s="563">
        <f t="shared" si="1"/>
        <v>0.10649846670734317</v>
      </c>
    </row>
    <row r="18" spans="2:13" x14ac:dyDescent="0.25">
      <c r="B18" s="200" t="s">
        <v>1410</v>
      </c>
      <c r="C18" s="590">
        <v>1500</v>
      </c>
      <c r="D18" s="591">
        <v>1</v>
      </c>
      <c r="E18" s="592">
        <f>C18*$E$13*D18</f>
        <v>180</v>
      </c>
      <c r="F18" s="592"/>
      <c r="G18" s="593">
        <f>C18*D18+E18</f>
        <v>1680</v>
      </c>
      <c r="H18" s="594">
        <f t="shared" si="2"/>
        <v>1680</v>
      </c>
      <c r="I18" s="594">
        <f t="shared" si="2"/>
        <v>1680</v>
      </c>
      <c r="J18" s="594">
        <f t="shared" si="2"/>
        <v>1680</v>
      </c>
      <c r="K18" s="584">
        <f>SUM(H18:J18)</f>
        <v>5040</v>
      </c>
      <c r="L18" s="200">
        <v>5040</v>
      </c>
      <c r="M18" s="563">
        <f t="shared" si="1"/>
        <v>0.13312308338417897</v>
      </c>
    </row>
    <row r="19" spans="2:13" hidden="1" x14ac:dyDescent="0.25">
      <c r="B19" s="200"/>
      <c r="C19" s="595"/>
      <c r="D19" s="596"/>
      <c r="E19" s="592"/>
      <c r="F19" s="592"/>
      <c r="G19" s="597">
        <f>SUM(G15:G18)</f>
        <v>3785.6</v>
      </c>
      <c r="H19" s="594"/>
      <c r="I19" s="594"/>
      <c r="J19" s="594"/>
      <c r="K19" s="584"/>
      <c r="L19" s="200"/>
      <c r="M19" s="563">
        <f t="shared" si="1"/>
        <v>0</v>
      </c>
    </row>
    <row r="20" spans="2:13" x14ac:dyDescent="0.25">
      <c r="B20" s="586" t="s">
        <v>1422</v>
      </c>
      <c r="C20" s="587" t="s">
        <v>1293</v>
      </c>
      <c r="D20" s="587" t="s">
        <v>1294</v>
      </c>
      <c r="E20" s="588" t="s">
        <v>1295</v>
      </c>
      <c r="F20" s="588" t="s">
        <v>1296</v>
      </c>
      <c r="G20" s="588" t="s">
        <v>1297</v>
      </c>
      <c r="H20" s="588"/>
      <c r="I20" s="588"/>
      <c r="J20" s="588"/>
      <c r="K20" s="589">
        <f>SUM(K21:K26)</f>
        <v>12096</v>
      </c>
      <c r="L20" s="200">
        <v>12096</v>
      </c>
      <c r="M20" s="563">
        <f t="shared" si="1"/>
        <v>0.31949540012202954</v>
      </c>
    </row>
    <row r="21" spans="2:13" ht="15.75" customHeight="1" x14ac:dyDescent="0.25">
      <c r="B21" s="200" t="s">
        <v>1423</v>
      </c>
      <c r="C21" s="590">
        <v>600</v>
      </c>
      <c r="D21" s="591">
        <v>1</v>
      </c>
      <c r="E21" s="592">
        <f t="shared" ref="E21:E28" si="3">C21*$E$13*D21</f>
        <v>72</v>
      </c>
      <c r="F21" s="592"/>
      <c r="G21" s="593">
        <f t="shared" ref="G21:G26" si="4">C21*D21+E21</f>
        <v>672</v>
      </c>
      <c r="H21" s="594">
        <f t="shared" ref="H21:J28" si="5">$G21</f>
        <v>672</v>
      </c>
      <c r="I21" s="594">
        <f t="shared" si="5"/>
        <v>672</v>
      </c>
      <c r="J21" s="594">
        <f t="shared" si="5"/>
        <v>672</v>
      </c>
      <c r="K21" s="584">
        <f t="shared" ref="K21:K28" si="6">SUM(H21:J21)</f>
        <v>2016</v>
      </c>
      <c r="L21" s="200">
        <v>2016</v>
      </c>
      <c r="M21" s="563">
        <f t="shared" si="1"/>
        <v>5.3249233353671585E-2</v>
      </c>
    </row>
    <row r="22" spans="2:13" x14ac:dyDescent="0.25">
      <c r="B22" s="200" t="s">
        <v>1424</v>
      </c>
      <c r="C22" s="590">
        <v>600</v>
      </c>
      <c r="D22" s="591">
        <v>1</v>
      </c>
      <c r="E22" s="592">
        <f t="shared" si="3"/>
        <v>72</v>
      </c>
      <c r="F22" s="592"/>
      <c r="G22" s="593">
        <f t="shared" si="4"/>
        <v>672</v>
      </c>
      <c r="H22" s="594">
        <f t="shared" si="5"/>
        <v>672</v>
      </c>
      <c r="I22" s="594">
        <f t="shared" si="5"/>
        <v>672</v>
      </c>
      <c r="J22" s="594">
        <f t="shared" si="5"/>
        <v>672</v>
      </c>
      <c r="K22" s="584">
        <f t="shared" si="6"/>
        <v>2016</v>
      </c>
      <c r="L22" s="200">
        <v>2016</v>
      </c>
      <c r="M22" s="563">
        <f t="shared" si="1"/>
        <v>5.3249233353671585E-2</v>
      </c>
    </row>
    <row r="23" spans="2:13" x14ac:dyDescent="0.25">
      <c r="B23" s="200" t="s">
        <v>1425</v>
      </c>
      <c r="C23" s="590">
        <v>600</v>
      </c>
      <c r="D23" s="591">
        <v>1</v>
      </c>
      <c r="E23" s="592">
        <f t="shared" si="3"/>
        <v>72</v>
      </c>
      <c r="F23" s="592"/>
      <c r="G23" s="593">
        <f t="shared" si="4"/>
        <v>672</v>
      </c>
      <c r="H23" s="594">
        <f t="shared" si="5"/>
        <v>672</v>
      </c>
      <c r="I23" s="594">
        <f t="shared" si="5"/>
        <v>672</v>
      </c>
      <c r="J23" s="594">
        <f t="shared" si="5"/>
        <v>672</v>
      </c>
      <c r="K23" s="584">
        <f t="shared" si="6"/>
        <v>2016</v>
      </c>
      <c r="L23" s="200">
        <v>2016</v>
      </c>
      <c r="M23" s="563">
        <f t="shared" si="1"/>
        <v>5.3249233353671585E-2</v>
      </c>
    </row>
    <row r="24" spans="2:13" x14ac:dyDescent="0.25">
      <c r="B24" s="200" t="s">
        <v>1426</v>
      </c>
      <c r="C24" s="590">
        <v>600</v>
      </c>
      <c r="D24" s="591">
        <v>1</v>
      </c>
      <c r="E24" s="592">
        <f t="shared" si="3"/>
        <v>72</v>
      </c>
      <c r="F24" s="592"/>
      <c r="G24" s="593">
        <f t="shared" si="4"/>
        <v>672</v>
      </c>
      <c r="H24" s="594">
        <f t="shared" si="5"/>
        <v>672</v>
      </c>
      <c r="I24" s="594">
        <f t="shared" si="5"/>
        <v>672</v>
      </c>
      <c r="J24" s="594">
        <f t="shared" si="5"/>
        <v>672</v>
      </c>
      <c r="K24" s="584">
        <f t="shared" si="6"/>
        <v>2016</v>
      </c>
      <c r="L24" s="200">
        <v>2016</v>
      </c>
      <c r="M24" s="563">
        <f t="shared" si="1"/>
        <v>5.3249233353671585E-2</v>
      </c>
    </row>
    <row r="25" spans="2:13" x14ac:dyDescent="0.25">
      <c r="B25" s="200" t="s">
        <v>1427</v>
      </c>
      <c r="C25" s="590">
        <v>600</v>
      </c>
      <c r="D25" s="591">
        <v>1</v>
      </c>
      <c r="E25" s="592">
        <f t="shared" si="3"/>
        <v>72</v>
      </c>
      <c r="F25" s="592"/>
      <c r="G25" s="593">
        <f t="shared" si="4"/>
        <v>672</v>
      </c>
      <c r="H25" s="594">
        <f t="shared" si="5"/>
        <v>672</v>
      </c>
      <c r="I25" s="594">
        <f t="shared" si="5"/>
        <v>672</v>
      </c>
      <c r="J25" s="594">
        <f t="shared" si="5"/>
        <v>672</v>
      </c>
      <c r="K25" s="584">
        <f t="shared" si="6"/>
        <v>2016</v>
      </c>
      <c r="L25" s="200">
        <v>2016</v>
      </c>
      <c r="M25" s="563">
        <f t="shared" si="1"/>
        <v>5.3249233353671585E-2</v>
      </c>
    </row>
    <row r="26" spans="2:13" x14ac:dyDescent="0.25">
      <c r="B26" s="200" t="s">
        <v>1428</v>
      </c>
      <c r="C26" s="590">
        <v>600</v>
      </c>
      <c r="D26" s="591">
        <v>1</v>
      </c>
      <c r="E26" s="592">
        <f t="shared" si="3"/>
        <v>72</v>
      </c>
      <c r="F26" s="592"/>
      <c r="G26" s="593">
        <f t="shared" si="4"/>
        <v>672</v>
      </c>
      <c r="H26" s="594">
        <f t="shared" si="5"/>
        <v>672</v>
      </c>
      <c r="I26" s="594">
        <f t="shared" si="5"/>
        <v>672</v>
      </c>
      <c r="J26" s="594">
        <f t="shared" si="5"/>
        <v>672</v>
      </c>
      <c r="K26" s="584">
        <f t="shared" si="6"/>
        <v>2016</v>
      </c>
      <c r="L26" s="200">
        <v>2016</v>
      </c>
      <c r="M26" s="563">
        <f t="shared" si="1"/>
        <v>5.3249233353671585E-2</v>
      </c>
    </row>
    <row r="27" spans="2:13" x14ac:dyDescent="0.25">
      <c r="B27" s="200" t="s">
        <v>1429</v>
      </c>
      <c r="C27" s="590">
        <v>600</v>
      </c>
      <c r="D27" s="591">
        <v>0.2</v>
      </c>
      <c r="E27" s="592">
        <f t="shared" si="3"/>
        <v>14.4</v>
      </c>
      <c r="F27" s="592"/>
      <c r="G27" s="593">
        <f>C27*D27+E27</f>
        <v>134.4</v>
      </c>
      <c r="H27" s="594">
        <f t="shared" si="5"/>
        <v>134.4</v>
      </c>
      <c r="I27" s="594">
        <f t="shared" si="5"/>
        <v>134.4</v>
      </c>
      <c r="J27" s="594">
        <f t="shared" si="5"/>
        <v>134.4</v>
      </c>
      <c r="K27" s="584">
        <f t="shared" si="6"/>
        <v>403.20000000000005</v>
      </c>
      <c r="L27" s="200">
        <v>403.20000000000005</v>
      </c>
      <c r="M27" s="563">
        <f t="shared" si="1"/>
        <v>1.0649846670734318E-2</v>
      </c>
    </row>
    <row r="28" spans="2:13" x14ac:dyDescent="0.25">
      <c r="B28" s="200" t="s">
        <v>1312</v>
      </c>
      <c r="C28" s="590">
        <v>600</v>
      </c>
      <c r="D28" s="591">
        <v>0.15</v>
      </c>
      <c r="E28" s="592">
        <f t="shared" si="3"/>
        <v>10.799999999999999</v>
      </c>
      <c r="F28" s="592"/>
      <c r="G28" s="593">
        <f>C28*D28+E28</f>
        <v>100.8</v>
      </c>
      <c r="H28" s="594">
        <f t="shared" si="5"/>
        <v>100.8</v>
      </c>
      <c r="I28" s="594">
        <f t="shared" si="5"/>
        <v>100.8</v>
      </c>
      <c r="J28" s="594">
        <f t="shared" si="5"/>
        <v>100.8</v>
      </c>
      <c r="K28" s="584">
        <f t="shared" si="6"/>
        <v>302.39999999999998</v>
      </c>
      <c r="L28" s="200">
        <v>302.39999999999998</v>
      </c>
      <c r="M28" s="563">
        <f t="shared" si="1"/>
        <v>7.9873850030507381E-3</v>
      </c>
    </row>
    <row r="29" spans="2:13" hidden="1" x14ac:dyDescent="0.25">
      <c r="B29" s="200"/>
      <c r="C29" s="595"/>
      <c r="D29" s="591"/>
      <c r="E29" s="592"/>
      <c r="F29" s="592"/>
      <c r="G29" s="597">
        <f>SUM(G21:G28)</f>
        <v>4267.2</v>
      </c>
      <c r="H29" s="594"/>
      <c r="I29" s="594"/>
      <c r="J29" s="594"/>
      <c r="K29" s="584"/>
      <c r="L29" s="200"/>
      <c r="M29" s="563">
        <f t="shared" si="1"/>
        <v>0</v>
      </c>
    </row>
    <row r="30" spans="2:13" x14ac:dyDescent="0.25">
      <c r="B30" s="586" t="s">
        <v>1304</v>
      </c>
      <c r="C30" s="587"/>
      <c r="D30" s="587"/>
      <c r="E30" s="588"/>
      <c r="F30" s="588"/>
      <c r="G30" s="588"/>
      <c r="H30" s="588"/>
      <c r="I30" s="588"/>
      <c r="J30" s="588"/>
      <c r="K30" s="589">
        <f>SUM(K31:K34)</f>
        <v>1764</v>
      </c>
      <c r="L30" s="200">
        <v>1764</v>
      </c>
      <c r="M30" s="563">
        <f t="shared" si="1"/>
        <v>4.6593079184462635E-2</v>
      </c>
    </row>
    <row r="31" spans="2:13" x14ac:dyDescent="0.25">
      <c r="B31" s="200" t="s">
        <v>1411</v>
      </c>
      <c r="C31" s="595">
        <v>600</v>
      </c>
      <c r="D31" s="591">
        <v>0.25</v>
      </c>
      <c r="E31" s="592">
        <f>C31*$E$13*D31</f>
        <v>18</v>
      </c>
      <c r="F31" s="592"/>
      <c r="G31" s="572">
        <f>C31*D31+E31</f>
        <v>168</v>
      </c>
      <c r="H31" s="594">
        <f t="shared" ref="H31:J35" si="7">$G31</f>
        <v>168</v>
      </c>
      <c r="I31" s="594">
        <f t="shared" si="7"/>
        <v>168</v>
      </c>
      <c r="J31" s="594">
        <f t="shared" si="7"/>
        <v>168</v>
      </c>
      <c r="K31" s="584">
        <f>SUM(H31:J31)</f>
        <v>504</v>
      </c>
      <c r="L31" s="200">
        <v>504</v>
      </c>
      <c r="M31" s="563">
        <f t="shared" si="1"/>
        <v>1.3312308338417896E-2</v>
      </c>
    </row>
    <row r="32" spans="2:13" x14ac:dyDescent="0.25">
      <c r="B32" s="200" t="s">
        <v>1412</v>
      </c>
      <c r="C32" s="595">
        <v>300</v>
      </c>
      <c r="D32" s="591">
        <v>0.25</v>
      </c>
      <c r="E32" s="592">
        <f>C32*$E$13*D32</f>
        <v>9</v>
      </c>
      <c r="F32" s="592"/>
      <c r="G32" s="572">
        <f>C32*D32+E32</f>
        <v>84</v>
      </c>
      <c r="H32" s="594">
        <f t="shared" si="7"/>
        <v>84</v>
      </c>
      <c r="I32" s="594">
        <f t="shared" si="7"/>
        <v>84</v>
      </c>
      <c r="J32" s="594">
        <f t="shared" si="7"/>
        <v>84</v>
      </c>
      <c r="K32" s="584">
        <f>SUM(H32:J32)</f>
        <v>252</v>
      </c>
      <c r="L32" s="200">
        <v>252</v>
      </c>
      <c r="M32" s="563">
        <f t="shared" si="1"/>
        <v>6.6561541692089481E-3</v>
      </c>
    </row>
    <row r="33" spans="1:13" x14ac:dyDescent="0.25">
      <c r="A33" s="570"/>
      <c r="B33" s="200" t="s">
        <v>1413</v>
      </c>
      <c r="C33" s="595">
        <v>500</v>
      </c>
      <c r="D33" s="591">
        <v>0.25</v>
      </c>
      <c r="E33" s="592">
        <f>C33*$E$13*D33</f>
        <v>15</v>
      </c>
      <c r="F33" s="592"/>
      <c r="G33" s="572">
        <f>C33*D33+E33</f>
        <v>140</v>
      </c>
      <c r="H33" s="594">
        <f t="shared" si="7"/>
        <v>140</v>
      </c>
      <c r="I33" s="594">
        <f t="shared" si="7"/>
        <v>140</v>
      </c>
      <c r="J33" s="594">
        <f t="shared" si="7"/>
        <v>140</v>
      </c>
      <c r="K33" s="584">
        <f>SUM(H33:J33)</f>
        <v>420</v>
      </c>
      <c r="L33" s="200">
        <v>420</v>
      </c>
      <c r="M33" s="563">
        <f t="shared" si="1"/>
        <v>1.1093590282014914E-2</v>
      </c>
    </row>
    <row r="34" spans="1:13" x14ac:dyDescent="0.25">
      <c r="A34" s="570"/>
      <c r="B34" s="200" t="s">
        <v>1414</v>
      </c>
      <c r="C34" s="595">
        <v>700</v>
      </c>
      <c r="D34" s="591">
        <v>0.25</v>
      </c>
      <c r="E34" s="592">
        <f>C34*$E$13*D34</f>
        <v>21</v>
      </c>
      <c r="F34" s="592"/>
      <c r="G34" s="572">
        <f>C34*D34+E34</f>
        <v>196</v>
      </c>
      <c r="H34" s="594">
        <f t="shared" si="7"/>
        <v>196</v>
      </c>
      <c r="I34" s="594">
        <f t="shared" si="7"/>
        <v>196</v>
      </c>
      <c r="J34" s="594">
        <f t="shared" si="7"/>
        <v>196</v>
      </c>
      <c r="K34" s="584">
        <f>SUM(H34:J34)</f>
        <v>588</v>
      </c>
      <c r="L34" s="200">
        <v>588</v>
      </c>
      <c r="M34" s="563">
        <f t="shared" si="1"/>
        <v>1.5531026394820879E-2</v>
      </c>
    </row>
    <row r="35" spans="1:13" hidden="1" x14ac:dyDescent="0.25">
      <c r="A35" s="570"/>
      <c r="B35" s="200"/>
      <c r="C35" s="595"/>
      <c r="D35" s="591"/>
      <c r="E35" s="592"/>
      <c r="F35" s="592"/>
      <c r="G35" s="597">
        <f>SUM(G31:G34)</f>
        <v>588</v>
      </c>
      <c r="H35" s="594">
        <f t="shared" si="7"/>
        <v>588</v>
      </c>
      <c r="I35" s="594">
        <f t="shared" si="7"/>
        <v>588</v>
      </c>
      <c r="J35" s="594">
        <f t="shared" si="7"/>
        <v>588</v>
      </c>
      <c r="K35" s="584">
        <f>SUM(H35:J35)</f>
        <v>1764</v>
      </c>
      <c r="L35" s="200">
        <v>1764</v>
      </c>
      <c r="M35" s="563">
        <f t="shared" si="1"/>
        <v>4.6593079184462635E-2</v>
      </c>
    </row>
    <row r="36" spans="1:13" x14ac:dyDescent="0.25">
      <c r="A36" s="205"/>
      <c r="B36" s="598" t="s">
        <v>1313</v>
      </c>
      <c r="C36" s="599"/>
      <c r="D36" s="599"/>
      <c r="E36" s="600"/>
      <c r="F36" s="600"/>
      <c r="G36" s="600"/>
      <c r="H36" s="600"/>
      <c r="I36" s="601"/>
      <c r="J36" s="601"/>
      <c r="K36" s="602">
        <f>SUM(K38:K48)/2</f>
        <v>1386</v>
      </c>
      <c r="L36" s="200">
        <v>1386</v>
      </c>
      <c r="M36" s="562">
        <f t="shared" si="1"/>
        <v>3.6608847930649217E-2</v>
      </c>
    </row>
    <row r="37" spans="1:13" s="585" customFormat="1" ht="11.25" hidden="1" x14ac:dyDescent="0.25">
      <c r="A37" s="205"/>
      <c r="B37" s="205"/>
      <c r="C37" s="581"/>
      <c r="D37" s="581"/>
      <c r="E37" s="583"/>
      <c r="F37" s="583"/>
      <c r="G37" s="583"/>
      <c r="H37" s="306"/>
      <c r="I37" s="306"/>
      <c r="J37" s="306"/>
      <c r="K37" s="584"/>
      <c r="L37" s="583"/>
      <c r="M37" s="563">
        <f t="shared" si="1"/>
        <v>0</v>
      </c>
    </row>
    <row r="38" spans="1:13" x14ac:dyDescent="0.25">
      <c r="A38" s="570"/>
      <c r="B38" s="603" t="s">
        <v>1314</v>
      </c>
      <c r="C38" s="604" t="s">
        <v>1315</v>
      </c>
      <c r="D38" s="604"/>
      <c r="E38" s="605" t="s">
        <v>1295</v>
      </c>
      <c r="F38" s="605" t="s">
        <v>1296</v>
      </c>
      <c r="G38" s="605" t="s">
        <v>1297</v>
      </c>
      <c r="H38" s="606"/>
      <c r="I38" s="606"/>
      <c r="J38" s="606"/>
      <c r="K38" s="589">
        <f>SUM(K39:K40)</f>
        <v>672</v>
      </c>
      <c r="L38" s="200">
        <v>672</v>
      </c>
      <c r="M38" s="563">
        <f t="shared" si="1"/>
        <v>1.7749744451223862E-2</v>
      </c>
    </row>
    <row r="39" spans="1:13" x14ac:dyDescent="0.25">
      <c r="A39" s="570"/>
      <c r="B39" s="200" t="s">
        <v>1415</v>
      </c>
      <c r="C39" s="595">
        <v>350</v>
      </c>
      <c r="D39" s="591">
        <v>0.4</v>
      </c>
      <c r="E39" s="592">
        <f>C39*$E$13*D39</f>
        <v>16.8</v>
      </c>
      <c r="F39" s="592"/>
      <c r="G39" s="572">
        <f t="shared" ref="G39:G40" si="8">C39*D39+E39</f>
        <v>156.80000000000001</v>
      </c>
      <c r="H39" s="594">
        <f t="shared" ref="H39:J41" si="9">$G39</f>
        <v>156.80000000000001</v>
      </c>
      <c r="I39" s="594">
        <f t="shared" si="9"/>
        <v>156.80000000000001</v>
      </c>
      <c r="J39" s="594">
        <f t="shared" si="9"/>
        <v>156.80000000000001</v>
      </c>
      <c r="K39" s="584">
        <f t="shared" ref="K39:K41" si="10">SUM(H39:J39)</f>
        <v>470.40000000000003</v>
      </c>
      <c r="L39" s="200">
        <v>470.40000000000003</v>
      </c>
      <c r="M39" s="563">
        <f t="shared" si="1"/>
        <v>1.2424821115856704E-2</v>
      </c>
    </row>
    <row r="40" spans="1:13" x14ac:dyDescent="0.25">
      <c r="A40" s="570"/>
      <c r="B40" s="200" t="s">
        <v>1430</v>
      </c>
      <c r="C40" s="595">
        <v>100</v>
      </c>
      <c r="D40" s="591">
        <v>0.6</v>
      </c>
      <c r="E40" s="592">
        <f>C40*$E$13*D40</f>
        <v>7.1999999999999993</v>
      </c>
      <c r="F40" s="592"/>
      <c r="G40" s="572">
        <f t="shared" si="8"/>
        <v>67.2</v>
      </c>
      <c r="H40" s="594">
        <f t="shared" si="9"/>
        <v>67.2</v>
      </c>
      <c r="I40" s="594">
        <f t="shared" si="9"/>
        <v>67.2</v>
      </c>
      <c r="J40" s="594">
        <f t="shared" si="9"/>
        <v>67.2</v>
      </c>
      <c r="K40" s="584">
        <f t="shared" si="10"/>
        <v>201.60000000000002</v>
      </c>
      <c r="L40" s="200">
        <v>201.60000000000002</v>
      </c>
      <c r="M40" s="563">
        <f t="shared" si="1"/>
        <v>5.324923335367159E-3</v>
      </c>
    </row>
    <row r="41" spans="1:13" hidden="1" x14ac:dyDescent="0.25">
      <c r="A41" s="570"/>
      <c r="B41" s="200"/>
      <c r="C41" s="607"/>
      <c r="D41" s="608"/>
      <c r="E41" s="572"/>
      <c r="F41" s="572"/>
      <c r="G41" s="597">
        <f>SUM(G39:G40)</f>
        <v>224</v>
      </c>
      <c r="H41" s="594">
        <f t="shared" si="9"/>
        <v>224</v>
      </c>
      <c r="I41" s="594">
        <f t="shared" si="9"/>
        <v>224</v>
      </c>
      <c r="J41" s="594">
        <f t="shared" si="9"/>
        <v>224</v>
      </c>
      <c r="K41" s="584">
        <f t="shared" si="10"/>
        <v>672</v>
      </c>
      <c r="L41" s="200">
        <v>672</v>
      </c>
      <c r="M41" s="563">
        <f t="shared" si="1"/>
        <v>1.7749744451223862E-2</v>
      </c>
    </row>
    <row r="42" spans="1:13" x14ac:dyDescent="0.25">
      <c r="A42" s="570"/>
      <c r="B42" s="603" t="s">
        <v>1327</v>
      </c>
      <c r="C42" s="604" t="s">
        <v>1328</v>
      </c>
      <c r="D42" s="604" t="s">
        <v>1329</v>
      </c>
      <c r="E42" s="605"/>
      <c r="F42" s="605"/>
      <c r="G42" s="605" t="s">
        <v>1297</v>
      </c>
      <c r="H42" s="606"/>
      <c r="I42" s="606"/>
      <c r="J42" s="606"/>
      <c r="K42" s="589">
        <f>SUM(K43:K47)</f>
        <v>252</v>
      </c>
      <c r="L42" s="200">
        <v>252</v>
      </c>
      <c r="M42" s="563">
        <f t="shared" si="1"/>
        <v>6.6561541692089481E-3</v>
      </c>
    </row>
    <row r="43" spans="1:13" x14ac:dyDescent="0.25">
      <c r="A43" s="570"/>
      <c r="B43" s="200" t="s">
        <v>1330</v>
      </c>
      <c r="C43" s="595">
        <v>50</v>
      </c>
      <c r="D43" s="591">
        <v>0.5</v>
      </c>
      <c r="E43" s="592">
        <f>C43*$E$13*D43</f>
        <v>3</v>
      </c>
      <c r="F43" s="592"/>
      <c r="G43" s="572">
        <f>C43*D43+E43</f>
        <v>28</v>
      </c>
      <c r="H43" s="594">
        <f t="shared" ref="H43:J48" si="11">$G43</f>
        <v>28</v>
      </c>
      <c r="I43" s="594">
        <f t="shared" si="11"/>
        <v>28</v>
      </c>
      <c r="J43" s="594">
        <f t="shared" si="11"/>
        <v>28</v>
      </c>
      <c r="K43" s="584">
        <f t="shared" ref="K43:K48" si="12">SUM(H43:J43)</f>
        <v>84</v>
      </c>
      <c r="L43" s="200">
        <v>84</v>
      </c>
      <c r="M43" s="563">
        <f t="shared" si="1"/>
        <v>2.2187180564029827E-3</v>
      </c>
    </row>
    <row r="44" spans="1:13" x14ac:dyDescent="0.25">
      <c r="A44" s="570"/>
      <c r="B44" s="200" t="s">
        <v>1331</v>
      </c>
      <c r="C44" s="595">
        <v>50</v>
      </c>
      <c r="D44" s="591">
        <v>0.5</v>
      </c>
      <c r="E44" s="592">
        <f>C44*$E$13*D44</f>
        <v>3</v>
      </c>
      <c r="F44" s="592"/>
      <c r="G44" s="572">
        <f>C44*D44+E44</f>
        <v>28</v>
      </c>
      <c r="H44" s="594">
        <f t="shared" si="11"/>
        <v>28</v>
      </c>
      <c r="I44" s="594">
        <f t="shared" si="11"/>
        <v>28</v>
      </c>
      <c r="J44" s="594">
        <f t="shared" si="11"/>
        <v>28</v>
      </c>
      <c r="K44" s="584">
        <f t="shared" si="12"/>
        <v>84</v>
      </c>
      <c r="L44" s="200">
        <v>84</v>
      </c>
      <c r="M44" s="563">
        <f t="shared" si="1"/>
        <v>2.2187180564029827E-3</v>
      </c>
    </row>
    <row r="45" spans="1:13" x14ac:dyDescent="0.25">
      <c r="A45" s="570"/>
      <c r="B45" s="200" t="s">
        <v>1332</v>
      </c>
      <c r="C45" s="595">
        <v>50</v>
      </c>
      <c r="D45" s="591">
        <v>0.2</v>
      </c>
      <c r="E45" s="592">
        <f>C45*$E$13*D45</f>
        <v>1.2000000000000002</v>
      </c>
      <c r="F45" s="592"/>
      <c r="G45" s="572">
        <f>C45*D45+E45</f>
        <v>11.2</v>
      </c>
      <c r="H45" s="594">
        <f t="shared" si="11"/>
        <v>11.2</v>
      </c>
      <c r="I45" s="594">
        <f t="shared" si="11"/>
        <v>11.2</v>
      </c>
      <c r="J45" s="594">
        <f t="shared" si="11"/>
        <v>11.2</v>
      </c>
      <c r="K45" s="584">
        <f t="shared" si="12"/>
        <v>33.599999999999994</v>
      </c>
      <c r="L45" s="200">
        <v>33.599999999999994</v>
      </c>
      <c r="M45" s="563">
        <f t="shared" si="1"/>
        <v>8.8748722256119295E-4</v>
      </c>
    </row>
    <row r="46" spans="1:13" x14ac:dyDescent="0.25">
      <c r="A46" s="570"/>
      <c r="B46" s="200" t="s">
        <v>1333</v>
      </c>
      <c r="C46" s="595">
        <v>50</v>
      </c>
      <c r="D46" s="591">
        <v>0.2</v>
      </c>
      <c r="E46" s="592">
        <f>C46*$E$13*D46</f>
        <v>1.2000000000000002</v>
      </c>
      <c r="F46" s="592"/>
      <c r="G46" s="572">
        <f>C46*D46+E46</f>
        <v>11.2</v>
      </c>
      <c r="H46" s="594">
        <f t="shared" si="11"/>
        <v>11.2</v>
      </c>
      <c r="I46" s="594">
        <f t="shared" si="11"/>
        <v>11.2</v>
      </c>
      <c r="J46" s="594">
        <f t="shared" si="11"/>
        <v>11.2</v>
      </c>
      <c r="K46" s="584">
        <f t="shared" si="12"/>
        <v>33.599999999999994</v>
      </c>
      <c r="L46" s="200">
        <v>33.599999999999994</v>
      </c>
      <c r="M46" s="563">
        <f t="shared" si="1"/>
        <v>8.8748722256119295E-4</v>
      </c>
    </row>
    <row r="47" spans="1:13" x14ac:dyDescent="0.25">
      <c r="A47" s="570"/>
      <c r="B47" s="200" t="s">
        <v>1334</v>
      </c>
      <c r="C47" s="595">
        <v>25</v>
      </c>
      <c r="D47" s="591">
        <v>0.2</v>
      </c>
      <c r="E47" s="592">
        <f>C47*$E$13*D47</f>
        <v>0.60000000000000009</v>
      </c>
      <c r="F47" s="592"/>
      <c r="G47" s="572">
        <f>C47*D47+E47</f>
        <v>5.6</v>
      </c>
      <c r="H47" s="594">
        <f t="shared" si="11"/>
        <v>5.6</v>
      </c>
      <c r="I47" s="594">
        <f t="shared" si="11"/>
        <v>5.6</v>
      </c>
      <c r="J47" s="594">
        <f t="shared" si="11"/>
        <v>5.6</v>
      </c>
      <c r="K47" s="584">
        <f t="shared" si="12"/>
        <v>16.799999999999997</v>
      </c>
      <c r="L47" s="200">
        <v>16.799999999999997</v>
      </c>
      <c r="M47" s="563">
        <f t="shared" si="1"/>
        <v>4.4374361128059648E-4</v>
      </c>
    </row>
    <row r="48" spans="1:13" hidden="1" x14ac:dyDescent="0.25">
      <c r="A48" s="570"/>
      <c r="B48" s="200"/>
      <c r="C48" s="595"/>
      <c r="D48" s="608"/>
      <c r="E48" s="572"/>
      <c r="F48" s="572"/>
      <c r="G48" s="597">
        <f>SUM(G43:G47)</f>
        <v>84</v>
      </c>
      <c r="H48" s="594">
        <f t="shared" si="11"/>
        <v>84</v>
      </c>
      <c r="I48" s="594">
        <f t="shared" si="11"/>
        <v>84</v>
      </c>
      <c r="J48" s="594">
        <f t="shared" si="11"/>
        <v>84</v>
      </c>
      <c r="K48" s="584">
        <f t="shared" si="12"/>
        <v>252</v>
      </c>
      <c r="L48" s="200">
        <v>252</v>
      </c>
      <c r="M48" s="563">
        <f t="shared" si="1"/>
        <v>6.6561541692089481E-3</v>
      </c>
    </row>
    <row r="49" spans="2:13" x14ac:dyDescent="0.25">
      <c r="B49" s="609" t="s">
        <v>1342</v>
      </c>
      <c r="C49" s="610"/>
      <c r="D49" s="610"/>
      <c r="E49" s="611"/>
      <c r="F49" s="611"/>
      <c r="G49" s="611" t="s">
        <v>1297</v>
      </c>
      <c r="H49" s="612"/>
      <c r="I49" s="612"/>
      <c r="J49" s="612"/>
      <c r="K49" s="613">
        <f>SUM(K50:K59)/2</f>
        <v>10022.1</v>
      </c>
      <c r="L49" s="200">
        <v>10022.1</v>
      </c>
      <c r="M49" s="562">
        <f t="shared" si="1"/>
        <v>0.26471683610805158</v>
      </c>
    </row>
    <row r="50" spans="2:13" x14ac:dyDescent="0.25">
      <c r="B50" s="614" t="s">
        <v>1433</v>
      </c>
      <c r="C50" s="614" t="s">
        <v>1315</v>
      </c>
      <c r="D50" s="614"/>
      <c r="E50" s="614" t="s">
        <v>1295</v>
      </c>
      <c r="F50" s="614" t="s">
        <v>1296</v>
      </c>
      <c r="G50" s="614"/>
      <c r="H50" s="614"/>
      <c r="I50" s="614"/>
      <c r="J50" s="614"/>
      <c r="K50" s="615">
        <f>SUM(K51:K52)</f>
        <v>806.4</v>
      </c>
      <c r="L50" s="200">
        <v>806.4</v>
      </c>
      <c r="M50" s="563">
        <f t="shared" si="1"/>
        <v>2.1299693341468633E-2</v>
      </c>
    </row>
    <row r="51" spans="2:13" x14ac:dyDescent="0.25">
      <c r="B51" s="200" t="s">
        <v>1353</v>
      </c>
      <c r="C51" s="595">
        <v>300</v>
      </c>
      <c r="D51" s="591">
        <v>0.6</v>
      </c>
      <c r="E51" s="592">
        <f>C51*$E$13*D51</f>
        <v>21.599999999999998</v>
      </c>
      <c r="F51" s="592"/>
      <c r="G51" s="572">
        <f t="shared" ref="G51:G52" si="13">C51*D51+E51</f>
        <v>201.6</v>
      </c>
      <c r="H51" s="743">
        <f t="shared" ref="H51:J53" si="14">$G51</f>
        <v>201.6</v>
      </c>
      <c r="I51" s="594">
        <f t="shared" si="14"/>
        <v>201.6</v>
      </c>
      <c r="J51" s="594">
        <f t="shared" si="14"/>
        <v>201.6</v>
      </c>
      <c r="K51" s="584">
        <f t="shared" ref="K51:K53" si="15">SUM(H51:J51)</f>
        <v>604.79999999999995</v>
      </c>
      <c r="L51" s="200">
        <v>604.79999999999995</v>
      </c>
      <c r="M51" s="563">
        <f t="shared" si="1"/>
        <v>1.5974770006101476E-2</v>
      </c>
    </row>
    <row r="52" spans="2:13" x14ac:dyDescent="0.25">
      <c r="B52" s="200" t="s">
        <v>1354</v>
      </c>
      <c r="C52" s="595">
        <v>100</v>
      </c>
      <c r="D52" s="591">
        <v>0.6</v>
      </c>
      <c r="E52" s="592">
        <f>C52*$E$13*D52</f>
        <v>7.1999999999999993</v>
      </c>
      <c r="F52" s="592"/>
      <c r="G52" s="572">
        <f t="shared" si="13"/>
        <v>67.2</v>
      </c>
      <c r="H52" s="594">
        <f t="shared" si="14"/>
        <v>67.2</v>
      </c>
      <c r="I52" s="594">
        <f t="shared" si="14"/>
        <v>67.2</v>
      </c>
      <c r="J52" s="594">
        <f t="shared" si="14"/>
        <v>67.2</v>
      </c>
      <c r="K52" s="584">
        <f t="shared" si="15"/>
        <v>201.60000000000002</v>
      </c>
      <c r="L52" s="200">
        <v>201.60000000000002</v>
      </c>
      <c r="M52" s="563">
        <f t="shared" si="1"/>
        <v>5.324923335367159E-3</v>
      </c>
    </row>
    <row r="53" spans="2:13" hidden="1" x14ac:dyDescent="0.25">
      <c r="B53" s="200"/>
      <c r="C53" s="595"/>
      <c r="D53" s="608"/>
      <c r="E53" s="572"/>
      <c r="F53" s="572"/>
      <c r="G53" s="616">
        <f>SUM(G51:G52)</f>
        <v>268.8</v>
      </c>
      <c r="H53" s="594">
        <f t="shared" si="14"/>
        <v>268.8</v>
      </c>
      <c r="I53" s="594">
        <f t="shared" si="14"/>
        <v>268.8</v>
      </c>
      <c r="J53" s="594">
        <f t="shared" si="14"/>
        <v>268.8</v>
      </c>
      <c r="K53" s="584">
        <f t="shared" si="15"/>
        <v>806.40000000000009</v>
      </c>
      <c r="L53" s="200">
        <v>806.40000000000009</v>
      </c>
      <c r="M53" s="563">
        <f t="shared" si="1"/>
        <v>2.1299693341468636E-2</v>
      </c>
    </row>
    <row r="54" spans="2:13" x14ac:dyDescent="0.25">
      <c r="B54" s="614" t="s">
        <v>1434</v>
      </c>
      <c r="C54" s="614"/>
      <c r="D54" s="614" t="s">
        <v>1376</v>
      </c>
      <c r="E54" s="614"/>
      <c r="F54" s="614"/>
      <c r="G54" s="614"/>
      <c r="H54" s="614"/>
      <c r="I54" s="614"/>
      <c r="J54" s="614"/>
      <c r="K54" s="615">
        <f>SUM(K55:K58)</f>
        <v>5875</v>
      </c>
      <c r="L54" s="200">
        <v>5875</v>
      </c>
      <c r="M54" s="563">
        <f t="shared" si="1"/>
        <v>0.15517819739723243</v>
      </c>
    </row>
    <row r="55" spans="2:13" x14ac:dyDescent="0.25">
      <c r="B55" s="200" t="s">
        <v>1381</v>
      </c>
      <c r="C55" s="200"/>
      <c r="D55" s="617">
        <v>25000</v>
      </c>
      <c r="E55" s="618">
        <v>0.1</v>
      </c>
      <c r="F55" s="619"/>
      <c r="G55" s="572">
        <f t="shared" ref="G55:G58" si="16">E55*D55</f>
        <v>2500</v>
      </c>
      <c r="H55" s="594">
        <f>+$G55/3</f>
        <v>833.33333333333337</v>
      </c>
      <c r="I55" s="594">
        <f t="shared" ref="I55:J55" si="17">+$G55/3</f>
        <v>833.33333333333337</v>
      </c>
      <c r="J55" s="594">
        <f t="shared" si="17"/>
        <v>833.33333333333337</v>
      </c>
      <c r="K55" s="584">
        <f t="shared" ref="K55:K59" si="18">G55</f>
        <v>2500</v>
      </c>
      <c r="L55" s="200">
        <v>2500</v>
      </c>
      <c r="M55" s="563">
        <f t="shared" si="1"/>
        <v>6.6033275488184009E-2</v>
      </c>
    </row>
    <row r="56" spans="2:13" x14ac:dyDescent="0.25">
      <c r="B56" s="200" t="s">
        <v>1382</v>
      </c>
      <c r="C56" s="200"/>
      <c r="D56" s="617">
        <v>25000</v>
      </c>
      <c r="E56" s="618">
        <v>0.02</v>
      </c>
      <c r="F56" s="619"/>
      <c r="G56" s="572">
        <f t="shared" si="16"/>
        <v>500</v>
      </c>
      <c r="H56" s="594">
        <f t="shared" ref="H56:J58" si="19">+$G56/3</f>
        <v>166.66666666666666</v>
      </c>
      <c r="I56" s="594">
        <f t="shared" si="19"/>
        <v>166.66666666666666</v>
      </c>
      <c r="J56" s="594">
        <f t="shared" si="19"/>
        <v>166.66666666666666</v>
      </c>
      <c r="K56" s="584">
        <f t="shared" si="18"/>
        <v>500</v>
      </c>
      <c r="L56" s="200">
        <v>500</v>
      </c>
      <c r="M56" s="563">
        <f t="shared" si="1"/>
        <v>1.3206655097636803E-2</v>
      </c>
    </row>
    <row r="57" spans="2:13" x14ac:dyDescent="0.25">
      <c r="B57" s="200" t="s">
        <v>1384</v>
      </c>
      <c r="C57" s="200"/>
      <c r="D57" s="617">
        <v>25000</v>
      </c>
      <c r="E57" s="618">
        <v>1.4999999999999999E-2</v>
      </c>
      <c r="F57" s="619"/>
      <c r="G57" s="572">
        <f t="shared" si="16"/>
        <v>375</v>
      </c>
      <c r="H57" s="594">
        <f t="shared" si="19"/>
        <v>125</v>
      </c>
      <c r="I57" s="594">
        <f t="shared" si="19"/>
        <v>125</v>
      </c>
      <c r="J57" s="594">
        <f t="shared" si="19"/>
        <v>125</v>
      </c>
      <c r="K57" s="584">
        <f t="shared" si="18"/>
        <v>375</v>
      </c>
      <c r="L57" s="200">
        <v>375</v>
      </c>
      <c r="M57" s="563">
        <f t="shared" si="1"/>
        <v>9.9049913232276011E-3</v>
      </c>
    </row>
    <row r="58" spans="2:13" x14ac:dyDescent="0.25">
      <c r="B58" s="200" t="s">
        <v>1379</v>
      </c>
      <c r="C58" s="200"/>
      <c r="D58" s="617">
        <v>25000</v>
      </c>
      <c r="E58" s="618">
        <v>0.1</v>
      </c>
      <c r="F58" s="619"/>
      <c r="G58" s="572">
        <f t="shared" si="16"/>
        <v>2500</v>
      </c>
      <c r="H58" s="594">
        <f t="shared" si="19"/>
        <v>833.33333333333337</v>
      </c>
      <c r="I58" s="594">
        <f t="shared" si="19"/>
        <v>833.33333333333337</v>
      </c>
      <c r="J58" s="594">
        <f t="shared" si="19"/>
        <v>833.33333333333337</v>
      </c>
      <c r="K58" s="584">
        <f t="shared" si="18"/>
        <v>2500</v>
      </c>
      <c r="L58" s="200">
        <v>2500</v>
      </c>
      <c r="M58" s="563">
        <f t="shared" si="1"/>
        <v>6.6033275488184009E-2</v>
      </c>
    </row>
    <row r="59" spans="2:13" x14ac:dyDescent="0.25">
      <c r="B59" s="200"/>
      <c r="C59" s="200"/>
      <c r="D59" s="617"/>
      <c r="E59" s="618"/>
      <c r="F59" s="619"/>
      <c r="G59" s="616">
        <f>SUM(G55:G58)</f>
        <v>5875</v>
      </c>
      <c r="H59" s="200"/>
      <c r="I59" s="200"/>
      <c r="J59" s="200"/>
      <c r="K59" s="584">
        <f t="shared" si="18"/>
        <v>5875</v>
      </c>
      <c r="L59" s="200">
        <v>5875</v>
      </c>
      <c r="M59" s="563">
        <f t="shared" si="1"/>
        <v>0.15517819739723243</v>
      </c>
    </row>
    <row r="60" spans="2:13" ht="20.25" customHeight="1" x14ac:dyDescent="0.25">
      <c r="B60" s="623"/>
      <c r="C60" s="623"/>
      <c r="D60" s="270" t="s">
        <v>1387</v>
      </c>
      <c r="E60" s="623"/>
      <c r="F60" s="623"/>
      <c r="G60" s="623"/>
      <c r="H60" s="623"/>
      <c r="I60" s="623"/>
      <c r="J60" s="271"/>
      <c r="K60" s="279">
        <f>K12+K36+K49</f>
        <v>37859.699999999997</v>
      </c>
      <c r="L60" s="623">
        <v>37859.699999999997</v>
      </c>
      <c r="M60" s="564">
        <f>SUM(M12,M36,M49)</f>
        <v>1</v>
      </c>
    </row>
    <row r="61" spans="2:13" hidden="1" x14ac:dyDescent="0.25">
      <c r="B61" s="200"/>
      <c r="C61" s="226"/>
      <c r="D61" s="226"/>
      <c r="E61" s="200"/>
      <c r="F61" s="200"/>
      <c r="G61" s="200"/>
      <c r="H61" s="200"/>
      <c r="I61" s="200"/>
      <c r="J61" s="200"/>
      <c r="K61" s="572"/>
      <c r="L61" s="200"/>
      <c r="M61" s="565"/>
    </row>
    <row r="62" spans="2:13" ht="20.25" hidden="1" customHeight="1" thickBot="1" x14ac:dyDescent="0.3">
      <c r="B62" s="624"/>
      <c r="C62" s="624"/>
      <c r="D62" s="273" t="s">
        <v>1388</v>
      </c>
      <c r="E62" s="624"/>
      <c r="F62" s="624"/>
      <c r="G62" s="624"/>
      <c r="H62" s="624"/>
      <c r="I62" s="624"/>
      <c r="J62" s="274"/>
      <c r="K62" s="275" t="e">
        <f>K60/#REF!</f>
        <v>#REF!</v>
      </c>
      <c r="L62" s="200"/>
      <c r="M62" s="565"/>
    </row>
    <row r="63" spans="2:13" s="585" customFormat="1" ht="11.25" hidden="1" x14ac:dyDescent="0.25">
      <c r="B63" s="583"/>
      <c r="C63" s="581"/>
      <c r="D63" s="249"/>
      <c r="E63" s="583"/>
      <c r="F63" s="583"/>
      <c r="G63" s="583"/>
      <c r="H63" s="583"/>
      <c r="I63" s="583"/>
      <c r="J63" s="250"/>
      <c r="K63" s="276"/>
      <c r="L63" s="583"/>
      <c r="M63" s="566"/>
    </row>
    <row r="64" spans="2:13" ht="20.25" hidden="1" customHeight="1" thickBot="1" x14ac:dyDescent="0.3">
      <c r="B64" s="624"/>
      <c r="C64" s="624"/>
      <c r="D64" s="624"/>
      <c r="E64" s="273" t="s">
        <v>1389</v>
      </c>
      <c r="F64" s="624"/>
      <c r="G64" s="624"/>
      <c r="H64" s="624"/>
      <c r="I64" s="624"/>
      <c r="J64" s="274"/>
      <c r="K64" s="277" t="e">
        <f>K60/#REF!</f>
        <v>#REF!</v>
      </c>
      <c r="L64" s="200"/>
      <c r="M64" s="565"/>
    </row>
    <row r="65" spans="2:13" hidden="1" x14ac:dyDescent="0.25">
      <c r="B65" s="200"/>
      <c r="C65" s="226"/>
      <c r="D65" s="226"/>
      <c r="E65" s="200"/>
      <c r="F65" s="200"/>
      <c r="G65" s="572"/>
      <c r="H65" s="200"/>
      <c r="I65" s="200"/>
      <c r="J65" s="200"/>
      <c r="K65" s="200"/>
      <c r="L65" s="200"/>
      <c r="M65" s="565"/>
    </row>
    <row r="66" spans="2:13" ht="23.25" hidden="1" customHeight="1" x14ac:dyDescent="0.25">
      <c r="B66" s="200"/>
      <c r="C66" s="226"/>
      <c r="D66" s="200"/>
      <c r="E66" s="200"/>
      <c r="F66" s="226" t="s">
        <v>1390</v>
      </c>
      <c r="G66" s="200"/>
      <c r="H66" s="200"/>
      <c r="I66" s="200"/>
      <c r="J66" s="200"/>
      <c r="K66" s="200"/>
      <c r="L66" s="200"/>
      <c r="M66" s="565"/>
    </row>
    <row r="67" spans="2:13" hidden="1" x14ac:dyDescent="0.25">
      <c r="B67" s="200"/>
      <c r="C67" s="226"/>
      <c r="D67" s="200"/>
      <c r="E67" s="200"/>
      <c r="F67" s="625" t="s">
        <v>1391</v>
      </c>
      <c r="G67" s="200"/>
      <c r="H67" s="200"/>
      <c r="I67" s="200"/>
      <c r="J67" s="200"/>
      <c r="K67" s="200"/>
      <c r="L67" s="200"/>
      <c r="M67" s="565"/>
    </row>
    <row r="68" spans="2:13" hidden="1" x14ac:dyDescent="0.25">
      <c r="B68" s="200"/>
      <c r="C68" s="226"/>
      <c r="D68" s="226"/>
      <c r="E68" s="200"/>
      <c r="F68" s="200"/>
      <c r="G68" s="200"/>
      <c r="H68" s="200"/>
      <c r="I68" s="200"/>
      <c r="J68" s="200"/>
      <c r="K68" s="200"/>
      <c r="L68" s="200"/>
      <c r="M68" s="565"/>
    </row>
    <row r="69" spans="2:13" hidden="1" x14ac:dyDescent="0.25">
      <c r="B69" s="200"/>
      <c r="C69" s="226"/>
      <c r="D69" s="226"/>
      <c r="E69" s="200"/>
      <c r="F69" s="200"/>
      <c r="G69" s="200"/>
      <c r="H69" s="200"/>
      <c r="I69" s="200"/>
      <c r="J69" s="200"/>
      <c r="K69" s="200"/>
      <c r="L69" s="200"/>
      <c r="M69" s="565"/>
    </row>
    <row r="70" spans="2:13" hidden="1" x14ac:dyDescent="0.25">
      <c r="B70" s="200"/>
      <c r="C70" s="226"/>
      <c r="D70" s="226"/>
      <c r="E70" s="200"/>
      <c r="F70" s="200"/>
      <c r="G70" s="200"/>
      <c r="H70" s="200"/>
      <c r="I70" s="200"/>
      <c r="J70" s="200"/>
      <c r="K70" s="200"/>
      <c r="L70" s="200"/>
      <c r="M70" s="565"/>
    </row>
    <row r="71" spans="2:13" hidden="1" x14ac:dyDescent="0.25">
      <c r="B71" s="200"/>
      <c r="C71" s="226"/>
      <c r="D71" s="226"/>
      <c r="E71" s="200"/>
      <c r="F71" s="200"/>
      <c r="G71" s="200"/>
      <c r="H71" s="200"/>
      <c r="I71" s="200"/>
      <c r="J71" s="200"/>
      <c r="K71" s="200"/>
      <c r="L71" s="200"/>
      <c r="M71" s="565"/>
    </row>
    <row r="72" spans="2:13" hidden="1" x14ac:dyDescent="0.25">
      <c r="B72" s="200"/>
      <c r="C72" s="226"/>
      <c r="D72" s="625" t="s">
        <v>168</v>
      </c>
      <c r="E72" s="200"/>
      <c r="F72" s="200"/>
      <c r="G72" s="200"/>
      <c r="H72" s="200"/>
      <c r="I72" s="625" t="s">
        <v>167</v>
      </c>
      <c r="J72" s="625"/>
      <c r="K72" s="200"/>
      <c r="L72" s="200"/>
      <c r="M72" s="565"/>
    </row>
    <row r="73" spans="2:13" hidden="1" x14ac:dyDescent="0.25">
      <c r="B73" s="200"/>
      <c r="C73" s="226"/>
      <c r="D73" s="226" t="s">
        <v>1392</v>
      </c>
      <c r="E73" s="200"/>
      <c r="F73" s="200"/>
      <c r="G73" s="200"/>
      <c r="H73" s="200"/>
      <c r="I73" s="226" t="s">
        <v>1393</v>
      </c>
      <c r="J73" s="200"/>
      <c r="K73" s="200"/>
      <c r="L73" s="200"/>
      <c r="M73" s="565"/>
    </row>
    <row r="74" spans="2:13" hidden="1" x14ac:dyDescent="0.25">
      <c r="B74" s="200"/>
      <c r="C74" s="226"/>
      <c r="D74" s="226"/>
      <c r="E74" s="200"/>
      <c r="F74" s="200"/>
      <c r="G74" s="200"/>
      <c r="H74" s="200"/>
      <c r="I74" s="200"/>
      <c r="J74" s="200"/>
      <c r="K74" s="200"/>
      <c r="L74" s="200"/>
      <c r="M74" s="565"/>
    </row>
    <row r="75" spans="2:13" hidden="1" x14ac:dyDescent="0.25">
      <c r="B75" s="200"/>
      <c r="C75" s="226" t="s">
        <v>1394</v>
      </c>
      <c r="D75" s="626" t="s">
        <v>1395</v>
      </c>
      <c r="E75" s="627"/>
      <c r="F75" s="627"/>
      <c r="G75" s="627"/>
      <c r="H75" s="200"/>
      <c r="I75" s="200"/>
      <c r="J75" s="200"/>
      <c r="K75" s="200"/>
      <c r="L75" s="200"/>
      <c r="M75" s="565"/>
    </row>
    <row r="76" spans="2:13" hidden="1" x14ac:dyDescent="0.25">
      <c r="B76" s="200" t="s">
        <v>1396</v>
      </c>
      <c r="C76" s="226"/>
      <c r="D76" s="226"/>
      <c r="E76" s="200"/>
      <c r="F76" s="200"/>
      <c r="G76" s="200"/>
      <c r="H76" s="200"/>
      <c r="I76" s="200"/>
      <c r="J76" s="200"/>
      <c r="K76" s="200"/>
      <c r="L76" s="200"/>
      <c r="M76" s="565"/>
    </row>
    <row r="77" spans="2:13" hidden="1" x14ac:dyDescent="0.25">
      <c r="B77" s="200" t="s">
        <v>1397</v>
      </c>
      <c r="C77" s="226"/>
      <c r="D77" s="226"/>
      <c r="E77" s="200"/>
      <c r="F77" s="200"/>
      <c r="G77" s="200"/>
      <c r="H77" s="200"/>
      <c r="I77" s="200"/>
      <c r="J77" s="200"/>
      <c r="K77" s="200"/>
      <c r="L77" s="200"/>
      <c r="M77" s="565"/>
    </row>
    <row r="78" spans="2:13" hidden="1" x14ac:dyDescent="0.25">
      <c r="B78" s="200" t="s">
        <v>1398</v>
      </c>
      <c r="C78" s="226"/>
      <c r="D78" s="226"/>
      <c r="E78" s="200"/>
      <c r="F78" s="200"/>
      <c r="G78" s="200"/>
      <c r="H78" s="200"/>
      <c r="I78" s="200"/>
      <c r="J78" s="200"/>
      <c r="K78" s="200"/>
      <c r="L78" s="200"/>
      <c r="M78" s="565"/>
    </row>
    <row r="79" spans="2:13" hidden="1" x14ac:dyDescent="0.25">
      <c r="B79" s="200" t="s">
        <v>1399</v>
      </c>
      <c r="C79" s="226"/>
      <c r="D79" s="226"/>
      <c r="E79" s="200"/>
      <c r="F79" s="200"/>
      <c r="G79" s="200"/>
      <c r="H79" s="200"/>
      <c r="I79" s="200"/>
      <c r="J79" s="200"/>
      <c r="K79" s="200"/>
      <c r="L79" s="200"/>
      <c r="M79" s="565"/>
    </row>
    <row r="80" spans="2:13" hidden="1" x14ac:dyDescent="0.25">
      <c r="B80" s="200"/>
      <c r="C80" s="226"/>
      <c r="D80" s="226"/>
      <c r="E80" s="200"/>
      <c r="F80" s="200"/>
      <c r="G80" s="200"/>
      <c r="H80" s="200"/>
      <c r="I80" s="200"/>
      <c r="J80" s="200"/>
      <c r="K80" s="200"/>
      <c r="L80" s="200"/>
      <c r="M80" s="565"/>
    </row>
    <row r="81" spans="1:13" hidden="1" x14ac:dyDescent="0.25">
      <c r="A81" s="570"/>
      <c r="B81" s="200"/>
      <c r="C81" s="226"/>
      <c r="D81" s="226"/>
      <c r="E81" s="200"/>
      <c r="F81" s="200"/>
      <c r="G81" s="200"/>
      <c r="H81" s="200"/>
      <c r="I81" s="200"/>
      <c r="J81" s="200"/>
      <c r="K81" s="200"/>
      <c r="L81" s="200"/>
      <c r="M81" s="565"/>
    </row>
    <row r="82" spans="1:13" x14ac:dyDescent="0.25">
      <c r="A82" s="570"/>
      <c r="B82" s="200"/>
      <c r="C82" s="226"/>
      <c r="D82" s="226"/>
      <c r="E82" s="200"/>
      <c r="F82" s="200"/>
      <c r="G82" s="200"/>
      <c r="H82" s="741">
        <f>SUM(H15:H58)</f>
        <v>12340.733333333335</v>
      </c>
      <c r="I82" s="741">
        <f t="shared" ref="I82" si="20">SUM(I15:I58)</f>
        <v>12340.733333333335</v>
      </c>
      <c r="J82" s="742">
        <f>SUM(J15:J58)</f>
        <v>12340.733333333335</v>
      </c>
      <c r="K82" s="200"/>
      <c r="L82" s="200"/>
      <c r="M82" s="565"/>
    </row>
    <row r="83" spans="1:13" x14ac:dyDescent="0.25">
      <c r="A83" s="570"/>
      <c r="B83" s="200"/>
      <c r="C83" s="226"/>
      <c r="D83" s="226"/>
      <c r="E83" s="200"/>
      <c r="F83" s="200"/>
      <c r="G83" s="200"/>
      <c r="H83" s="741">
        <f>+H82</f>
        <v>12340.733333333335</v>
      </c>
      <c r="I83" s="742">
        <f>+H83+I82</f>
        <v>24681.466666666671</v>
      </c>
      <c r="J83" s="742">
        <f>+I83+J82</f>
        <v>37022.200000000004</v>
      </c>
      <c r="K83" s="200"/>
      <c r="L83" s="200"/>
      <c r="M83" s="565"/>
    </row>
    <row r="85" spans="1:13" x14ac:dyDescent="0.25">
      <c r="K85" s="542">
        <f>+K60-J83</f>
        <v>837.49999999999272</v>
      </c>
    </row>
    <row r="87" spans="1:13" hidden="1" x14ac:dyDescent="0.25">
      <c r="A87" s="570"/>
      <c r="B87" s="200"/>
      <c r="C87" s="628"/>
      <c r="D87" s="628"/>
      <c r="E87" s="570"/>
      <c r="F87" s="570"/>
      <c r="G87" s="570"/>
      <c r="H87" s="570"/>
      <c r="I87" s="570"/>
      <c r="J87" s="570"/>
      <c r="K87" s="570"/>
      <c r="L87" s="570"/>
      <c r="M87" s="561"/>
    </row>
    <row r="88" spans="1:13" ht="13.5" hidden="1" customHeight="1" thickBot="1" x14ac:dyDescent="0.3">
      <c r="B88" s="555"/>
      <c r="C88" s="225"/>
      <c r="D88" s="226"/>
      <c r="E88" s="200"/>
      <c r="F88" s="200"/>
      <c r="G88" s="572"/>
      <c r="H88" s="1303" t="s">
        <v>1403</v>
      </c>
      <c r="I88" s="1304"/>
      <c r="J88" s="1304"/>
      <c r="K88" s="629" t="s">
        <v>1290</v>
      </c>
      <c r="L88" s="570"/>
      <c r="M88" s="561"/>
    </row>
    <row r="89" spans="1:13" ht="15.75" hidden="1" thickBot="1" x14ac:dyDescent="0.3">
      <c r="A89" s="570"/>
      <c r="B89" s="1305" t="s">
        <v>1291</v>
      </c>
      <c r="C89" s="1304"/>
      <c r="D89" s="1304"/>
      <c r="E89" s="1304"/>
      <c r="F89" s="1304"/>
      <c r="G89" s="1306"/>
      <c r="H89" s="630">
        <v>1</v>
      </c>
      <c r="I89" s="630">
        <v>2</v>
      </c>
      <c r="J89" s="630">
        <v>3</v>
      </c>
      <c r="K89" s="631" t="e">
        <f>K91+K106+K128</f>
        <v>#REF!</v>
      </c>
      <c r="L89" s="570"/>
      <c r="M89" s="561"/>
    </row>
    <row r="90" spans="1:13" s="632" customFormat="1" ht="12.75" hidden="1" x14ac:dyDescent="0.25">
      <c r="B90" s="633"/>
      <c r="C90" s="634"/>
      <c r="D90" s="634"/>
      <c r="E90" s="635"/>
      <c r="F90" s="635"/>
      <c r="G90" s="635"/>
      <c r="H90" s="635"/>
      <c r="I90" s="635"/>
      <c r="J90" s="635"/>
      <c r="K90" s="636"/>
      <c r="M90" s="567"/>
    </row>
    <row r="91" spans="1:13" ht="15.75" hidden="1" thickBot="1" x14ac:dyDescent="0.3">
      <c r="A91" s="205"/>
      <c r="B91" s="637" t="s">
        <v>1292</v>
      </c>
      <c r="C91" s="578"/>
      <c r="D91" s="578"/>
      <c r="E91" s="578"/>
      <c r="F91" s="578"/>
      <c r="G91" s="578"/>
      <c r="H91" s="578"/>
      <c r="I91" s="579"/>
      <c r="J91" s="579"/>
      <c r="K91" s="638">
        <f>SUM(K93:K105)/2</f>
        <v>22411.200000000001</v>
      </c>
      <c r="L91" s="570"/>
      <c r="M91" s="561"/>
    </row>
    <row r="92" spans="1:13" s="585" customFormat="1" ht="12" hidden="1" thickBot="1" x14ac:dyDescent="0.3">
      <c r="A92" s="205"/>
      <c r="B92" s="639"/>
      <c r="C92" s="581"/>
      <c r="D92" s="581"/>
      <c r="E92" s="582">
        <v>0.12</v>
      </c>
      <c r="F92" s="583"/>
      <c r="G92" s="583"/>
      <c r="H92" s="306"/>
      <c r="I92" s="306"/>
      <c r="J92" s="306"/>
      <c r="K92" s="640"/>
      <c r="M92" s="568"/>
    </row>
    <row r="93" spans="1:13" ht="15.75" hidden="1" thickBot="1" x14ac:dyDescent="0.3">
      <c r="A93" s="570"/>
      <c r="B93" s="641" t="s">
        <v>1405</v>
      </c>
      <c r="C93" s="587" t="s">
        <v>1293</v>
      </c>
      <c r="D93" s="587" t="s">
        <v>1294</v>
      </c>
      <c r="E93" s="588" t="s">
        <v>1295</v>
      </c>
      <c r="F93" s="588" t="s">
        <v>1296</v>
      </c>
      <c r="G93" s="588" t="s">
        <v>1297</v>
      </c>
      <c r="H93" s="588"/>
      <c r="I93" s="588"/>
      <c r="J93" s="588"/>
      <c r="K93" s="642">
        <f>SUM(K94:K98)</f>
        <v>17337.599999999999</v>
      </c>
      <c r="L93" s="570"/>
      <c r="M93" s="561"/>
    </row>
    <row r="94" spans="1:13" ht="15.75" hidden="1" customHeight="1" x14ac:dyDescent="0.25">
      <c r="A94" s="570"/>
      <c r="B94" s="643" t="s">
        <v>1392</v>
      </c>
      <c r="C94" s="595">
        <v>2000</v>
      </c>
      <c r="D94" s="591">
        <v>1</v>
      </c>
      <c r="E94" s="592">
        <f>C94*$E$13*D94</f>
        <v>240</v>
      </c>
      <c r="F94" s="592"/>
      <c r="G94" s="644">
        <f>C94*D94+E94</f>
        <v>2240</v>
      </c>
      <c r="H94" s="594">
        <f t="shared" ref="H94:J98" si="21">$G94</f>
        <v>2240</v>
      </c>
      <c r="I94" s="594">
        <f t="shared" si="21"/>
        <v>2240</v>
      </c>
      <c r="J94" s="594">
        <f t="shared" si="21"/>
        <v>2240</v>
      </c>
      <c r="K94" s="645">
        <f>SUM(H94:J94)</f>
        <v>6720</v>
      </c>
      <c r="L94" s="570"/>
      <c r="M94" s="561"/>
    </row>
    <row r="95" spans="1:13" hidden="1" x14ac:dyDescent="0.25">
      <c r="A95" s="570"/>
      <c r="B95" s="643" t="s">
        <v>1407</v>
      </c>
      <c r="C95" s="595">
        <v>600</v>
      </c>
      <c r="D95" s="591">
        <v>1</v>
      </c>
      <c r="E95" s="592">
        <f>C95*$E$13*D95</f>
        <v>72</v>
      </c>
      <c r="F95" s="592"/>
      <c r="G95" s="644">
        <f>C95*D95+E95</f>
        <v>672</v>
      </c>
      <c r="H95" s="594">
        <f t="shared" si="21"/>
        <v>672</v>
      </c>
      <c r="I95" s="594">
        <f t="shared" si="21"/>
        <v>672</v>
      </c>
      <c r="J95" s="594">
        <f t="shared" si="21"/>
        <v>672</v>
      </c>
      <c r="K95" s="646">
        <f>SUM(H95:J95)</f>
        <v>2016</v>
      </c>
      <c r="L95" s="570"/>
      <c r="M95" s="561"/>
    </row>
    <row r="96" spans="1:13" hidden="1" x14ac:dyDescent="0.25">
      <c r="A96" s="570"/>
      <c r="B96" s="643" t="s">
        <v>1408</v>
      </c>
      <c r="C96" s="595">
        <v>1200</v>
      </c>
      <c r="D96" s="591">
        <v>0.2</v>
      </c>
      <c r="E96" s="592">
        <f>C96*$E$13*D96</f>
        <v>28.8</v>
      </c>
      <c r="F96" s="592"/>
      <c r="G96" s="644">
        <f>C96*D96+E96</f>
        <v>268.8</v>
      </c>
      <c r="H96" s="594">
        <f t="shared" si="21"/>
        <v>268.8</v>
      </c>
      <c r="I96" s="594">
        <f t="shared" si="21"/>
        <v>268.8</v>
      </c>
      <c r="J96" s="594">
        <f t="shared" si="21"/>
        <v>268.8</v>
      </c>
      <c r="K96" s="646">
        <f>SUM(H96:J96)</f>
        <v>806.40000000000009</v>
      </c>
      <c r="L96" s="570"/>
      <c r="M96" s="561"/>
    </row>
    <row r="97" spans="1:13" hidden="1" x14ac:dyDescent="0.25">
      <c r="A97" s="570"/>
      <c r="B97" s="643" t="s">
        <v>1409</v>
      </c>
      <c r="C97" s="595">
        <v>2000</v>
      </c>
      <c r="D97" s="591">
        <v>0.8</v>
      </c>
      <c r="E97" s="592">
        <f>C97*$E$13*D97</f>
        <v>192</v>
      </c>
      <c r="F97" s="592"/>
      <c r="G97" s="644">
        <f>C97*D97+E97</f>
        <v>1792</v>
      </c>
      <c r="H97" s="594">
        <f t="shared" si="21"/>
        <v>1792</v>
      </c>
      <c r="I97" s="594">
        <f t="shared" si="21"/>
        <v>1792</v>
      </c>
      <c r="J97" s="594">
        <f t="shared" si="21"/>
        <v>1792</v>
      </c>
      <c r="K97" s="646">
        <f>SUM(H97:J97)</f>
        <v>5376</v>
      </c>
    </row>
    <row r="98" spans="1:13" ht="15.75" hidden="1" thickBot="1" x14ac:dyDescent="0.3">
      <c r="A98" s="570"/>
      <c r="B98" s="643" t="s">
        <v>1410</v>
      </c>
      <c r="C98" s="595">
        <v>1200</v>
      </c>
      <c r="D98" s="591">
        <v>0.6</v>
      </c>
      <c r="E98" s="592">
        <f>C98*$E$13*D98</f>
        <v>86.399999999999991</v>
      </c>
      <c r="F98" s="592"/>
      <c r="G98" s="644">
        <f>C98*D98+E98</f>
        <v>806.4</v>
      </c>
      <c r="H98" s="594">
        <f t="shared" si="21"/>
        <v>806.4</v>
      </c>
      <c r="I98" s="594">
        <f t="shared" si="21"/>
        <v>806.4</v>
      </c>
      <c r="J98" s="594">
        <f t="shared" si="21"/>
        <v>806.4</v>
      </c>
      <c r="K98" s="647">
        <f>SUM(H98:J98)</f>
        <v>2419.1999999999998</v>
      </c>
    </row>
    <row r="99" spans="1:13" ht="15.75" hidden="1" thickBot="1" x14ac:dyDescent="0.3">
      <c r="A99" s="570"/>
      <c r="B99" s="643"/>
      <c r="C99" s="595"/>
      <c r="D99" s="596"/>
      <c r="E99" s="592"/>
      <c r="F99" s="592"/>
      <c r="G99" s="591">
        <v>1</v>
      </c>
      <c r="H99" s="594"/>
      <c r="I99" s="594"/>
      <c r="J99" s="594"/>
      <c r="K99" s="648"/>
    </row>
    <row r="100" spans="1:13" ht="15.75" hidden="1" thickBot="1" x14ac:dyDescent="0.3">
      <c r="A100" s="570"/>
      <c r="B100" s="641" t="s">
        <v>1304</v>
      </c>
      <c r="C100" s="587"/>
      <c r="D100" s="587"/>
      <c r="E100" s="587"/>
      <c r="F100" s="587"/>
      <c r="G100" s="587"/>
      <c r="H100" s="587"/>
      <c r="I100" s="588"/>
      <c r="J100" s="588"/>
      <c r="K100" s="642">
        <f>SUM(K101:K104)</f>
        <v>5073.6000000000004</v>
      </c>
    </row>
    <row r="101" spans="1:13" hidden="1" x14ac:dyDescent="0.25">
      <c r="A101" s="570"/>
      <c r="B101" s="643" t="s">
        <v>1411</v>
      </c>
      <c r="C101" s="595">
        <v>600</v>
      </c>
      <c r="D101" s="591">
        <v>0.3</v>
      </c>
      <c r="E101" s="592">
        <f>C101*$E$13*D101</f>
        <v>21.599999999999998</v>
      </c>
      <c r="F101" s="592"/>
      <c r="G101" s="644">
        <f>C101*D101+E101</f>
        <v>201.6</v>
      </c>
      <c r="H101" s="594">
        <f t="shared" ref="H101:J104" si="22">$G101</f>
        <v>201.6</v>
      </c>
      <c r="I101" s="594">
        <f t="shared" si="22"/>
        <v>201.6</v>
      </c>
      <c r="J101" s="594">
        <f t="shared" si="22"/>
        <v>201.6</v>
      </c>
      <c r="K101" s="645">
        <f>SUM(H101:J101)</f>
        <v>604.79999999999995</v>
      </c>
    </row>
    <row r="102" spans="1:13" hidden="1" x14ac:dyDescent="0.25">
      <c r="A102" s="570"/>
      <c r="B102" s="643" t="s">
        <v>1412</v>
      </c>
      <c r="C102" s="595">
        <v>600</v>
      </c>
      <c r="D102" s="591">
        <v>1</v>
      </c>
      <c r="E102" s="592">
        <f>C102*$E$13*D102</f>
        <v>72</v>
      </c>
      <c r="F102" s="592"/>
      <c r="G102" s="644">
        <f>C102*D102+E102</f>
        <v>672</v>
      </c>
      <c r="H102" s="594">
        <f t="shared" si="22"/>
        <v>672</v>
      </c>
      <c r="I102" s="594">
        <f t="shared" si="22"/>
        <v>672</v>
      </c>
      <c r="J102" s="594">
        <f t="shared" si="22"/>
        <v>672</v>
      </c>
      <c r="K102" s="646">
        <f>SUM(H102:J102)</f>
        <v>2016</v>
      </c>
    </row>
    <row r="103" spans="1:13" hidden="1" x14ac:dyDescent="0.25">
      <c r="A103" s="570"/>
      <c r="B103" s="643" t="s">
        <v>1413</v>
      </c>
      <c r="C103" s="595">
        <v>500</v>
      </c>
      <c r="D103" s="591">
        <v>0.5</v>
      </c>
      <c r="E103" s="592">
        <f>C103*$E$13*D103</f>
        <v>30</v>
      </c>
      <c r="F103" s="592"/>
      <c r="G103" s="644">
        <f>C103*D103+E103</f>
        <v>280</v>
      </c>
      <c r="H103" s="594">
        <f t="shared" si="22"/>
        <v>280</v>
      </c>
      <c r="I103" s="594">
        <f t="shared" si="22"/>
        <v>280</v>
      </c>
      <c r="J103" s="594">
        <f t="shared" si="22"/>
        <v>280</v>
      </c>
      <c r="K103" s="646">
        <f>SUM(H103:J103)</f>
        <v>840</v>
      </c>
    </row>
    <row r="104" spans="1:13" ht="15.75" hidden="1" thickBot="1" x14ac:dyDescent="0.3">
      <c r="A104" s="570"/>
      <c r="B104" s="643" t="s">
        <v>1414</v>
      </c>
      <c r="C104" s="595">
        <v>480</v>
      </c>
      <c r="D104" s="591">
        <v>1</v>
      </c>
      <c r="E104" s="592">
        <f>C104*$E$13*D104</f>
        <v>57.599999999999994</v>
      </c>
      <c r="F104" s="592"/>
      <c r="G104" s="644">
        <f>C104*D104+E104</f>
        <v>537.6</v>
      </c>
      <c r="H104" s="594">
        <f t="shared" si="22"/>
        <v>537.6</v>
      </c>
      <c r="I104" s="594">
        <f t="shared" si="22"/>
        <v>537.6</v>
      </c>
      <c r="J104" s="594">
        <f t="shared" si="22"/>
        <v>537.6</v>
      </c>
      <c r="K104" s="647">
        <f>SUM(H104:J104)</f>
        <v>1612.8000000000002</v>
      </c>
    </row>
    <row r="105" spans="1:13" ht="15.75" hidden="1" thickBot="1" x14ac:dyDescent="0.3">
      <c r="A105" s="570"/>
      <c r="B105" s="643"/>
      <c r="C105" s="595"/>
      <c r="D105" s="591"/>
      <c r="E105" s="592"/>
      <c r="F105" s="592"/>
      <c r="G105" s="649">
        <f>SUM(G101:G104)</f>
        <v>1691.1999999999998</v>
      </c>
      <c r="H105" s="594"/>
      <c r="I105" s="594"/>
      <c r="J105" s="594"/>
      <c r="K105" s="648"/>
    </row>
    <row r="106" spans="1:13" ht="15.75" hidden="1" thickBot="1" x14ac:dyDescent="0.3">
      <c r="A106" s="205"/>
      <c r="B106" s="650" t="s">
        <v>1313</v>
      </c>
      <c r="C106" s="599"/>
      <c r="D106" s="599"/>
      <c r="E106" s="600"/>
      <c r="F106" s="600"/>
      <c r="G106" s="600"/>
      <c r="H106" s="600"/>
      <c r="I106" s="601"/>
      <c r="J106" s="601"/>
      <c r="K106" s="651">
        <f>SUM(K108:K127)/2</f>
        <v>3205.44</v>
      </c>
    </row>
    <row r="107" spans="1:13" s="585" customFormat="1" ht="12" hidden="1" thickBot="1" x14ac:dyDescent="0.3">
      <c r="A107" s="205"/>
      <c r="B107" s="639"/>
      <c r="C107" s="581"/>
      <c r="D107" s="581"/>
      <c r="E107" s="583"/>
      <c r="F107" s="583"/>
      <c r="G107" s="583"/>
      <c r="H107" s="306"/>
      <c r="I107" s="306"/>
      <c r="J107" s="306"/>
      <c r="K107" s="640"/>
      <c r="M107" s="568"/>
    </row>
    <row r="108" spans="1:13" ht="15.75" hidden="1" thickBot="1" x14ac:dyDescent="0.3">
      <c r="A108" s="570"/>
      <c r="B108" s="652" t="s">
        <v>1314</v>
      </c>
      <c r="C108" s="604" t="s">
        <v>1315</v>
      </c>
      <c r="D108" s="604"/>
      <c r="E108" s="605" t="s">
        <v>1295</v>
      </c>
      <c r="F108" s="605" t="s">
        <v>1296</v>
      </c>
      <c r="G108" s="605" t="s">
        <v>1297</v>
      </c>
      <c r="H108" s="606"/>
      <c r="I108" s="606"/>
      <c r="J108" s="606"/>
      <c r="K108" s="653">
        <f>SUM(K109:K110)</f>
        <v>1176</v>
      </c>
    </row>
    <row r="109" spans="1:13" hidden="1" x14ac:dyDescent="0.25">
      <c r="A109" s="570"/>
      <c r="B109" s="643" t="s">
        <v>1415</v>
      </c>
      <c r="C109" s="595">
        <v>350</v>
      </c>
      <c r="D109" s="591">
        <v>1</v>
      </c>
      <c r="E109" s="592">
        <f>C109*$E$13*D109</f>
        <v>42</v>
      </c>
      <c r="F109" s="592"/>
      <c r="G109" s="644">
        <f>C109*D109+E109</f>
        <v>392</v>
      </c>
      <c r="H109" s="594">
        <f t="shared" ref="H109:J110" si="23">$G109</f>
        <v>392</v>
      </c>
      <c r="I109" s="594">
        <f t="shared" si="23"/>
        <v>392</v>
      </c>
      <c r="J109" s="594">
        <f t="shared" si="23"/>
        <v>392</v>
      </c>
      <c r="K109" s="645">
        <f>SUM(H109:J109)</f>
        <v>1176</v>
      </c>
    </row>
    <row r="110" spans="1:13" ht="15.75" hidden="1" thickBot="1" x14ac:dyDescent="0.3">
      <c r="A110" s="570"/>
      <c r="B110" s="643" t="s">
        <v>1318</v>
      </c>
      <c r="C110" s="595">
        <v>0</v>
      </c>
      <c r="D110" s="591">
        <v>1</v>
      </c>
      <c r="E110" s="592">
        <f>C110*$E$13*D110</f>
        <v>0</v>
      </c>
      <c r="F110" s="592"/>
      <c r="G110" s="644">
        <f>C110*D110+E110</f>
        <v>0</v>
      </c>
      <c r="H110" s="594">
        <f t="shared" si="23"/>
        <v>0</v>
      </c>
      <c r="I110" s="594">
        <f t="shared" si="23"/>
        <v>0</v>
      </c>
      <c r="J110" s="594">
        <f t="shared" si="23"/>
        <v>0</v>
      </c>
      <c r="K110" s="647">
        <f>SUM(H110:J110)</f>
        <v>0</v>
      </c>
    </row>
    <row r="111" spans="1:13" ht="15.75" hidden="1" thickBot="1" x14ac:dyDescent="0.3">
      <c r="A111" s="570"/>
      <c r="B111" s="643"/>
      <c r="C111" s="607"/>
      <c r="D111" s="608"/>
      <c r="E111" s="572"/>
      <c r="F111" s="572"/>
      <c r="G111" s="649">
        <f>SUM(G109:G110)</f>
        <v>392</v>
      </c>
      <c r="H111" s="594"/>
      <c r="I111" s="594"/>
      <c r="J111" s="594"/>
      <c r="K111" s="648"/>
    </row>
    <row r="112" spans="1:13" ht="15.75" hidden="1" thickBot="1" x14ac:dyDescent="0.3">
      <c r="A112" s="570"/>
      <c r="B112" s="652" t="s">
        <v>1416</v>
      </c>
      <c r="C112" s="604" t="s">
        <v>1328</v>
      </c>
      <c r="D112" s="604" t="s">
        <v>1329</v>
      </c>
      <c r="E112" s="605"/>
      <c r="F112" s="605"/>
      <c r="G112" s="605" t="s">
        <v>1297</v>
      </c>
      <c r="H112" s="606"/>
      <c r="I112" s="606"/>
      <c r="J112" s="606"/>
      <c r="K112" s="653">
        <f>SUM(K113:K117)</f>
        <v>756</v>
      </c>
    </row>
    <row r="113" spans="2:11" hidden="1" x14ac:dyDescent="0.25">
      <c r="B113" s="643" t="s">
        <v>1330</v>
      </c>
      <c r="C113" s="595">
        <v>50</v>
      </c>
      <c r="D113" s="591">
        <v>1</v>
      </c>
      <c r="E113" s="592">
        <f>C113*$E$13*D113</f>
        <v>6</v>
      </c>
      <c r="F113" s="592"/>
      <c r="G113" s="644">
        <f>C113*D113+E113</f>
        <v>56</v>
      </c>
      <c r="H113" s="594">
        <f t="shared" ref="H113:J117" si="24">$G113</f>
        <v>56</v>
      </c>
      <c r="I113" s="594">
        <f t="shared" si="24"/>
        <v>56</v>
      </c>
      <c r="J113" s="594">
        <f t="shared" si="24"/>
        <v>56</v>
      </c>
      <c r="K113" s="646">
        <f>SUM(H113:J113)</f>
        <v>168</v>
      </c>
    </row>
    <row r="114" spans="2:11" hidden="1" x14ac:dyDescent="0.25">
      <c r="B114" s="643" t="s">
        <v>1331</v>
      </c>
      <c r="C114" s="595">
        <v>50</v>
      </c>
      <c r="D114" s="591">
        <v>1</v>
      </c>
      <c r="E114" s="592">
        <f>C114*$E$13*D114</f>
        <v>6</v>
      </c>
      <c r="F114" s="592"/>
      <c r="G114" s="644">
        <f>C114*D114+E114</f>
        <v>56</v>
      </c>
      <c r="H114" s="594">
        <f t="shared" si="24"/>
        <v>56</v>
      </c>
      <c r="I114" s="594">
        <f t="shared" si="24"/>
        <v>56</v>
      </c>
      <c r="J114" s="594">
        <f t="shared" si="24"/>
        <v>56</v>
      </c>
      <c r="K114" s="646">
        <f>SUM(H114:J114)</f>
        <v>168</v>
      </c>
    </row>
    <row r="115" spans="2:11" hidden="1" x14ac:dyDescent="0.25">
      <c r="B115" s="643" t="s">
        <v>1332</v>
      </c>
      <c r="C115" s="595">
        <v>50</v>
      </c>
      <c r="D115" s="591">
        <v>1</v>
      </c>
      <c r="E115" s="592">
        <f>C115*$E$13*D115</f>
        <v>6</v>
      </c>
      <c r="F115" s="592"/>
      <c r="G115" s="644">
        <f>C115*D115+E115</f>
        <v>56</v>
      </c>
      <c r="H115" s="594">
        <f t="shared" si="24"/>
        <v>56</v>
      </c>
      <c r="I115" s="594">
        <f t="shared" si="24"/>
        <v>56</v>
      </c>
      <c r="J115" s="594">
        <f t="shared" si="24"/>
        <v>56</v>
      </c>
      <c r="K115" s="646">
        <f>SUM(H115:J115)</f>
        <v>168</v>
      </c>
    </row>
    <row r="116" spans="2:11" hidden="1" x14ac:dyDescent="0.25">
      <c r="B116" s="643" t="s">
        <v>1333</v>
      </c>
      <c r="C116" s="595">
        <v>50</v>
      </c>
      <c r="D116" s="591">
        <v>1</v>
      </c>
      <c r="E116" s="592">
        <f>C116*$E$13*D116</f>
        <v>6</v>
      </c>
      <c r="F116" s="592"/>
      <c r="G116" s="644">
        <f>C116*D116+E116</f>
        <v>56</v>
      </c>
      <c r="H116" s="594">
        <f t="shared" si="24"/>
        <v>56</v>
      </c>
      <c r="I116" s="594">
        <f t="shared" si="24"/>
        <v>56</v>
      </c>
      <c r="J116" s="594">
        <f t="shared" si="24"/>
        <v>56</v>
      </c>
      <c r="K116" s="646">
        <f>SUM(H116:J116)</f>
        <v>168</v>
      </c>
    </row>
    <row r="117" spans="2:11" ht="15.75" hidden="1" thickBot="1" x14ac:dyDescent="0.3">
      <c r="B117" s="643" t="s">
        <v>1334</v>
      </c>
      <c r="C117" s="595">
        <v>25</v>
      </c>
      <c r="D117" s="591">
        <v>1</v>
      </c>
      <c r="E117" s="592">
        <f>C117*$E$13*D117</f>
        <v>3</v>
      </c>
      <c r="F117" s="592"/>
      <c r="G117" s="644">
        <f>C117*D117+E117</f>
        <v>28</v>
      </c>
      <c r="H117" s="594">
        <f t="shared" si="24"/>
        <v>28</v>
      </c>
      <c r="I117" s="594">
        <f t="shared" si="24"/>
        <v>28</v>
      </c>
      <c r="J117" s="594">
        <f t="shared" si="24"/>
        <v>28</v>
      </c>
      <c r="K117" s="647">
        <f>SUM(H117:J117)</f>
        <v>84</v>
      </c>
    </row>
    <row r="118" spans="2:11" ht="15.75" hidden="1" thickBot="1" x14ac:dyDescent="0.3">
      <c r="B118" s="643"/>
      <c r="C118" s="595"/>
      <c r="D118" s="608"/>
      <c r="E118" s="572"/>
      <c r="F118" s="572"/>
      <c r="G118" s="649">
        <f>SUM(G113:G117)</f>
        <v>252</v>
      </c>
      <c r="H118" s="594"/>
      <c r="I118" s="594"/>
      <c r="J118" s="594"/>
      <c r="K118" s="640"/>
    </row>
    <row r="119" spans="2:11" ht="15.75" hidden="1" thickBot="1" x14ac:dyDescent="0.3">
      <c r="B119" s="652" t="s">
        <v>1335</v>
      </c>
      <c r="C119" s="604" t="s">
        <v>1315</v>
      </c>
      <c r="D119" s="604"/>
      <c r="E119" s="605" t="s">
        <v>1295</v>
      </c>
      <c r="F119" s="605" t="s">
        <v>1296</v>
      </c>
      <c r="G119" s="605" t="s">
        <v>1297</v>
      </c>
      <c r="H119" s="606"/>
      <c r="I119" s="606"/>
      <c r="J119" s="606"/>
      <c r="K119" s="653">
        <f>SUM(K120:K126)</f>
        <v>1273.44</v>
      </c>
    </row>
    <row r="120" spans="2:11" hidden="1" x14ac:dyDescent="0.25">
      <c r="B120" s="643" t="s">
        <v>1119</v>
      </c>
      <c r="C120" s="595">
        <v>50</v>
      </c>
      <c r="D120" s="591">
        <v>0.3</v>
      </c>
      <c r="E120" s="592">
        <f t="shared" ref="E120:E126" si="25">C120*$E$13*D120</f>
        <v>1.7999999999999998</v>
      </c>
      <c r="F120" s="592"/>
      <c r="G120" s="644">
        <f t="shared" ref="G120:G126" si="26">C120*D120+E120</f>
        <v>16.8</v>
      </c>
      <c r="H120" s="594">
        <f t="shared" ref="H120:J126" si="27">$G120</f>
        <v>16.8</v>
      </c>
      <c r="I120" s="594">
        <f t="shared" si="27"/>
        <v>16.8</v>
      </c>
      <c r="J120" s="594">
        <f t="shared" si="27"/>
        <v>16.8</v>
      </c>
      <c r="K120" s="646">
        <f t="shared" ref="K120:K126" si="28">SUM(H120:J120)</f>
        <v>50.400000000000006</v>
      </c>
    </row>
    <row r="121" spans="2:11" hidden="1" x14ac:dyDescent="0.25">
      <c r="B121" s="643" t="s">
        <v>1336</v>
      </c>
      <c r="C121" s="595">
        <v>60</v>
      </c>
      <c r="D121" s="591">
        <v>0.3</v>
      </c>
      <c r="E121" s="592">
        <f t="shared" si="25"/>
        <v>2.1599999999999997</v>
      </c>
      <c r="F121" s="592"/>
      <c r="G121" s="644">
        <f t="shared" si="26"/>
        <v>20.16</v>
      </c>
      <c r="H121" s="594">
        <f t="shared" si="27"/>
        <v>20.16</v>
      </c>
      <c r="I121" s="594">
        <f t="shared" si="27"/>
        <v>20.16</v>
      </c>
      <c r="J121" s="594">
        <f t="shared" si="27"/>
        <v>20.16</v>
      </c>
      <c r="K121" s="646">
        <f t="shared" si="28"/>
        <v>60.480000000000004</v>
      </c>
    </row>
    <row r="122" spans="2:11" hidden="1" x14ac:dyDescent="0.25">
      <c r="B122" s="643" t="s">
        <v>1337</v>
      </c>
      <c r="C122" s="595">
        <v>20</v>
      </c>
      <c r="D122" s="591">
        <v>0.3</v>
      </c>
      <c r="E122" s="592">
        <f t="shared" si="25"/>
        <v>0.72</v>
      </c>
      <c r="F122" s="592"/>
      <c r="G122" s="644">
        <f t="shared" si="26"/>
        <v>6.72</v>
      </c>
      <c r="H122" s="594">
        <f t="shared" si="27"/>
        <v>6.72</v>
      </c>
      <c r="I122" s="594">
        <f t="shared" si="27"/>
        <v>6.72</v>
      </c>
      <c r="J122" s="594">
        <f t="shared" si="27"/>
        <v>6.72</v>
      </c>
      <c r="K122" s="646">
        <f t="shared" si="28"/>
        <v>20.16</v>
      </c>
    </row>
    <row r="123" spans="2:11" hidden="1" x14ac:dyDescent="0.25">
      <c r="B123" s="643" t="s">
        <v>1338</v>
      </c>
      <c r="C123" s="595">
        <v>250</v>
      </c>
      <c r="D123" s="591">
        <v>1</v>
      </c>
      <c r="E123" s="592">
        <f t="shared" si="25"/>
        <v>30</v>
      </c>
      <c r="F123" s="592"/>
      <c r="G123" s="644">
        <f t="shared" si="26"/>
        <v>280</v>
      </c>
      <c r="H123" s="594">
        <f t="shared" si="27"/>
        <v>280</v>
      </c>
      <c r="I123" s="594">
        <f t="shared" si="27"/>
        <v>280</v>
      </c>
      <c r="J123" s="594">
        <f t="shared" si="27"/>
        <v>280</v>
      </c>
      <c r="K123" s="646">
        <f t="shared" si="28"/>
        <v>840</v>
      </c>
    </row>
    <row r="124" spans="2:11" hidden="1" x14ac:dyDescent="0.25">
      <c r="B124" s="643" t="s">
        <v>1339</v>
      </c>
      <c r="C124" s="595">
        <v>0</v>
      </c>
      <c r="D124" s="591">
        <v>0</v>
      </c>
      <c r="E124" s="592">
        <f t="shared" si="25"/>
        <v>0</v>
      </c>
      <c r="F124" s="592"/>
      <c r="G124" s="644">
        <f t="shared" si="26"/>
        <v>0</v>
      </c>
      <c r="H124" s="594">
        <f t="shared" si="27"/>
        <v>0</v>
      </c>
      <c r="I124" s="594">
        <f t="shared" si="27"/>
        <v>0</v>
      </c>
      <c r="J124" s="594">
        <f t="shared" si="27"/>
        <v>0</v>
      </c>
      <c r="K124" s="646">
        <f t="shared" si="28"/>
        <v>0</v>
      </c>
    </row>
    <row r="125" spans="2:11" hidden="1" x14ac:dyDescent="0.25">
      <c r="B125" s="643" t="s">
        <v>1340</v>
      </c>
      <c r="C125" s="595">
        <v>50</v>
      </c>
      <c r="D125" s="591">
        <v>0.6</v>
      </c>
      <c r="E125" s="592">
        <f t="shared" si="25"/>
        <v>3.5999999999999996</v>
      </c>
      <c r="F125" s="592"/>
      <c r="G125" s="644">
        <f t="shared" si="26"/>
        <v>33.6</v>
      </c>
      <c r="H125" s="594">
        <f t="shared" si="27"/>
        <v>33.6</v>
      </c>
      <c r="I125" s="594">
        <f t="shared" si="27"/>
        <v>33.6</v>
      </c>
      <c r="J125" s="594">
        <f t="shared" si="27"/>
        <v>33.6</v>
      </c>
      <c r="K125" s="646">
        <f t="shared" si="28"/>
        <v>100.80000000000001</v>
      </c>
    </row>
    <row r="126" spans="2:11" ht="15.75" hidden="1" thickBot="1" x14ac:dyDescent="0.3">
      <c r="B126" s="643" t="s">
        <v>1341</v>
      </c>
      <c r="C126" s="595">
        <v>100</v>
      </c>
      <c r="D126" s="591">
        <v>0.6</v>
      </c>
      <c r="E126" s="592">
        <f t="shared" si="25"/>
        <v>7.1999999999999993</v>
      </c>
      <c r="F126" s="592"/>
      <c r="G126" s="644">
        <f t="shared" si="26"/>
        <v>67.2</v>
      </c>
      <c r="H126" s="594">
        <f t="shared" si="27"/>
        <v>67.2</v>
      </c>
      <c r="I126" s="594">
        <f t="shared" si="27"/>
        <v>67.2</v>
      </c>
      <c r="J126" s="594">
        <f t="shared" si="27"/>
        <v>67.2</v>
      </c>
      <c r="K126" s="647">
        <f t="shared" si="28"/>
        <v>201.60000000000002</v>
      </c>
    </row>
    <row r="127" spans="2:11" ht="15.75" hidden="1" thickBot="1" x14ac:dyDescent="0.3">
      <c r="B127" s="643"/>
      <c r="C127" s="595"/>
      <c r="D127" s="608"/>
      <c r="E127" s="572"/>
      <c r="F127" s="572"/>
      <c r="G127" s="649">
        <f>SUM(G120:G126)</f>
        <v>424.48</v>
      </c>
      <c r="H127" s="594"/>
      <c r="I127" s="594"/>
      <c r="J127" s="594"/>
      <c r="K127" s="640"/>
    </row>
    <row r="128" spans="2:11" ht="15.75" hidden="1" thickBot="1" x14ac:dyDescent="0.3">
      <c r="B128" s="654" t="s">
        <v>1342</v>
      </c>
      <c r="C128" s="610"/>
      <c r="D128" s="610"/>
      <c r="E128" s="611"/>
      <c r="F128" s="611"/>
      <c r="G128" s="611" t="s">
        <v>1297</v>
      </c>
      <c r="H128" s="612"/>
      <c r="I128" s="612"/>
      <c r="J128" s="612"/>
      <c r="K128" s="655" t="e">
        <f>SUM(K130:K151)/2</f>
        <v>#REF!</v>
      </c>
    </row>
    <row r="129" spans="2:11" ht="15.75" hidden="1" thickBot="1" x14ac:dyDescent="0.3">
      <c r="B129" s="643"/>
      <c r="C129" s="595"/>
      <c r="D129" s="608"/>
      <c r="E129" s="572"/>
      <c r="F129" s="572"/>
      <c r="G129" s="572"/>
      <c r="H129" s="594"/>
      <c r="I129" s="594"/>
      <c r="J129" s="594"/>
      <c r="K129" s="656"/>
    </row>
    <row r="130" spans="2:11" ht="15.75" hidden="1" thickBot="1" x14ac:dyDescent="0.3">
      <c r="B130" s="657" t="s">
        <v>1343</v>
      </c>
      <c r="C130" s="614" t="s">
        <v>1315</v>
      </c>
      <c r="D130" s="614"/>
      <c r="E130" s="614" t="s">
        <v>1295</v>
      </c>
      <c r="F130" s="614" t="s">
        <v>1296</v>
      </c>
      <c r="G130" s="614"/>
      <c r="H130" s="614"/>
      <c r="I130" s="614"/>
      <c r="J130" s="614"/>
      <c r="K130" s="658">
        <f>SUM(K131)</f>
        <v>0</v>
      </c>
    </row>
    <row r="131" spans="2:11" ht="15.75" hidden="1" thickBot="1" x14ac:dyDescent="0.3">
      <c r="B131" s="643"/>
      <c r="C131" s="595"/>
      <c r="D131" s="608"/>
      <c r="E131" s="572"/>
      <c r="F131" s="572"/>
      <c r="G131" s="572"/>
      <c r="H131" s="594"/>
      <c r="I131" s="594"/>
      <c r="J131" s="594"/>
      <c r="K131" s="640"/>
    </row>
    <row r="132" spans="2:11" ht="15.75" hidden="1" thickBot="1" x14ac:dyDescent="0.3">
      <c r="B132" s="657" t="s">
        <v>1355</v>
      </c>
      <c r="C132" s="614" t="s">
        <v>1315</v>
      </c>
      <c r="D132" s="614"/>
      <c r="E132" s="614" t="s">
        <v>1295</v>
      </c>
      <c r="F132" s="614" t="s">
        <v>1296</v>
      </c>
      <c r="G132" s="614"/>
      <c r="H132" s="614"/>
      <c r="I132" s="614"/>
      <c r="J132" s="614"/>
      <c r="K132" s="658">
        <f>SUM(K133:K138)</f>
        <v>536.25600000000009</v>
      </c>
    </row>
    <row r="133" spans="2:11" hidden="1" x14ac:dyDescent="0.25">
      <c r="B133" s="643" t="s">
        <v>1356</v>
      </c>
      <c r="C133" s="595">
        <v>8</v>
      </c>
      <c r="D133" s="591">
        <v>0</v>
      </c>
      <c r="E133" s="592">
        <f t="shared" ref="E133:E138" si="29">C133*$E$13*D133</f>
        <v>0</v>
      </c>
      <c r="F133" s="592"/>
      <c r="G133" s="644">
        <f t="shared" ref="G133:G138" si="30">C133*D133+E133</f>
        <v>0</v>
      </c>
      <c r="H133" s="594">
        <f t="shared" ref="H133:J138" si="31">$G133</f>
        <v>0</v>
      </c>
      <c r="I133" s="594">
        <f t="shared" si="31"/>
        <v>0</v>
      </c>
      <c r="J133" s="594">
        <f t="shared" si="31"/>
        <v>0</v>
      </c>
      <c r="K133" s="646">
        <f t="shared" ref="K133:K138" si="32">SUM(H133:J133)</f>
        <v>0</v>
      </c>
    </row>
    <row r="134" spans="2:11" hidden="1" x14ac:dyDescent="0.25">
      <c r="B134" s="643" t="s">
        <v>1357</v>
      </c>
      <c r="C134" s="595">
        <v>8</v>
      </c>
      <c r="D134" s="591">
        <v>0</v>
      </c>
      <c r="E134" s="592">
        <f t="shared" si="29"/>
        <v>0</v>
      </c>
      <c r="F134" s="592"/>
      <c r="G134" s="644">
        <f t="shared" si="30"/>
        <v>0</v>
      </c>
      <c r="H134" s="594">
        <f t="shared" si="31"/>
        <v>0</v>
      </c>
      <c r="I134" s="594">
        <f t="shared" si="31"/>
        <v>0</v>
      </c>
      <c r="J134" s="594">
        <f t="shared" si="31"/>
        <v>0</v>
      </c>
      <c r="K134" s="646">
        <f t="shared" si="32"/>
        <v>0</v>
      </c>
    </row>
    <row r="135" spans="2:11" hidden="1" x14ac:dyDescent="0.25">
      <c r="B135" s="643" t="s">
        <v>1358</v>
      </c>
      <c r="C135" s="595">
        <v>0</v>
      </c>
      <c r="D135" s="591">
        <v>0</v>
      </c>
      <c r="E135" s="592">
        <f t="shared" si="29"/>
        <v>0</v>
      </c>
      <c r="F135" s="592"/>
      <c r="G135" s="644">
        <f t="shared" si="30"/>
        <v>0</v>
      </c>
      <c r="H135" s="594">
        <f t="shared" si="31"/>
        <v>0</v>
      </c>
      <c r="I135" s="594">
        <f t="shared" si="31"/>
        <v>0</v>
      </c>
      <c r="J135" s="594">
        <f t="shared" si="31"/>
        <v>0</v>
      </c>
      <c r="K135" s="646">
        <f t="shared" si="32"/>
        <v>0</v>
      </c>
    </row>
    <row r="136" spans="2:11" hidden="1" x14ac:dyDescent="0.25">
      <c r="B136" s="643" t="s">
        <v>1359</v>
      </c>
      <c r="C136" s="595">
        <v>120</v>
      </c>
      <c r="D136" s="591">
        <v>0.33</v>
      </c>
      <c r="E136" s="592">
        <f t="shared" si="29"/>
        <v>4.7519999999999998</v>
      </c>
      <c r="F136" s="592"/>
      <c r="G136" s="644">
        <f t="shared" si="30"/>
        <v>44.352000000000004</v>
      </c>
      <c r="H136" s="594">
        <f t="shared" si="31"/>
        <v>44.352000000000004</v>
      </c>
      <c r="I136" s="594">
        <f t="shared" si="31"/>
        <v>44.352000000000004</v>
      </c>
      <c r="J136" s="594">
        <f t="shared" si="31"/>
        <v>44.352000000000004</v>
      </c>
      <c r="K136" s="646">
        <f t="shared" si="32"/>
        <v>133.05600000000001</v>
      </c>
    </row>
    <row r="137" spans="2:11" hidden="1" x14ac:dyDescent="0.25">
      <c r="B137" s="643" t="s">
        <v>1360</v>
      </c>
      <c r="C137" s="595">
        <v>0</v>
      </c>
      <c r="D137" s="591">
        <v>0</v>
      </c>
      <c r="E137" s="592">
        <f t="shared" si="29"/>
        <v>0</v>
      </c>
      <c r="F137" s="592"/>
      <c r="G137" s="644">
        <f t="shared" si="30"/>
        <v>0</v>
      </c>
      <c r="H137" s="594">
        <f t="shared" si="31"/>
        <v>0</v>
      </c>
      <c r="I137" s="594">
        <f t="shared" si="31"/>
        <v>0</v>
      </c>
      <c r="J137" s="594">
        <f t="shared" si="31"/>
        <v>0</v>
      </c>
      <c r="K137" s="646">
        <f t="shared" si="32"/>
        <v>0</v>
      </c>
    </row>
    <row r="138" spans="2:11" ht="15.75" hidden="1" thickBot="1" x14ac:dyDescent="0.3">
      <c r="B138" s="643" t="s">
        <v>1361</v>
      </c>
      <c r="C138" s="595">
        <v>120</v>
      </c>
      <c r="D138" s="591">
        <v>1</v>
      </c>
      <c r="E138" s="592">
        <f t="shared" si="29"/>
        <v>14.399999999999999</v>
      </c>
      <c r="F138" s="592"/>
      <c r="G138" s="644">
        <f t="shared" si="30"/>
        <v>134.4</v>
      </c>
      <c r="H138" s="594">
        <f t="shared" si="31"/>
        <v>134.4</v>
      </c>
      <c r="I138" s="594">
        <f t="shared" si="31"/>
        <v>134.4</v>
      </c>
      <c r="J138" s="594">
        <f t="shared" si="31"/>
        <v>134.4</v>
      </c>
      <c r="K138" s="647">
        <f t="shared" si="32"/>
        <v>403.20000000000005</v>
      </c>
    </row>
    <row r="139" spans="2:11" ht="15.75" hidden="1" thickBot="1" x14ac:dyDescent="0.3">
      <c r="B139" s="643"/>
      <c r="C139" s="595"/>
      <c r="D139" s="608"/>
      <c r="E139" s="572"/>
      <c r="F139" s="572"/>
      <c r="G139" s="649">
        <f>SUM(G133:G138)</f>
        <v>178.75200000000001</v>
      </c>
      <c r="H139" s="594"/>
      <c r="I139" s="594"/>
      <c r="J139" s="594"/>
      <c r="K139" s="648"/>
    </row>
    <row r="140" spans="2:11" ht="15.75" hidden="1" thickBot="1" x14ac:dyDescent="0.3">
      <c r="B140" s="657" t="s">
        <v>1431</v>
      </c>
      <c r="C140" s="614"/>
      <c r="D140" s="614" t="s">
        <v>1363</v>
      </c>
      <c r="E140" s="614" t="s">
        <v>1364</v>
      </c>
      <c r="F140" s="614"/>
      <c r="G140" s="614" t="s">
        <v>1365</v>
      </c>
      <c r="H140" s="614" t="s">
        <v>1366</v>
      </c>
      <c r="I140" s="614"/>
      <c r="J140" s="614" t="s">
        <v>1367</v>
      </c>
      <c r="K140" s="658" t="e">
        <f>SUM(K141:K145)</f>
        <v>#REF!</v>
      </c>
    </row>
    <row r="141" spans="2:11" hidden="1" x14ac:dyDescent="0.25">
      <c r="B141" s="659" t="s">
        <v>1368</v>
      </c>
      <c r="C141" s="660"/>
      <c r="D141" s="661"/>
      <c r="E141" s="1307">
        <v>0</v>
      </c>
      <c r="F141" s="1308"/>
      <c r="G141" s="662">
        <v>3</v>
      </c>
      <c r="H141" s="1309">
        <v>0.03</v>
      </c>
      <c r="I141" s="1310"/>
      <c r="J141" s="663">
        <v>0</v>
      </c>
      <c r="K141" s="664" t="e">
        <f>#REF!</f>
        <v>#REF!</v>
      </c>
    </row>
    <row r="142" spans="2:11" hidden="1" x14ac:dyDescent="0.25">
      <c r="B142" s="665" t="s">
        <v>1372</v>
      </c>
      <c r="C142" s="666"/>
      <c r="D142" s="667">
        <v>3819.9392444999994</v>
      </c>
      <c r="E142" s="1311">
        <v>0</v>
      </c>
      <c r="F142" s="1312"/>
      <c r="G142" s="668">
        <v>0</v>
      </c>
      <c r="H142" s="1313">
        <v>0</v>
      </c>
      <c r="I142" s="1314"/>
      <c r="J142" s="663">
        <v>0</v>
      </c>
      <c r="K142" s="664" t="e">
        <f>#REF!</f>
        <v>#REF!</v>
      </c>
    </row>
    <row r="143" spans="2:11" hidden="1" x14ac:dyDescent="0.25">
      <c r="B143" s="665" t="s">
        <v>1373</v>
      </c>
      <c r="C143" s="666"/>
      <c r="D143" s="667">
        <v>1909.9696222499997</v>
      </c>
      <c r="E143" s="1311">
        <v>0</v>
      </c>
      <c r="F143" s="1312"/>
      <c r="G143" s="668"/>
      <c r="H143" s="1313"/>
      <c r="I143" s="1314"/>
      <c r="J143" s="663">
        <v>0</v>
      </c>
      <c r="K143" s="664" t="e">
        <f>#REF!</f>
        <v>#REF!</v>
      </c>
    </row>
    <row r="144" spans="2:11" hidden="1" x14ac:dyDescent="0.25">
      <c r="B144" s="665" t="s">
        <v>1374</v>
      </c>
      <c r="C144" s="666"/>
      <c r="D144" s="667">
        <v>381.99392444999995</v>
      </c>
      <c r="E144" s="1311">
        <v>0</v>
      </c>
      <c r="F144" s="1312"/>
      <c r="G144" s="668"/>
      <c r="H144" s="1313"/>
      <c r="I144" s="1314"/>
      <c r="J144" s="663">
        <v>0</v>
      </c>
      <c r="K144" s="664" t="e">
        <f>#REF!</f>
        <v>#REF!</v>
      </c>
    </row>
    <row r="145" spans="2:11" ht="15.75" hidden="1" thickBot="1" x14ac:dyDescent="0.3">
      <c r="B145" s="669" t="s">
        <v>861</v>
      </c>
      <c r="C145" s="670"/>
      <c r="D145" s="671">
        <v>381.99392444999995</v>
      </c>
      <c r="E145" s="1315">
        <v>0</v>
      </c>
      <c r="F145" s="1316"/>
      <c r="G145" s="672"/>
      <c r="H145" s="1313"/>
      <c r="I145" s="1314"/>
      <c r="J145" s="663">
        <v>0</v>
      </c>
      <c r="K145" s="647" t="e">
        <f>#REF!</f>
        <v>#REF!</v>
      </c>
    </row>
    <row r="146" spans="2:11" ht="15.75" hidden="1" thickBot="1" x14ac:dyDescent="0.3">
      <c r="B146" s="643"/>
      <c r="C146" s="595"/>
      <c r="D146" s="608"/>
      <c r="E146" s="572"/>
      <c r="F146" s="572"/>
      <c r="G146" s="572"/>
      <c r="H146" s="594"/>
      <c r="I146" s="594"/>
      <c r="J146" s="594"/>
      <c r="K146" s="648"/>
    </row>
    <row r="147" spans="2:11" ht="15.75" hidden="1" thickBot="1" x14ac:dyDescent="0.3">
      <c r="B147" s="657" t="s">
        <v>1375</v>
      </c>
      <c r="C147" s="614"/>
      <c r="D147" s="614" t="s">
        <v>1376</v>
      </c>
      <c r="E147" s="614"/>
      <c r="F147" s="614"/>
      <c r="G147" s="614"/>
      <c r="H147" s="614"/>
      <c r="I147" s="614"/>
      <c r="J147" s="614"/>
      <c r="K147" s="658">
        <f>SUM(K148:K150)</f>
        <v>0</v>
      </c>
    </row>
    <row r="148" spans="2:11" hidden="1" x14ac:dyDescent="0.25">
      <c r="B148" s="665" t="s">
        <v>1380</v>
      </c>
      <c r="C148" s="666"/>
      <c r="D148" s="673"/>
      <c r="E148" s="674">
        <v>0</v>
      </c>
      <c r="F148" s="675"/>
      <c r="G148" s="676">
        <f>E148*D148</f>
        <v>0</v>
      </c>
      <c r="H148" s="200"/>
      <c r="I148" s="200"/>
      <c r="J148" s="200"/>
      <c r="K148" s="664">
        <f>G148</f>
        <v>0</v>
      </c>
    </row>
    <row r="149" spans="2:11" hidden="1" x14ac:dyDescent="0.25">
      <c r="B149" s="665" t="s">
        <v>1381</v>
      </c>
      <c r="C149" s="666"/>
      <c r="D149" s="673"/>
      <c r="E149" s="677">
        <v>0</v>
      </c>
      <c r="F149" s="675"/>
      <c r="G149" s="676">
        <f>E149*D149</f>
        <v>0</v>
      </c>
      <c r="H149" s="200"/>
      <c r="I149" s="620"/>
      <c r="J149" s="621"/>
      <c r="K149" s="664">
        <f>G149</f>
        <v>0</v>
      </c>
    </row>
    <row r="150" spans="2:11" ht="15.75" hidden="1" thickBot="1" x14ac:dyDescent="0.3">
      <c r="B150" s="665" t="s">
        <v>1382</v>
      </c>
      <c r="C150" s="666"/>
      <c r="D150" s="673"/>
      <c r="E150" s="677">
        <v>0</v>
      </c>
      <c r="F150" s="675"/>
      <c r="G150" s="676">
        <f>E150*D150</f>
        <v>0</v>
      </c>
      <c r="H150" s="200"/>
      <c r="I150" s="622"/>
      <c r="J150" s="200"/>
      <c r="K150" s="647">
        <f>G150</f>
        <v>0</v>
      </c>
    </row>
    <row r="151" spans="2:11" hidden="1" x14ac:dyDescent="0.25">
      <c r="B151" s="643"/>
      <c r="C151" s="200"/>
      <c r="D151" s="617"/>
      <c r="E151" s="618"/>
      <c r="F151" s="619"/>
      <c r="G151" s="572"/>
      <c r="H151" s="200"/>
      <c r="I151" s="200"/>
      <c r="J151" s="200"/>
      <c r="K151" s="678"/>
    </row>
    <row r="152" spans="2:11" ht="20.25" hidden="1" customHeight="1" thickBot="1" x14ac:dyDescent="0.3">
      <c r="B152" s="679"/>
      <c r="C152" s="680"/>
      <c r="D152" s="243" t="s">
        <v>1420</v>
      </c>
      <c r="E152" s="680"/>
      <c r="F152" s="680"/>
      <c r="G152" s="680"/>
      <c r="H152" s="680"/>
      <c r="I152" s="680"/>
      <c r="J152" s="244"/>
      <c r="K152" s="245" t="e">
        <f>K91+K106+K128</f>
        <v>#REF!</v>
      </c>
    </row>
    <row r="153" spans="2:11" hidden="1" x14ac:dyDescent="0.25">
      <c r="B153" s="643"/>
      <c r="C153" s="226"/>
      <c r="D153" s="226"/>
      <c r="E153" s="200"/>
      <c r="F153" s="200"/>
      <c r="G153" s="200"/>
      <c r="H153" s="200"/>
      <c r="I153" s="200"/>
      <c r="J153" s="200"/>
      <c r="K153" s="681"/>
    </row>
    <row r="154" spans="2:11" hidden="1" x14ac:dyDescent="0.25">
      <c r="B154" s="682"/>
      <c r="C154" s="683"/>
      <c r="D154" s="683"/>
      <c r="E154" s="684"/>
      <c r="F154" s="684"/>
      <c r="G154" s="685"/>
      <c r="H154" s="684"/>
      <c r="I154" s="684"/>
      <c r="J154" s="684"/>
      <c r="K154" s="686"/>
    </row>
    <row r="155" spans="2:11" ht="23.25" hidden="1" customHeight="1" x14ac:dyDescent="0.25">
      <c r="B155" s="643"/>
      <c r="C155" s="226"/>
      <c r="D155" s="570"/>
      <c r="E155" s="200"/>
      <c r="F155" s="226" t="s">
        <v>1390</v>
      </c>
      <c r="G155" s="200"/>
      <c r="H155" s="200"/>
      <c r="I155" s="200"/>
      <c r="J155" s="200"/>
      <c r="K155" s="573"/>
    </row>
    <row r="156" spans="2:11" hidden="1" x14ac:dyDescent="0.25">
      <c r="B156" s="643"/>
      <c r="C156" s="226"/>
      <c r="D156" s="570"/>
      <c r="E156" s="200"/>
      <c r="F156" s="625" t="s">
        <v>1391</v>
      </c>
      <c r="G156" s="200"/>
      <c r="H156" s="200"/>
      <c r="I156" s="200"/>
      <c r="J156" s="200"/>
      <c r="K156" s="573"/>
    </row>
    <row r="157" spans="2:11" hidden="1" x14ac:dyDescent="0.25">
      <c r="B157" s="643"/>
      <c r="C157" s="226"/>
      <c r="D157" s="226"/>
      <c r="E157" s="200"/>
      <c r="F157" s="200"/>
      <c r="G157" s="200"/>
      <c r="H157" s="200"/>
      <c r="I157" s="200"/>
      <c r="J157" s="200"/>
      <c r="K157" s="573"/>
    </row>
    <row r="158" spans="2:11" hidden="1" x14ac:dyDescent="0.25">
      <c r="B158" s="643"/>
      <c r="C158" s="226"/>
      <c r="D158" s="226"/>
      <c r="E158" s="200"/>
      <c r="F158" s="200"/>
      <c r="G158" s="200"/>
      <c r="H158" s="200"/>
      <c r="I158" s="200"/>
      <c r="J158" s="200"/>
      <c r="K158" s="573"/>
    </row>
    <row r="159" spans="2:11" hidden="1" x14ac:dyDescent="0.25">
      <c r="B159" s="643"/>
      <c r="C159" s="226"/>
      <c r="D159" s="226"/>
      <c r="E159" s="200"/>
      <c r="F159" s="200"/>
      <c r="G159" s="200"/>
      <c r="H159" s="200"/>
      <c r="I159" s="200"/>
      <c r="J159" s="200"/>
      <c r="K159" s="573"/>
    </row>
    <row r="160" spans="2:11" hidden="1" x14ac:dyDescent="0.25">
      <c r="B160" s="643"/>
      <c r="C160" s="226"/>
      <c r="D160" s="226"/>
      <c r="E160" s="200"/>
      <c r="F160" s="200"/>
      <c r="G160" s="200"/>
      <c r="H160" s="200"/>
      <c r="I160" s="200"/>
      <c r="J160" s="200"/>
      <c r="K160" s="573"/>
    </row>
    <row r="161" spans="2:11" hidden="1" x14ac:dyDescent="0.25">
      <c r="B161" s="643"/>
      <c r="C161" s="687"/>
      <c r="D161" s="688" t="s">
        <v>168</v>
      </c>
      <c r="E161" s="689"/>
      <c r="F161" s="200"/>
      <c r="G161" s="200"/>
      <c r="H161" s="689"/>
      <c r="I161" s="688" t="s">
        <v>167</v>
      </c>
      <c r="J161" s="688"/>
      <c r="K161" s="573"/>
    </row>
    <row r="162" spans="2:11" hidden="1" x14ac:dyDescent="0.25">
      <c r="B162" s="643"/>
      <c r="C162" s="226"/>
      <c r="D162" s="226" t="s">
        <v>1392</v>
      </c>
      <c r="E162" s="200"/>
      <c r="F162" s="200"/>
      <c r="G162" s="200"/>
      <c r="H162" s="200"/>
      <c r="I162" s="226" t="s">
        <v>1393</v>
      </c>
      <c r="J162" s="200"/>
      <c r="K162" s="573"/>
    </row>
    <row r="163" spans="2:11" hidden="1" x14ac:dyDescent="0.25">
      <c r="B163" s="643"/>
      <c r="C163" s="226"/>
      <c r="D163" s="226"/>
      <c r="E163" s="200"/>
      <c r="F163" s="200"/>
      <c r="G163" s="200"/>
      <c r="H163" s="200"/>
      <c r="I163" s="200"/>
      <c r="J163" s="200"/>
      <c r="K163" s="573"/>
    </row>
    <row r="164" spans="2:11" ht="15.75" hidden="1" thickBot="1" x14ac:dyDescent="0.3">
      <c r="B164" s="690"/>
      <c r="C164" s="691" t="s">
        <v>1394</v>
      </c>
      <c r="D164" s="692" t="s">
        <v>1395</v>
      </c>
      <c r="E164" s="693"/>
      <c r="F164" s="693"/>
      <c r="G164" s="693"/>
      <c r="H164" s="694"/>
      <c r="I164" s="694"/>
      <c r="J164" s="694"/>
      <c r="K164" s="695"/>
    </row>
    <row r="165" spans="2:11" hidden="1" x14ac:dyDescent="0.25">
      <c r="B165" s="200" t="s">
        <v>1396</v>
      </c>
      <c r="C165" s="628"/>
      <c r="D165" s="628"/>
      <c r="E165" s="570"/>
      <c r="F165" s="570"/>
      <c r="G165" s="570"/>
      <c r="H165" s="570"/>
      <c r="I165" s="570"/>
      <c r="J165" s="570"/>
      <c r="K165" s="570"/>
    </row>
    <row r="166" spans="2:11" hidden="1" x14ac:dyDescent="0.25">
      <c r="B166" s="200" t="s">
        <v>1397</v>
      </c>
      <c r="C166" s="628"/>
      <c r="D166" s="628"/>
      <c r="E166" s="570"/>
      <c r="F166" s="570"/>
      <c r="G166" s="570"/>
      <c r="H166" s="570"/>
      <c r="I166" s="570"/>
      <c r="J166" s="570"/>
      <c r="K166" s="570"/>
    </row>
    <row r="167" spans="2:11" hidden="1" x14ac:dyDescent="0.25">
      <c r="B167" s="200" t="s">
        <v>1398</v>
      </c>
      <c r="C167" s="628"/>
      <c r="D167" s="628"/>
      <c r="E167" s="570"/>
      <c r="F167" s="570"/>
      <c r="G167" s="570"/>
      <c r="H167" s="570"/>
      <c r="I167" s="570"/>
      <c r="J167" s="570"/>
      <c r="K167" s="570"/>
    </row>
    <row r="168" spans="2:11" hidden="1" x14ac:dyDescent="0.25">
      <c r="B168" s="200"/>
      <c r="C168" s="628"/>
      <c r="D168" s="628"/>
      <c r="E168" s="570"/>
      <c r="F168" s="570"/>
      <c r="G168" s="570"/>
      <c r="H168" s="570"/>
      <c r="I168" s="570"/>
      <c r="J168" s="570"/>
      <c r="K168" s="570"/>
    </row>
    <row r="169" spans="2:11" hidden="1" x14ac:dyDescent="0.25">
      <c r="B169" s="200"/>
      <c r="C169" s="628"/>
      <c r="D169" s="628"/>
      <c r="E169" s="570"/>
      <c r="F169" s="570"/>
      <c r="G169" s="570"/>
      <c r="H169" s="570"/>
      <c r="I169" s="570"/>
      <c r="J169" s="570"/>
      <c r="K169" s="570"/>
    </row>
    <row r="170" spans="2:11" hidden="1" x14ac:dyDescent="0.25">
      <c r="B170" s="200"/>
      <c r="C170" s="628"/>
      <c r="D170" s="628"/>
      <c r="E170" s="570"/>
      <c r="F170" s="570"/>
      <c r="G170" s="570"/>
      <c r="H170" s="570"/>
      <c r="I170" s="570"/>
      <c r="J170" s="570"/>
      <c r="K170" s="570"/>
    </row>
    <row r="171" spans="2:11" hidden="1" x14ac:dyDescent="0.25">
      <c r="B171" s="200"/>
      <c r="C171" s="628"/>
      <c r="D171" s="628"/>
      <c r="E171" s="570"/>
      <c r="F171" s="570"/>
      <c r="G171" s="570"/>
      <c r="H171" s="570"/>
      <c r="I171" s="570"/>
      <c r="J171" s="570"/>
      <c r="K171" s="570"/>
    </row>
    <row r="172" spans="2:11" hidden="1" x14ac:dyDescent="0.25">
      <c r="B172" s="200"/>
      <c r="C172" s="628"/>
      <c r="D172" s="628"/>
      <c r="E172" s="570"/>
      <c r="F172" s="570"/>
      <c r="G172" s="570"/>
      <c r="H172" s="570"/>
      <c r="I172" s="570"/>
      <c r="J172" s="570"/>
      <c r="K172" s="570"/>
    </row>
    <row r="173" spans="2:11" hidden="1" x14ac:dyDescent="0.25">
      <c r="B173" s="200"/>
      <c r="C173" s="628"/>
      <c r="D173" s="628"/>
      <c r="E173" s="570"/>
      <c r="F173" s="570"/>
      <c r="G173" s="570"/>
      <c r="H173" s="570"/>
      <c r="I173" s="570"/>
      <c r="J173" s="570"/>
      <c r="K173" s="570"/>
    </row>
    <row r="174" spans="2:11" hidden="1" x14ac:dyDescent="0.25">
      <c r="B174" s="200"/>
      <c r="C174" s="628"/>
      <c r="D174" s="628"/>
      <c r="E174" s="570"/>
      <c r="F174" s="570"/>
      <c r="G174" s="570"/>
      <c r="H174" s="570"/>
      <c r="I174" s="570"/>
      <c r="J174" s="570"/>
      <c r="K174" s="570"/>
    </row>
    <row r="175" spans="2:11" hidden="1" x14ac:dyDescent="0.25">
      <c r="B175" s="200"/>
      <c r="C175" s="628"/>
      <c r="D175" s="628"/>
      <c r="E175" s="570"/>
      <c r="F175" s="570"/>
      <c r="G175" s="570"/>
      <c r="H175" s="570"/>
      <c r="I175" s="570"/>
      <c r="J175" s="570"/>
      <c r="K175" s="570"/>
    </row>
    <row r="176" spans="2:11" hidden="1" x14ac:dyDescent="0.25">
      <c r="B176" s="200"/>
      <c r="C176" s="628"/>
      <c r="D176" s="628"/>
      <c r="E176" s="570"/>
      <c r="F176" s="570"/>
      <c r="G176" s="570"/>
      <c r="H176" s="570"/>
      <c r="I176" s="570"/>
      <c r="J176" s="570"/>
      <c r="K176" s="570"/>
    </row>
    <row r="177" hidden="1" x14ac:dyDescent="0.25"/>
    <row r="178" hidden="1" x14ac:dyDescent="0.25"/>
    <row r="179" hidden="1" x14ac:dyDescent="0.25"/>
    <row r="180" hidden="1" x14ac:dyDescent="0.25"/>
    <row r="181" hidden="1" x14ac:dyDescent="0.25"/>
    <row r="182" hidden="1" x14ac:dyDescent="0.25"/>
  </sheetData>
  <mergeCells count="19">
    <mergeCell ref="E143:F143"/>
    <mergeCell ref="H143:I143"/>
    <mergeCell ref="E144:F144"/>
    <mergeCell ref="H144:I144"/>
    <mergeCell ref="E145:F145"/>
    <mergeCell ref="H145:I145"/>
    <mergeCell ref="H88:J88"/>
    <mergeCell ref="B89:G89"/>
    <mergeCell ref="E141:F141"/>
    <mergeCell ref="H141:I141"/>
    <mergeCell ref="E142:F142"/>
    <mergeCell ref="H142:I142"/>
    <mergeCell ref="C4:K4"/>
    <mergeCell ref="B6:D6"/>
    <mergeCell ref="B9:M9"/>
    <mergeCell ref="B10:G10"/>
    <mergeCell ref="H10:J10"/>
    <mergeCell ref="M10:M11"/>
    <mergeCell ref="B11:G1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3:AB82"/>
  <sheetViews>
    <sheetView topLeftCell="D18" zoomScale="80" zoomScaleNormal="80" workbookViewId="0">
      <selection activeCell="A33" sqref="A33:G57"/>
    </sheetView>
  </sheetViews>
  <sheetFormatPr baseColWidth="10" defaultRowHeight="11.25" x14ac:dyDescent="0.2"/>
  <cols>
    <col min="1" max="2" width="11.42578125" style="187"/>
    <col min="3" max="3" width="2.85546875" style="187" customWidth="1"/>
    <col min="4" max="4" width="29.5703125" style="185" customWidth="1"/>
    <col min="5" max="5" width="12.5703125" style="186" customWidth="1"/>
    <col min="6" max="6" width="12.28515625" style="186" customWidth="1"/>
    <col min="7" max="7" width="12.85546875" style="187" customWidth="1"/>
    <col min="8" max="8" width="6.5703125" style="187" customWidth="1"/>
    <col min="9" max="9" width="11.42578125" style="187"/>
    <col min="10" max="10" width="8.7109375" style="187" customWidth="1"/>
    <col min="11" max="11" width="10.85546875" style="187" customWidth="1"/>
    <col min="12" max="23" width="8.7109375" style="187" customWidth="1"/>
    <col min="24" max="24" width="12.85546875" style="187" bestFit="1" customWidth="1"/>
    <col min="25" max="25" width="12.85546875" style="187" hidden="1" customWidth="1"/>
    <col min="26" max="258" width="11.42578125" style="187"/>
    <col min="259" max="259" width="2.85546875" style="187" customWidth="1"/>
    <col min="260" max="260" width="29.5703125" style="187" customWidth="1"/>
    <col min="261" max="261" width="12.5703125" style="187" customWidth="1"/>
    <col min="262" max="262" width="12.28515625" style="187" customWidth="1"/>
    <col min="263" max="263" width="12.85546875" style="187" customWidth="1"/>
    <col min="264" max="264" width="6.5703125" style="187" bestFit="1" customWidth="1"/>
    <col min="265" max="265" width="11.42578125" style="187"/>
    <col min="266" max="266" width="8.7109375" style="187" customWidth="1"/>
    <col min="267" max="267" width="10.85546875" style="187" customWidth="1"/>
    <col min="268" max="279" width="8.7109375" style="187" customWidth="1"/>
    <col min="280" max="280" width="12.85546875" style="187" bestFit="1" customWidth="1"/>
    <col min="281" max="514" width="11.42578125" style="187"/>
    <col min="515" max="515" width="2.85546875" style="187" customWidth="1"/>
    <col min="516" max="516" width="29.5703125" style="187" customWidth="1"/>
    <col min="517" max="517" width="12.5703125" style="187" customWidth="1"/>
    <col min="518" max="518" width="12.28515625" style="187" customWidth="1"/>
    <col min="519" max="519" width="12.85546875" style="187" customWidth="1"/>
    <col min="520" max="520" width="6.5703125" style="187" bestFit="1" customWidth="1"/>
    <col min="521" max="521" width="11.42578125" style="187"/>
    <col min="522" max="522" width="8.7109375" style="187" customWidth="1"/>
    <col min="523" max="523" width="10.85546875" style="187" customWidth="1"/>
    <col min="524" max="535" width="8.7109375" style="187" customWidth="1"/>
    <col min="536" max="536" width="12.85546875" style="187" bestFit="1" customWidth="1"/>
    <col min="537" max="770" width="11.42578125" style="187"/>
    <col min="771" max="771" width="2.85546875" style="187" customWidth="1"/>
    <col min="772" max="772" width="29.5703125" style="187" customWidth="1"/>
    <col min="773" max="773" width="12.5703125" style="187" customWidth="1"/>
    <col min="774" max="774" width="12.28515625" style="187" customWidth="1"/>
    <col min="775" max="775" width="12.85546875" style="187" customWidth="1"/>
    <col min="776" max="776" width="6.5703125" style="187" bestFit="1" customWidth="1"/>
    <col min="777" max="777" width="11.42578125" style="187"/>
    <col min="778" max="778" width="8.7109375" style="187" customWidth="1"/>
    <col min="779" max="779" width="10.85546875" style="187" customWidth="1"/>
    <col min="780" max="791" width="8.7109375" style="187" customWidth="1"/>
    <col min="792" max="792" width="12.85546875" style="187" bestFit="1" customWidth="1"/>
    <col min="793" max="1026" width="11.42578125" style="187"/>
    <col min="1027" max="1027" width="2.85546875" style="187" customWidth="1"/>
    <col min="1028" max="1028" width="29.5703125" style="187" customWidth="1"/>
    <col min="1029" max="1029" width="12.5703125" style="187" customWidth="1"/>
    <col min="1030" max="1030" width="12.28515625" style="187" customWidth="1"/>
    <col min="1031" max="1031" width="12.85546875" style="187" customWidth="1"/>
    <col min="1032" max="1032" width="6.5703125" style="187" bestFit="1" customWidth="1"/>
    <col min="1033" max="1033" width="11.42578125" style="187"/>
    <col min="1034" max="1034" width="8.7109375" style="187" customWidth="1"/>
    <col min="1035" max="1035" width="10.85546875" style="187" customWidth="1"/>
    <col min="1036" max="1047" width="8.7109375" style="187" customWidth="1"/>
    <col min="1048" max="1048" width="12.85546875" style="187" bestFit="1" customWidth="1"/>
    <col min="1049" max="1282" width="11.42578125" style="187"/>
    <col min="1283" max="1283" width="2.85546875" style="187" customWidth="1"/>
    <col min="1284" max="1284" width="29.5703125" style="187" customWidth="1"/>
    <col min="1285" max="1285" width="12.5703125" style="187" customWidth="1"/>
    <col min="1286" max="1286" width="12.28515625" style="187" customWidth="1"/>
    <col min="1287" max="1287" width="12.85546875" style="187" customWidth="1"/>
    <col min="1288" max="1288" width="6.5703125" style="187" bestFit="1" customWidth="1"/>
    <col min="1289" max="1289" width="11.42578125" style="187"/>
    <col min="1290" max="1290" width="8.7109375" style="187" customWidth="1"/>
    <col min="1291" max="1291" width="10.85546875" style="187" customWidth="1"/>
    <col min="1292" max="1303" width="8.7109375" style="187" customWidth="1"/>
    <col min="1304" max="1304" width="12.85546875" style="187" bestFit="1" customWidth="1"/>
    <col min="1305" max="1538" width="11.42578125" style="187"/>
    <col min="1539" max="1539" width="2.85546875" style="187" customWidth="1"/>
    <col min="1540" max="1540" width="29.5703125" style="187" customWidth="1"/>
    <col min="1541" max="1541" width="12.5703125" style="187" customWidth="1"/>
    <col min="1542" max="1542" width="12.28515625" style="187" customWidth="1"/>
    <col min="1543" max="1543" width="12.85546875" style="187" customWidth="1"/>
    <col min="1544" max="1544" width="6.5703125" style="187" bestFit="1" customWidth="1"/>
    <col min="1545" max="1545" width="11.42578125" style="187"/>
    <col min="1546" max="1546" width="8.7109375" style="187" customWidth="1"/>
    <col min="1547" max="1547" width="10.85546875" style="187" customWidth="1"/>
    <col min="1548" max="1559" width="8.7109375" style="187" customWidth="1"/>
    <col min="1560" max="1560" width="12.85546875" style="187" bestFit="1" customWidth="1"/>
    <col min="1561" max="1794" width="11.42578125" style="187"/>
    <col min="1795" max="1795" width="2.85546875" style="187" customWidth="1"/>
    <col min="1796" max="1796" width="29.5703125" style="187" customWidth="1"/>
    <col min="1797" max="1797" width="12.5703125" style="187" customWidth="1"/>
    <col min="1798" max="1798" width="12.28515625" style="187" customWidth="1"/>
    <col min="1799" max="1799" width="12.85546875" style="187" customWidth="1"/>
    <col min="1800" max="1800" width="6.5703125" style="187" bestFit="1" customWidth="1"/>
    <col min="1801" max="1801" width="11.42578125" style="187"/>
    <col min="1802" max="1802" width="8.7109375" style="187" customWidth="1"/>
    <col min="1803" max="1803" width="10.85546875" style="187" customWidth="1"/>
    <col min="1804" max="1815" width="8.7109375" style="187" customWidth="1"/>
    <col min="1816" max="1816" width="12.85546875" style="187" bestFit="1" customWidth="1"/>
    <col min="1817" max="2050" width="11.42578125" style="187"/>
    <col min="2051" max="2051" width="2.85546875" style="187" customWidth="1"/>
    <col min="2052" max="2052" width="29.5703125" style="187" customWidth="1"/>
    <col min="2053" max="2053" width="12.5703125" style="187" customWidth="1"/>
    <col min="2054" max="2054" width="12.28515625" style="187" customWidth="1"/>
    <col min="2055" max="2055" width="12.85546875" style="187" customWidth="1"/>
    <col min="2056" max="2056" width="6.5703125" style="187" bestFit="1" customWidth="1"/>
    <col min="2057" max="2057" width="11.42578125" style="187"/>
    <col min="2058" max="2058" width="8.7109375" style="187" customWidth="1"/>
    <col min="2059" max="2059" width="10.85546875" style="187" customWidth="1"/>
    <col min="2060" max="2071" width="8.7109375" style="187" customWidth="1"/>
    <col min="2072" max="2072" width="12.85546875" style="187" bestFit="1" customWidth="1"/>
    <col min="2073" max="2306" width="11.42578125" style="187"/>
    <col min="2307" max="2307" width="2.85546875" style="187" customWidth="1"/>
    <col min="2308" max="2308" width="29.5703125" style="187" customWidth="1"/>
    <col min="2309" max="2309" width="12.5703125" style="187" customWidth="1"/>
    <col min="2310" max="2310" width="12.28515625" style="187" customWidth="1"/>
    <col min="2311" max="2311" width="12.85546875" style="187" customWidth="1"/>
    <col min="2312" max="2312" width="6.5703125" style="187" bestFit="1" customWidth="1"/>
    <col min="2313" max="2313" width="11.42578125" style="187"/>
    <col min="2314" max="2314" width="8.7109375" style="187" customWidth="1"/>
    <col min="2315" max="2315" width="10.85546875" style="187" customWidth="1"/>
    <col min="2316" max="2327" width="8.7109375" style="187" customWidth="1"/>
    <col min="2328" max="2328" width="12.85546875" style="187" bestFit="1" customWidth="1"/>
    <col min="2329" max="2562" width="11.42578125" style="187"/>
    <col min="2563" max="2563" width="2.85546875" style="187" customWidth="1"/>
    <col min="2564" max="2564" width="29.5703125" style="187" customWidth="1"/>
    <col min="2565" max="2565" width="12.5703125" style="187" customWidth="1"/>
    <col min="2566" max="2566" width="12.28515625" style="187" customWidth="1"/>
    <col min="2567" max="2567" width="12.85546875" style="187" customWidth="1"/>
    <col min="2568" max="2568" width="6.5703125" style="187" bestFit="1" customWidth="1"/>
    <col min="2569" max="2569" width="11.42578125" style="187"/>
    <col min="2570" max="2570" width="8.7109375" style="187" customWidth="1"/>
    <col min="2571" max="2571" width="10.85546875" style="187" customWidth="1"/>
    <col min="2572" max="2583" width="8.7109375" style="187" customWidth="1"/>
    <col min="2584" max="2584" width="12.85546875" style="187" bestFit="1" customWidth="1"/>
    <col min="2585" max="2818" width="11.42578125" style="187"/>
    <col min="2819" max="2819" width="2.85546875" style="187" customWidth="1"/>
    <col min="2820" max="2820" width="29.5703125" style="187" customWidth="1"/>
    <col min="2821" max="2821" width="12.5703125" style="187" customWidth="1"/>
    <col min="2822" max="2822" width="12.28515625" style="187" customWidth="1"/>
    <col min="2823" max="2823" width="12.85546875" style="187" customWidth="1"/>
    <col min="2824" max="2824" width="6.5703125" style="187" bestFit="1" customWidth="1"/>
    <col min="2825" max="2825" width="11.42578125" style="187"/>
    <col min="2826" max="2826" width="8.7109375" style="187" customWidth="1"/>
    <col min="2827" max="2827" width="10.85546875" style="187" customWidth="1"/>
    <col min="2828" max="2839" width="8.7109375" style="187" customWidth="1"/>
    <col min="2840" max="2840" width="12.85546875" style="187" bestFit="1" customWidth="1"/>
    <col min="2841" max="3074" width="11.42578125" style="187"/>
    <col min="3075" max="3075" width="2.85546875" style="187" customWidth="1"/>
    <col min="3076" max="3076" width="29.5703125" style="187" customWidth="1"/>
    <col min="3077" max="3077" width="12.5703125" style="187" customWidth="1"/>
    <col min="3078" max="3078" width="12.28515625" style="187" customWidth="1"/>
    <col min="3079" max="3079" width="12.85546875" style="187" customWidth="1"/>
    <col min="3080" max="3080" width="6.5703125" style="187" bestFit="1" customWidth="1"/>
    <col min="3081" max="3081" width="11.42578125" style="187"/>
    <col min="3082" max="3082" width="8.7109375" style="187" customWidth="1"/>
    <col min="3083" max="3083" width="10.85546875" style="187" customWidth="1"/>
    <col min="3084" max="3095" width="8.7109375" style="187" customWidth="1"/>
    <col min="3096" max="3096" width="12.85546875" style="187" bestFit="1" customWidth="1"/>
    <col min="3097" max="3330" width="11.42578125" style="187"/>
    <col min="3331" max="3331" width="2.85546875" style="187" customWidth="1"/>
    <col min="3332" max="3332" width="29.5703125" style="187" customWidth="1"/>
    <col min="3333" max="3333" width="12.5703125" style="187" customWidth="1"/>
    <col min="3334" max="3334" width="12.28515625" style="187" customWidth="1"/>
    <col min="3335" max="3335" width="12.85546875" style="187" customWidth="1"/>
    <col min="3336" max="3336" width="6.5703125" style="187" bestFit="1" customWidth="1"/>
    <col min="3337" max="3337" width="11.42578125" style="187"/>
    <col min="3338" max="3338" width="8.7109375" style="187" customWidth="1"/>
    <col min="3339" max="3339" width="10.85546875" style="187" customWidth="1"/>
    <col min="3340" max="3351" width="8.7109375" style="187" customWidth="1"/>
    <col min="3352" max="3352" width="12.85546875" style="187" bestFit="1" customWidth="1"/>
    <col min="3353" max="3586" width="11.42578125" style="187"/>
    <col min="3587" max="3587" width="2.85546875" style="187" customWidth="1"/>
    <col min="3588" max="3588" width="29.5703125" style="187" customWidth="1"/>
    <col min="3589" max="3589" width="12.5703125" style="187" customWidth="1"/>
    <col min="3590" max="3590" width="12.28515625" style="187" customWidth="1"/>
    <col min="3591" max="3591" width="12.85546875" style="187" customWidth="1"/>
    <col min="3592" max="3592" width="6.5703125" style="187" bestFit="1" customWidth="1"/>
    <col min="3593" max="3593" width="11.42578125" style="187"/>
    <col min="3594" max="3594" width="8.7109375" style="187" customWidth="1"/>
    <col min="3595" max="3595" width="10.85546875" style="187" customWidth="1"/>
    <col min="3596" max="3607" width="8.7109375" style="187" customWidth="1"/>
    <col min="3608" max="3608" width="12.85546875" style="187" bestFit="1" customWidth="1"/>
    <col min="3609" max="3842" width="11.42578125" style="187"/>
    <col min="3843" max="3843" width="2.85546875" style="187" customWidth="1"/>
    <col min="3844" max="3844" width="29.5703125" style="187" customWidth="1"/>
    <col min="3845" max="3845" width="12.5703125" style="187" customWidth="1"/>
    <col min="3846" max="3846" width="12.28515625" style="187" customWidth="1"/>
    <col min="3847" max="3847" width="12.85546875" style="187" customWidth="1"/>
    <col min="3848" max="3848" width="6.5703125" style="187" bestFit="1" customWidth="1"/>
    <col min="3849" max="3849" width="11.42578125" style="187"/>
    <col min="3850" max="3850" width="8.7109375" style="187" customWidth="1"/>
    <col min="3851" max="3851" width="10.85546875" style="187" customWidth="1"/>
    <col min="3852" max="3863" width="8.7109375" style="187" customWidth="1"/>
    <col min="3864" max="3864" width="12.85546875" style="187" bestFit="1" customWidth="1"/>
    <col min="3865" max="4098" width="11.42578125" style="187"/>
    <col min="4099" max="4099" width="2.85546875" style="187" customWidth="1"/>
    <col min="4100" max="4100" width="29.5703125" style="187" customWidth="1"/>
    <col min="4101" max="4101" width="12.5703125" style="187" customWidth="1"/>
    <col min="4102" max="4102" width="12.28515625" style="187" customWidth="1"/>
    <col min="4103" max="4103" width="12.85546875" style="187" customWidth="1"/>
    <col min="4104" max="4104" width="6.5703125" style="187" bestFit="1" customWidth="1"/>
    <col min="4105" max="4105" width="11.42578125" style="187"/>
    <col min="4106" max="4106" width="8.7109375" style="187" customWidth="1"/>
    <col min="4107" max="4107" width="10.85546875" style="187" customWidth="1"/>
    <col min="4108" max="4119" width="8.7109375" style="187" customWidth="1"/>
    <col min="4120" max="4120" width="12.85546875" style="187" bestFit="1" customWidth="1"/>
    <col min="4121" max="4354" width="11.42578125" style="187"/>
    <col min="4355" max="4355" width="2.85546875" style="187" customWidth="1"/>
    <col min="4356" max="4356" width="29.5703125" style="187" customWidth="1"/>
    <col min="4357" max="4357" width="12.5703125" style="187" customWidth="1"/>
    <col min="4358" max="4358" width="12.28515625" style="187" customWidth="1"/>
    <col min="4359" max="4359" width="12.85546875" style="187" customWidth="1"/>
    <col min="4360" max="4360" width="6.5703125" style="187" bestFit="1" customWidth="1"/>
    <col min="4361" max="4361" width="11.42578125" style="187"/>
    <col min="4362" max="4362" width="8.7109375" style="187" customWidth="1"/>
    <col min="4363" max="4363" width="10.85546875" style="187" customWidth="1"/>
    <col min="4364" max="4375" width="8.7109375" style="187" customWidth="1"/>
    <col min="4376" max="4376" width="12.85546875" style="187" bestFit="1" customWidth="1"/>
    <col min="4377" max="4610" width="11.42578125" style="187"/>
    <col min="4611" max="4611" width="2.85546875" style="187" customWidth="1"/>
    <col min="4612" max="4612" width="29.5703125" style="187" customWidth="1"/>
    <col min="4613" max="4613" width="12.5703125" style="187" customWidth="1"/>
    <col min="4614" max="4614" width="12.28515625" style="187" customWidth="1"/>
    <col min="4615" max="4615" width="12.85546875" style="187" customWidth="1"/>
    <col min="4616" max="4616" width="6.5703125" style="187" bestFit="1" customWidth="1"/>
    <col min="4617" max="4617" width="11.42578125" style="187"/>
    <col min="4618" max="4618" width="8.7109375" style="187" customWidth="1"/>
    <col min="4619" max="4619" width="10.85546875" style="187" customWidth="1"/>
    <col min="4620" max="4631" width="8.7109375" style="187" customWidth="1"/>
    <col min="4632" max="4632" width="12.85546875" style="187" bestFit="1" customWidth="1"/>
    <col min="4633" max="4866" width="11.42578125" style="187"/>
    <col min="4867" max="4867" width="2.85546875" style="187" customWidth="1"/>
    <col min="4868" max="4868" width="29.5703125" style="187" customWidth="1"/>
    <col min="4869" max="4869" width="12.5703125" style="187" customWidth="1"/>
    <col min="4870" max="4870" width="12.28515625" style="187" customWidth="1"/>
    <col min="4871" max="4871" width="12.85546875" style="187" customWidth="1"/>
    <col min="4872" max="4872" width="6.5703125" style="187" bestFit="1" customWidth="1"/>
    <col min="4873" max="4873" width="11.42578125" style="187"/>
    <col min="4874" max="4874" width="8.7109375" style="187" customWidth="1"/>
    <col min="4875" max="4875" width="10.85546875" style="187" customWidth="1"/>
    <col min="4876" max="4887" width="8.7109375" style="187" customWidth="1"/>
    <col min="4888" max="4888" width="12.85546875" style="187" bestFit="1" customWidth="1"/>
    <col min="4889" max="5122" width="11.42578125" style="187"/>
    <col min="5123" max="5123" width="2.85546875" style="187" customWidth="1"/>
    <col min="5124" max="5124" width="29.5703125" style="187" customWidth="1"/>
    <col min="5125" max="5125" width="12.5703125" style="187" customWidth="1"/>
    <col min="5126" max="5126" width="12.28515625" style="187" customWidth="1"/>
    <col min="5127" max="5127" width="12.85546875" style="187" customWidth="1"/>
    <col min="5128" max="5128" width="6.5703125" style="187" bestFit="1" customWidth="1"/>
    <col min="5129" max="5129" width="11.42578125" style="187"/>
    <col min="5130" max="5130" width="8.7109375" style="187" customWidth="1"/>
    <col min="5131" max="5131" width="10.85546875" style="187" customWidth="1"/>
    <col min="5132" max="5143" width="8.7109375" style="187" customWidth="1"/>
    <col min="5144" max="5144" width="12.85546875" style="187" bestFit="1" customWidth="1"/>
    <col min="5145" max="5378" width="11.42578125" style="187"/>
    <col min="5379" max="5379" width="2.85546875" style="187" customWidth="1"/>
    <col min="5380" max="5380" width="29.5703125" style="187" customWidth="1"/>
    <col min="5381" max="5381" width="12.5703125" style="187" customWidth="1"/>
    <col min="5382" max="5382" width="12.28515625" style="187" customWidth="1"/>
    <col min="5383" max="5383" width="12.85546875" style="187" customWidth="1"/>
    <col min="5384" max="5384" width="6.5703125" style="187" bestFit="1" customWidth="1"/>
    <col min="5385" max="5385" width="11.42578125" style="187"/>
    <col min="5386" max="5386" width="8.7109375" style="187" customWidth="1"/>
    <col min="5387" max="5387" width="10.85546875" style="187" customWidth="1"/>
    <col min="5388" max="5399" width="8.7109375" style="187" customWidth="1"/>
    <col min="5400" max="5400" width="12.85546875" style="187" bestFit="1" customWidth="1"/>
    <col min="5401" max="5634" width="11.42578125" style="187"/>
    <col min="5635" max="5635" width="2.85546875" style="187" customWidth="1"/>
    <col min="5636" max="5636" width="29.5703125" style="187" customWidth="1"/>
    <col min="5637" max="5637" width="12.5703125" style="187" customWidth="1"/>
    <col min="5638" max="5638" width="12.28515625" style="187" customWidth="1"/>
    <col min="5639" max="5639" width="12.85546875" style="187" customWidth="1"/>
    <col min="5640" max="5640" width="6.5703125" style="187" bestFit="1" customWidth="1"/>
    <col min="5641" max="5641" width="11.42578125" style="187"/>
    <col min="5642" max="5642" width="8.7109375" style="187" customWidth="1"/>
    <col min="5643" max="5643" width="10.85546875" style="187" customWidth="1"/>
    <col min="5644" max="5655" width="8.7109375" style="187" customWidth="1"/>
    <col min="5656" max="5656" width="12.85546875" style="187" bestFit="1" customWidth="1"/>
    <col min="5657" max="5890" width="11.42578125" style="187"/>
    <col min="5891" max="5891" width="2.85546875" style="187" customWidth="1"/>
    <col min="5892" max="5892" width="29.5703125" style="187" customWidth="1"/>
    <col min="5893" max="5893" width="12.5703125" style="187" customWidth="1"/>
    <col min="5894" max="5894" width="12.28515625" style="187" customWidth="1"/>
    <col min="5895" max="5895" width="12.85546875" style="187" customWidth="1"/>
    <col min="5896" max="5896" width="6.5703125" style="187" bestFit="1" customWidth="1"/>
    <col min="5897" max="5897" width="11.42578125" style="187"/>
    <col min="5898" max="5898" width="8.7109375" style="187" customWidth="1"/>
    <col min="5899" max="5899" width="10.85546875" style="187" customWidth="1"/>
    <col min="5900" max="5911" width="8.7109375" style="187" customWidth="1"/>
    <col min="5912" max="5912" width="12.85546875" style="187" bestFit="1" customWidth="1"/>
    <col min="5913" max="6146" width="11.42578125" style="187"/>
    <col min="6147" max="6147" width="2.85546875" style="187" customWidth="1"/>
    <col min="6148" max="6148" width="29.5703125" style="187" customWidth="1"/>
    <col min="6149" max="6149" width="12.5703125" style="187" customWidth="1"/>
    <col min="6150" max="6150" width="12.28515625" style="187" customWidth="1"/>
    <col min="6151" max="6151" width="12.85546875" style="187" customWidth="1"/>
    <col min="6152" max="6152" width="6.5703125" style="187" bestFit="1" customWidth="1"/>
    <col min="6153" max="6153" width="11.42578125" style="187"/>
    <col min="6154" max="6154" width="8.7109375" style="187" customWidth="1"/>
    <col min="6155" max="6155" width="10.85546875" style="187" customWidth="1"/>
    <col min="6156" max="6167" width="8.7109375" style="187" customWidth="1"/>
    <col min="6168" max="6168" width="12.85546875" style="187" bestFit="1" customWidth="1"/>
    <col min="6169" max="6402" width="11.42578125" style="187"/>
    <col min="6403" max="6403" width="2.85546875" style="187" customWidth="1"/>
    <col min="6404" max="6404" width="29.5703125" style="187" customWidth="1"/>
    <col min="6405" max="6405" width="12.5703125" style="187" customWidth="1"/>
    <col min="6406" max="6406" width="12.28515625" style="187" customWidth="1"/>
    <col min="6407" max="6407" width="12.85546875" style="187" customWidth="1"/>
    <col min="6408" max="6408" width="6.5703125" style="187" bestFit="1" customWidth="1"/>
    <col min="6409" max="6409" width="11.42578125" style="187"/>
    <col min="6410" max="6410" width="8.7109375" style="187" customWidth="1"/>
    <col min="6411" max="6411" width="10.85546875" style="187" customWidth="1"/>
    <col min="6412" max="6423" width="8.7109375" style="187" customWidth="1"/>
    <col min="6424" max="6424" width="12.85546875" style="187" bestFit="1" customWidth="1"/>
    <col min="6425" max="6658" width="11.42578125" style="187"/>
    <col min="6659" max="6659" width="2.85546875" style="187" customWidth="1"/>
    <col min="6660" max="6660" width="29.5703125" style="187" customWidth="1"/>
    <col min="6661" max="6661" width="12.5703125" style="187" customWidth="1"/>
    <col min="6662" max="6662" width="12.28515625" style="187" customWidth="1"/>
    <col min="6663" max="6663" width="12.85546875" style="187" customWidth="1"/>
    <col min="6664" max="6664" width="6.5703125" style="187" bestFit="1" customWidth="1"/>
    <col min="6665" max="6665" width="11.42578125" style="187"/>
    <col min="6666" max="6666" width="8.7109375" style="187" customWidth="1"/>
    <col min="6667" max="6667" width="10.85546875" style="187" customWidth="1"/>
    <col min="6668" max="6679" width="8.7109375" style="187" customWidth="1"/>
    <col min="6680" max="6680" width="12.85546875" style="187" bestFit="1" customWidth="1"/>
    <col min="6681" max="6914" width="11.42578125" style="187"/>
    <col min="6915" max="6915" width="2.85546875" style="187" customWidth="1"/>
    <col min="6916" max="6916" width="29.5703125" style="187" customWidth="1"/>
    <col min="6917" max="6917" width="12.5703125" style="187" customWidth="1"/>
    <col min="6918" max="6918" width="12.28515625" style="187" customWidth="1"/>
    <col min="6919" max="6919" width="12.85546875" style="187" customWidth="1"/>
    <col min="6920" max="6920" width="6.5703125" style="187" bestFit="1" customWidth="1"/>
    <col min="6921" max="6921" width="11.42578125" style="187"/>
    <col min="6922" max="6922" width="8.7109375" style="187" customWidth="1"/>
    <col min="6923" max="6923" width="10.85546875" style="187" customWidth="1"/>
    <col min="6924" max="6935" width="8.7109375" style="187" customWidth="1"/>
    <col min="6936" max="6936" width="12.85546875" style="187" bestFit="1" customWidth="1"/>
    <col min="6937" max="7170" width="11.42578125" style="187"/>
    <col min="7171" max="7171" width="2.85546875" style="187" customWidth="1"/>
    <col min="7172" max="7172" width="29.5703125" style="187" customWidth="1"/>
    <col min="7173" max="7173" width="12.5703125" style="187" customWidth="1"/>
    <col min="7174" max="7174" width="12.28515625" style="187" customWidth="1"/>
    <col min="7175" max="7175" width="12.85546875" style="187" customWidth="1"/>
    <col min="7176" max="7176" width="6.5703125" style="187" bestFit="1" customWidth="1"/>
    <col min="7177" max="7177" width="11.42578125" style="187"/>
    <col min="7178" max="7178" width="8.7109375" style="187" customWidth="1"/>
    <col min="7179" max="7179" width="10.85546875" style="187" customWidth="1"/>
    <col min="7180" max="7191" width="8.7109375" style="187" customWidth="1"/>
    <col min="7192" max="7192" width="12.85546875" style="187" bestFit="1" customWidth="1"/>
    <col min="7193" max="7426" width="11.42578125" style="187"/>
    <col min="7427" max="7427" width="2.85546875" style="187" customWidth="1"/>
    <col min="7428" max="7428" width="29.5703125" style="187" customWidth="1"/>
    <col min="7429" max="7429" width="12.5703125" style="187" customWidth="1"/>
    <col min="7430" max="7430" width="12.28515625" style="187" customWidth="1"/>
    <col min="7431" max="7431" width="12.85546875" style="187" customWidth="1"/>
    <col min="7432" max="7432" width="6.5703125" style="187" bestFit="1" customWidth="1"/>
    <col min="7433" max="7433" width="11.42578125" style="187"/>
    <col min="7434" max="7434" width="8.7109375" style="187" customWidth="1"/>
    <col min="7435" max="7435" width="10.85546875" style="187" customWidth="1"/>
    <col min="7436" max="7447" width="8.7109375" style="187" customWidth="1"/>
    <col min="7448" max="7448" width="12.85546875" style="187" bestFit="1" customWidth="1"/>
    <col min="7449" max="7682" width="11.42578125" style="187"/>
    <col min="7683" max="7683" width="2.85546875" style="187" customWidth="1"/>
    <col min="7684" max="7684" width="29.5703125" style="187" customWidth="1"/>
    <col min="7685" max="7685" width="12.5703125" style="187" customWidth="1"/>
    <col min="7686" max="7686" width="12.28515625" style="187" customWidth="1"/>
    <col min="7687" max="7687" width="12.85546875" style="187" customWidth="1"/>
    <col min="7688" max="7688" width="6.5703125" style="187" bestFit="1" customWidth="1"/>
    <col min="7689" max="7689" width="11.42578125" style="187"/>
    <col min="7690" max="7690" width="8.7109375" style="187" customWidth="1"/>
    <col min="7691" max="7691" width="10.85546875" style="187" customWidth="1"/>
    <col min="7692" max="7703" width="8.7109375" style="187" customWidth="1"/>
    <col min="7704" max="7704" width="12.85546875" style="187" bestFit="1" customWidth="1"/>
    <col min="7705" max="7938" width="11.42578125" style="187"/>
    <col min="7939" max="7939" width="2.85546875" style="187" customWidth="1"/>
    <col min="7940" max="7940" width="29.5703125" style="187" customWidth="1"/>
    <col min="7941" max="7941" width="12.5703125" style="187" customWidth="1"/>
    <col min="7942" max="7942" width="12.28515625" style="187" customWidth="1"/>
    <col min="7943" max="7943" width="12.85546875" style="187" customWidth="1"/>
    <col min="7944" max="7944" width="6.5703125" style="187" bestFit="1" customWidth="1"/>
    <col min="7945" max="7945" width="11.42578125" style="187"/>
    <col min="7946" max="7946" width="8.7109375" style="187" customWidth="1"/>
    <col min="7947" max="7947" width="10.85546875" style="187" customWidth="1"/>
    <col min="7948" max="7959" width="8.7109375" style="187" customWidth="1"/>
    <col min="7960" max="7960" width="12.85546875" style="187" bestFit="1" customWidth="1"/>
    <col min="7961" max="8194" width="11.42578125" style="187"/>
    <col min="8195" max="8195" width="2.85546875" style="187" customWidth="1"/>
    <col min="8196" max="8196" width="29.5703125" style="187" customWidth="1"/>
    <col min="8197" max="8197" width="12.5703125" style="187" customWidth="1"/>
    <col min="8198" max="8198" width="12.28515625" style="187" customWidth="1"/>
    <col min="8199" max="8199" width="12.85546875" style="187" customWidth="1"/>
    <col min="8200" max="8200" width="6.5703125" style="187" bestFit="1" customWidth="1"/>
    <col min="8201" max="8201" width="11.42578125" style="187"/>
    <col min="8202" max="8202" width="8.7109375" style="187" customWidth="1"/>
    <col min="8203" max="8203" width="10.85546875" style="187" customWidth="1"/>
    <col min="8204" max="8215" width="8.7109375" style="187" customWidth="1"/>
    <col min="8216" max="8216" width="12.85546875" style="187" bestFit="1" customWidth="1"/>
    <col min="8217" max="8450" width="11.42578125" style="187"/>
    <col min="8451" max="8451" width="2.85546875" style="187" customWidth="1"/>
    <col min="8452" max="8452" width="29.5703125" style="187" customWidth="1"/>
    <col min="8453" max="8453" width="12.5703125" style="187" customWidth="1"/>
    <col min="8454" max="8454" width="12.28515625" style="187" customWidth="1"/>
    <col min="8455" max="8455" width="12.85546875" style="187" customWidth="1"/>
    <col min="8456" max="8456" width="6.5703125" style="187" bestFit="1" customWidth="1"/>
    <col min="8457" max="8457" width="11.42578125" style="187"/>
    <col min="8458" max="8458" width="8.7109375" style="187" customWidth="1"/>
    <col min="8459" max="8459" width="10.85546875" style="187" customWidth="1"/>
    <col min="8460" max="8471" width="8.7109375" style="187" customWidth="1"/>
    <col min="8472" max="8472" width="12.85546875" style="187" bestFit="1" customWidth="1"/>
    <col min="8473" max="8706" width="11.42578125" style="187"/>
    <col min="8707" max="8707" width="2.85546875" style="187" customWidth="1"/>
    <col min="8708" max="8708" width="29.5703125" style="187" customWidth="1"/>
    <col min="8709" max="8709" width="12.5703125" style="187" customWidth="1"/>
    <col min="8710" max="8710" width="12.28515625" style="187" customWidth="1"/>
    <col min="8711" max="8711" width="12.85546875" style="187" customWidth="1"/>
    <col min="8712" max="8712" width="6.5703125" style="187" bestFit="1" customWidth="1"/>
    <col min="8713" max="8713" width="11.42578125" style="187"/>
    <col min="8714" max="8714" width="8.7109375" style="187" customWidth="1"/>
    <col min="8715" max="8715" width="10.85546875" style="187" customWidth="1"/>
    <col min="8716" max="8727" width="8.7109375" style="187" customWidth="1"/>
    <col min="8728" max="8728" width="12.85546875" style="187" bestFit="1" customWidth="1"/>
    <col min="8729" max="8962" width="11.42578125" style="187"/>
    <col min="8963" max="8963" width="2.85546875" style="187" customWidth="1"/>
    <col min="8964" max="8964" width="29.5703125" style="187" customWidth="1"/>
    <col min="8965" max="8965" width="12.5703125" style="187" customWidth="1"/>
    <col min="8966" max="8966" width="12.28515625" style="187" customWidth="1"/>
    <col min="8967" max="8967" width="12.85546875" style="187" customWidth="1"/>
    <col min="8968" max="8968" width="6.5703125" style="187" bestFit="1" customWidth="1"/>
    <col min="8969" max="8969" width="11.42578125" style="187"/>
    <col min="8970" max="8970" width="8.7109375" style="187" customWidth="1"/>
    <col min="8971" max="8971" width="10.85546875" style="187" customWidth="1"/>
    <col min="8972" max="8983" width="8.7109375" style="187" customWidth="1"/>
    <col min="8984" max="8984" width="12.85546875" style="187" bestFit="1" customWidth="1"/>
    <col min="8985" max="9218" width="11.42578125" style="187"/>
    <col min="9219" max="9219" width="2.85546875" style="187" customWidth="1"/>
    <col min="9220" max="9220" width="29.5703125" style="187" customWidth="1"/>
    <col min="9221" max="9221" width="12.5703125" style="187" customWidth="1"/>
    <col min="9222" max="9222" width="12.28515625" style="187" customWidth="1"/>
    <col min="9223" max="9223" width="12.85546875" style="187" customWidth="1"/>
    <col min="9224" max="9224" width="6.5703125" style="187" bestFit="1" customWidth="1"/>
    <col min="9225" max="9225" width="11.42578125" style="187"/>
    <col min="9226" max="9226" width="8.7109375" style="187" customWidth="1"/>
    <col min="9227" max="9227" width="10.85546875" style="187" customWidth="1"/>
    <col min="9228" max="9239" width="8.7109375" style="187" customWidth="1"/>
    <col min="9240" max="9240" width="12.85546875" style="187" bestFit="1" customWidth="1"/>
    <col min="9241" max="9474" width="11.42578125" style="187"/>
    <col min="9475" max="9475" width="2.85546875" style="187" customWidth="1"/>
    <col min="9476" max="9476" width="29.5703125" style="187" customWidth="1"/>
    <col min="9477" max="9477" width="12.5703125" style="187" customWidth="1"/>
    <col min="9478" max="9478" width="12.28515625" style="187" customWidth="1"/>
    <col min="9479" max="9479" width="12.85546875" style="187" customWidth="1"/>
    <col min="9480" max="9480" width="6.5703125" style="187" bestFit="1" customWidth="1"/>
    <col min="9481" max="9481" width="11.42578125" style="187"/>
    <col min="9482" max="9482" width="8.7109375" style="187" customWidth="1"/>
    <col min="9483" max="9483" width="10.85546875" style="187" customWidth="1"/>
    <col min="9484" max="9495" width="8.7109375" style="187" customWidth="1"/>
    <col min="9496" max="9496" width="12.85546875" style="187" bestFit="1" customWidth="1"/>
    <col min="9497" max="9730" width="11.42578125" style="187"/>
    <col min="9731" max="9731" width="2.85546875" style="187" customWidth="1"/>
    <col min="9732" max="9732" width="29.5703125" style="187" customWidth="1"/>
    <col min="9733" max="9733" width="12.5703125" style="187" customWidth="1"/>
    <col min="9734" max="9734" width="12.28515625" style="187" customWidth="1"/>
    <col min="9735" max="9735" width="12.85546875" style="187" customWidth="1"/>
    <col min="9736" max="9736" width="6.5703125" style="187" bestFit="1" customWidth="1"/>
    <col min="9737" max="9737" width="11.42578125" style="187"/>
    <col min="9738" max="9738" width="8.7109375" style="187" customWidth="1"/>
    <col min="9739" max="9739" width="10.85546875" style="187" customWidth="1"/>
    <col min="9740" max="9751" width="8.7109375" style="187" customWidth="1"/>
    <col min="9752" max="9752" width="12.85546875" style="187" bestFit="1" customWidth="1"/>
    <col min="9753" max="9986" width="11.42578125" style="187"/>
    <col min="9987" max="9987" width="2.85546875" style="187" customWidth="1"/>
    <col min="9988" max="9988" width="29.5703125" style="187" customWidth="1"/>
    <col min="9989" max="9989" width="12.5703125" style="187" customWidth="1"/>
    <col min="9990" max="9990" width="12.28515625" style="187" customWidth="1"/>
    <col min="9991" max="9991" width="12.85546875" style="187" customWidth="1"/>
    <col min="9992" max="9992" width="6.5703125" style="187" bestFit="1" customWidth="1"/>
    <col min="9993" max="9993" width="11.42578125" style="187"/>
    <col min="9994" max="9994" width="8.7109375" style="187" customWidth="1"/>
    <col min="9995" max="9995" width="10.85546875" style="187" customWidth="1"/>
    <col min="9996" max="10007" width="8.7109375" style="187" customWidth="1"/>
    <col min="10008" max="10008" width="12.85546875" style="187" bestFit="1" customWidth="1"/>
    <col min="10009" max="10242" width="11.42578125" style="187"/>
    <col min="10243" max="10243" width="2.85546875" style="187" customWidth="1"/>
    <col min="10244" max="10244" width="29.5703125" style="187" customWidth="1"/>
    <col min="10245" max="10245" width="12.5703125" style="187" customWidth="1"/>
    <col min="10246" max="10246" width="12.28515625" style="187" customWidth="1"/>
    <col min="10247" max="10247" width="12.85546875" style="187" customWidth="1"/>
    <col min="10248" max="10248" width="6.5703125" style="187" bestFit="1" customWidth="1"/>
    <col min="10249" max="10249" width="11.42578125" style="187"/>
    <col min="10250" max="10250" width="8.7109375" style="187" customWidth="1"/>
    <col min="10251" max="10251" width="10.85546875" style="187" customWidth="1"/>
    <col min="10252" max="10263" width="8.7109375" style="187" customWidth="1"/>
    <col min="10264" max="10264" width="12.85546875" style="187" bestFit="1" customWidth="1"/>
    <col min="10265" max="10498" width="11.42578125" style="187"/>
    <col min="10499" max="10499" width="2.85546875" style="187" customWidth="1"/>
    <col min="10500" max="10500" width="29.5703125" style="187" customWidth="1"/>
    <col min="10501" max="10501" width="12.5703125" style="187" customWidth="1"/>
    <col min="10502" max="10502" width="12.28515625" style="187" customWidth="1"/>
    <col min="10503" max="10503" width="12.85546875" style="187" customWidth="1"/>
    <col min="10504" max="10504" width="6.5703125" style="187" bestFit="1" customWidth="1"/>
    <col min="10505" max="10505" width="11.42578125" style="187"/>
    <col min="10506" max="10506" width="8.7109375" style="187" customWidth="1"/>
    <col min="10507" max="10507" width="10.85546875" style="187" customWidth="1"/>
    <col min="10508" max="10519" width="8.7109375" style="187" customWidth="1"/>
    <col min="10520" max="10520" width="12.85546875" style="187" bestFit="1" customWidth="1"/>
    <col min="10521" max="10754" width="11.42578125" style="187"/>
    <col min="10755" max="10755" width="2.85546875" style="187" customWidth="1"/>
    <col min="10756" max="10756" width="29.5703125" style="187" customWidth="1"/>
    <col min="10757" max="10757" width="12.5703125" style="187" customWidth="1"/>
    <col min="10758" max="10758" width="12.28515625" style="187" customWidth="1"/>
    <col min="10759" max="10759" width="12.85546875" style="187" customWidth="1"/>
    <col min="10760" max="10760" width="6.5703125" style="187" bestFit="1" customWidth="1"/>
    <col min="10761" max="10761" width="11.42578125" style="187"/>
    <col min="10762" max="10762" width="8.7109375" style="187" customWidth="1"/>
    <col min="10763" max="10763" width="10.85546875" style="187" customWidth="1"/>
    <col min="10764" max="10775" width="8.7109375" style="187" customWidth="1"/>
    <col min="10776" max="10776" width="12.85546875" style="187" bestFit="1" customWidth="1"/>
    <col min="10777" max="11010" width="11.42578125" style="187"/>
    <col min="11011" max="11011" width="2.85546875" style="187" customWidth="1"/>
    <col min="11012" max="11012" width="29.5703125" style="187" customWidth="1"/>
    <col min="11013" max="11013" width="12.5703125" style="187" customWidth="1"/>
    <col min="11014" max="11014" width="12.28515625" style="187" customWidth="1"/>
    <col min="11015" max="11015" width="12.85546875" style="187" customWidth="1"/>
    <col min="11016" max="11016" width="6.5703125" style="187" bestFit="1" customWidth="1"/>
    <col min="11017" max="11017" width="11.42578125" style="187"/>
    <col min="11018" max="11018" width="8.7109375" style="187" customWidth="1"/>
    <col min="11019" max="11019" width="10.85546875" style="187" customWidth="1"/>
    <col min="11020" max="11031" width="8.7109375" style="187" customWidth="1"/>
    <col min="11032" max="11032" width="12.85546875" style="187" bestFit="1" customWidth="1"/>
    <col min="11033" max="11266" width="11.42578125" style="187"/>
    <col min="11267" max="11267" width="2.85546875" style="187" customWidth="1"/>
    <col min="11268" max="11268" width="29.5703125" style="187" customWidth="1"/>
    <col min="11269" max="11269" width="12.5703125" style="187" customWidth="1"/>
    <col min="11270" max="11270" width="12.28515625" style="187" customWidth="1"/>
    <col min="11271" max="11271" width="12.85546875" style="187" customWidth="1"/>
    <col min="11272" max="11272" width="6.5703125" style="187" bestFit="1" customWidth="1"/>
    <col min="11273" max="11273" width="11.42578125" style="187"/>
    <col min="11274" max="11274" width="8.7109375" style="187" customWidth="1"/>
    <col min="11275" max="11275" width="10.85546875" style="187" customWidth="1"/>
    <col min="11276" max="11287" width="8.7109375" style="187" customWidth="1"/>
    <col min="11288" max="11288" width="12.85546875" style="187" bestFit="1" customWidth="1"/>
    <col min="11289" max="11522" width="11.42578125" style="187"/>
    <col min="11523" max="11523" width="2.85546875" style="187" customWidth="1"/>
    <col min="11524" max="11524" width="29.5703125" style="187" customWidth="1"/>
    <col min="11525" max="11525" width="12.5703125" style="187" customWidth="1"/>
    <col min="11526" max="11526" width="12.28515625" style="187" customWidth="1"/>
    <col min="11527" max="11527" width="12.85546875" style="187" customWidth="1"/>
    <col min="11528" max="11528" width="6.5703125" style="187" bestFit="1" customWidth="1"/>
    <col min="11529" max="11529" width="11.42578125" style="187"/>
    <col min="11530" max="11530" width="8.7109375" style="187" customWidth="1"/>
    <col min="11531" max="11531" width="10.85546875" style="187" customWidth="1"/>
    <col min="11532" max="11543" width="8.7109375" style="187" customWidth="1"/>
    <col min="11544" max="11544" width="12.85546875" style="187" bestFit="1" customWidth="1"/>
    <col min="11545" max="11778" width="11.42578125" style="187"/>
    <col min="11779" max="11779" width="2.85546875" style="187" customWidth="1"/>
    <col min="11780" max="11780" width="29.5703125" style="187" customWidth="1"/>
    <col min="11781" max="11781" width="12.5703125" style="187" customWidth="1"/>
    <col min="11782" max="11782" width="12.28515625" style="187" customWidth="1"/>
    <col min="11783" max="11783" width="12.85546875" style="187" customWidth="1"/>
    <col min="11784" max="11784" width="6.5703125" style="187" bestFit="1" customWidth="1"/>
    <col min="11785" max="11785" width="11.42578125" style="187"/>
    <col min="11786" max="11786" width="8.7109375" style="187" customWidth="1"/>
    <col min="11787" max="11787" width="10.85546875" style="187" customWidth="1"/>
    <col min="11788" max="11799" width="8.7109375" style="187" customWidth="1"/>
    <col min="11800" max="11800" width="12.85546875" style="187" bestFit="1" customWidth="1"/>
    <col min="11801" max="12034" width="11.42578125" style="187"/>
    <col min="12035" max="12035" width="2.85546875" style="187" customWidth="1"/>
    <col min="12036" max="12036" width="29.5703125" style="187" customWidth="1"/>
    <col min="12037" max="12037" width="12.5703125" style="187" customWidth="1"/>
    <col min="12038" max="12038" width="12.28515625" style="187" customWidth="1"/>
    <col min="12039" max="12039" width="12.85546875" style="187" customWidth="1"/>
    <col min="12040" max="12040" width="6.5703125" style="187" bestFit="1" customWidth="1"/>
    <col min="12041" max="12041" width="11.42578125" style="187"/>
    <col min="12042" max="12042" width="8.7109375" style="187" customWidth="1"/>
    <col min="12043" max="12043" width="10.85546875" style="187" customWidth="1"/>
    <col min="12044" max="12055" width="8.7109375" style="187" customWidth="1"/>
    <col min="12056" max="12056" width="12.85546875" style="187" bestFit="1" customWidth="1"/>
    <col min="12057" max="12290" width="11.42578125" style="187"/>
    <col min="12291" max="12291" width="2.85546875" style="187" customWidth="1"/>
    <col min="12292" max="12292" width="29.5703125" style="187" customWidth="1"/>
    <col min="12293" max="12293" width="12.5703125" style="187" customWidth="1"/>
    <col min="12294" max="12294" width="12.28515625" style="187" customWidth="1"/>
    <col min="12295" max="12295" width="12.85546875" style="187" customWidth="1"/>
    <col min="12296" max="12296" width="6.5703125" style="187" bestFit="1" customWidth="1"/>
    <col min="12297" max="12297" width="11.42578125" style="187"/>
    <col min="12298" max="12298" width="8.7109375" style="187" customWidth="1"/>
    <col min="12299" max="12299" width="10.85546875" style="187" customWidth="1"/>
    <col min="12300" max="12311" width="8.7109375" style="187" customWidth="1"/>
    <col min="12312" max="12312" width="12.85546875" style="187" bestFit="1" customWidth="1"/>
    <col min="12313" max="12546" width="11.42578125" style="187"/>
    <col min="12547" max="12547" width="2.85546875" style="187" customWidth="1"/>
    <col min="12548" max="12548" width="29.5703125" style="187" customWidth="1"/>
    <col min="12549" max="12549" width="12.5703125" style="187" customWidth="1"/>
    <col min="12550" max="12550" width="12.28515625" style="187" customWidth="1"/>
    <col min="12551" max="12551" width="12.85546875" style="187" customWidth="1"/>
    <col min="12552" max="12552" width="6.5703125" style="187" bestFit="1" customWidth="1"/>
    <col min="12553" max="12553" width="11.42578125" style="187"/>
    <col min="12554" max="12554" width="8.7109375" style="187" customWidth="1"/>
    <col min="12555" max="12555" width="10.85546875" style="187" customWidth="1"/>
    <col min="12556" max="12567" width="8.7109375" style="187" customWidth="1"/>
    <col min="12568" max="12568" width="12.85546875" style="187" bestFit="1" customWidth="1"/>
    <col min="12569" max="12802" width="11.42578125" style="187"/>
    <col min="12803" max="12803" width="2.85546875" style="187" customWidth="1"/>
    <col min="12804" max="12804" width="29.5703125" style="187" customWidth="1"/>
    <col min="12805" max="12805" width="12.5703125" style="187" customWidth="1"/>
    <col min="12806" max="12806" width="12.28515625" style="187" customWidth="1"/>
    <col min="12807" max="12807" width="12.85546875" style="187" customWidth="1"/>
    <col min="12808" max="12808" width="6.5703125" style="187" bestFit="1" customWidth="1"/>
    <col min="12809" max="12809" width="11.42578125" style="187"/>
    <col min="12810" max="12810" width="8.7109375" style="187" customWidth="1"/>
    <col min="12811" max="12811" width="10.85546875" style="187" customWidth="1"/>
    <col min="12812" max="12823" width="8.7109375" style="187" customWidth="1"/>
    <col min="12824" max="12824" width="12.85546875" style="187" bestFit="1" customWidth="1"/>
    <col min="12825" max="13058" width="11.42578125" style="187"/>
    <col min="13059" max="13059" width="2.85546875" style="187" customWidth="1"/>
    <col min="13060" max="13060" width="29.5703125" style="187" customWidth="1"/>
    <col min="13061" max="13061" width="12.5703125" style="187" customWidth="1"/>
    <col min="13062" max="13062" width="12.28515625" style="187" customWidth="1"/>
    <col min="13063" max="13063" width="12.85546875" style="187" customWidth="1"/>
    <col min="13064" max="13064" width="6.5703125" style="187" bestFit="1" customWidth="1"/>
    <col min="13065" max="13065" width="11.42578125" style="187"/>
    <col min="13066" max="13066" width="8.7109375" style="187" customWidth="1"/>
    <col min="13067" max="13067" width="10.85546875" style="187" customWidth="1"/>
    <col min="13068" max="13079" width="8.7109375" style="187" customWidth="1"/>
    <col min="13080" max="13080" width="12.85546875" style="187" bestFit="1" customWidth="1"/>
    <col min="13081" max="13314" width="11.42578125" style="187"/>
    <col min="13315" max="13315" width="2.85546875" style="187" customWidth="1"/>
    <col min="13316" max="13316" width="29.5703125" style="187" customWidth="1"/>
    <col min="13317" max="13317" width="12.5703125" style="187" customWidth="1"/>
    <col min="13318" max="13318" width="12.28515625" style="187" customWidth="1"/>
    <col min="13319" max="13319" width="12.85546875" style="187" customWidth="1"/>
    <col min="13320" max="13320" width="6.5703125" style="187" bestFit="1" customWidth="1"/>
    <col min="13321" max="13321" width="11.42578125" style="187"/>
    <col min="13322" max="13322" width="8.7109375" style="187" customWidth="1"/>
    <col min="13323" max="13323" width="10.85546875" style="187" customWidth="1"/>
    <col min="13324" max="13335" width="8.7109375" style="187" customWidth="1"/>
    <col min="13336" max="13336" width="12.85546875" style="187" bestFit="1" customWidth="1"/>
    <col min="13337" max="13570" width="11.42578125" style="187"/>
    <col min="13571" max="13571" width="2.85546875" style="187" customWidth="1"/>
    <col min="13572" max="13572" width="29.5703125" style="187" customWidth="1"/>
    <col min="13573" max="13573" width="12.5703125" style="187" customWidth="1"/>
    <col min="13574" max="13574" width="12.28515625" style="187" customWidth="1"/>
    <col min="13575" max="13575" width="12.85546875" style="187" customWidth="1"/>
    <col min="13576" max="13576" width="6.5703125" style="187" bestFit="1" customWidth="1"/>
    <col min="13577" max="13577" width="11.42578125" style="187"/>
    <col min="13578" max="13578" width="8.7109375" style="187" customWidth="1"/>
    <col min="13579" max="13579" width="10.85546875" style="187" customWidth="1"/>
    <col min="13580" max="13591" width="8.7109375" style="187" customWidth="1"/>
    <col min="13592" max="13592" width="12.85546875" style="187" bestFit="1" customWidth="1"/>
    <col min="13593" max="13826" width="11.42578125" style="187"/>
    <col min="13827" max="13827" width="2.85546875" style="187" customWidth="1"/>
    <col min="13828" max="13828" width="29.5703125" style="187" customWidth="1"/>
    <col min="13829" max="13829" width="12.5703125" style="187" customWidth="1"/>
    <col min="13830" max="13830" width="12.28515625" style="187" customWidth="1"/>
    <col min="13831" max="13831" width="12.85546875" style="187" customWidth="1"/>
    <col min="13832" max="13832" width="6.5703125" style="187" bestFit="1" customWidth="1"/>
    <col min="13833" max="13833" width="11.42578125" style="187"/>
    <col min="13834" max="13834" width="8.7109375" style="187" customWidth="1"/>
    <col min="13835" max="13835" width="10.85546875" style="187" customWidth="1"/>
    <col min="13836" max="13847" width="8.7109375" style="187" customWidth="1"/>
    <col min="13848" max="13848" width="12.85546875" style="187" bestFit="1" customWidth="1"/>
    <col min="13849" max="14082" width="11.42578125" style="187"/>
    <col min="14083" max="14083" width="2.85546875" style="187" customWidth="1"/>
    <col min="14084" max="14084" width="29.5703125" style="187" customWidth="1"/>
    <col min="14085" max="14085" width="12.5703125" style="187" customWidth="1"/>
    <col min="14086" max="14086" width="12.28515625" style="187" customWidth="1"/>
    <col min="14087" max="14087" width="12.85546875" style="187" customWidth="1"/>
    <col min="14088" max="14088" width="6.5703125" style="187" bestFit="1" customWidth="1"/>
    <col min="14089" max="14089" width="11.42578125" style="187"/>
    <col min="14090" max="14090" width="8.7109375" style="187" customWidth="1"/>
    <col min="14091" max="14091" width="10.85546875" style="187" customWidth="1"/>
    <col min="14092" max="14103" width="8.7109375" style="187" customWidth="1"/>
    <col min="14104" max="14104" width="12.85546875" style="187" bestFit="1" customWidth="1"/>
    <col min="14105" max="14338" width="11.42578125" style="187"/>
    <col min="14339" max="14339" width="2.85546875" style="187" customWidth="1"/>
    <col min="14340" max="14340" width="29.5703125" style="187" customWidth="1"/>
    <col min="14341" max="14341" width="12.5703125" style="187" customWidth="1"/>
    <col min="14342" max="14342" width="12.28515625" style="187" customWidth="1"/>
    <col min="14343" max="14343" width="12.85546875" style="187" customWidth="1"/>
    <col min="14344" max="14344" width="6.5703125" style="187" bestFit="1" customWidth="1"/>
    <col min="14345" max="14345" width="11.42578125" style="187"/>
    <col min="14346" max="14346" width="8.7109375" style="187" customWidth="1"/>
    <col min="14347" max="14347" width="10.85546875" style="187" customWidth="1"/>
    <col min="14348" max="14359" width="8.7109375" style="187" customWidth="1"/>
    <col min="14360" max="14360" width="12.85546875" style="187" bestFit="1" customWidth="1"/>
    <col min="14361" max="14594" width="11.42578125" style="187"/>
    <col min="14595" max="14595" width="2.85546875" style="187" customWidth="1"/>
    <col min="14596" max="14596" width="29.5703125" style="187" customWidth="1"/>
    <col min="14597" max="14597" width="12.5703125" style="187" customWidth="1"/>
    <col min="14598" max="14598" width="12.28515625" style="187" customWidth="1"/>
    <col min="14599" max="14599" width="12.85546875" style="187" customWidth="1"/>
    <col min="14600" max="14600" width="6.5703125" style="187" bestFit="1" customWidth="1"/>
    <col min="14601" max="14601" width="11.42578125" style="187"/>
    <col min="14602" max="14602" width="8.7109375" style="187" customWidth="1"/>
    <col min="14603" max="14603" width="10.85546875" style="187" customWidth="1"/>
    <col min="14604" max="14615" width="8.7109375" style="187" customWidth="1"/>
    <col min="14616" max="14616" width="12.85546875" style="187" bestFit="1" customWidth="1"/>
    <col min="14617" max="14850" width="11.42578125" style="187"/>
    <col min="14851" max="14851" width="2.85546875" style="187" customWidth="1"/>
    <col min="14852" max="14852" width="29.5703125" style="187" customWidth="1"/>
    <col min="14853" max="14853" width="12.5703125" style="187" customWidth="1"/>
    <col min="14854" max="14854" width="12.28515625" style="187" customWidth="1"/>
    <col min="14855" max="14855" width="12.85546875" style="187" customWidth="1"/>
    <col min="14856" max="14856" width="6.5703125" style="187" bestFit="1" customWidth="1"/>
    <col min="14857" max="14857" width="11.42578125" style="187"/>
    <col min="14858" max="14858" width="8.7109375" style="187" customWidth="1"/>
    <col min="14859" max="14859" width="10.85546875" style="187" customWidth="1"/>
    <col min="14860" max="14871" width="8.7109375" style="187" customWidth="1"/>
    <col min="14872" max="14872" width="12.85546875" style="187" bestFit="1" customWidth="1"/>
    <col min="14873" max="15106" width="11.42578125" style="187"/>
    <col min="15107" max="15107" width="2.85546875" style="187" customWidth="1"/>
    <col min="15108" max="15108" width="29.5703125" style="187" customWidth="1"/>
    <col min="15109" max="15109" width="12.5703125" style="187" customWidth="1"/>
    <col min="15110" max="15110" width="12.28515625" style="187" customWidth="1"/>
    <col min="15111" max="15111" width="12.85546875" style="187" customWidth="1"/>
    <col min="15112" max="15112" width="6.5703125" style="187" bestFit="1" customWidth="1"/>
    <col min="15113" max="15113" width="11.42578125" style="187"/>
    <col min="15114" max="15114" width="8.7109375" style="187" customWidth="1"/>
    <col min="15115" max="15115" width="10.85546875" style="187" customWidth="1"/>
    <col min="15116" max="15127" width="8.7109375" style="187" customWidth="1"/>
    <col min="15128" max="15128" width="12.85546875" style="187" bestFit="1" customWidth="1"/>
    <col min="15129" max="15362" width="11.42578125" style="187"/>
    <col min="15363" max="15363" width="2.85546875" style="187" customWidth="1"/>
    <col min="15364" max="15364" width="29.5703125" style="187" customWidth="1"/>
    <col min="15365" max="15365" width="12.5703125" style="187" customWidth="1"/>
    <col min="15366" max="15366" width="12.28515625" style="187" customWidth="1"/>
    <col min="15367" max="15367" width="12.85546875" style="187" customWidth="1"/>
    <col min="15368" max="15368" width="6.5703125" style="187" bestFit="1" customWidth="1"/>
    <col min="15369" max="15369" width="11.42578125" style="187"/>
    <col min="15370" max="15370" width="8.7109375" style="187" customWidth="1"/>
    <col min="15371" max="15371" width="10.85546875" style="187" customWidth="1"/>
    <col min="15372" max="15383" width="8.7109375" style="187" customWidth="1"/>
    <col min="15384" max="15384" width="12.85546875" style="187" bestFit="1" customWidth="1"/>
    <col min="15385" max="15618" width="11.42578125" style="187"/>
    <col min="15619" max="15619" width="2.85546875" style="187" customWidth="1"/>
    <col min="15620" max="15620" width="29.5703125" style="187" customWidth="1"/>
    <col min="15621" max="15621" width="12.5703125" style="187" customWidth="1"/>
    <col min="15622" max="15622" width="12.28515625" style="187" customWidth="1"/>
    <col min="15623" max="15623" width="12.85546875" style="187" customWidth="1"/>
    <col min="15624" max="15624" width="6.5703125" style="187" bestFit="1" customWidth="1"/>
    <col min="15625" max="15625" width="11.42578125" style="187"/>
    <col min="15626" max="15626" width="8.7109375" style="187" customWidth="1"/>
    <col min="15627" max="15627" width="10.85546875" style="187" customWidth="1"/>
    <col min="15628" max="15639" width="8.7109375" style="187" customWidth="1"/>
    <col min="15640" max="15640" width="12.85546875" style="187" bestFit="1" customWidth="1"/>
    <col min="15641" max="15874" width="11.42578125" style="187"/>
    <col min="15875" max="15875" width="2.85546875" style="187" customWidth="1"/>
    <col min="15876" max="15876" width="29.5703125" style="187" customWidth="1"/>
    <col min="15877" max="15877" width="12.5703125" style="187" customWidth="1"/>
    <col min="15878" max="15878" width="12.28515625" style="187" customWidth="1"/>
    <col min="15879" max="15879" width="12.85546875" style="187" customWidth="1"/>
    <col min="15880" max="15880" width="6.5703125" style="187" bestFit="1" customWidth="1"/>
    <col min="15881" max="15881" width="11.42578125" style="187"/>
    <col min="15882" max="15882" width="8.7109375" style="187" customWidth="1"/>
    <col min="15883" max="15883" width="10.85546875" style="187" customWidth="1"/>
    <col min="15884" max="15895" width="8.7109375" style="187" customWidth="1"/>
    <col min="15896" max="15896" width="12.85546875" style="187" bestFit="1" customWidth="1"/>
    <col min="15897" max="16130" width="11.42578125" style="187"/>
    <col min="16131" max="16131" width="2.85546875" style="187" customWidth="1"/>
    <col min="16132" max="16132" width="29.5703125" style="187" customWidth="1"/>
    <col min="16133" max="16133" width="12.5703125" style="187" customWidth="1"/>
    <col min="16134" max="16134" width="12.28515625" style="187" customWidth="1"/>
    <col min="16135" max="16135" width="12.85546875" style="187" customWidth="1"/>
    <col min="16136" max="16136" width="6.5703125" style="187" bestFit="1" customWidth="1"/>
    <col min="16137" max="16137" width="11.42578125" style="187"/>
    <col min="16138" max="16138" width="8.7109375" style="187" customWidth="1"/>
    <col min="16139" max="16139" width="10.85546875" style="187" customWidth="1"/>
    <col min="16140" max="16151" width="8.7109375" style="187" customWidth="1"/>
    <col min="16152" max="16152" width="12.85546875" style="187" bestFit="1" customWidth="1"/>
    <col min="16153" max="16384" width="11.42578125" style="187"/>
  </cols>
  <sheetData>
    <row r="3" spans="3:26" x14ac:dyDescent="0.2">
      <c r="D3" s="1323" t="s">
        <v>1435</v>
      </c>
      <c r="E3" s="1324"/>
      <c r="F3" s="1324"/>
      <c r="G3" s="1324"/>
      <c r="H3" s="1324"/>
      <c r="I3" s="1324"/>
      <c r="J3" s="1324"/>
      <c r="K3" s="1324"/>
      <c r="L3" s="1324"/>
      <c r="M3" s="1324"/>
      <c r="N3" s="1324"/>
      <c r="O3" s="1324"/>
      <c r="P3" s="1324"/>
      <c r="Q3" s="1324"/>
      <c r="R3" s="1324"/>
      <c r="S3" s="1324"/>
      <c r="T3" s="1324"/>
      <c r="U3" s="1324"/>
      <c r="V3" s="1324"/>
      <c r="W3" s="1324"/>
      <c r="X3" s="1324"/>
      <c r="Y3" s="1324"/>
      <c r="Z3" s="1325"/>
    </row>
    <row r="4" spans="3:26" ht="80.25" hidden="1" customHeight="1" thickTop="1" thickBot="1" x14ac:dyDescent="0.25">
      <c r="D4" s="323"/>
      <c r="E4" s="1317" t="s">
        <v>1378</v>
      </c>
      <c r="F4" s="1318"/>
      <c r="G4" s="1318"/>
      <c r="H4" s="1318"/>
      <c r="I4" s="1318"/>
      <c r="J4" s="1318"/>
      <c r="K4" s="1318"/>
      <c r="L4" s="1318"/>
      <c r="M4" s="1318"/>
      <c r="N4" s="1318"/>
      <c r="O4" s="1318"/>
      <c r="P4" s="1318"/>
      <c r="Q4" s="1318"/>
      <c r="R4" s="1318"/>
      <c r="S4" s="1318"/>
      <c r="T4" s="1318"/>
      <c r="U4" s="1318"/>
      <c r="V4" s="1318"/>
      <c r="W4" s="1318"/>
      <c r="X4" s="1319"/>
      <c r="Y4" s="305"/>
    </row>
    <row r="5" spans="3:26" hidden="1" x14ac:dyDescent="0.2">
      <c r="D5" s="188"/>
      <c r="E5" s="189"/>
      <c r="F5" s="189"/>
      <c r="G5" s="190"/>
      <c r="H5" s="190"/>
      <c r="I5" s="190"/>
      <c r="J5" s="190"/>
      <c r="K5" s="190"/>
      <c r="L5" s="190"/>
      <c r="M5" s="190"/>
      <c r="N5" s="190"/>
      <c r="O5" s="190"/>
      <c r="P5" s="190"/>
      <c r="Q5" s="190"/>
      <c r="R5" s="190"/>
      <c r="S5" s="190"/>
      <c r="T5" s="190"/>
      <c r="U5" s="190"/>
      <c r="V5" s="190"/>
      <c r="W5" s="190"/>
      <c r="X5" s="191"/>
      <c r="Y5" s="306"/>
    </row>
    <row r="6" spans="3:26" hidden="1" x14ac:dyDescent="0.2">
      <c r="D6" s="1298"/>
      <c r="E6" s="1299"/>
      <c r="F6" s="1299"/>
      <c r="G6" s="196"/>
      <c r="H6" s="196"/>
      <c r="I6" s="197"/>
      <c r="J6" s="185"/>
      <c r="K6" s="185"/>
      <c r="L6" s="185"/>
      <c r="M6" s="185"/>
      <c r="N6" s="185"/>
      <c r="O6" s="185"/>
      <c r="P6" s="185"/>
      <c r="Q6" s="185"/>
      <c r="R6" s="185"/>
      <c r="S6" s="185"/>
      <c r="T6" s="185"/>
      <c r="U6" s="185"/>
      <c r="V6" s="185"/>
      <c r="W6" s="185"/>
      <c r="X6" s="198"/>
      <c r="Y6" s="185"/>
    </row>
    <row r="7" spans="3:26" hidden="1" x14ac:dyDescent="0.2">
      <c r="D7" s="192" t="s">
        <v>1400</v>
      </c>
      <c r="E7" s="267" t="s">
        <v>1273</v>
      </c>
      <c r="F7" s="226"/>
      <c r="G7" s="200"/>
      <c r="H7" s="200"/>
      <c r="I7" s="197"/>
      <c r="J7" s="185"/>
      <c r="K7" s="185"/>
      <c r="L7" s="185"/>
      <c r="M7" s="185"/>
      <c r="N7" s="185"/>
      <c r="O7" s="185"/>
      <c r="P7" s="185"/>
      <c r="Q7" s="185"/>
      <c r="R7" s="185"/>
      <c r="S7" s="185"/>
      <c r="T7" s="185"/>
      <c r="U7" s="185"/>
      <c r="V7" s="185"/>
      <c r="W7" s="185"/>
      <c r="X7" s="198"/>
      <c r="Y7" s="185"/>
    </row>
    <row r="8" spans="3:26" hidden="1" x14ac:dyDescent="0.2">
      <c r="D8" s="192" t="s">
        <v>1274</v>
      </c>
      <c r="E8" s="205" t="s">
        <v>1401</v>
      </c>
      <c r="F8" s="201"/>
      <c r="G8" s="202"/>
      <c r="H8" s="202"/>
      <c r="I8" s="203"/>
      <c r="J8" s="185"/>
      <c r="K8" s="185"/>
      <c r="L8" s="185"/>
      <c r="M8" s="185"/>
      <c r="N8" s="185"/>
      <c r="O8" s="185"/>
      <c r="P8" s="185"/>
      <c r="Q8" s="185"/>
      <c r="R8" s="185"/>
      <c r="S8" s="185"/>
      <c r="T8" s="185"/>
      <c r="U8" s="185"/>
      <c r="V8" s="185"/>
      <c r="W8" s="185"/>
      <c r="X8" s="198"/>
      <c r="Y8" s="185"/>
    </row>
    <row r="9" spans="3:26" hidden="1" x14ac:dyDescent="0.2">
      <c r="D9" s="192" t="s">
        <v>1402</v>
      </c>
      <c r="E9" s="268">
        <f>X11/12</f>
        <v>6697.25</v>
      </c>
      <c r="F9" s="226"/>
      <c r="G9" s="200"/>
      <c r="H9" s="200"/>
      <c r="I9" s="197"/>
      <c r="J9" s="185"/>
      <c r="K9" s="185"/>
      <c r="L9" s="185"/>
      <c r="M9" s="185"/>
      <c r="N9" s="185"/>
      <c r="O9" s="185"/>
      <c r="P9" s="185"/>
      <c r="Q9" s="185"/>
      <c r="R9" s="185"/>
      <c r="S9" s="185"/>
      <c r="T9" s="185"/>
      <c r="U9" s="185"/>
      <c r="V9" s="185"/>
      <c r="W9" s="185"/>
      <c r="X9" s="198"/>
      <c r="Y9" s="185"/>
    </row>
    <row r="10" spans="3:26" ht="13.5" hidden="1" customHeight="1" thickBot="1" x14ac:dyDescent="0.25">
      <c r="D10" s="192"/>
      <c r="E10" s="225"/>
      <c r="F10" s="226"/>
      <c r="G10" s="200"/>
      <c r="H10" s="200"/>
      <c r="I10" s="197"/>
      <c r="J10" s="1320" t="s">
        <v>1403</v>
      </c>
      <c r="K10" s="1321"/>
      <c r="L10" s="1321"/>
      <c r="M10" s="1321"/>
      <c r="N10" s="1321"/>
      <c r="O10" s="1321"/>
      <c r="P10" s="1321"/>
      <c r="Q10" s="1321"/>
      <c r="R10" s="1321"/>
      <c r="S10" s="1321"/>
      <c r="T10" s="301"/>
      <c r="U10" s="301"/>
      <c r="V10" s="301"/>
      <c r="W10" s="301"/>
      <c r="X10" s="302" t="s">
        <v>1290</v>
      </c>
      <c r="Y10" s="307"/>
    </row>
    <row r="11" spans="3:26" ht="19.5" customHeight="1" x14ac:dyDescent="0.25">
      <c r="D11" s="1322" t="s">
        <v>1291</v>
      </c>
      <c r="E11" s="1322"/>
      <c r="F11" s="1322"/>
      <c r="G11" s="1322"/>
      <c r="H11" s="1322"/>
      <c r="I11" s="1322"/>
      <c r="J11" s="293">
        <v>1</v>
      </c>
      <c r="K11" s="293">
        <v>2</v>
      </c>
      <c r="L11" s="293">
        <v>3</v>
      </c>
      <c r="M11" s="293">
        <v>4</v>
      </c>
      <c r="N11" s="293">
        <v>5</v>
      </c>
      <c r="O11" s="293">
        <v>6</v>
      </c>
      <c r="P11" s="293">
        <v>7</v>
      </c>
      <c r="Q11" s="293">
        <v>8</v>
      </c>
      <c r="R11" s="293">
        <v>9</v>
      </c>
      <c r="S11" s="293">
        <v>10</v>
      </c>
      <c r="T11" s="293">
        <v>11</v>
      </c>
      <c r="U11" s="293">
        <v>12</v>
      </c>
      <c r="V11" s="293">
        <v>13</v>
      </c>
      <c r="W11" s="293">
        <v>14</v>
      </c>
      <c r="X11" s="303">
        <f>X13+X26+X48</f>
        <v>80367</v>
      </c>
      <c r="Y11" s="303"/>
      <c r="Z11" s="185" t="s">
        <v>1634</v>
      </c>
    </row>
    <row r="12" spans="3:26" s="227" customFormat="1" ht="12.75" hidden="1" x14ac:dyDescent="0.2">
      <c r="D12" s="300"/>
      <c r="E12" s="299"/>
      <c r="F12" s="299"/>
      <c r="G12" s="300"/>
      <c r="H12" s="300"/>
      <c r="I12" s="300"/>
      <c r="J12" s="300"/>
      <c r="K12" s="300"/>
      <c r="L12" s="300"/>
      <c r="M12" s="300"/>
      <c r="N12" s="300"/>
      <c r="O12" s="300"/>
      <c r="P12" s="300"/>
      <c r="Q12" s="300"/>
      <c r="R12" s="300"/>
      <c r="S12" s="300"/>
      <c r="T12" s="300"/>
      <c r="U12" s="300"/>
      <c r="V12" s="300"/>
      <c r="W12" s="300"/>
      <c r="X12" s="300"/>
      <c r="Y12" s="300"/>
      <c r="Z12" s="230"/>
    </row>
    <row r="13" spans="3:26" x14ac:dyDescent="0.2">
      <c r="C13" s="232"/>
      <c r="D13" s="308" t="s">
        <v>1292</v>
      </c>
      <c r="E13" s="309"/>
      <c r="F13" s="309"/>
      <c r="G13" s="309"/>
      <c r="H13" s="309"/>
      <c r="I13" s="309"/>
      <c r="J13" s="309"/>
      <c r="K13" s="310"/>
      <c r="L13" s="310"/>
      <c r="M13" s="310"/>
      <c r="N13" s="310"/>
      <c r="O13" s="310"/>
      <c r="P13" s="310"/>
      <c r="Q13" s="310"/>
      <c r="R13" s="310"/>
      <c r="S13" s="310"/>
      <c r="T13" s="310"/>
      <c r="U13" s="310"/>
      <c r="V13" s="310"/>
      <c r="W13" s="309" t="s">
        <v>1404</v>
      </c>
      <c r="X13" s="326">
        <f>SUM(X15:X25)/2</f>
        <v>67060</v>
      </c>
      <c r="Y13" s="311">
        <v>67060</v>
      </c>
      <c r="Z13" s="559">
        <f t="shared" ref="Z13:Z44" si="0">+Y13/$Y$62</f>
        <v>0.83442208866823453</v>
      </c>
    </row>
    <row r="14" spans="3:26" s="236" customFormat="1" hidden="1" x14ac:dyDescent="0.2">
      <c r="C14" s="232"/>
      <c r="D14" s="232"/>
      <c r="E14" s="233"/>
      <c r="F14" s="233"/>
      <c r="G14" s="234">
        <v>0</v>
      </c>
      <c r="H14" s="220"/>
      <c r="I14" s="220"/>
      <c r="J14" s="235"/>
      <c r="K14" s="235"/>
      <c r="L14" s="235"/>
      <c r="M14" s="235"/>
      <c r="N14" s="235"/>
      <c r="O14" s="235"/>
      <c r="P14" s="235"/>
      <c r="Q14" s="235"/>
      <c r="R14" s="235"/>
      <c r="S14" s="235"/>
      <c r="T14" s="235"/>
      <c r="U14" s="235"/>
      <c r="V14" s="235"/>
      <c r="W14" s="235"/>
      <c r="X14" s="328"/>
      <c r="Y14" s="294"/>
      <c r="Z14" s="560">
        <f t="shared" si="0"/>
        <v>0</v>
      </c>
    </row>
    <row r="15" spans="3:26" x14ac:dyDescent="0.2">
      <c r="D15" s="232" t="s">
        <v>1405</v>
      </c>
      <c r="E15" s="287" t="s">
        <v>1293</v>
      </c>
      <c r="F15" s="287" t="s">
        <v>1294</v>
      </c>
      <c r="G15" s="235" t="s">
        <v>1295</v>
      </c>
      <c r="H15" s="235" t="s">
        <v>1296</v>
      </c>
      <c r="I15" s="235" t="s">
        <v>1297</v>
      </c>
      <c r="J15" s="235"/>
      <c r="K15" s="235"/>
      <c r="L15" s="235"/>
      <c r="M15" s="235"/>
      <c r="N15" s="235"/>
      <c r="O15" s="235"/>
      <c r="P15" s="235"/>
      <c r="Q15" s="235"/>
      <c r="R15" s="235"/>
      <c r="S15" s="235"/>
      <c r="T15" s="235"/>
      <c r="U15" s="235"/>
      <c r="V15" s="235"/>
      <c r="W15" s="287" t="s">
        <v>1406</v>
      </c>
      <c r="X15" s="328">
        <f>SUM(X16:X18)</f>
        <v>47040</v>
      </c>
      <c r="Y15" s="295">
        <v>47040</v>
      </c>
      <c r="Z15" s="560">
        <f t="shared" si="0"/>
        <v>0.58531486804285338</v>
      </c>
    </row>
    <row r="16" spans="3:26" x14ac:dyDescent="0.2">
      <c r="D16" s="220" t="s">
        <v>1392</v>
      </c>
      <c r="E16" s="278">
        <v>2000</v>
      </c>
      <c r="F16" s="288">
        <v>1</v>
      </c>
      <c r="G16" s="289">
        <f>E16*$G$14*F16</f>
        <v>0</v>
      </c>
      <c r="H16" s="289"/>
      <c r="I16" s="325">
        <f>E16*F16+G16</f>
        <v>2000</v>
      </c>
      <c r="J16" s="290">
        <f t="shared" ref="J16:W18" si="1">$I16</f>
        <v>2000</v>
      </c>
      <c r="K16" s="290">
        <f t="shared" si="1"/>
        <v>2000</v>
      </c>
      <c r="L16" s="290">
        <f t="shared" si="1"/>
        <v>2000</v>
      </c>
      <c r="M16" s="290">
        <f t="shared" si="1"/>
        <v>2000</v>
      </c>
      <c r="N16" s="290">
        <f t="shared" si="1"/>
        <v>2000</v>
      </c>
      <c r="O16" s="290">
        <f t="shared" si="1"/>
        <v>2000</v>
      </c>
      <c r="P16" s="290">
        <f t="shared" si="1"/>
        <v>2000</v>
      </c>
      <c r="Q16" s="290">
        <f t="shared" si="1"/>
        <v>2000</v>
      </c>
      <c r="R16" s="290">
        <f t="shared" si="1"/>
        <v>2000</v>
      </c>
      <c r="S16" s="290">
        <f t="shared" si="1"/>
        <v>2000</v>
      </c>
      <c r="T16" s="290">
        <f t="shared" si="1"/>
        <v>2000</v>
      </c>
      <c r="U16" s="290">
        <f t="shared" si="1"/>
        <v>2000</v>
      </c>
      <c r="V16" s="290">
        <f t="shared" si="1"/>
        <v>2000</v>
      </c>
      <c r="W16" s="290">
        <f t="shared" si="1"/>
        <v>2000</v>
      </c>
      <c r="X16" s="328">
        <f>SUM(J16:W16)</f>
        <v>28000</v>
      </c>
      <c r="Y16" s="294">
        <v>28000</v>
      </c>
      <c r="Z16" s="560">
        <f t="shared" si="0"/>
        <v>0.3484017071683651</v>
      </c>
    </row>
    <row r="17" spans="3:28" x14ac:dyDescent="0.2">
      <c r="D17" s="220" t="s">
        <v>1408</v>
      </c>
      <c r="E17" s="278">
        <v>800</v>
      </c>
      <c r="F17" s="288">
        <v>0.2</v>
      </c>
      <c r="G17" s="289">
        <f>E17*$G$14*F17</f>
        <v>0</v>
      </c>
      <c r="H17" s="289"/>
      <c r="I17" s="325">
        <f>E17*F17+G17</f>
        <v>160</v>
      </c>
      <c r="J17" s="290">
        <f t="shared" si="1"/>
        <v>160</v>
      </c>
      <c r="K17" s="290">
        <f t="shared" si="1"/>
        <v>160</v>
      </c>
      <c r="L17" s="290">
        <f t="shared" si="1"/>
        <v>160</v>
      </c>
      <c r="M17" s="290">
        <f t="shared" si="1"/>
        <v>160</v>
      </c>
      <c r="N17" s="290">
        <f t="shared" si="1"/>
        <v>160</v>
      </c>
      <c r="O17" s="290">
        <f t="shared" si="1"/>
        <v>160</v>
      </c>
      <c r="P17" s="290">
        <f t="shared" si="1"/>
        <v>160</v>
      </c>
      <c r="Q17" s="290">
        <f t="shared" si="1"/>
        <v>160</v>
      </c>
      <c r="R17" s="290">
        <f t="shared" si="1"/>
        <v>160</v>
      </c>
      <c r="S17" s="290">
        <f t="shared" si="1"/>
        <v>160</v>
      </c>
      <c r="T17" s="290">
        <f t="shared" si="1"/>
        <v>160</v>
      </c>
      <c r="U17" s="290">
        <f t="shared" si="1"/>
        <v>160</v>
      </c>
      <c r="V17" s="290">
        <f t="shared" si="1"/>
        <v>160</v>
      </c>
      <c r="W17" s="290">
        <f t="shared" si="1"/>
        <v>160</v>
      </c>
      <c r="X17" s="328">
        <f>SUM(J17:W17)</f>
        <v>2240</v>
      </c>
      <c r="Y17" s="294">
        <v>2240</v>
      </c>
      <c r="Z17" s="560">
        <f t="shared" si="0"/>
        <v>2.7872136573469208E-2</v>
      </c>
    </row>
    <row r="18" spans="3:28" x14ac:dyDescent="0.2">
      <c r="D18" s="220" t="s">
        <v>1410</v>
      </c>
      <c r="E18" s="278">
        <v>2000</v>
      </c>
      <c r="F18" s="288">
        <v>0.6</v>
      </c>
      <c r="G18" s="289">
        <f>E18*$G$14*F18</f>
        <v>0</v>
      </c>
      <c r="H18" s="289"/>
      <c r="I18" s="325">
        <f>E18*F18+G18</f>
        <v>1200</v>
      </c>
      <c r="J18" s="290">
        <f t="shared" si="1"/>
        <v>1200</v>
      </c>
      <c r="K18" s="290">
        <f t="shared" si="1"/>
        <v>1200</v>
      </c>
      <c r="L18" s="290">
        <f t="shared" si="1"/>
        <v>1200</v>
      </c>
      <c r="M18" s="290">
        <f t="shared" si="1"/>
        <v>1200</v>
      </c>
      <c r="N18" s="290">
        <f t="shared" si="1"/>
        <v>1200</v>
      </c>
      <c r="O18" s="290">
        <f t="shared" si="1"/>
        <v>1200</v>
      </c>
      <c r="P18" s="290">
        <f t="shared" si="1"/>
        <v>1200</v>
      </c>
      <c r="Q18" s="290">
        <f t="shared" si="1"/>
        <v>1200</v>
      </c>
      <c r="R18" s="290">
        <f t="shared" si="1"/>
        <v>1200</v>
      </c>
      <c r="S18" s="290">
        <f t="shared" si="1"/>
        <v>1200</v>
      </c>
      <c r="T18" s="290">
        <f t="shared" si="1"/>
        <v>1200</v>
      </c>
      <c r="U18" s="290">
        <f t="shared" si="1"/>
        <v>1200</v>
      </c>
      <c r="V18" s="290">
        <f t="shared" si="1"/>
        <v>1200</v>
      </c>
      <c r="W18" s="290">
        <f t="shared" si="1"/>
        <v>1200</v>
      </c>
      <c r="X18" s="328">
        <f>SUM(J18:W18)</f>
        <v>16800</v>
      </c>
      <c r="Y18" s="294">
        <v>16800</v>
      </c>
      <c r="Z18" s="560">
        <f t="shared" si="0"/>
        <v>0.20904102430101906</v>
      </c>
    </row>
    <row r="19" spans="3:28" hidden="1" x14ac:dyDescent="0.2">
      <c r="D19" s="220"/>
      <c r="E19" s="278"/>
      <c r="F19" s="291"/>
      <c r="G19" s="289"/>
      <c r="H19" s="289"/>
      <c r="I19" s="325">
        <f>SUM(I16:I18)</f>
        <v>3360</v>
      </c>
      <c r="J19" s="290"/>
      <c r="K19" s="290"/>
      <c r="L19" s="290"/>
      <c r="M19" s="290"/>
      <c r="N19" s="290"/>
      <c r="O19" s="290"/>
      <c r="P19" s="290"/>
      <c r="Q19" s="290"/>
      <c r="R19" s="290"/>
      <c r="S19" s="290"/>
      <c r="T19" s="290"/>
      <c r="U19" s="290"/>
      <c r="V19" s="290"/>
      <c r="W19" s="290"/>
      <c r="X19" s="328"/>
      <c r="Y19" s="294"/>
      <c r="Z19" s="560">
        <f t="shared" si="0"/>
        <v>0</v>
      </c>
    </row>
    <row r="20" spans="3:28" x14ac:dyDescent="0.2">
      <c r="D20" s="232" t="s">
        <v>1304</v>
      </c>
      <c r="E20" s="324"/>
      <c r="F20" s="287"/>
      <c r="G20" s="287"/>
      <c r="H20" s="287"/>
      <c r="I20" s="324"/>
      <c r="J20" s="287"/>
      <c r="K20" s="235"/>
      <c r="L20" s="235"/>
      <c r="M20" s="235"/>
      <c r="N20" s="235"/>
      <c r="O20" s="235"/>
      <c r="P20" s="235"/>
      <c r="Q20" s="235"/>
      <c r="R20" s="235"/>
      <c r="S20" s="235"/>
      <c r="T20" s="235"/>
      <c r="U20" s="235"/>
      <c r="V20" s="235"/>
      <c r="W20" s="287" t="s">
        <v>1406</v>
      </c>
      <c r="X20" s="328">
        <f>SUM(X21:X24)</f>
        <v>20020</v>
      </c>
      <c r="Y20" s="295">
        <v>20020</v>
      </c>
      <c r="Z20" s="560">
        <f t="shared" si="0"/>
        <v>0.24910722062538107</v>
      </c>
    </row>
    <row r="21" spans="3:28" x14ac:dyDescent="0.2">
      <c r="D21" s="220" t="s">
        <v>1411</v>
      </c>
      <c r="E21" s="278">
        <f>600*0.5</f>
        <v>300</v>
      </c>
      <c r="F21" s="288">
        <v>0.3</v>
      </c>
      <c r="G21" s="289">
        <f>E21*$G$14*F21</f>
        <v>0</v>
      </c>
      <c r="H21" s="289"/>
      <c r="I21" s="325">
        <f>E21*F21+G21</f>
        <v>90</v>
      </c>
      <c r="J21" s="290">
        <f t="shared" ref="J21:W24" si="2">$I21</f>
        <v>90</v>
      </c>
      <c r="K21" s="290">
        <f t="shared" si="2"/>
        <v>90</v>
      </c>
      <c r="L21" s="290">
        <f t="shared" si="2"/>
        <v>90</v>
      </c>
      <c r="M21" s="290">
        <f t="shared" si="2"/>
        <v>90</v>
      </c>
      <c r="N21" s="290">
        <f t="shared" si="2"/>
        <v>90</v>
      </c>
      <c r="O21" s="290">
        <f t="shared" si="2"/>
        <v>90</v>
      </c>
      <c r="P21" s="290">
        <f t="shared" si="2"/>
        <v>90</v>
      </c>
      <c r="Q21" s="290">
        <f t="shared" si="2"/>
        <v>90</v>
      </c>
      <c r="R21" s="290">
        <f t="shared" si="2"/>
        <v>90</v>
      </c>
      <c r="S21" s="290">
        <f t="shared" si="2"/>
        <v>90</v>
      </c>
      <c r="T21" s="290">
        <f t="shared" si="2"/>
        <v>90</v>
      </c>
      <c r="U21" s="290">
        <f t="shared" si="2"/>
        <v>90</v>
      </c>
      <c r="V21" s="290">
        <f t="shared" si="2"/>
        <v>90</v>
      </c>
      <c r="W21" s="290">
        <f t="shared" si="2"/>
        <v>90</v>
      </c>
      <c r="X21" s="328">
        <f>SUM(J21:W21)</f>
        <v>1260</v>
      </c>
      <c r="Y21" s="294">
        <v>1260</v>
      </c>
      <c r="Z21" s="560">
        <f t="shared" si="0"/>
        <v>1.567807682257643E-2</v>
      </c>
    </row>
    <row r="22" spans="3:28" x14ac:dyDescent="0.2">
      <c r="D22" s="220" t="s">
        <v>1412</v>
      </c>
      <c r="E22" s="278">
        <v>600</v>
      </c>
      <c r="F22" s="288">
        <v>1</v>
      </c>
      <c r="G22" s="289">
        <f>E22*$G$14*F22</f>
        <v>0</v>
      </c>
      <c r="H22" s="289"/>
      <c r="I22" s="325">
        <f>E22*F22+G22</f>
        <v>600</v>
      </c>
      <c r="J22" s="290">
        <f t="shared" si="2"/>
        <v>600</v>
      </c>
      <c r="K22" s="290">
        <f t="shared" si="2"/>
        <v>600</v>
      </c>
      <c r="L22" s="290">
        <f t="shared" si="2"/>
        <v>600</v>
      </c>
      <c r="M22" s="290">
        <f t="shared" si="2"/>
        <v>600</v>
      </c>
      <c r="N22" s="290">
        <f t="shared" si="2"/>
        <v>600</v>
      </c>
      <c r="O22" s="290">
        <f t="shared" si="2"/>
        <v>600</v>
      </c>
      <c r="P22" s="290">
        <f t="shared" si="2"/>
        <v>600</v>
      </c>
      <c r="Q22" s="290">
        <f t="shared" si="2"/>
        <v>600</v>
      </c>
      <c r="R22" s="290">
        <f t="shared" si="2"/>
        <v>600</v>
      </c>
      <c r="S22" s="290">
        <f t="shared" si="2"/>
        <v>600</v>
      </c>
      <c r="T22" s="290">
        <f t="shared" si="2"/>
        <v>600</v>
      </c>
      <c r="U22" s="290">
        <f t="shared" si="2"/>
        <v>600</v>
      </c>
      <c r="V22" s="290">
        <f t="shared" si="2"/>
        <v>600</v>
      </c>
      <c r="W22" s="290">
        <f t="shared" si="2"/>
        <v>600</v>
      </c>
      <c r="X22" s="328">
        <f>SUM(J22:W22)</f>
        <v>8400</v>
      </c>
      <c r="Y22" s="294">
        <v>8400</v>
      </c>
      <c r="Z22" s="560">
        <f t="shared" si="0"/>
        <v>0.10452051215050953</v>
      </c>
    </row>
    <row r="23" spans="3:28" x14ac:dyDescent="0.2">
      <c r="D23" s="220" t="s">
        <v>1413</v>
      </c>
      <c r="E23" s="278">
        <v>500</v>
      </c>
      <c r="F23" s="288">
        <v>1</v>
      </c>
      <c r="G23" s="289">
        <f>E23*$G$14*F23</f>
        <v>0</v>
      </c>
      <c r="H23" s="289"/>
      <c r="I23" s="325">
        <f>E23*F23+G23</f>
        <v>500</v>
      </c>
      <c r="J23" s="290">
        <f t="shared" si="2"/>
        <v>500</v>
      </c>
      <c r="K23" s="290">
        <f t="shared" si="2"/>
        <v>500</v>
      </c>
      <c r="L23" s="290">
        <f t="shared" si="2"/>
        <v>500</v>
      </c>
      <c r="M23" s="290">
        <f t="shared" si="2"/>
        <v>500</v>
      </c>
      <c r="N23" s="290">
        <f t="shared" si="2"/>
        <v>500</v>
      </c>
      <c r="O23" s="290">
        <f t="shared" si="2"/>
        <v>500</v>
      </c>
      <c r="P23" s="290">
        <f t="shared" si="2"/>
        <v>500</v>
      </c>
      <c r="Q23" s="290">
        <f t="shared" si="2"/>
        <v>500</v>
      </c>
      <c r="R23" s="290">
        <f t="shared" si="2"/>
        <v>500</v>
      </c>
      <c r="S23" s="290">
        <f t="shared" si="2"/>
        <v>500</v>
      </c>
      <c r="T23" s="290">
        <f t="shared" si="2"/>
        <v>500</v>
      </c>
      <c r="U23" s="290">
        <f t="shared" si="2"/>
        <v>500</v>
      </c>
      <c r="V23" s="290">
        <f t="shared" si="2"/>
        <v>500</v>
      </c>
      <c r="W23" s="290">
        <f t="shared" si="2"/>
        <v>500</v>
      </c>
      <c r="X23" s="328">
        <f>SUM(J23:W23)</f>
        <v>7000</v>
      </c>
      <c r="Y23" s="294">
        <v>7000</v>
      </c>
      <c r="Z23" s="560">
        <f t="shared" si="0"/>
        <v>8.7100426792091276E-2</v>
      </c>
    </row>
    <row r="24" spans="3:28" x14ac:dyDescent="0.2">
      <c r="D24" s="220" t="s">
        <v>1414</v>
      </c>
      <c r="E24" s="278">
        <f>480*0.5</f>
        <v>240</v>
      </c>
      <c r="F24" s="288">
        <v>1</v>
      </c>
      <c r="G24" s="289">
        <f>E24*$G$14*F24</f>
        <v>0</v>
      </c>
      <c r="H24" s="289"/>
      <c r="I24" s="325">
        <f>E24*F24+G24</f>
        <v>240</v>
      </c>
      <c r="J24" s="290">
        <f t="shared" si="2"/>
        <v>240</v>
      </c>
      <c r="K24" s="290">
        <f t="shared" si="2"/>
        <v>240</v>
      </c>
      <c r="L24" s="290">
        <f t="shared" si="2"/>
        <v>240</v>
      </c>
      <c r="M24" s="290">
        <f t="shared" si="2"/>
        <v>240</v>
      </c>
      <c r="N24" s="290">
        <f t="shared" si="2"/>
        <v>240</v>
      </c>
      <c r="O24" s="290">
        <f t="shared" si="2"/>
        <v>240</v>
      </c>
      <c r="P24" s="290">
        <f t="shared" si="2"/>
        <v>240</v>
      </c>
      <c r="Q24" s="290">
        <f t="shared" si="2"/>
        <v>240</v>
      </c>
      <c r="R24" s="290">
        <f t="shared" si="2"/>
        <v>240</v>
      </c>
      <c r="S24" s="290">
        <f t="shared" si="2"/>
        <v>240</v>
      </c>
      <c r="T24" s="290">
        <f t="shared" si="2"/>
        <v>240</v>
      </c>
      <c r="U24" s="290">
        <f t="shared" si="2"/>
        <v>240</v>
      </c>
      <c r="V24" s="290">
        <f t="shared" si="2"/>
        <v>240</v>
      </c>
      <c r="W24" s="290">
        <f t="shared" si="2"/>
        <v>240</v>
      </c>
      <c r="X24" s="328">
        <f>SUM(J24:W24)</f>
        <v>3360</v>
      </c>
      <c r="Y24" s="294">
        <v>3360</v>
      </c>
      <c r="Z24" s="560">
        <f t="shared" si="0"/>
        <v>4.1808204860203813E-2</v>
      </c>
    </row>
    <row r="25" spans="3:28" hidden="1" x14ac:dyDescent="0.2">
      <c r="D25" s="220"/>
      <c r="E25" s="238"/>
      <c r="F25" s="288"/>
      <c r="G25" s="289"/>
      <c r="H25" s="289"/>
      <c r="I25" s="203">
        <f>SUM(I21:I24)</f>
        <v>1430</v>
      </c>
      <c r="J25" s="290"/>
      <c r="K25" s="290"/>
      <c r="L25" s="290"/>
      <c r="M25" s="290"/>
      <c r="N25" s="290"/>
      <c r="O25" s="290"/>
      <c r="P25" s="290"/>
      <c r="Q25" s="290"/>
      <c r="R25" s="290"/>
      <c r="S25" s="290"/>
      <c r="T25" s="290"/>
      <c r="U25" s="290"/>
      <c r="V25" s="290"/>
      <c r="W25" s="290"/>
      <c r="X25" s="328"/>
      <c r="Y25" s="294"/>
      <c r="Z25" s="560">
        <f t="shared" si="0"/>
        <v>0</v>
      </c>
    </row>
    <row r="26" spans="3:28" x14ac:dyDescent="0.2">
      <c r="C26" s="232"/>
      <c r="D26" s="312" t="s">
        <v>1313</v>
      </c>
      <c r="E26" s="313"/>
      <c r="F26" s="313"/>
      <c r="G26" s="314"/>
      <c r="H26" s="314"/>
      <c r="I26" s="314"/>
      <c r="J26" s="314"/>
      <c r="K26" s="269"/>
      <c r="L26" s="269"/>
      <c r="M26" s="269"/>
      <c r="N26" s="269"/>
      <c r="O26" s="269"/>
      <c r="P26" s="269"/>
      <c r="Q26" s="269"/>
      <c r="R26" s="269"/>
      <c r="S26" s="269"/>
      <c r="T26" s="269"/>
      <c r="U26" s="269"/>
      <c r="V26" s="269"/>
      <c r="W26" s="315" t="s">
        <v>1404</v>
      </c>
      <c r="X26" s="330">
        <f>SUM(X28:X47)/2</f>
        <v>10003</v>
      </c>
      <c r="Y26" s="316">
        <v>10003</v>
      </c>
      <c r="Z26" s="559">
        <f t="shared" si="0"/>
        <v>0.12446650988589844</v>
      </c>
      <c r="AB26" s="304"/>
    </row>
    <row r="27" spans="3:28" s="236" customFormat="1" hidden="1" x14ac:dyDescent="0.2">
      <c r="C27" s="232"/>
      <c r="D27" s="232"/>
      <c r="E27" s="233"/>
      <c r="F27" s="233"/>
      <c r="G27" s="220"/>
      <c r="H27" s="220"/>
      <c r="I27" s="220"/>
      <c r="J27" s="235"/>
      <c r="K27" s="235"/>
      <c r="L27" s="235"/>
      <c r="M27" s="235"/>
      <c r="N27" s="235"/>
      <c r="O27" s="235"/>
      <c r="P27" s="235"/>
      <c r="Q27" s="235"/>
      <c r="R27" s="235"/>
      <c r="S27" s="235"/>
      <c r="T27" s="235"/>
      <c r="U27" s="235"/>
      <c r="V27" s="235"/>
      <c r="W27" s="235"/>
      <c r="X27" s="328"/>
      <c r="Y27" s="294"/>
      <c r="Z27" s="560">
        <f t="shared" si="0"/>
        <v>0</v>
      </c>
    </row>
    <row r="28" spans="3:28" x14ac:dyDescent="0.2">
      <c r="D28" s="296" t="s">
        <v>1314</v>
      </c>
      <c r="E28" s="292" t="s">
        <v>1315</v>
      </c>
      <c r="F28" s="292"/>
      <c r="G28" s="293" t="s">
        <v>1295</v>
      </c>
      <c r="H28" s="293" t="s">
        <v>1296</v>
      </c>
      <c r="I28" s="293" t="s">
        <v>1297</v>
      </c>
      <c r="J28" s="290"/>
      <c r="K28" s="290"/>
      <c r="L28" s="290"/>
      <c r="M28" s="290"/>
      <c r="N28" s="290"/>
      <c r="O28" s="290"/>
      <c r="P28" s="290"/>
      <c r="Q28" s="290"/>
      <c r="R28" s="290"/>
      <c r="S28" s="290"/>
      <c r="T28" s="290"/>
      <c r="U28" s="290"/>
      <c r="V28" s="290"/>
      <c r="W28" s="290"/>
      <c r="X28" s="328">
        <f>SUM(X29:X30)</f>
        <v>4900</v>
      </c>
      <c r="Y28" s="298">
        <v>4900</v>
      </c>
      <c r="Z28" s="560">
        <f t="shared" si="0"/>
        <v>6.09702987544639E-2</v>
      </c>
    </row>
    <row r="29" spans="3:28" x14ac:dyDescent="0.2">
      <c r="D29" s="220" t="s">
        <v>1415</v>
      </c>
      <c r="E29" s="278">
        <v>350</v>
      </c>
      <c r="F29" s="288">
        <v>1</v>
      </c>
      <c r="G29" s="289">
        <f>E29*$G$14*F29</f>
        <v>0</v>
      </c>
      <c r="H29" s="289"/>
      <c r="I29" s="325">
        <f>E29*F29+G29</f>
        <v>350</v>
      </c>
      <c r="J29" s="290">
        <f t="shared" ref="J29:W30" si="3">$I29</f>
        <v>350</v>
      </c>
      <c r="K29" s="290">
        <f t="shared" si="3"/>
        <v>350</v>
      </c>
      <c r="L29" s="290">
        <f t="shared" si="3"/>
        <v>350</v>
      </c>
      <c r="M29" s="290">
        <f t="shared" si="3"/>
        <v>350</v>
      </c>
      <c r="N29" s="290">
        <f t="shared" si="3"/>
        <v>350</v>
      </c>
      <c r="O29" s="290">
        <f t="shared" si="3"/>
        <v>350</v>
      </c>
      <c r="P29" s="290">
        <f t="shared" si="3"/>
        <v>350</v>
      </c>
      <c r="Q29" s="290">
        <f t="shared" si="3"/>
        <v>350</v>
      </c>
      <c r="R29" s="290">
        <f t="shared" si="3"/>
        <v>350</v>
      </c>
      <c r="S29" s="290">
        <f t="shared" si="3"/>
        <v>350</v>
      </c>
      <c r="T29" s="290">
        <f t="shared" si="3"/>
        <v>350</v>
      </c>
      <c r="U29" s="290">
        <f t="shared" si="3"/>
        <v>350</v>
      </c>
      <c r="V29" s="290">
        <f t="shared" si="3"/>
        <v>350</v>
      </c>
      <c r="W29" s="290">
        <f t="shared" si="3"/>
        <v>350</v>
      </c>
      <c r="X29" s="328">
        <f>SUM(J29:W29)</f>
        <v>4900</v>
      </c>
      <c r="Y29" s="294">
        <v>4900</v>
      </c>
      <c r="Z29" s="560">
        <f t="shared" si="0"/>
        <v>6.09702987544639E-2</v>
      </c>
    </row>
    <row r="30" spans="3:28" hidden="1" x14ac:dyDescent="0.2">
      <c r="D30" s="220" t="s">
        <v>1318</v>
      </c>
      <c r="E30" s="238">
        <v>0</v>
      </c>
      <c r="F30" s="288">
        <v>1</v>
      </c>
      <c r="G30" s="289">
        <f>E30*$G$14*F30</f>
        <v>0</v>
      </c>
      <c r="H30" s="289"/>
      <c r="I30" s="203">
        <f>E30*F30+G30</f>
        <v>0</v>
      </c>
      <c r="J30" s="290">
        <f t="shared" si="3"/>
        <v>0</v>
      </c>
      <c r="K30" s="290">
        <f t="shared" si="3"/>
        <v>0</v>
      </c>
      <c r="L30" s="290">
        <f t="shared" si="3"/>
        <v>0</v>
      </c>
      <c r="M30" s="290">
        <f t="shared" si="3"/>
        <v>0</v>
      </c>
      <c r="N30" s="290">
        <f t="shared" si="3"/>
        <v>0</v>
      </c>
      <c r="O30" s="290">
        <f t="shared" si="3"/>
        <v>0</v>
      </c>
      <c r="P30" s="290">
        <f t="shared" si="3"/>
        <v>0</v>
      </c>
      <c r="Q30" s="290">
        <f t="shared" si="3"/>
        <v>0</v>
      </c>
      <c r="R30" s="290">
        <f t="shared" si="3"/>
        <v>0</v>
      </c>
      <c r="S30" s="290">
        <f t="shared" si="3"/>
        <v>0</v>
      </c>
      <c r="T30" s="290"/>
      <c r="U30" s="290"/>
      <c r="V30" s="290">
        <f t="shared" si="3"/>
        <v>0</v>
      </c>
      <c r="W30" s="290">
        <f t="shared" si="3"/>
        <v>0</v>
      </c>
      <c r="X30" s="328">
        <f>SUM(J30:W30)</f>
        <v>0</v>
      </c>
      <c r="Y30" s="294">
        <v>0</v>
      </c>
      <c r="Z30" s="560">
        <f t="shared" si="0"/>
        <v>0</v>
      </c>
    </row>
    <row r="31" spans="3:28" hidden="1" x14ac:dyDescent="0.2">
      <c r="D31" s="220"/>
      <c r="E31" s="239"/>
      <c r="F31" s="238"/>
      <c r="G31" s="203"/>
      <c r="H31" s="203"/>
      <c r="I31" s="203">
        <f>SUM(I29:I30)</f>
        <v>350</v>
      </c>
      <c r="J31" s="290"/>
      <c r="K31" s="290"/>
      <c r="L31" s="290"/>
      <c r="M31" s="290"/>
      <c r="N31" s="290"/>
      <c r="O31" s="290"/>
      <c r="P31" s="290"/>
      <c r="Q31" s="290"/>
      <c r="R31" s="290"/>
      <c r="S31" s="290"/>
      <c r="T31" s="290"/>
      <c r="U31" s="290"/>
      <c r="V31" s="290"/>
      <c r="W31" s="290"/>
      <c r="X31" s="328"/>
      <c r="Y31" s="294"/>
      <c r="Z31" s="560">
        <f t="shared" si="0"/>
        <v>0</v>
      </c>
    </row>
    <row r="32" spans="3:28" x14ac:dyDescent="0.2">
      <c r="D32" s="296" t="s">
        <v>1416</v>
      </c>
      <c r="E32" s="292" t="s">
        <v>1328</v>
      </c>
      <c r="F32" s="292" t="s">
        <v>1329</v>
      </c>
      <c r="G32" s="293"/>
      <c r="H32" s="293"/>
      <c r="I32" s="293" t="s">
        <v>1297</v>
      </c>
      <c r="J32" s="290"/>
      <c r="K32" s="290"/>
      <c r="L32" s="290"/>
      <c r="M32" s="290"/>
      <c r="N32" s="290"/>
      <c r="O32" s="290"/>
      <c r="P32" s="290"/>
      <c r="Q32" s="290"/>
      <c r="R32" s="290"/>
      <c r="S32" s="290"/>
      <c r="T32" s="290"/>
      <c r="U32" s="290"/>
      <c r="V32" s="290"/>
      <c r="W32" s="290"/>
      <c r="X32" s="328">
        <f>SUM(X33:X37)</f>
        <v>2205</v>
      </c>
      <c r="Y32" s="298">
        <v>2205</v>
      </c>
      <c r="Z32" s="560">
        <f t="shared" si="0"/>
        <v>2.7436634439508754E-2</v>
      </c>
    </row>
    <row r="33" spans="4:26" x14ac:dyDescent="0.2">
      <c r="D33" s="220" t="s">
        <v>1330</v>
      </c>
      <c r="E33" s="278">
        <f>50*0.7</f>
        <v>35</v>
      </c>
      <c r="F33" s="288">
        <v>1</v>
      </c>
      <c r="G33" s="289">
        <f>E33*$G$14*F33</f>
        <v>0</v>
      </c>
      <c r="H33" s="289"/>
      <c r="I33" s="325">
        <f>E33*F33+G33</f>
        <v>35</v>
      </c>
      <c r="J33" s="290">
        <f t="shared" ref="J33:W37" si="4">$I33</f>
        <v>35</v>
      </c>
      <c r="K33" s="290">
        <f t="shared" si="4"/>
        <v>35</v>
      </c>
      <c r="L33" s="290">
        <f t="shared" si="4"/>
        <v>35</v>
      </c>
      <c r="M33" s="290">
        <f t="shared" si="4"/>
        <v>35</v>
      </c>
      <c r="N33" s="290">
        <f t="shared" si="4"/>
        <v>35</v>
      </c>
      <c r="O33" s="290">
        <f t="shared" si="4"/>
        <v>35</v>
      </c>
      <c r="P33" s="290">
        <f t="shared" si="4"/>
        <v>35</v>
      </c>
      <c r="Q33" s="290">
        <f t="shared" si="4"/>
        <v>35</v>
      </c>
      <c r="R33" s="290">
        <f t="shared" si="4"/>
        <v>35</v>
      </c>
      <c r="S33" s="290">
        <f t="shared" si="4"/>
        <v>35</v>
      </c>
      <c r="T33" s="290">
        <f t="shared" si="4"/>
        <v>35</v>
      </c>
      <c r="U33" s="290">
        <f t="shared" si="4"/>
        <v>35</v>
      </c>
      <c r="V33" s="290">
        <f t="shared" si="4"/>
        <v>35</v>
      </c>
      <c r="W33" s="290">
        <f t="shared" si="4"/>
        <v>35</v>
      </c>
      <c r="X33" s="328">
        <f>SUM(J33:W33)</f>
        <v>490</v>
      </c>
      <c r="Y33" s="294">
        <v>490</v>
      </c>
      <c r="Z33" s="560">
        <f t="shared" si="0"/>
        <v>6.0970298754463893E-3</v>
      </c>
    </row>
    <row r="34" spans="4:26" x14ac:dyDescent="0.2">
      <c r="D34" s="220" t="s">
        <v>1331</v>
      </c>
      <c r="E34" s="278">
        <f>50*0.7</f>
        <v>35</v>
      </c>
      <c r="F34" s="288">
        <v>1</v>
      </c>
      <c r="G34" s="289">
        <f>E34*$G$14*F34</f>
        <v>0</v>
      </c>
      <c r="H34" s="289"/>
      <c r="I34" s="325">
        <f>E34*F34+G34</f>
        <v>35</v>
      </c>
      <c r="J34" s="290">
        <f t="shared" si="4"/>
        <v>35</v>
      </c>
      <c r="K34" s="290">
        <f t="shared" si="4"/>
        <v>35</v>
      </c>
      <c r="L34" s="290">
        <f t="shared" si="4"/>
        <v>35</v>
      </c>
      <c r="M34" s="290">
        <f t="shared" si="4"/>
        <v>35</v>
      </c>
      <c r="N34" s="290">
        <f t="shared" si="4"/>
        <v>35</v>
      </c>
      <c r="O34" s="290">
        <f t="shared" si="4"/>
        <v>35</v>
      </c>
      <c r="P34" s="290">
        <f t="shared" si="4"/>
        <v>35</v>
      </c>
      <c r="Q34" s="290">
        <f t="shared" si="4"/>
        <v>35</v>
      </c>
      <c r="R34" s="290">
        <f t="shared" si="4"/>
        <v>35</v>
      </c>
      <c r="S34" s="290">
        <f t="shared" si="4"/>
        <v>35</v>
      </c>
      <c r="T34" s="290">
        <f t="shared" si="4"/>
        <v>35</v>
      </c>
      <c r="U34" s="290">
        <f t="shared" si="4"/>
        <v>35</v>
      </c>
      <c r="V34" s="290">
        <f t="shared" si="4"/>
        <v>35</v>
      </c>
      <c r="W34" s="290">
        <f t="shared" si="4"/>
        <v>35</v>
      </c>
      <c r="X34" s="328">
        <f>SUM(J34:W34)</f>
        <v>490</v>
      </c>
      <c r="Y34" s="294">
        <v>490</v>
      </c>
      <c r="Z34" s="560">
        <f t="shared" si="0"/>
        <v>6.0970298754463893E-3</v>
      </c>
    </row>
    <row r="35" spans="4:26" x14ac:dyDescent="0.2">
      <c r="D35" s="220" t="s">
        <v>1332</v>
      </c>
      <c r="E35" s="278">
        <f>50*0.7</f>
        <v>35</v>
      </c>
      <c r="F35" s="288">
        <v>1</v>
      </c>
      <c r="G35" s="289">
        <f>E35*$G$14*F35</f>
        <v>0</v>
      </c>
      <c r="H35" s="289"/>
      <c r="I35" s="325">
        <f>E35*F35+G35</f>
        <v>35</v>
      </c>
      <c r="J35" s="290">
        <f t="shared" si="4"/>
        <v>35</v>
      </c>
      <c r="K35" s="290">
        <f t="shared" si="4"/>
        <v>35</v>
      </c>
      <c r="L35" s="290">
        <f t="shared" si="4"/>
        <v>35</v>
      </c>
      <c r="M35" s="290">
        <f t="shared" si="4"/>
        <v>35</v>
      </c>
      <c r="N35" s="290">
        <f t="shared" si="4"/>
        <v>35</v>
      </c>
      <c r="O35" s="290">
        <f t="shared" si="4"/>
        <v>35</v>
      </c>
      <c r="P35" s="290">
        <f t="shared" si="4"/>
        <v>35</v>
      </c>
      <c r="Q35" s="290">
        <f t="shared" si="4"/>
        <v>35</v>
      </c>
      <c r="R35" s="290">
        <f t="shared" si="4"/>
        <v>35</v>
      </c>
      <c r="S35" s="290">
        <f t="shared" si="4"/>
        <v>35</v>
      </c>
      <c r="T35" s="290">
        <f t="shared" si="4"/>
        <v>35</v>
      </c>
      <c r="U35" s="290">
        <f t="shared" si="4"/>
        <v>35</v>
      </c>
      <c r="V35" s="290">
        <f t="shared" si="4"/>
        <v>35</v>
      </c>
      <c r="W35" s="290">
        <f t="shared" si="4"/>
        <v>35</v>
      </c>
      <c r="X35" s="328">
        <f>SUM(J35:W35)</f>
        <v>490</v>
      </c>
      <c r="Y35" s="294">
        <v>490</v>
      </c>
      <c r="Z35" s="560">
        <f t="shared" si="0"/>
        <v>6.0970298754463893E-3</v>
      </c>
    </row>
    <row r="36" spans="4:26" x14ac:dyDescent="0.2">
      <c r="D36" s="220" t="s">
        <v>1333</v>
      </c>
      <c r="E36" s="278">
        <f>50*0.7</f>
        <v>35</v>
      </c>
      <c r="F36" s="288">
        <v>1</v>
      </c>
      <c r="G36" s="289">
        <f>E36*$G$14*F36</f>
        <v>0</v>
      </c>
      <c r="H36" s="289"/>
      <c r="I36" s="325">
        <f>E36*F36+G36</f>
        <v>35</v>
      </c>
      <c r="J36" s="290">
        <f t="shared" si="4"/>
        <v>35</v>
      </c>
      <c r="K36" s="290">
        <f t="shared" si="4"/>
        <v>35</v>
      </c>
      <c r="L36" s="290">
        <f t="shared" si="4"/>
        <v>35</v>
      </c>
      <c r="M36" s="290">
        <f t="shared" si="4"/>
        <v>35</v>
      </c>
      <c r="N36" s="290">
        <f t="shared" si="4"/>
        <v>35</v>
      </c>
      <c r="O36" s="290">
        <f t="shared" si="4"/>
        <v>35</v>
      </c>
      <c r="P36" s="290">
        <f t="shared" si="4"/>
        <v>35</v>
      </c>
      <c r="Q36" s="290">
        <f t="shared" si="4"/>
        <v>35</v>
      </c>
      <c r="R36" s="290">
        <f t="shared" si="4"/>
        <v>35</v>
      </c>
      <c r="S36" s="290">
        <f t="shared" si="4"/>
        <v>35</v>
      </c>
      <c r="T36" s="290">
        <f t="shared" si="4"/>
        <v>35</v>
      </c>
      <c r="U36" s="290">
        <f t="shared" si="4"/>
        <v>35</v>
      </c>
      <c r="V36" s="290">
        <f t="shared" si="4"/>
        <v>35</v>
      </c>
      <c r="W36" s="290">
        <f t="shared" si="4"/>
        <v>35</v>
      </c>
      <c r="X36" s="328">
        <f>SUM(J36:W36)</f>
        <v>490</v>
      </c>
      <c r="Y36" s="294">
        <v>490</v>
      </c>
      <c r="Z36" s="560">
        <f t="shared" si="0"/>
        <v>6.0970298754463893E-3</v>
      </c>
    </row>
    <row r="37" spans="4:26" x14ac:dyDescent="0.2">
      <c r="D37" s="220" t="s">
        <v>1334</v>
      </c>
      <c r="E37" s="278">
        <f>25*0.7</f>
        <v>17.5</v>
      </c>
      <c r="F37" s="288">
        <v>1</v>
      </c>
      <c r="G37" s="289">
        <f>E37*$G$14*F37</f>
        <v>0</v>
      </c>
      <c r="H37" s="289"/>
      <c r="I37" s="325">
        <f>E37*F37+G37</f>
        <v>17.5</v>
      </c>
      <c r="J37" s="290">
        <f t="shared" si="4"/>
        <v>17.5</v>
      </c>
      <c r="K37" s="290">
        <f t="shared" si="4"/>
        <v>17.5</v>
      </c>
      <c r="L37" s="290">
        <f t="shared" si="4"/>
        <v>17.5</v>
      </c>
      <c r="M37" s="290">
        <f t="shared" si="4"/>
        <v>17.5</v>
      </c>
      <c r="N37" s="290">
        <f t="shared" si="4"/>
        <v>17.5</v>
      </c>
      <c r="O37" s="290">
        <f t="shared" si="4"/>
        <v>17.5</v>
      </c>
      <c r="P37" s="290">
        <f t="shared" si="4"/>
        <v>17.5</v>
      </c>
      <c r="Q37" s="290">
        <f t="shared" si="4"/>
        <v>17.5</v>
      </c>
      <c r="R37" s="290">
        <f t="shared" si="4"/>
        <v>17.5</v>
      </c>
      <c r="S37" s="290">
        <f t="shared" si="4"/>
        <v>17.5</v>
      </c>
      <c r="T37" s="290">
        <f t="shared" si="4"/>
        <v>17.5</v>
      </c>
      <c r="U37" s="290">
        <f t="shared" si="4"/>
        <v>17.5</v>
      </c>
      <c r="V37" s="290">
        <f t="shared" si="4"/>
        <v>17.5</v>
      </c>
      <c r="W37" s="290">
        <f t="shared" si="4"/>
        <v>17.5</v>
      </c>
      <c r="X37" s="328">
        <f>SUM(J37:W37)</f>
        <v>245</v>
      </c>
      <c r="Y37" s="294">
        <v>245</v>
      </c>
      <c r="Z37" s="560">
        <f t="shared" si="0"/>
        <v>3.0485149377231947E-3</v>
      </c>
    </row>
    <row r="38" spans="4:26" hidden="1" x14ac:dyDescent="0.2">
      <c r="D38" s="220"/>
      <c r="E38" s="238"/>
      <c r="F38" s="238"/>
      <c r="G38" s="203"/>
      <c r="H38" s="203"/>
      <c r="I38" s="203">
        <f>SUM(I33:I37)</f>
        <v>157.5</v>
      </c>
      <c r="J38" s="290"/>
      <c r="K38" s="290"/>
      <c r="L38" s="290"/>
      <c r="M38" s="290"/>
      <c r="N38" s="290"/>
      <c r="O38" s="290"/>
      <c r="P38" s="290"/>
      <c r="Q38" s="290"/>
      <c r="R38" s="290"/>
      <c r="S38" s="290"/>
      <c r="T38" s="290"/>
      <c r="U38" s="290"/>
      <c r="V38" s="290"/>
      <c r="W38" s="290"/>
      <c r="X38" s="328"/>
      <c r="Y38" s="294"/>
      <c r="Z38" s="560">
        <f t="shared" si="0"/>
        <v>0</v>
      </c>
    </row>
    <row r="39" spans="4:26" x14ac:dyDescent="0.2">
      <c r="D39" s="296" t="s">
        <v>1335</v>
      </c>
      <c r="E39" s="292" t="s">
        <v>1315</v>
      </c>
      <c r="F39" s="292"/>
      <c r="G39" s="293" t="s">
        <v>1295</v>
      </c>
      <c r="H39" s="293" t="s">
        <v>1296</v>
      </c>
      <c r="I39" s="293" t="s">
        <v>1297</v>
      </c>
      <c r="J39" s="290"/>
      <c r="K39" s="290"/>
      <c r="L39" s="290"/>
      <c r="M39" s="290"/>
      <c r="N39" s="290"/>
      <c r="O39" s="290"/>
      <c r="P39" s="290"/>
      <c r="Q39" s="290"/>
      <c r="R39" s="290"/>
      <c r="S39" s="290"/>
      <c r="T39" s="290"/>
      <c r="U39" s="290"/>
      <c r="V39" s="290"/>
      <c r="W39" s="290"/>
      <c r="X39" s="328">
        <f>SUM(X40:X46)</f>
        <v>2898</v>
      </c>
      <c r="Y39" s="298">
        <v>2898</v>
      </c>
      <c r="Z39" s="560">
        <f t="shared" si="0"/>
        <v>3.605957669192579E-2</v>
      </c>
    </row>
    <row r="40" spans="4:26" x14ac:dyDescent="0.2">
      <c r="D40" s="220" t="s">
        <v>1119</v>
      </c>
      <c r="E40" s="278">
        <v>50</v>
      </c>
      <c r="F40" s="288">
        <v>0.3</v>
      </c>
      <c r="G40" s="289">
        <f t="shared" ref="G40:G46" si="5">E40*$G$14*F40</f>
        <v>0</v>
      </c>
      <c r="H40" s="289"/>
      <c r="I40" s="325">
        <f t="shared" ref="I40:I46" si="6">E40*F40+G40</f>
        <v>15</v>
      </c>
      <c r="J40" s="290">
        <f t="shared" ref="J40:W46" si="7">$I40</f>
        <v>15</v>
      </c>
      <c r="K40" s="290">
        <f t="shared" si="7"/>
        <v>15</v>
      </c>
      <c r="L40" s="290">
        <f t="shared" si="7"/>
        <v>15</v>
      </c>
      <c r="M40" s="290">
        <f t="shared" si="7"/>
        <v>15</v>
      </c>
      <c r="N40" s="290">
        <f t="shared" si="7"/>
        <v>15</v>
      </c>
      <c r="O40" s="290">
        <f t="shared" si="7"/>
        <v>15</v>
      </c>
      <c r="P40" s="290">
        <f t="shared" si="7"/>
        <v>15</v>
      </c>
      <c r="Q40" s="290">
        <f t="shared" si="7"/>
        <v>15</v>
      </c>
      <c r="R40" s="290">
        <f t="shared" si="7"/>
        <v>15</v>
      </c>
      <c r="S40" s="290">
        <f t="shared" si="7"/>
        <v>15</v>
      </c>
      <c r="T40" s="290">
        <f t="shared" si="7"/>
        <v>15</v>
      </c>
      <c r="U40" s="290">
        <f t="shared" si="7"/>
        <v>15</v>
      </c>
      <c r="V40" s="290">
        <f t="shared" si="7"/>
        <v>15</v>
      </c>
      <c r="W40" s="290">
        <f t="shared" si="7"/>
        <v>15</v>
      </c>
      <c r="X40" s="328">
        <f t="shared" ref="X40:X46" si="8">SUM(J40:W40)</f>
        <v>210</v>
      </c>
      <c r="Y40" s="294">
        <v>210</v>
      </c>
      <c r="Z40" s="560">
        <f t="shared" si="0"/>
        <v>2.6130128037627383E-3</v>
      </c>
    </row>
    <row r="41" spans="4:26" x14ac:dyDescent="0.2">
      <c r="D41" s="220" t="s">
        <v>1336</v>
      </c>
      <c r="E41" s="278">
        <v>60</v>
      </c>
      <c r="F41" s="288">
        <v>0.3</v>
      </c>
      <c r="G41" s="289">
        <f t="shared" si="5"/>
        <v>0</v>
      </c>
      <c r="H41" s="289"/>
      <c r="I41" s="325">
        <f t="shared" si="6"/>
        <v>18</v>
      </c>
      <c r="J41" s="290">
        <f t="shared" si="7"/>
        <v>18</v>
      </c>
      <c r="K41" s="290">
        <f t="shared" si="7"/>
        <v>18</v>
      </c>
      <c r="L41" s="290">
        <f t="shared" si="7"/>
        <v>18</v>
      </c>
      <c r="M41" s="290">
        <f t="shared" si="7"/>
        <v>18</v>
      </c>
      <c r="N41" s="290">
        <f t="shared" si="7"/>
        <v>18</v>
      </c>
      <c r="O41" s="290">
        <f t="shared" si="7"/>
        <v>18</v>
      </c>
      <c r="P41" s="290">
        <f t="shared" si="7"/>
        <v>18</v>
      </c>
      <c r="Q41" s="290">
        <f t="shared" si="7"/>
        <v>18</v>
      </c>
      <c r="R41" s="290">
        <f t="shared" si="7"/>
        <v>18</v>
      </c>
      <c r="S41" s="290">
        <f t="shared" si="7"/>
        <v>18</v>
      </c>
      <c r="T41" s="290">
        <f t="shared" si="7"/>
        <v>18</v>
      </c>
      <c r="U41" s="290">
        <f t="shared" si="7"/>
        <v>18</v>
      </c>
      <c r="V41" s="290">
        <f t="shared" si="7"/>
        <v>18</v>
      </c>
      <c r="W41" s="290">
        <f t="shared" si="7"/>
        <v>18</v>
      </c>
      <c r="X41" s="328">
        <f t="shared" si="8"/>
        <v>252</v>
      </c>
      <c r="Y41" s="294">
        <v>252</v>
      </c>
      <c r="Z41" s="560">
        <f t="shared" si="0"/>
        <v>3.135615364515286E-3</v>
      </c>
    </row>
    <row r="42" spans="4:26" x14ac:dyDescent="0.2">
      <c r="D42" s="220" t="s">
        <v>1337</v>
      </c>
      <c r="E42" s="278">
        <v>20</v>
      </c>
      <c r="F42" s="288">
        <v>0.3</v>
      </c>
      <c r="G42" s="289">
        <f t="shared" si="5"/>
        <v>0</v>
      </c>
      <c r="H42" s="289"/>
      <c r="I42" s="325">
        <f t="shared" si="6"/>
        <v>6</v>
      </c>
      <c r="J42" s="290">
        <f t="shared" si="7"/>
        <v>6</v>
      </c>
      <c r="K42" s="290">
        <f t="shared" si="7"/>
        <v>6</v>
      </c>
      <c r="L42" s="290">
        <f t="shared" si="7"/>
        <v>6</v>
      </c>
      <c r="M42" s="290">
        <f t="shared" si="7"/>
        <v>6</v>
      </c>
      <c r="N42" s="290">
        <f t="shared" si="7"/>
        <v>6</v>
      </c>
      <c r="O42" s="290">
        <f t="shared" si="7"/>
        <v>6</v>
      </c>
      <c r="P42" s="290">
        <f t="shared" si="7"/>
        <v>6</v>
      </c>
      <c r="Q42" s="290">
        <f t="shared" si="7"/>
        <v>6</v>
      </c>
      <c r="R42" s="290">
        <f t="shared" si="7"/>
        <v>6</v>
      </c>
      <c r="S42" s="290">
        <f t="shared" si="7"/>
        <v>6</v>
      </c>
      <c r="T42" s="290">
        <f t="shared" si="7"/>
        <v>6</v>
      </c>
      <c r="U42" s="290">
        <f t="shared" si="7"/>
        <v>6</v>
      </c>
      <c r="V42" s="290">
        <f t="shared" si="7"/>
        <v>6</v>
      </c>
      <c r="W42" s="290">
        <f t="shared" si="7"/>
        <v>6</v>
      </c>
      <c r="X42" s="328">
        <f t="shared" si="8"/>
        <v>84</v>
      </c>
      <c r="Y42" s="294">
        <v>84</v>
      </c>
      <c r="Z42" s="560">
        <f t="shared" si="0"/>
        <v>1.0452051215050953E-3</v>
      </c>
    </row>
    <row r="43" spans="4:26" x14ac:dyDescent="0.2">
      <c r="D43" s="220" t="s">
        <v>1338</v>
      </c>
      <c r="E43" s="278">
        <v>120</v>
      </c>
      <c r="F43" s="288">
        <v>1</v>
      </c>
      <c r="G43" s="289">
        <f t="shared" si="5"/>
        <v>0</v>
      </c>
      <c r="H43" s="289"/>
      <c r="I43" s="325">
        <f t="shared" si="6"/>
        <v>120</v>
      </c>
      <c r="J43" s="290">
        <f t="shared" si="7"/>
        <v>120</v>
      </c>
      <c r="K43" s="290">
        <f t="shared" si="7"/>
        <v>120</v>
      </c>
      <c r="L43" s="290">
        <f t="shared" si="7"/>
        <v>120</v>
      </c>
      <c r="M43" s="290">
        <f t="shared" si="7"/>
        <v>120</v>
      </c>
      <c r="N43" s="290">
        <f t="shared" si="7"/>
        <v>120</v>
      </c>
      <c r="O43" s="290">
        <f t="shared" si="7"/>
        <v>120</v>
      </c>
      <c r="P43" s="290">
        <f t="shared" si="7"/>
        <v>120</v>
      </c>
      <c r="Q43" s="290">
        <f t="shared" si="7"/>
        <v>120</v>
      </c>
      <c r="R43" s="290">
        <f t="shared" si="7"/>
        <v>120</v>
      </c>
      <c r="S43" s="290">
        <f t="shared" si="7"/>
        <v>120</v>
      </c>
      <c r="T43" s="290">
        <f t="shared" si="7"/>
        <v>120</v>
      </c>
      <c r="U43" s="290">
        <f t="shared" si="7"/>
        <v>120</v>
      </c>
      <c r="V43" s="290">
        <f t="shared" si="7"/>
        <v>120</v>
      </c>
      <c r="W43" s="290">
        <f t="shared" si="7"/>
        <v>120</v>
      </c>
      <c r="X43" s="328">
        <f t="shared" si="8"/>
        <v>1680</v>
      </c>
      <c r="Y43" s="294">
        <v>1680</v>
      </c>
      <c r="Z43" s="560">
        <f t="shared" si="0"/>
        <v>2.0904102430101906E-2</v>
      </c>
    </row>
    <row r="44" spans="4:26" hidden="1" x14ac:dyDescent="0.2">
      <c r="D44" s="220" t="s">
        <v>1339</v>
      </c>
      <c r="E44" s="278">
        <v>0</v>
      </c>
      <c r="F44" s="288">
        <v>0</v>
      </c>
      <c r="G44" s="289">
        <f t="shared" si="5"/>
        <v>0</v>
      </c>
      <c r="H44" s="289"/>
      <c r="I44" s="325">
        <f t="shared" si="6"/>
        <v>0</v>
      </c>
      <c r="J44" s="290">
        <f t="shared" si="7"/>
        <v>0</v>
      </c>
      <c r="K44" s="290">
        <f t="shared" si="7"/>
        <v>0</v>
      </c>
      <c r="L44" s="290">
        <f t="shared" si="7"/>
        <v>0</v>
      </c>
      <c r="M44" s="290">
        <f t="shared" si="7"/>
        <v>0</v>
      </c>
      <c r="N44" s="290">
        <f t="shared" si="7"/>
        <v>0</v>
      </c>
      <c r="O44" s="290">
        <f t="shared" si="7"/>
        <v>0</v>
      </c>
      <c r="P44" s="290">
        <f t="shared" si="7"/>
        <v>0</v>
      </c>
      <c r="Q44" s="290">
        <f t="shared" si="7"/>
        <v>0</v>
      </c>
      <c r="R44" s="290">
        <f t="shared" si="7"/>
        <v>0</v>
      </c>
      <c r="S44" s="290">
        <f t="shared" si="7"/>
        <v>0</v>
      </c>
      <c r="T44" s="290">
        <f t="shared" si="7"/>
        <v>0</v>
      </c>
      <c r="U44" s="290">
        <f t="shared" si="7"/>
        <v>0</v>
      </c>
      <c r="V44" s="290">
        <f t="shared" si="7"/>
        <v>0</v>
      </c>
      <c r="W44" s="290">
        <f t="shared" si="7"/>
        <v>0</v>
      </c>
      <c r="X44" s="328">
        <f t="shared" si="8"/>
        <v>0</v>
      </c>
      <c r="Y44" s="294">
        <v>0</v>
      </c>
      <c r="Z44" s="560">
        <f t="shared" si="0"/>
        <v>0</v>
      </c>
    </row>
    <row r="45" spans="4:26" x14ac:dyDescent="0.2">
      <c r="D45" s="220" t="s">
        <v>1340</v>
      </c>
      <c r="E45" s="278">
        <v>50</v>
      </c>
      <c r="F45" s="288">
        <v>0.6</v>
      </c>
      <c r="G45" s="289">
        <f t="shared" si="5"/>
        <v>0</v>
      </c>
      <c r="H45" s="289"/>
      <c r="I45" s="325">
        <f t="shared" si="6"/>
        <v>30</v>
      </c>
      <c r="J45" s="290">
        <f t="shared" si="7"/>
        <v>30</v>
      </c>
      <c r="K45" s="290">
        <f t="shared" si="7"/>
        <v>30</v>
      </c>
      <c r="L45" s="290">
        <f t="shared" si="7"/>
        <v>30</v>
      </c>
      <c r="M45" s="290">
        <f t="shared" si="7"/>
        <v>30</v>
      </c>
      <c r="N45" s="290">
        <f t="shared" si="7"/>
        <v>30</v>
      </c>
      <c r="O45" s="290">
        <f t="shared" si="7"/>
        <v>30</v>
      </c>
      <c r="P45" s="290">
        <f t="shared" si="7"/>
        <v>30</v>
      </c>
      <c r="Q45" s="290">
        <f t="shared" si="7"/>
        <v>30</v>
      </c>
      <c r="R45" s="290">
        <f t="shared" si="7"/>
        <v>30</v>
      </c>
      <c r="S45" s="290">
        <f t="shared" si="7"/>
        <v>30</v>
      </c>
      <c r="T45" s="290">
        <f t="shared" si="7"/>
        <v>30</v>
      </c>
      <c r="U45" s="290">
        <f t="shared" si="7"/>
        <v>30</v>
      </c>
      <c r="V45" s="290">
        <f t="shared" si="7"/>
        <v>30</v>
      </c>
      <c r="W45" s="290">
        <f t="shared" si="7"/>
        <v>30</v>
      </c>
      <c r="X45" s="328">
        <f t="shared" si="8"/>
        <v>420</v>
      </c>
      <c r="Y45" s="294">
        <v>420</v>
      </c>
      <c r="Z45" s="560">
        <f t="shared" ref="Z45:Z62" si="9">+Y45/$Y$62</f>
        <v>5.2260256075254766E-3</v>
      </c>
    </row>
    <row r="46" spans="4:26" x14ac:dyDescent="0.2">
      <c r="D46" s="220" t="s">
        <v>1341</v>
      </c>
      <c r="E46" s="278">
        <f>100*0.3</f>
        <v>30</v>
      </c>
      <c r="F46" s="288">
        <v>0.6</v>
      </c>
      <c r="G46" s="289">
        <f t="shared" si="5"/>
        <v>0</v>
      </c>
      <c r="H46" s="289"/>
      <c r="I46" s="325">
        <f t="shared" si="6"/>
        <v>18</v>
      </c>
      <c r="J46" s="290">
        <f t="shared" si="7"/>
        <v>18</v>
      </c>
      <c r="K46" s="290">
        <f t="shared" si="7"/>
        <v>18</v>
      </c>
      <c r="L46" s="290">
        <f t="shared" si="7"/>
        <v>18</v>
      </c>
      <c r="M46" s="290">
        <f t="shared" si="7"/>
        <v>18</v>
      </c>
      <c r="N46" s="290">
        <f t="shared" si="7"/>
        <v>18</v>
      </c>
      <c r="O46" s="290">
        <f t="shared" si="7"/>
        <v>18</v>
      </c>
      <c r="P46" s="290">
        <f t="shared" si="7"/>
        <v>18</v>
      </c>
      <c r="Q46" s="290">
        <f t="shared" si="7"/>
        <v>18</v>
      </c>
      <c r="R46" s="290">
        <f t="shared" si="7"/>
        <v>18</v>
      </c>
      <c r="S46" s="290">
        <f t="shared" si="7"/>
        <v>18</v>
      </c>
      <c r="T46" s="290">
        <f t="shared" si="7"/>
        <v>18</v>
      </c>
      <c r="U46" s="290">
        <f t="shared" si="7"/>
        <v>18</v>
      </c>
      <c r="V46" s="290">
        <f t="shared" si="7"/>
        <v>18</v>
      </c>
      <c r="W46" s="290">
        <f t="shared" si="7"/>
        <v>18</v>
      </c>
      <c r="X46" s="328">
        <f t="shared" si="8"/>
        <v>252</v>
      </c>
      <c r="Y46" s="294">
        <v>252</v>
      </c>
      <c r="Z46" s="560">
        <f t="shared" si="9"/>
        <v>3.135615364515286E-3</v>
      </c>
    </row>
    <row r="47" spans="4:26" hidden="1" x14ac:dyDescent="0.2">
      <c r="D47" s="220"/>
      <c r="E47" s="238"/>
      <c r="F47" s="238"/>
      <c r="G47" s="203"/>
      <c r="H47" s="203"/>
      <c r="I47" s="203">
        <f>SUM(I40:I46)</f>
        <v>207</v>
      </c>
      <c r="J47" s="290"/>
      <c r="K47" s="290"/>
      <c r="L47" s="290"/>
      <c r="M47" s="290"/>
      <c r="N47" s="290"/>
      <c r="O47" s="290"/>
      <c r="P47" s="290"/>
      <c r="Q47" s="290"/>
      <c r="R47" s="290"/>
      <c r="S47" s="290"/>
      <c r="T47" s="290"/>
      <c r="U47" s="290"/>
      <c r="V47" s="290"/>
      <c r="W47" s="290"/>
      <c r="X47" s="328"/>
      <c r="Y47" s="294"/>
      <c r="Z47" s="560">
        <f t="shared" si="9"/>
        <v>0</v>
      </c>
    </row>
    <row r="48" spans="4:26" x14ac:dyDescent="0.2">
      <c r="D48" s="312" t="s">
        <v>1342</v>
      </c>
      <c r="E48" s="317"/>
      <c r="F48" s="317"/>
      <c r="G48" s="318"/>
      <c r="H48" s="318"/>
      <c r="I48" s="318" t="s">
        <v>1297</v>
      </c>
      <c r="J48" s="269"/>
      <c r="K48" s="269"/>
      <c r="L48" s="269"/>
      <c r="M48" s="269"/>
      <c r="N48" s="269"/>
      <c r="O48" s="269"/>
      <c r="P48" s="269"/>
      <c r="Q48" s="269"/>
      <c r="R48" s="269"/>
      <c r="S48" s="269"/>
      <c r="T48" s="269"/>
      <c r="U48" s="269"/>
      <c r="V48" s="269"/>
      <c r="W48" s="269"/>
      <c r="X48" s="330">
        <f>SUM(X50:X61)/2</f>
        <v>3304</v>
      </c>
      <c r="Y48" s="316">
        <v>3304</v>
      </c>
      <c r="Z48" s="559">
        <f t="shared" si="9"/>
        <v>4.1111401445867085E-2</v>
      </c>
    </row>
    <row r="49" spans="4:26" hidden="1" x14ac:dyDescent="0.2">
      <c r="D49" s="220"/>
      <c r="E49" s="238"/>
      <c r="F49" s="238"/>
      <c r="G49" s="203"/>
      <c r="H49" s="203"/>
      <c r="I49" s="203"/>
      <c r="J49" s="290"/>
      <c r="K49" s="290"/>
      <c r="L49" s="290"/>
      <c r="M49" s="290"/>
      <c r="N49" s="290"/>
      <c r="O49" s="290"/>
      <c r="P49" s="290"/>
      <c r="Q49" s="290"/>
      <c r="R49" s="290"/>
      <c r="S49" s="290"/>
      <c r="T49" s="290"/>
      <c r="U49" s="290"/>
      <c r="V49" s="290"/>
      <c r="W49" s="290"/>
      <c r="X49" s="328"/>
      <c r="Y49" s="294"/>
      <c r="Z49" s="560">
        <f t="shared" si="9"/>
        <v>0</v>
      </c>
    </row>
    <row r="50" spans="4:26" hidden="1" x14ac:dyDescent="0.2">
      <c r="D50" s="290" t="s">
        <v>1343</v>
      </c>
      <c r="E50" s="290" t="s">
        <v>1315</v>
      </c>
      <c r="F50" s="290"/>
      <c r="G50" s="290" t="s">
        <v>1295</v>
      </c>
      <c r="H50" s="290" t="s">
        <v>1296</v>
      </c>
      <c r="I50" s="290"/>
      <c r="J50" s="290"/>
      <c r="K50" s="290"/>
      <c r="L50" s="290"/>
      <c r="M50" s="290"/>
      <c r="N50" s="290"/>
      <c r="O50" s="290"/>
      <c r="P50" s="290"/>
      <c r="Q50" s="290"/>
      <c r="R50" s="290"/>
      <c r="S50" s="290"/>
      <c r="T50" s="290"/>
      <c r="U50" s="290"/>
      <c r="V50" s="290"/>
      <c r="W50" s="290"/>
      <c r="X50" s="328">
        <f>SUM(X51:X52)</f>
        <v>0</v>
      </c>
      <c r="Y50" s="298">
        <v>0</v>
      </c>
      <c r="Z50" s="560">
        <f t="shared" si="9"/>
        <v>0</v>
      </c>
    </row>
    <row r="51" spans="4:26" hidden="1" x14ac:dyDescent="0.2">
      <c r="D51" s="220" t="s">
        <v>1417</v>
      </c>
      <c r="E51" s="238">
        <f>165*0</f>
        <v>0</v>
      </c>
      <c r="F51" s="288">
        <v>1</v>
      </c>
      <c r="G51" s="289">
        <f>E51*$G$14*F51</f>
        <v>0</v>
      </c>
      <c r="H51" s="289"/>
      <c r="I51" s="203">
        <f>E51*F51+G51</f>
        <v>0</v>
      </c>
      <c r="J51" s="290">
        <f t="shared" ref="J51:W52" si="10">$I51</f>
        <v>0</v>
      </c>
      <c r="K51" s="290">
        <f t="shared" si="10"/>
        <v>0</v>
      </c>
      <c r="L51" s="290">
        <f t="shared" si="10"/>
        <v>0</v>
      </c>
      <c r="M51" s="290">
        <f t="shared" si="10"/>
        <v>0</v>
      </c>
      <c r="N51" s="290">
        <f t="shared" si="10"/>
        <v>0</v>
      </c>
      <c r="O51" s="290">
        <f t="shared" si="10"/>
        <v>0</v>
      </c>
      <c r="P51" s="290">
        <f t="shared" si="10"/>
        <v>0</v>
      </c>
      <c r="Q51" s="290">
        <f t="shared" si="10"/>
        <v>0</v>
      </c>
      <c r="R51" s="290">
        <f t="shared" si="10"/>
        <v>0</v>
      </c>
      <c r="S51" s="290">
        <f t="shared" si="10"/>
        <v>0</v>
      </c>
      <c r="T51" s="290">
        <f t="shared" si="10"/>
        <v>0</v>
      </c>
      <c r="U51" s="290">
        <f t="shared" si="10"/>
        <v>0</v>
      </c>
      <c r="V51" s="290">
        <f t="shared" si="10"/>
        <v>0</v>
      </c>
      <c r="W51" s="290">
        <f t="shared" si="10"/>
        <v>0</v>
      </c>
      <c r="X51" s="328">
        <f>SUM(J51:W51)</f>
        <v>0</v>
      </c>
      <c r="Y51" s="294">
        <v>0</v>
      </c>
      <c r="Z51" s="560">
        <f t="shared" si="9"/>
        <v>0</v>
      </c>
    </row>
    <row r="52" spans="4:26" hidden="1" x14ac:dyDescent="0.2">
      <c r="D52" s="220" t="s">
        <v>1418</v>
      </c>
      <c r="E52" s="238">
        <f>300*0</f>
        <v>0</v>
      </c>
      <c r="F52" s="288">
        <v>1</v>
      </c>
      <c r="G52" s="289">
        <f>E52*$G$14*F52</f>
        <v>0</v>
      </c>
      <c r="H52" s="289"/>
      <c r="I52" s="203">
        <f>E52*F52+G52</f>
        <v>0</v>
      </c>
      <c r="J52" s="290">
        <f t="shared" si="10"/>
        <v>0</v>
      </c>
      <c r="K52" s="290">
        <f t="shared" si="10"/>
        <v>0</v>
      </c>
      <c r="L52" s="290">
        <f t="shared" si="10"/>
        <v>0</v>
      </c>
      <c r="M52" s="290">
        <f t="shared" si="10"/>
        <v>0</v>
      </c>
      <c r="N52" s="290">
        <f t="shared" si="10"/>
        <v>0</v>
      </c>
      <c r="O52" s="290">
        <f t="shared" si="10"/>
        <v>0</v>
      </c>
      <c r="P52" s="290">
        <f t="shared" si="10"/>
        <v>0</v>
      </c>
      <c r="Q52" s="290">
        <f t="shared" si="10"/>
        <v>0</v>
      </c>
      <c r="R52" s="290">
        <f t="shared" si="10"/>
        <v>0</v>
      </c>
      <c r="S52" s="290">
        <f t="shared" si="10"/>
        <v>0</v>
      </c>
      <c r="T52" s="290">
        <f t="shared" si="10"/>
        <v>0</v>
      </c>
      <c r="U52" s="290">
        <f t="shared" si="10"/>
        <v>0</v>
      </c>
      <c r="V52" s="290">
        <f t="shared" si="10"/>
        <v>0</v>
      </c>
      <c r="W52" s="290">
        <f t="shared" si="10"/>
        <v>0</v>
      </c>
      <c r="X52" s="328">
        <f>SUM(J52:W52)</f>
        <v>0</v>
      </c>
      <c r="Y52" s="294">
        <v>0</v>
      </c>
      <c r="Z52" s="560">
        <f t="shared" si="9"/>
        <v>0</v>
      </c>
    </row>
    <row r="53" spans="4:26" hidden="1" x14ac:dyDescent="0.2">
      <c r="D53" s="220"/>
      <c r="E53" s="238"/>
      <c r="F53" s="238"/>
      <c r="G53" s="203"/>
      <c r="H53" s="203"/>
      <c r="I53" s="203">
        <f>SUM(I51:I52)</f>
        <v>0</v>
      </c>
      <c r="J53" s="290"/>
      <c r="K53" s="290"/>
      <c r="L53" s="290"/>
      <c r="M53" s="290"/>
      <c r="N53" s="290"/>
      <c r="O53" s="290"/>
      <c r="P53" s="290"/>
      <c r="Q53" s="290"/>
      <c r="R53" s="290"/>
      <c r="S53" s="290"/>
      <c r="T53" s="290"/>
      <c r="U53" s="290"/>
      <c r="V53" s="290"/>
      <c r="W53" s="290"/>
      <c r="X53" s="328"/>
      <c r="Y53" s="294"/>
      <c r="Z53" s="560">
        <f t="shared" si="9"/>
        <v>0</v>
      </c>
    </row>
    <row r="54" spans="4:26" x14ac:dyDescent="0.2">
      <c r="D54" s="290" t="s">
        <v>1419</v>
      </c>
      <c r="E54" s="290" t="s">
        <v>1315</v>
      </c>
      <c r="F54" s="290"/>
      <c r="G54" s="290" t="s">
        <v>1295</v>
      </c>
      <c r="H54" s="290" t="s">
        <v>1296</v>
      </c>
      <c r="I54" s="290"/>
      <c r="J54" s="290"/>
      <c r="K54" s="290"/>
      <c r="L54" s="290"/>
      <c r="M54" s="290"/>
      <c r="N54" s="290"/>
      <c r="O54" s="290"/>
      <c r="P54" s="290"/>
      <c r="Q54" s="290"/>
      <c r="R54" s="290"/>
      <c r="S54" s="290"/>
      <c r="T54" s="290"/>
      <c r="U54" s="290"/>
      <c r="V54" s="290"/>
      <c r="W54" s="290"/>
      <c r="X54" s="328">
        <f>SUM(X55:X60)</f>
        <v>3304</v>
      </c>
      <c r="Y54" s="298">
        <v>3304</v>
      </c>
      <c r="Z54" s="560">
        <f t="shared" si="9"/>
        <v>4.1111401445867085E-2</v>
      </c>
    </row>
    <row r="55" spans="4:26" x14ac:dyDescent="0.2">
      <c r="D55" s="220" t="s">
        <v>1356</v>
      </c>
      <c r="E55" s="278">
        <v>8</v>
      </c>
      <c r="F55" s="288">
        <v>1</v>
      </c>
      <c r="G55" s="289">
        <f t="shared" ref="G55:G60" si="11">E55*$G$14*F55</f>
        <v>0</v>
      </c>
      <c r="H55" s="289"/>
      <c r="I55" s="325">
        <f t="shared" ref="I55:I60" si="12">E55*F55+G55</f>
        <v>8</v>
      </c>
      <c r="J55" s="290">
        <f t="shared" ref="J55:W60" si="13">$I55</f>
        <v>8</v>
      </c>
      <c r="K55" s="290">
        <f t="shared" si="13"/>
        <v>8</v>
      </c>
      <c r="L55" s="290">
        <f t="shared" si="13"/>
        <v>8</v>
      </c>
      <c r="M55" s="290">
        <f t="shared" si="13"/>
        <v>8</v>
      </c>
      <c r="N55" s="290">
        <f t="shared" si="13"/>
        <v>8</v>
      </c>
      <c r="O55" s="290">
        <f t="shared" si="13"/>
        <v>8</v>
      </c>
      <c r="P55" s="290">
        <f t="shared" si="13"/>
        <v>8</v>
      </c>
      <c r="Q55" s="290">
        <f t="shared" si="13"/>
        <v>8</v>
      </c>
      <c r="R55" s="290">
        <f t="shared" si="13"/>
        <v>8</v>
      </c>
      <c r="S55" s="290">
        <f t="shared" si="13"/>
        <v>8</v>
      </c>
      <c r="T55" s="290">
        <f t="shared" si="13"/>
        <v>8</v>
      </c>
      <c r="U55" s="290">
        <f t="shared" si="13"/>
        <v>8</v>
      </c>
      <c r="V55" s="290">
        <f t="shared" si="13"/>
        <v>8</v>
      </c>
      <c r="W55" s="290">
        <f t="shared" si="13"/>
        <v>8</v>
      </c>
      <c r="X55" s="328">
        <f t="shared" ref="X55:X60" si="14">SUM(J55:W55)</f>
        <v>112</v>
      </c>
      <c r="Y55" s="294">
        <v>112</v>
      </c>
      <c r="Z55" s="560">
        <f t="shared" si="9"/>
        <v>1.3936068286734605E-3</v>
      </c>
    </row>
    <row r="56" spans="4:26" x14ac:dyDescent="0.2">
      <c r="D56" s="220" t="s">
        <v>1357</v>
      </c>
      <c r="E56" s="278">
        <v>8</v>
      </c>
      <c r="F56" s="288">
        <v>1</v>
      </c>
      <c r="G56" s="289">
        <f t="shared" si="11"/>
        <v>0</v>
      </c>
      <c r="H56" s="289"/>
      <c r="I56" s="325">
        <f t="shared" si="12"/>
        <v>8</v>
      </c>
      <c r="J56" s="290">
        <f t="shared" si="13"/>
        <v>8</v>
      </c>
      <c r="K56" s="290">
        <f t="shared" si="13"/>
        <v>8</v>
      </c>
      <c r="L56" s="290">
        <f t="shared" si="13"/>
        <v>8</v>
      </c>
      <c r="M56" s="290">
        <f t="shared" si="13"/>
        <v>8</v>
      </c>
      <c r="N56" s="290">
        <f t="shared" si="13"/>
        <v>8</v>
      </c>
      <c r="O56" s="290">
        <f t="shared" si="13"/>
        <v>8</v>
      </c>
      <c r="P56" s="290">
        <f t="shared" si="13"/>
        <v>8</v>
      </c>
      <c r="Q56" s="290">
        <f t="shared" si="13"/>
        <v>8</v>
      </c>
      <c r="R56" s="290">
        <f t="shared" si="13"/>
        <v>8</v>
      </c>
      <c r="S56" s="290">
        <f t="shared" si="13"/>
        <v>8</v>
      </c>
      <c r="T56" s="290">
        <f t="shared" si="13"/>
        <v>8</v>
      </c>
      <c r="U56" s="290">
        <f t="shared" si="13"/>
        <v>8</v>
      </c>
      <c r="V56" s="290">
        <f t="shared" si="13"/>
        <v>8</v>
      </c>
      <c r="W56" s="290">
        <f t="shared" si="13"/>
        <v>8</v>
      </c>
      <c r="X56" s="328">
        <f t="shared" si="14"/>
        <v>112</v>
      </c>
      <c r="Y56" s="294">
        <v>112</v>
      </c>
      <c r="Z56" s="560">
        <f t="shared" si="9"/>
        <v>1.3936068286734605E-3</v>
      </c>
    </row>
    <row r="57" spans="4:26" hidden="1" x14ac:dyDescent="0.2">
      <c r="D57" s="220" t="s">
        <v>1358</v>
      </c>
      <c r="E57" s="278">
        <v>0</v>
      </c>
      <c r="F57" s="288">
        <v>0</v>
      </c>
      <c r="G57" s="289">
        <f t="shared" si="11"/>
        <v>0</v>
      </c>
      <c r="H57" s="289"/>
      <c r="I57" s="325">
        <f t="shared" si="12"/>
        <v>0</v>
      </c>
      <c r="J57" s="290">
        <f t="shared" si="13"/>
        <v>0</v>
      </c>
      <c r="K57" s="290">
        <f t="shared" si="13"/>
        <v>0</v>
      </c>
      <c r="L57" s="290">
        <f t="shared" si="13"/>
        <v>0</v>
      </c>
      <c r="M57" s="290">
        <f t="shared" si="13"/>
        <v>0</v>
      </c>
      <c r="N57" s="290">
        <f t="shared" si="13"/>
        <v>0</v>
      </c>
      <c r="O57" s="290">
        <f t="shared" si="13"/>
        <v>0</v>
      </c>
      <c r="P57" s="290">
        <f t="shared" si="13"/>
        <v>0</v>
      </c>
      <c r="Q57" s="290">
        <f t="shared" si="13"/>
        <v>0</v>
      </c>
      <c r="R57" s="290">
        <f t="shared" si="13"/>
        <v>0</v>
      </c>
      <c r="S57" s="290">
        <f t="shared" si="13"/>
        <v>0</v>
      </c>
      <c r="T57" s="290">
        <f t="shared" si="13"/>
        <v>0</v>
      </c>
      <c r="U57" s="290">
        <f t="shared" si="13"/>
        <v>0</v>
      </c>
      <c r="V57" s="290">
        <f t="shared" si="13"/>
        <v>0</v>
      </c>
      <c r="W57" s="290">
        <f t="shared" si="13"/>
        <v>0</v>
      </c>
      <c r="X57" s="328">
        <f t="shared" si="14"/>
        <v>0</v>
      </c>
      <c r="Y57" s="294">
        <v>0</v>
      </c>
      <c r="Z57" s="560">
        <f t="shared" si="9"/>
        <v>0</v>
      </c>
    </row>
    <row r="58" spans="4:26" x14ac:dyDescent="0.2">
      <c r="D58" s="220" t="s">
        <v>1359</v>
      </c>
      <c r="E58" s="278">
        <v>100</v>
      </c>
      <c r="F58" s="288">
        <v>1</v>
      </c>
      <c r="G58" s="289">
        <f>E58*$G$14*F58</f>
        <v>0</v>
      </c>
      <c r="H58" s="289"/>
      <c r="I58" s="325">
        <f t="shared" si="12"/>
        <v>100</v>
      </c>
      <c r="J58" s="290">
        <f t="shared" si="13"/>
        <v>100</v>
      </c>
      <c r="K58" s="290">
        <f t="shared" si="13"/>
        <v>100</v>
      </c>
      <c r="L58" s="290">
        <f t="shared" si="13"/>
        <v>100</v>
      </c>
      <c r="M58" s="290">
        <f t="shared" si="13"/>
        <v>100</v>
      </c>
      <c r="N58" s="290">
        <f t="shared" si="13"/>
        <v>100</v>
      </c>
      <c r="O58" s="290">
        <f t="shared" si="13"/>
        <v>100</v>
      </c>
      <c r="P58" s="290">
        <f t="shared" si="13"/>
        <v>100</v>
      </c>
      <c r="Q58" s="290">
        <f t="shared" si="13"/>
        <v>100</v>
      </c>
      <c r="R58" s="290">
        <f t="shared" si="13"/>
        <v>100</v>
      </c>
      <c r="S58" s="290">
        <f t="shared" si="13"/>
        <v>100</v>
      </c>
      <c r="T58" s="290">
        <f t="shared" si="13"/>
        <v>100</v>
      </c>
      <c r="U58" s="290">
        <f t="shared" si="13"/>
        <v>100</v>
      </c>
      <c r="V58" s="290">
        <f t="shared" si="13"/>
        <v>100</v>
      </c>
      <c r="W58" s="290">
        <f t="shared" si="13"/>
        <v>100</v>
      </c>
      <c r="X58" s="328">
        <f t="shared" si="14"/>
        <v>1400</v>
      </c>
      <c r="Y58" s="294">
        <v>1400</v>
      </c>
      <c r="Z58" s="560">
        <f t="shared" si="9"/>
        <v>1.7420085358418255E-2</v>
      </c>
    </row>
    <row r="59" spans="4:26" hidden="1" x14ac:dyDescent="0.2">
      <c r="D59" s="220" t="s">
        <v>1360</v>
      </c>
      <c r="E59" s="278">
        <v>0</v>
      </c>
      <c r="F59" s="288">
        <v>0</v>
      </c>
      <c r="G59" s="289">
        <f t="shared" si="11"/>
        <v>0</v>
      </c>
      <c r="H59" s="289"/>
      <c r="I59" s="325">
        <f t="shared" si="12"/>
        <v>0</v>
      </c>
      <c r="J59" s="290">
        <f t="shared" si="13"/>
        <v>0</v>
      </c>
      <c r="K59" s="290">
        <f t="shared" si="13"/>
        <v>0</v>
      </c>
      <c r="L59" s="290">
        <f t="shared" si="13"/>
        <v>0</v>
      </c>
      <c r="M59" s="290">
        <f t="shared" si="13"/>
        <v>0</v>
      </c>
      <c r="N59" s="290">
        <f t="shared" si="13"/>
        <v>0</v>
      </c>
      <c r="O59" s="290">
        <f t="shared" si="13"/>
        <v>0</v>
      </c>
      <c r="P59" s="290">
        <f t="shared" si="13"/>
        <v>0</v>
      </c>
      <c r="Q59" s="290">
        <f t="shared" si="13"/>
        <v>0</v>
      </c>
      <c r="R59" s="290">
        <f t="shared" si="13"/>
        <v>0</v>
      </c>
      <c r="S59" s="290">
        <f t="shared" si="13"/>
        <v>0</v>
      </c>
      <c r="T59" s="290">
        <f t="shared" si="13"/>
        <v>0</v>
      </c>
      <c r="U59" s="290">
        <f t="shared" si="13"/>
        <v>0</v>
      </c>
      <c r="V59" s="290">
        <f t="shared" si="13"/>
        <v>0</v>
      </c>
      <c r="W59" s="290">
        <f t="shared" si="13"/>
        <v>0</v>
      </c>
      <c r="X59" s="328">
        <f t="shared" si="14"/>
        <v>0</v>
      </c>
      <c r="Y59" s="294">
        <v>0</v>
      </c>
      <c r="Z59" s="560">
        <f t="shared" si="9"/>
        <v>0</v>
      </c>
    </row>
    <row r="60" spans="4:26" x14ac:dyDescent="0.2">
      <c r="D60" s="220" t="s">
        <v>1361</v>
      </c>
      <c r="E60" s="278">
        <v>120</v>
      </c>
      <c r="F60" s="288">
        <v>1</v>
      </c>
      <c r="G60" s="289">
        <f t="shared" si="11"/>
        <v>0</v>
      </c>
      <c r="H60" s="289"/>
      <c r="I60" s="325">
        <f t="shared" si="12"/>
        <v>120</v>
      </c>
      <c r="J60" s="290">
        <f t="shared" si="13"/>
        <v>120</v>
      </c>
      <c r="K60" s="290">
        <f t="shared" si="13"/>
        <v>120</v>
      </c>
      <c r="L60" s="290">
        <f t="shared" si="13"/>
        <v>120</v>
      </c>
      <c r="M60" s="290">
        <f t="shared" si="13"/>
        <v>120</v>
      </c>
      <c r="N60" s="290">
        <f t="shared" si="13"/>
        <v>120</v>
      </c>
      <c r="O60" s="290">
        <f t="shared" si="13"/>
        <v>120</v>
      </c>
      <c r="P60" s="290">
        <f t="shared" si="13"/>
        <v>120</v>
      </c>
      <c r="Q60" s="290">
        <f t="shared" si="13"/>
        <v>120</v>
      </c>
      <c r="R60" s="290">
        <f t="shared" si="13"/>
        <v>120</v>
      </c>
      <c r="S60" s="290">
        <f t="shared" si="13"/>
        <v>120</v>
      </c>
      <c r="T60" s="290">
        <f t="shared" si="13"/>
        <v>120</v>
      </c>
      <c r="U60" s="290">
        <f t="shared" si="13"/>
        <v>120</v>
      </c>
      <c r="V60" s="290">
        <f t="shared" si="13"/>
        <v>120</v>
      </c>
      <c r="W60" s="290">
        <f t="shared" si="13"/>
        <v>120</v>
      </c>
      <c r="X60" s="328">
        <f t="shared" si="14"/>
        <v>1680</v>
      </c>
      <c r="Y60" s="294">
        <v>1680</v>
      </c>
      <c r="Z60" s="560">
        <f t="shared" si="9"/>
        <v>2.0904102430101906E-2</v>
      </c>
    </row>
    <row r="61" spans="4:26" hidden="1" x14ac:dyDescent="0.2">
      <c r="D61" s="220"/>
      <c r="E61" s="238"/>
      <c r="F61" s="238"/>
      <c r="G61" s="203"/>
      <c r="H61" s="203"/>
      <c r="I61" s="203">
        <f>SUM(I55:I60)</f>
        <v>236</v>
      </c>
      <c r="J61" s="290"/>
      <c r="K61" s="290"/>
      <c r="L61" s="290"/>
      <c r="M61" s="290"/>
      <c r="N61" s="290"/>
      <c r="O61" s="290"/>
      <c r="P61" s="290"/>
      <c r="Q61" s="290"/>
      <c r="R61" s="290"/>
      <c r="S61" s="290"/>
      <c r="T61" s="290"/>
      <c r="U61" s="290"/>
      <c r="V61" s="290"/>
      <c r="W61" s="290"/>
      <c r="X61" s="328"/>
      <c r="Y61" s="294"/>
      <c r="Z61" s="560">
        <f t="shared" si="9"/>
        <v>0</v>
      </c>
    </row>
    <row r="62" spans="4:26" ht="20.25" customHeight="1" x14ac:dyDescent="0.2">
      <c r="D62" s="320"/>
      <c r="E62" s="320"/>
      <c r="F62" s="321" t="s">
        <v>1420</v>
      </c>
      <c r="G62" s="320"/>
      <c r="H62" s="320"/>
      <c r="I62" s="320"/>
      <c r="J62" s="320"/>
      <c r="K62" s="320"/>
      <c r="L62" s="322"/>
      <c r="M62" s="320"/>
      <c r="N62" s="322"/>
      <c r="O62" s="322"/>
      <c r="P62" s="322"/>
      <c r="Q62" s="322"/>
      <c r="R62" s="322"/>
      <c r="S62" s="322"/>
      <c r="T62" s="322"/>
      <c r="U62" s="322"/>
      <c r="V62" s="322"/>
      <c r="W62" s="322"/>
      <c r="X62" s="331">
        <f>SUM(X13:X61)/3</f>
        <v>80367</v>
      </c>
      <c r="Y62" s="319">
        <v>80367</v>
      </c>
      <c r="Z62" s="559">
        <f t="shared" si="9"/>
        <v>1</v>
      </c>
    </row>
    <row r="63" spans="4:26" ht="12" hidden="1" thickBot="1" x14ac:dyDescent="0.25">
      <c r="D63" s="237"/>
      <c r="E63" s="246"/>
      <c r="F63" s="246"/>
      <c r="G63" s="185"/>
      <c r="H63" s="185"/>
      <c r="I63" s="185"/>
      <c r="J63" s="185"/>
      <c r="K63" s="185"/>
      <c r="L63" s="185"/>
      <c r="M63" s="185"/>
      <c r="N63" s="185"/>
      <c r="O63" s="185"/>
      <c r="P63" s="185"/>
      <c r="Q63" s="185"/>
      <c r="R63" s="185"/>
      <c r="S63" s="185"/>
      <c r="T63" s="185"/>
      <c r="U63" s="185"/>
      <c r="V63" s="185"/>
      <c r="W63" s="185"/>
      <c r="X63" s="247"/>
      <c r="Y63" s="197"/>
    </row>
    <row r="64" spans="4:26" hidden="1" x14ac:dyDescent="0.2">
      <c r="D64" s="252"/>
      <c r="E64" s="253"/>
      <c r="F64" s="253"/>
      <c r="G64" s="254"/>
      <c r="H64" s="254"/>
      <c r="I64" s="255"/>
      <c r="J64" s="254"/>
      <c r="K64" s="254"/>
      <c r="L64" s="254"/>
      <c r="M64" s="254"/>
      <c r="N64" s="254"/>
      <c r="O64" s="254"/>
      <c r="P64" s="254"/>
      <c r="Q64" s="254"/>
      <c r="R64" s="254"/>
      <c r="S64" s="254"/>
      <c r="T64" s="254"/>
      <c r="U64" s="254"/>
      <c r="V64" s="254"/>
      <c r="W64" s="254"/>
      <c r="X64" s="256"/>
      <c r="Y64" s="185"/>
    </row>
    <row r="65" spans="4:25" ht="23.25" hidden="1" customHeight="1" x14ac:dyDescent="0.2">
      <c r="D65" s="237"/>
      <c r="E65" s="246"/>
      <c r="F65" s="187"/>
      <c r="G65" s="185"/>
      <c r="H65" s="246" t="s">
        <v>1390</v>
      </c>
      <c r="I65" s="185"/>
      <c r="J65" s="185"/>
      <c r="K65" s="185"/>
      <c r="L65" s="185"/>
      <c r="M65" s="185"/>
      <c r="N65" s="185"/>
      <c r="O65" s="185"/>
      <c r="P65" s="185"/>
      <c r="Q65" s="185"/>
      <c r="R65" s="185"/>
      <c r="S65" s="185"/>
      <c r="T65" s="185"/>
      <c r="U65" s="185"/>
      <c r="V65" s="185"/>
      <c r="W65" s="185"/>
      <c r="X65" s="198"/>
      <c r="Y65" s="185"/>
    </row>
    <row r="66" spans="4:25" hidden="1" x14ac:dyDescent="0.2">
      <c r="D66" s="237"/>
      <c r="E66" s="246"/>
      <c r="F66" s="187"/>
      <c r="G66" s="185"/>
      <c r="H66" s="257" t="s">
        <v>1391</v>
      </c>
      <c r="I66" s="185"/>
      <c r="J66" s="185"/>
      <c r="K66" s="185"/>
      <c r="L66" s="185"/>
      <c r="M66" s="185"/>
      <c r="N66" s="185"/>
      <c r="O66" s="185"/>
      <c r="P66" s="185"/>
      <c r="Q66" s="185"/>
      <c r="R66" s="185"/>
      <c r="S66" s="185"/>
      <c r="T66" s="185"/>
      <c r="U66" s="185"/>
      <c r="V66" s="185"/>
      <c r="W66" s="185"/>
      <c r="X66" s="198"/>
      <c r="Y66" s="185"/>
    </row>
    <row r="67" spans="4:25" hidden="1" x14ac:dyDescent="0.2">
      <c r="D67" s="237"/>
      <c r="E67" s="246"/>
      <c r="F67" s="246"/>
      <c r="G67" s="185"/>
      <c r="H67" s="185"/>
      <c r="I67" s="185"/>
      <c r="J67" s="185"/>
      <c r="K67" s="185"/>
      <c r="L67" s="185"/>
      <c r="M67" s="185"/>
      <c r="N67" s="185"/>
      <c r="O67" s="185"/>
      <c r="P67" s="185"/>
      <c r="Q67" s="185"/>
      <c r="R67" s="185"/>
      <c r="S67" s="185"/>
      <c r="T67" s="185"/>
      <c r="U67" s="185"/>
      <c r="V67" s="185"/>
      <c r="W67" s="185"/>
      <c r="X67" s="198"/>
      <c r="Y67" s="185"/>
    </row>
    <row r="68" spans="4:25" hidden="1" x14ac:dyDescent="0.2">
      <c r="D68" s="237"/>
      <c r="E68" s="246"/>
      <c r="F68" s="246"/>
      <c r="G68" s="185"/>
      <c r="H68" s="185"/>
      <c r="I68" s="185"/>
      <c r="J68" s="185"/>
      <c r="K68" s="185"/>
      <c r="L68" s="185"/>
      <c r="M68" s="185"/>
      <c r="N68" s="185"/>
      <c r="O68" s="185"/>
      <c r="P68" s="185"/>
      <c r="Q68" s="185"/>
      <c r="R68" s="185"/>
      <c r="S68" s="185"/>
      <c r="T68" s="185"/>
      <c r="U68" s="185"/>
      <c r="V68" s="185"/>
      <c r="W68" s="185"/>
      <c r="X68" s="198"/>
      <c r="Y68" s="185"/>
    </row>
    <row r="69" spans="4:25" hidden="1" x14ac:dyDescent="0.2">
      <c r="D69" s="237"/>
      <c r="E69" s="246"/>
      <c r="F69" s="246"/>
      <c r="G69" s="185"/>
      <c r="H69" s="185"/>
      <c r="I69" s="185"/>
      <c r="J69" s="185"/>
      <c r="K69" s="185"/>
      <c r="L69" s="185"/>
      <c r="M69" s="185"/>
      <c r="N69" s="185"/>
      <c r="O69" s="185"/>
      <c r="P69" s="185"/>
      <c r="Q69" s="185"/>
      <c r="R69" s="185"/>
      <c r="S69" s="185"/>
      <c r="T69" s="185"/>
      <c r="U69" s="185"/>
      <c r="V69" s="185"/>
      <c r="W69" s="185"/>
      <c r="X69" s="198"/>
      <c r="Y69" s="185"/>
    </row>
    <row r="70" spans="4:25" hidden="1" x14ac:dyDescent="0.2">
      <c r="D70" s="237"/>
      <c r="E70" s="246"/>
      <c r="F70" s="246"/>
      <c r="G70" s="185"/>
      <c r="H70" s="185"/>
      <c r="I70" s="185"/>
      <c r="J70" s="185"/>
      <c r="K70" s="185"/>
      <c r="L70" s="185"/>
      <c r="M70" s="185"/>
      <c r="N70" s="185"/>
      <c r="O70" s="185"/>
      <c r="P70" s="185"/>
      <c r="Q70" s="185"/>
      <c r="R70" s="185"/>
      <c r="S70" s="185"/>
      <c r="T70" s="185"/>
      <c r="U70" s="185"/>
      <c r="V70" s="185"/>
      <c r="W70" s="185"/>
      <c r="X70" s="198"/>
      <c r="Y70" s="185"/>
    </row>
    <row r="71" spans="4:25" hidden="1" x14ac:dyDescent="0.2">
      <c r="D71" s="237"/>
      <c r="E71" s="258"/>
      <c r="F71" s="259" t="s">
        <v>168</v>
      </c>
      <c r="G71" s="260"/>
      <c r="H71" s="185"/>
      <c r="I71" s="185"/>
      <c r="J71" s="260"/>
      <c r="K71" s="259" t="s">
        <v>167</v>
      </c>
      <c r="L71" s="259"/>
      <c r="M71" s="185"/>
      <c r="N71" s="185"/>
      <c r="O71" s="185"/>
      <c r="P71" s="185"/>
      <c r="Q71" s="185"/>
      <c r="R71" s="185"/>
      <c r="S71" s="185"/>
      <c r="T71" s="185"/>
      <c r="U71" s="185"/>
      <c r="V71" s="185"/>
      <c r="W71" s="185"/>
      <c r="X71" s="198"/>
      <c r="Y71" s="185"/>
    </row>
    <row r="72" spans="4:25" hidden="1" x14ac:dyDescent="0.2">
      <c r="D72" s="237"/>
      <c r="E72" s="246"/>
      <c r="F72" s="246" t="s">
        <v>1392</v>
      </c>
      <c r="G72" s="185"/>
      <c r="H72" s="185"/>
      <c r="I72" s="185"/>
      <c r="J72" s="185"/>
      <c r="K72" s="246" t="s">
        <v>1393</v>
      </c>
      <c r="L72" s="185"/>
      <c r="M72" s="185"/>
      <c r="N72" s="185"/>
      <c r="O72" s="185"/>
      <c r="P72" s="185"/>
      <c r="Q72" s="185"/>
      <c r="R72" s="185"/>
      <c r="S72" s="185"/>
      <c r="T72" s="185"/>
      <c r="U72" s="185"/>
      <c r="V72" s="185"/>
      <c r="W72" s="185"/>
      <c r="X72" s="198"/>
      <c r="Y72" s="185"/>
    </row>
    <row r="73" spans="4:25" hidden="1" x14ac:dyDescent="0.2">
      <c r="D73" s="237"/>
      <c r="E73" s="246"/>
      <c r="F73" s="246"/>
      <c r="G73" s="185"/>
      <c r="H73" s="185"/>
      <c r="I73" s="185"/>
      <c r="J73" s="185"/>
      <c r="K73" s="185"/>
      <c r="L73" s="185"/>
      <c r="M73" s="185"/>
      <c r="N73" s="185"/>
      <c r="O73" s="185"/>
      <c r="P73" s="185"/>
      <c r="Q73" s="185"/>
      <c r="R73" s="185"/>
      <c r="S73" s="185"/>
      <c r="T73" s="185"/>
      <c r="U73" s="185"/>
      <c r="V73" s="185"/>
      <c r="W73" s="185"/>
      <c r="X73" s="198"/>
      <c r="Y73" s="185"/>
    </row>
    <row r="74" spans="4:25" ht="12" hidden="1" thickBot="1" x14ac:dyDescent="0.25">
      <c r="D74" s="261"/>
      <c r="E74" s="262" t="s">
        <v>1394</v>
      </c>
      <c r="F74" s="263" t="s">
        <v>1395</v>
      </c>
      <c r="G74" s="264"/>
      <c r="H74" s="264"/>
      <c r="I74" s="264"/>
      <c r="J74" s="265"/>
      <c r="K74" s="265"/>
      <c r="L74" s="265"/>
      <c r="M74" s="265"/>
      <c r="N74" s="265"/>
      <c r="O74" s="265"/>
      <c r="P74" s="265"/>
      <c r="Q74" s="265"/>
      <c r="R74" s="265"/>
      <c r="S74" s="265"/>
      <c r="T74" s="265"/>
      <c r="U74" s="265"/>
      <c r="V74" s="265"/>
      <c r="W74" s="265"/>
      <c r="X74" s="266"/>
      <c r="Y74" s="185"/>
    </row>
    <row r="75" spans="4:25" ht="12" hidden="1" thickTop="1" x14ac:dyDescent="0.2">
      <c r="D75" s="185" t="s">
        <v>1396</v>
      </c>
    </row>
    <row r="76" spans="4:25" hidden="1" x14ac:dyDescent="0.2">
      <c r="D76" s="185" t="s">
        <v>1397</v>
      </c>
    </row>
    <row r="77" spans="4:25" hidden="1" x14ac:dyDescent="0.2">
      <c r="D77" s="185" t="s">
        <v>1398</v>
      </c>
    </row>
    <row r="78" spans="4:25" hidden="1" x14ac:dyDescent="0.2">
      <c r="D78" s="185" t="s">
        <v>1399</v>
      </c>
    </row>
    <row r="79" spans="4:25" hidden="1" x14ac:dyDescent="0.2"/>
    <row r="80" spans="4:25" hidden="1" x14ac:dyDescent="0.2"/>
    <row r="81" spans="10:23" x14ac:dyDescent="0.2">
      <c r="J81" s="740">
        <f>SUM(J16:J60)</f>
        <v>5740.5</v>
      </c>
      <c r="K81" s="740">
        <f t="shared" ref="K81:W81" si="15">SUM(K16:K60)</f>
        <v>5740.5</v>
      </c>
      <c r="L81" s="740">
        <f t="shared" si="15"/>
        <v>5740.5</v>
      </c>
      <c r="M81" s="740">
        <f t="shared" si="15"/>
        <v>5740.5</v>
      </c>
      <c r="N81" s="740">
        <f t="shared" si="15"/>
        <v>5740.5</v>
      </c>
      <c r="O81" s="740">
        <f t="shared" si="15"/>
        <v>5740.5</v>
      </c>
      <c r="P81" s="740">
        <f t="shared" si="15"/>
        <v>5740.5</v>
      </c>
      <c r="Q81" s="740">
        <f t="shared" si="15"/>
        <v>5740.5</v>
      </c>
      <c r="R81" s="740">
        <f t="shared" si="15"/>
        <v>5740.5</v>
      </c>
      <c r="S81" s="740">
        <f t="shared" si="15"/>
        <v>5740.5</v>
      </c>
      <c r="T81" s="740">
        <f t="shared" si="15"/>
        <v>5740.5</v>
      </c>
      <c r="U81" s="740">
        <f t="shared" si="15"/>
        <v>5740.5</v>
      </c>
      <c r="V81" s="740">
        <f t="shared" si="15"/>
        <v>5740.5</v>
      </c>
      <c r="W81" s="740">
        <f t="shared" si="15"/>
        <v>5740.5</v>
      </c>
    </row>
    <row r="82" spans="10:23" x14ac:dyDescent="0.2">
      <c r="J82" s="740">
        <f>+J81</f>
        <v>5740.5</v>
      </c>
      <c r="K82" s="740">
        <f>+J82+K81</f>
        <v>11481</v>
      </c>
      <c r="L82" s="740">
        <f t="shared" ref="L82:W82" si="16">+K82+L81</f>
        <v>17221.5</v>
      </c>
      <c r="M82" s="740">
        <f t="shared" si="16"/>
        <v>22962</v>
      </c>
      <c r="N82" s="740">
        <f t="shared" si="16"/>
        <v>28702.5</v>
      </c>
      <c r="O82" s="740">
        <f t="shared" si="16"/>
        <v>34443</v>
      </c>
      <c r="P82" s="740">
        <f t="shared" si="16"/>
        <v>40183.5</v>
      </c>
      <c r="Q82" s="740">
        <f t="shared" si="16"/>
        <v>45924</v>
      </c>
      <c r="R82" s="740">
        <f t="shared" si="16"/>
        <v>51664.5</v>
      </c>
      <c r="S82" s="740">
        <f t="shared" si="16"/>
        <v>57405</v>
      </c>
      <c r="T82" s="740">
        <f t="shared" si="16"/>
        <v>63145.5</v>
      </c>
      <c r="U82" s="740">
        <f t="shared" si="16"/>
        <v>68886</v>
      </c>
      <c r="V82" s="740">
        <f t="shared" si="16"/>
        <v>74626.5</v>
      </c>
      <c r="W82" s="740">
        <f t="shared" si="16"/>
        <v>80367</v>
      </c>
    </row>
  </sheetData>
  <mergeCells count="5">
    <mergeCell ref="E4:X4"/>
    <mergeCell ref="D6:F6"/>
    <mergeCell ref="J10:S10"/>
    <mergeCell ref="D11:I11"/>
    <mergeCell ref="D3:Z3"/>
  </mergeCells>
  <printOptions horizontalCentered="1" verticalCentered="1"/>
  <pageMargins left="0" right="0" top="0" bottom="0" header="0.31496062992125984" footer="0.31496062992125984"/>
  <pageSetup paperSize="9"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C3:AA180"/>
  <sheetViews>
    <sheetView topLeftCell="E165" zoomScaleNormal="100" workbookViewId="0">
      <selection activeCell="A33" sqref="A33:G57"/>
    </sheetView>
  </sheetViews>
  <sheetFormatPr baseColWidth="10" defaultRowHeight="11.25" x14ac:dyDescent="0.2"/>
  <cols>
    <col min="1" max="1" width="11.42578125" style="187"/>
    <col min="2" max="2" width="3.140625" style="187" customWidth="1"/>
    <col min="3" max="3" width="2.85546875" style="187" customWidth="1"/>
    <col min="4" max="4" width="35.42578125" style="185" customWidth="1"/>
    <col min="5" max="5" width="14.140625" style="186" customWidth="1"/>
    <col min="6" max="6" width="16" style="186" customWidth="1"/>
    <col min="7" max="7" width="12.85546875" style="187" hidden="1" customWidth="1"/>
    <col min="8" max="8" width="11.28515625" style="187" hidden="1" customWidth="1"/>
    <col min="9" max="9" width="11" style="187" hidden="1" customWidth="1"/>
    <col min="10" max="10" width="12.7109375" style="187" bestFit="1" customWidth="1"/>
    <col min="11" max="11" width="12.28515625" style="187" customWidth="1"/>
    <col min="12" max="14" width="8.7109375" style="187" customWidth="1"/>
    <col min="15" max="16" width="10.85546875" style="187" bestFit="1" customWidth="1"/>
    <col min="17" max="17" width="12.5703125" style="187" bestFit="1" customWidth="1"/>
    <col min="18" max="21" width="10.85546875" style="187" bestFit="1" customWidth="1"/>
    <col min="22" max="22" width="13" style="187" bestFit="1" customWidth="1"/>
    <col min="23" max="23" width="11.42578125" style="187" customWidth="1"/>
    <col min="24" max="257" width="11.42578125" style="187"/>
    <col min="258" max="258" width="3.140625" style="187" customWidth="1"/>
    <col min="259" max="259" width="2.85546875" style="187" customWidth="1"/>
    <col min="260" max="260" width="35.42578125" style="187" customWidth="1"/>
    <col min="261" max="261" width="14.140625" style="187" customWidth="1"/>
    <col min="262" max="262" width="16" style="187" customWidth="1"/>
    <col min="263" max="263" width="12.85546875" style="187" customWidth="1"/>
    <col min="264" max="264" width="11.28515625" style="187" bestFit="1" customWidth="1"/>
    <col min="265" max="265" width="11" style="187" customWidth="1"/>
    <col min="266" max="266" width="8.7109375" style="187" customWidth="1"/>
    <col min="267" max="267" width="12.28515625" style="187" customWidth="1"/>
    <col min="268" max="277" width="8.7109375" style="187" customWidth="1"/>
    <col min="278" max="278" width="12.85546875" style="187" bestFit="1" customWidth="1"/>
    <col min="279" max="513" width="11.42578125" style="187"/>
    <col min="514" max="514" width="3.140625" style="187" customWidth="1"/>
    <col min="515" max="515" width="2.85546875" style="187" customWidth="1"/>
    <col min="516" max="516" width="35.42578125" style="187" customWidth="1"/>
    <col min="517" max="517" width="14.140625" style="187" customWidth="1"/>
    <col min="518" max="518" width="16" style="187" customWidth="1"/>
    <col min="519" max="519" width="12.85546875" style="187" customWidth="1"/>
    <col min="520" max="520" width="11.28515625" style="187" bestFit="1" customWidth="1"/>
    <col min="521" max="521" width="11" style="187" customWidth="1"/>
    <col min="522" max="522" width="8.7109375" style="187" customWidth="1"/>
    <col min="523" max="523" width="12.28515625" style="187" customWidth="1"/>
    <col min="524" max="533" width="8.7109375" style="187" customWidth="1"/>
    <col min="534" max="534" width="12.85546875" style="187" bestFit="1" customWidth="1"/>
    <col min="535" max="769" width="11.42578125" style="187"/>
    <col min="770" max="770" width="3.140625" style="187" customWidth="1"/>
    <col min="771" max="771" width="2.85546875" style="187" customWidth="1"/>
    <col min="772" max="772" width="35.42578125" style="187" customWidth="1"/>
    <col min="773" max="773" width="14.140625" style="187" customWidth="1"/>
    <col min="774" max="774" width="16" style="187" customWidth="1"/>
    <col min="775" max="775" width="12.85546875" style="187" customWidth="1"/>
    <col min="776" max="776" width="11.28515625" style="187" bestFit="1" customWidth="1"/>
    <col min="777" max="777" width="11" style="187" customWidth="1"/>
    <col min="778" max="778" width="8.7109375" style="187" customWidth="1"/>
    <col min="779" max="779" width="12.28515625" style="187" customWidth="1"/>
    <col min="780" max="789" width="8.7109375" style="187" customWidth="1"/>
    <col min="790" max="790" width="12.85546875" style="187" bestFit="1" customWidth="1"/>
    <col min="791" max="1025" width="11.42578125" style="187"/>
    <col min="1026" max="1026" width="3.140625" style="187" customWidth="1"/>
    <col min="1027" max="1027" width="2.85546875" style="187" customWidth="1"/>
    <col min="1028" max="1028" width="35.42578125" style="187" customWidth="1"/>
    <col min="1029" max="1029" width="14.140625" style="187" customWidth="1"/>
    <col min="1030" max="1030" width="16" style="187" customWidth="1"/>
    <col min="1031" max="1031" width="12.85546875" style="187" customWidth="1"/>
    <col min="1032" max="1032" width="11.28515625" style="187" bestFit="1" customWidth="1"/>
    <col min="1033" max="1033" width="11" style="187" customWidth="1"/>
    <col min="1034" max="1034" width="8.7109375" style="187" customWidth="1"/>
    <col min="1035" max="1035" width="12.28515625" style="187" customWidth="1"/>
    <col min="1036" max="1045" width="8.7109375" style="187" customWidth="1"/>
    <col min="1046" max="1046" width="12.85546875" style="187" bestFit="1" customWidth="1"/>
    <col min="1047" max="1281" width="11.42578125" style="187"/>
    <col min="1282" max="1282" width="3.140625" style="187" customWidth="1"/>
    <col min="1283" max="1283" width="2.85546875" style="187" customWidth="1"/>
    <col min="1284" max="1284" width="35.42578125" style="187" customWidth="1"/>
    <col min="1285" max="1285" width="14.140625" style="187" customWidth="1"/>
    <col min="1286" max="1286" width="16" style="187" customWidth="1"/>
    <col min="1287" max="1287" width="12.85546875" style="187" customWidth="1"/>
    <col min="1288" max="1288" width="11.28515625" style="187" bestFit="1" customWidth="1"/>
    <col min="1289" max="1289" width="11" style="187" customWidth="1"/>
    <col min="1290" max="1290" width="8.7109375" style="187" customWidth="1"/>
    <col min="1291" max="1291" width="12.28515625" style="187" customWidth="1"/>
    <col min="1292" max="1301" width="8.7109375" style="187" customWidth="1"/>
    <col min="1302" max="1302" width="12.85546875" style="187" bestFit="1" customWidth="1"/>
    <col min="1303" max="1537" width="11.42578125" style="187"/>
    <col min="1538" max="1538" width="3.140625" style="187" customWidth="1"/>
    <col min="1539" max="1539" width="2.85546875" style="187" customWidth="1"/>
    <col min="1540" max="1540" width="35.42578125" style="187" customWidth="1"/>
    <col min="1541" max="1541" width="14.140625" style="187" customWidth="1"/>
    <col min="1542" max="1542" width="16" style="187" customWidth="1"/>
    <col min="1543" max="1543" width="12.85546875" style="187" customWidth="1"/>
    <col min="1544" max="1544" width="11.28515625" style="187" bestFit="1" customWidth="1"/>
    <col min="1545" max="1545" width="11" style="187" customWidth="1"/>
    <col min="1546" max="1546" width="8.7109375" style="187" customWidth="1"/>
    <col min="1547" max="1547" width="12.28515625" style="187" customWidth="1"/>
    <col min="1548" max="1557" width="8.7109375" style="187" customWidth="1"/>
    <col min="1558" max="1558" width="12.85546875" style="187" bestFit="1" customWidth="1"/>
    <col min="1559" max="1793" width="11.42578125" style="187"/>
    <col min="1794" max="1794" width="3.140625" style="187" customWidth="1"/>
    <col min="1795" max="1795" width="2.85546875" style="187" customWidth="1"/>
    <col min="1796" max="1796" width="35.42578125" style="187" customWidth="1"/>
    <col min="1797" max="1797" width="14.140625" style="187" customWidth="1"/>
    <col min="1798" max="1798" width="16" style="187" customWidth="1"/>
    <col min="1799" max="1799" width="12.85546875" style="187" customWidth="1"/>
    <col min="1800" max="1800" width="11.28515625" style="187" bestFit="1" customWidth="1"/>
    <col min="1801" max="1801" width="11" style="187" customWidth="1"/>
    <col min="1802" max="1802" width="8.7109375" style="187" customWidth="1"/>
    <col min="1803" max="1803" width="12.28515625" style="187" customWidth="1"/>
    <col min="1804" max="1813" width="8.7109375" style="187" customWidth="1"/>
    <col min="1814" max="1814" width="12.85546875" style="187" bestFit="1" customWidth="1"/>
    <col min="1815" max="2049" width="11.42578125" style="187"/>
    <col min="2050" max="2050" width="3.140625" style="187" customWidth="1"/>
    <col min="2051" max="2051" width="2.85546875" style="187" customWidth="1"/>
    <col min="2052" max="2052" width="35.42578125" style="187" customWidth="1"/>
    <col min="2053" max="2053" width="14.140625" style="187" customWidth="1"/>
    <col min="2054" max="2054" width="16" style="187" customWidth="1"/>
    <col min="2055" max="2055" width="12.85546875" style="187" customWidth="1"/>
    <col min="2056" max="2056" width="11.28515625" style="187" bestFit="1" customWidth="1"/>
    <col min="2057" max="2057" width="11" style="187" customWidth="1"/>
    <col min="2058" max="2058" width="8.7109375" style="187" customWidth="1"/>
    <col min="2059" max="2059" width="12.28515625" style="187" customWidth="1"/>
    <col min="2060" max="2069" width="8.7109375" style="187" customWidth="1"/>
    <col min="2070" max="2070" width="12.85546875" style="187" bestFit="1" customWidth="1"/>
    <col min="2071" max="2305" width="11.42578125" style="187"/>
    <col min="2306" max="2306" width="3.140625" style="187" customWidth="1"/>
    <col min="2307" max="2307" width="2.85546875" style="187" customWidth="1"/>
    <col min="2308" max="2308" width="35.42578125" style="187" customWidth="1"/>
    <col min="2309" max="2309" width="14.140625" style="187" customWidth="1"/>
    <col min="2310" max="2310" width="16" style="187" customWidth="1"/>
    <col min="2311" max="2311" width="12.85546875" style="187" customWidth="1"/>
    <col min="2312" max="2312" width="11.28515625" style="187" bestFit="1" customWidth="1"/>
    <col min="2313" max="2313" width="11" style="187" customWidth="1"/>
    <col min="2314" max="2314" width="8.7109375" style="187" customWidth="1"/>
    <col min="2315" max="2315" width="12.28515625" style="187" customWidth="1"/>
    <col min="2316" max="2325" width="8.7109375" style="187" customWidth="1"/>
    <col min="2326" max="2326" width="12.85546875" style="187" bestFit="1" customWidth="1"/>
    <col min="2327" max="2561" width="11.42578125" style="187"/>
    <col min="2562" max="2562" width="3.140625" style="187" customWidth="1"/>
    <col min="2563" max="2563" width="2.85546875" style="187" customWidth="1"/>
    <col min="2564" max="2564" width="35.42578125" style="187" customWidth="1"/>
    <col min="2565" max="2565" width="14.140625" style="187" customWidth="1"/>
    <col min="2566" max="2566" width="16" style="187" customWidth="1"/>
    <col min="2567" max="2567" width="12.85546875" style="187" customWidth="1"/>
    <col min="2568" max="2568" width="11.28515625" style="187" bestFit="1" customWidth="1"/>
    <col min="2569" max="2569" width="11" style="187" customWidth="1"/>
    <col min="2570" max="2570" width="8.7109375" style="187" customWidth="1"/>
    <col min="2571" max="2571" width="12.28515625" style="187" customWidth="1"/>
    <col min="2572" max="2581" width="8.7109375" style="187" customWidth="1"/>
    <col min="2582" max="2582" width="12.85546875" style="187" bestFit="1" customWidth="1"/>
    <col min="2583" max="2817" width="11.42578125" style="187"/>
    <col min="2818" max="2818" width="3.140625" style="187" customWidth="1"/>
    <col min="2819" max="2819" width="2.85546875" style="187" customWidth="1"/>
    <col min="2820" max="2820" width="35.42578125" style="187" customWidth="1"/>
    <col min="2821" max="2821" width="14.140625" style="187" customWidth="1"/>
    <col min="2822" max="2822" width="16" style="187" customWidth="1"/>
    <col min="2823" max="2823" width="12.85546875" style="187" customWidth="1"/>
    <col min="2824" max="2824" width="11.28515625" style="187" bestFit="1" customWidth="1"/>
    <col min="2825" max="2825" width="11" style="187" customWidth="1"/>
    <col min="2826" max="2826" width="8.7109375" style="187" customWidth="1"/>
    <col min="2827" max="2827" width="12.28515625" style="187" customWidth="1"/>
    <col min="2828" max="2837" width="8.7109375" style="187" customWidth="1"/>
    <col min="2838" max="2838" width="12.85546875" style="187" bestFit="1" customWidth="1"/>
    <col min="2839" max="3073" width="11.42578125" style="187"/>
    <col min="3074" max="3074" width="3.140625" style="187" customWidth="1"/>
    <col min="3075" max="3075" width="2.85546875" style="187" customWidth="1"/>
    <col min="3076" max="3076" width="35.42578125" style="187" customWidth="1"/>
    <col min="3077" max="3077" width="14.140625" style="187" customWidth="1"/>
    <col min="3078" max="3078" width="16" style="187" customWidth="1"/>
    <col min="3079" max="3079" width="12.85546875" style="187" customWidth="1"/>
    <col min="3080" max="3080" width="11.28515625" style="187" bestFit="1" customWidth="1"/>
    <col min="3081" max="3081" width="11" style="187" customWidth="1"/>
    <col min="3082" max="3082" width="8.7109375" style="187" customWidth="1"/>
    <col min="3083" max="3083" width="12.28515625" style="187" customWidth="1"/>
    <col min="3084" max="3093" width="8.7109375" style="187" customWidth="1"/>
    <col min="3094" max="3094" width="12.85546875" style="187" bestFit="1" customWidth="1"/>
    <col min="3095" max="3329" width="11.42578125" style="187"/>
    <col min="3330" max="3330" width="3.140625" style="187" customWidth="1"/>
    <col min="3331" max="3331" width="2.85546875" style="187" customWidth="1"/>
    <col min="3332" max="3332" width="35.42578125" style="187" customWidth="1"/>
    <col min="3333" max="3333" width="14.140625" style="187" customWidth="1"/>
    <col min="3334" max="3334" width="16" style="187" customWidth="1"/>
    <col min="3335" max="3335" width="12.85546875" style="187" customWidth="1"/>
    <col min="3336" max="3336" width="11.28515625" style="187" bestFit="1" customWidth="1"/>
    <col min="3337" max="3337" width="11" style="187" customWidth="1"/>
    <col min="3338" max="3338" width="8.7109375" style="187" customWidth="1"/>
    <col min="3339" max="3339" width="12.28515625" style="187" customWidth="1"/>
    <col min="3340" max="3349" width="8.7109375" style="187" customWidth="1"/>
    <col min="3350" max="3350" width="12.85546875" style="187" bestFit="1" customWidth="1"/>
    <col min="3351" max="3585" width="11.42578125" style="187"/>
    <col min="3586" max="3586" width="3.140625" style="187" customWidth="1"/>
    <col min="3587" max="3587" width="2.85546875" style="187" customWidth="1"/>
    <col min="3588" max="3588" width="35.42578125" style="187" customWidth="1"/>
    <col min="3589" max="3589" width="14.140625" style="187" customWidth="1"/>
    <col min="3590" max="3590" width="16" style="187" customWidth="1"/>
    <col min="3591" max="3591" width="12.85546875" style="187" customWidth="1"/>
    <col min="3592" max="3592" width="11.28515625" style="187" bestFit="1" customWidth="1"/>
    <col min="3593" max="3593" width="11" style="187" customWidth="1"/>
    <col min="3594" max="3594" width="8.7109375" style="187" customWidth="1"/>
    <col min="3595" max="3595" width="12.28515625" style="187" customWidth="1"/>
    <col min="3596" max="3605" width="8.7109375" style="187" customWidth="1"/>
    <col min="3606" max="3606" width="12.85546875" style="187" bestFit="1" customWidth="1"/>
    <col min="3607" max="3841" width="11.42578125" style="187"/>
    <col min="3842" max="3842" width="3.140625" style="187" customWidth="1"/>
    <col min="3843" max="3843" width="2.85546875" style="187" customWidth="1"/>
    <col min="3844" max="3844" width="35.42578125" style="187" customWidth="1"/>
    <col min="3845" max="3845" width="14.140625" style="187" customWidth="1"/>
    <col min="3846" max="3846" width="16" style="187" customWidth="1"/>
    <col min="3847" max="3847" width="12.85546875" style="187" customWidth="1"/>
    <col min="3848" max="3848" width="11.28515625" style="187" bestFit="1" customWidth="1"/>
    <col min="3849" max="3849" width="11" style="187" customWidth="1"/>
    <col min="3850" max="3850" width="8.7109375" style="187" customWidth="1"/>
    <col min="3851" max="3851" width="12.28515625" style="187" customWidth="1"/>
    <col min="3852" max="3861" width="8.7109375" style="187" customWidth="1"/>
    <col min="3862" max="3862" width="12.85546875" style="187" bestFit="1" customWidth="1"/>
    <col min="3863" max="4097" width="11.42578125" style="187"/>
    <col min="4098" max="4098" width="3.140625" style="187" customWidth="1"/>
    <col min="4099" max="4099" width="2.85546875" style="187" customWidth="1"/>
    <col min="4100" max="4100" width="35.42578125" style="187" customWidth="1"/>
    <col min="4101" max="4101" width="14.140625" style="187" customWidth="1"/>
    <col min="4102" max="4102" width="16" style="187" customWidth="1"/>
    <col min="4103" max="4103" width="12.85546875" style="187" customWidth="1"/>
    <col min="4104" max="4104" width="11.28515625" style="187" bestFit="1" customWidth="1"/>
    <col min="4105" max="4105" width="11" style="187" customWidth="1"/>
    <col min="4106" max="4106" width="8.7109375" style="187" customWidth="1"/>
    <col min="4107" max="4107" width="12.28515625" style="187" customWidth="1"/>
    <col min="4108" max="4117" width="8.7109375" style="187" customWidth="1"/>
    <col min="4118" max="4118" width="12.85546875" style="187" bestFit="1" customWidth="1"/>
    <col min="4119" max="4353" width="11.42578125" style="187"/>
    <col min="4354" max="4354" width="3.140625" style="187" customWidth="1"/>
    <col min="4355" max="4355" width="2.85546875" style="187" customWidth="1"/>
    <col min="4356" max="4356" width="35.42578125" style="187" customWidth="1"/>
    <col min="4357" max="4357" width="14.140625" style="187" customWidth="1"/>
    <col min="4358" max="4358" width="16" style="187" customWidth="1"/>
    <col min="4359" max="4359" width="12.85546875" style="187" customWidth="1"/>
    <col min="4360" max="4360" width="11.28515625" style="187" bestFit="1" customWidth="1"/>
    <col min="4361" max="4361" width="11" style="187" customWidth="1"/>
    <col min="4362" max="4362" width="8.7109375" style="187" customWidth="1"/>
    <col min="4363" max="4363" width="12.28515625" style="187" customWidth="1"/>
    <col min="4364" max="4373" width="8.7109375" style="187" customWidth="1"/>
    <col min="4374" max="4374" width="12.85546875" style="187" bestFit="1" customWidth="1"/>
    <col min="4375" max="4609" width="11.42578125" style="187"/>
    <col min="4610" max="4610" width="3.140625" style="187" customWidth="1"/>
    <col min="4611" max="4611" width="2.85546875" style="187" customWidth="1"/>
    <col min="4612" max="4612" width="35.42578125" style="187" customWidth="1"/>
    <col min="4613" max="4613" width="14.140625" style="187" customWidth="1"/>
    <col min="4614" max="4614" width="16" style="187" customWidth="1"/>
    <col min="4615" max="4615" width="12.85546875" style="187" customWidth="1"/>
    <col min="4616" max="4616" width="11.28515625" style="187" bestFit="1" customWidth="1"/>
    <col min="4617" max="4617" width="11" style="187" customWidth="1"/>
    <col min="4618" max="4618" width="8.7109375" style="187" customWidth="1"/>
    <col min="4619" max="4619" width="12.28515625" style="187" customWidth="1"/>
    <col min="4620" max="4629" width="8.7109375" style="187" customWidth="1"/>
    <col min="4630" max="4630" width="12.85546875" style="187" bestFit="1" customWidth="1"/>
    <col min="4631" max="4865" width="11.42578125" style="187"/>
    <col min="4866" max="4866" width="3.140625" style="187" customWidth="1"/>
    <col min="4867" max="4867" width="2.85546875" style="187" customWidth="1"/>
    <col min="4868" max="4868" width="35.42578125" style="187" customWidth="1"/>
    <col min="4869" max="4869" width="14.140625" style="187" customWidth="1"/>
    <col min="4870" max="4870" width="16" style="187" customWidth="1"/>
    <col min="4871" max="4871" width="12.85546875" style="187" customWidth="1"/>
    <col min="4872" max="4872" width="11.28515625" style="187" bestFit="1" customWidth="1"/>
    <col min="4873" max="4873" width="11" style="187" customWidth="1"/>
    <col min="4874" max="4874" width="8.7109375" style="187" customWidth="1"/>
    <col min="4875" max="4875" width="12.28515625" style="187" customWidth="1"/>
    <col min="4876" max="4885" width="8.7109375" style="187" customWidth="1"/>
    <col min="4886" max="4886" width="12.85546875" style="187" bestFit="1" customWidth="1"/>
    <col min="4887" max="5121" width="11.42578125" style="187"/>
    <col min="5122" max="5122" width="3.140625" style="187" customWidth="1"/>
    <col min="5123" max="5123" width="2.85546875" style="187" customWidth="1"/>
    <col min="5124" max="5124" width="35.42578125" style="187" customWidth="1"/>
    <col min="5125" max="5125" width="14.140625" style="187" customWidth="1"/>
    <col min="5126" max="5126" width="16" style="187" customWidth="1"/>
    <col min="5127" max="5127" width="12.85546875" style="187" customWidth="1"/>
    <col min="5128" max="5128" width="11.28515625" style="187" bestFit="1" customWidth="1"/>
    <col min="5129" max="5129" width="11" style="187" customWidth="1"/>
    <col min="5130" max="5130" width="8.7109375" style="187" customWidth="1"/>
    <col min="5131" max="5131" width="12.28515625" style="187" customWidth="1"/>
    <col min="5132" max="5141" width="8.7109375" style="187" customWidth="1"/>
    <col min="5142" max="5142" width="12.85546875" style="187" bestFit="1" customWidth="1"/>
    <col min="5143" max="5377" width="11.42578125" style="187"/>
    <col min="5378" max="5378" width="3.140625" style="187" customWidth="1"/>
    <col min="5379" max="5379" width="2.85546875" style="187" customWidth="1"/>
    <col min="5380" max="5380" width="35.42578125" style="187" customWidth="1"/>
    <col min="5381" max="5381" width="14.140625" style="187" customWidth="1"/>
    <col min="5382" max="5382" width="16" style="187" customWidth="1"/>
    <col min="5383" max="5383" width="12.85546875" style="187" customWidth="1"/>
    <col min="5384" max="5384" width="11.28515625" style="187" bestFit="1" customWidth="1"/>
    <col min="5385" max="5385" width="11" style="187" customWidth="1"/>
    <col min="5386" max="5386" width="8.7109375" style="187" customWidth="1"/>
    <col min="5387" max="5387" width="12.28515625" style="187" customWidth="1"/>
    <col min="5388" max="5397" width="8.7109375" style="187" customWidth="1"/>
    <col min="5398" max="5398" width="12.85546875" style="187" bestFit="1" customWidth="1"/>
    <col min="5399" max="5633" width="11.42578125" style="187"/>
    <col min="5634" max="5634" width="3.140625" style="187" customWidth="1"/>
    <col min="5635" max="5635" width="2.85546875" style="187" customWidth="1"/>
    <col min="5636" max="5636" width="35.42578125" style="187" customWidth="1"/>
    <col min="5637" max="5637" width="14.140625" style="187" customWidth="1"/>
    <col min="5638" max="5638" width="16" style="187" customWidth="1"/>
    <col min="5639" max="5639" width="12.85546875" style="187" customWidth="1"/>
    <col min="5640" max="5640" width="11.28515625" style="187" bestFit="1" customWidth="1"/>
    <col min="5641" max="5641" width="11" style="187" customWidth="1"/>
    <col min="5642" max="5642" width="8.7109375" style="187" customWidth="1"/>
    <col min="5643" max="5643" width="12.28515625" style="187" customWidth="1"/>
    <col min="5644" max="5653" width="8.7109375" style="187" customWidth="1"/>
    <col min="5654" max="5654" width="12.85546875" style="187" bestFit="1" customWidth="1"/>
    <col min="5655" max="5889" width="11.42578125" style="187"/>
    <col min="5890" max="5890" width="3.140625" style="187" customWidth="1"/>
    <col min="5891" max="5891" width="2.85546875" style="187" customWidth="1"/>
    <col min="5892" max="5892" width="35.42578125" style="187" customWidth="1"/>
    <col min="5893" max="5893" width="14.140625" style="187" customWidth="1"/>
    <col min="5894" max="5894" width="16" style="187" customWidth="1"/>
    <col min="5895" max="5895" width="12.85546875" style="187" customWidth="1"/>
    <col min="5896" max="5896" width="11.28515625" style="187" bestFit="1" customWidth="1"/>
    <col min="5897" max="5897" width="11" style="187" customWidth="1"/>
    <col min="5898" max="5898" width="8.7109375" style="187" customWidth="1"/>
    <col min="5899" max="5899" width="12.28515625" style="187" customWidth="1"/>
    <col min="5900" max="5909" width="8.7109375" style="187" customWidth="1"/>
    <col min="5910" max="5910" width="12.85546875" style="187" bestFit="1" customWidth="1"/>
    <col min="5911" max="6145" width="11.42578125" style="187"/>
    <col min="6146" max="6146" width="3.140625" style="187" customWidth="1"/>
    <col min="6147" max="6147" width="2.85546875" style="187" customWidth="1"/>
    <col min="6148" max="6148" width="35.42578125" style="187" customWidth="1"/>
    <col min="6149" max="6149" width="14.140625" style="187" customWidth="1"/>
    <col min="6150" max="6150" width="16" style="187" customWidth="1"/>
    <col min="6151" max="6151" width="12.85546875" style="187" customWidth="1"/>
    <col min="6152" max="6152" width="11.28515625" style="187" bestFit="1" customWidth="1"/>
    <col min="6153" max="6153" width="11" style="187" customWidth="1"/>
    <col min="6154" max="6154" width="8.7109375" style="187" customWidth="1"/>
    <col min="6155" max="6155" width="12.28515625" style="187" customWidth="1"/>
    <col min="6156" max="6165" width="8.7109375" style="187" customWidth="1"/>
    <col min="6166" max="6166" width="12.85546875" style="187" bestFit="1" customWidth="1"/>
    <col min="6167" max="6401" width="11.42578125" style="187"/>
    <col min="6402" max="6402" width="3.140625" style="187" customWidth="1"/>
    <col min="6403" max="6403" width="2.85546875" style="187" customWidth="1"/>
    <col min="6404" max="6404" width="35.42578125" style="187" customWidth="1"/>
    <col min="6405" max="6405" width="14.140625" style="187" customWidth="1"/>
    <col min="6406" max="6406" width="16" style="187" customWidth="1"/>
    <col min="6407" max="6407" width="12.85546875" style="187" customWidth="1"/>
    <col min="6408" max="6408" width="11.28515625" style="187" bestFit="1" customWidth="1"/>
    <col min="6409" max="6409" width="11" style="187" customWidth="1"/>
    <col min="6410" max="6410" width="8.7109375" style="187" customWidth="1"/>
    <col min="6411" max="6411" width="12.28515625" style="187" customWidth="1"/>
    <col min="6412" max="6421" width="8.7109375" style="187" customWidth="1"/>
    <col min="6422" max="6422" width="12.85546875" style="187" bestFit="1" customWidth="1"/>
    <col min="6423" max="6657" width="11.42578125" style="187"/>
    <col min="6658" max="6658" width="3.140625" style="187" customWidth="1"/>
    <col min="6659" max="6659" width="2.85546875" style="187" customWidth="1"/>
    <col min="6660" max="6660" width="35.42578125" style="187" customWidth="1"/>
    <col min="6661" max="6661" width="14.140625" style="187" customWidth="1"/>
    <col min="6662" max="6662" width="16" style="187" customWidth="1"/>
    <col min="6663" max="6663" width="12.85546875" style="187" customWidth="1"/>
    <col min="6664" max="6664" width="11.28515625" style="187" bestFit="1" customWidth="1"/>
    <col min="6665" max="6665" width="11" style="187" customWidth="1"/>
    <col min="6666" max="6666" width="8.7109375" style="187" customWidth="1"/>
    <col min="6667" max="6667" width="12.28515625" style="187" customWidth="1"/>
    <col min="6668" max="6677" width="8.7109375" style="187" customWidth="1"/>
    <col min="6678" max="6678" width="12.85546875" style="187" bestFit="1" customWidth="1"/>
    <col min="6679" max="6913" width="11.42578125" style="187"/>
    <col min="6914" max="6914" width="3.140625" style="187" customWidth="1"/>
    <col min="6915" max="6915" width="2.85546875" style="187" customWidth="1"/>
    <col min="6916" max="6916" width="35.42578125" style="187" customWidth="1"/>
    <col min="6917" max="6917" width="14.140625" style="187" customWidth="1"/>
    <col min="6918" max="6918" width="16" style="187" customWidth="1"/>
    <col min="6919" max="6919" width="12.85546875" style="187" customWidth="1"/>
    <col min="6920" max="6920" width="11.28515625" style="187" bestFit="1" customWidth="1"/>
    <col min="6921" max="6921" width="11" style="187" customWidth="1"/>
    <col min="6922" max="6922" width="8.7109375" style="187" customWidth="1"/>
    <col min="6923" max="6923" width="12.28515625" style="187" customWidth="1"/>
    <col min="6924" max="6933" width="8.7109375" style="187" customWidth="1"/>
    <col min="6934" max="6934" width="12.85546875" style="187" bestFit="1" customWidth="1"/>
    <col min="6935" max="7169" width="11.42578125" style="187"/>
    <col min="7170" max="7170" width="3.140625" style="187" customWidth="1"/>
    <col min="7171" max="7171" width="2.85546875" style="187" customWidth="1"/>
    <col min="7172" max="7172" width="35.42578125" style="187" customWidth="1"/>
    <col min="7173" max="7173" width="14.140625" style="187" customWidth="1"/>
    <col min="7174" max="7174" width="16" style="187" customWidth="1"/>
    <col min="7175" max="7175" width="12.85546875" style="187" customWidth="1"/>
    <col min="7176" max="7176" width="11.28515625" style="187" bestFit="1" customWidth="1"/>
    <col min="7177" max="7177" width="11" style="187" customWidth="1"/>
    <col min="7178" max="7178" width="8.7109375" style="187" customWidth="1"/>
    <col min="7179" max="7179" width="12.28515625" style="187" customWidth="1"/>
    <col min="7180" max="7189" width="8.7109375" style="187" customWidth="1"/>
    <col min="7190" max="7190" width="12.85546875" style="187" bestFit="1" customWidth="1"/>
    <col min="7191" max="7425" width="11.42578125" style="187"/>
    <col min="7426" max="7426" width="3.140625" style="187" customWidth="1"/>
    <col min="7427" max="7427" width="2.85546875" style="187" customWidth="1"/>
    <col min="7428" max="7428" width="35.42578125" style="187" customWidth="1"/>
    <col min="7429" max="7429" width="14.140625" style="187" customWidth="1"/>
    <col min="7430" max="7430" width="16" style="187" customWidth="1"/>
    <col min="7431" max="7431" width="12.85546875" style="187" customWidth="1"/>
    <col min="7432" max="7432" width="11.28515625" style="187" bestFit="1" customWidth="1"/>
    <col min="7433" max="7433" width="11" style="187" customWidth="1"/>
    <col min="7434" max="7434" width="8.7109375" style="187" customWidth="1"/>
    <col min="7435" max="7435" width="12.28515625" style="187" customWidth="1"/>
    <col min="7436" max="7445" width="8.7109375" style="187" customWidth="1"/>
    <col min="7446" max="7446" width="12.85546875" style="187" bestFit="1" customWidth="1"/>
    <col min="7447" max="7681" width="11.42578125" style="187"/>
    <col min="7682" max="7682" width="3.140625" style="187" customWidth="1"/>
    <col min="7683" max="7683" width="2.85546875" style="187" customWidth="1"/>
    <col min="7684" max="7684" width="35.42578125" style="187" customWidth="1"/>
    <col min="7685" max="7685" width="14.140625" style="187" customWidth="1"/>
    <col min="7686" max="7686" width="16" style="187" customWidth="1"/>
    <col min="7687" max="7687" width="12.85546875" style="187" customWidth="1"/>
    <col min="7688" max="7688" width="11.28515625" style="187" bestFit="1" customWidth="1"/>
    <col min="7689" max="7689" width="11" style="187" customWidth="1"/>
    <col min="7690" max="7690" width="8.7109375" style="187" customWidth="1"/>
    <col min="7691" max="7691" width="12.28515625" style="187" customWidth="1"/>
    <col min="7692" max="7701" width="8.7109375" style="187" customWidth="1"/>
    <col min="7702" max="7702" width="12.85546875" style="187" bestFit="1" customWidth="1"/>
    <col min="7703" max="7937" width="11.42578125" style="187"/>
    <col min="7938" max="7938" width="3.140625" style="187" customWidth="1"/>
    <col min="7939" max="7939" width="2.85546875" style="187" customWidth="1"/>
    <col min="7940" max="7940" width="35.42578125" style="187" customWidth="1"/>
    <col min="7941" max="7941" width="14.140625" style="187" customWidth="1"/>
    <col min="7942" max="7942" width="16" style="187" customWidth="1"/>
    <col min="7943" max="7943" width="12.85546875" style="187" customWidth="1"/>
    <col min="7944" max="7944" width="11.28515625" style="187" bestFit="1" customWidth="1"/>
    <col min="7945" max="7945" width="11" style="187" customWidth="1"/>
    <col min="7946" max="7946" width="8.7109375" style="187" customWidth="1"/>
    <col min="7947" max="7947" width="12.28515625" style="187" customWidth="1"/>
    <col min="7948" max="7957" width="8.7109375" style="187" customWidth="1"/>
    <col min="7958" max="7958" width="12.85546875" style="187" bestFit="1" customWidth="1"/>
    <col min="7959" max="8193" width="11.42578125" style="187"/>
    <col min="8194" max="8194" width="3.140625" style="187" customWidth="1"/>
    <col min="8195" max="8195" width="2.85546875" style="187" customWidth="1"/>
    <col min="8196" max="8196" width="35.42578125" style="187" customWidth="1"/>
    <col min="8197" max="8197" width="14.140625" style="187" customWidth="1"/>
    <col min="8198" max="8198" width="16" style="187" customWidth="1"/>
    <col min="8199" max="8199" width="12.85546875" style="187" customWidth="1"/>
    <col min="8200" max="8200" width="11.28515625" style="187" bestFit="1" customWidth="1"/>
    <col min="8201" max="8201" width="11" style="187" customWidth="1"/>
    <col min="8202" max="8202" width="8.7109375" style="187" customWidth="1"/>
    <col min="8203" max="8203" width="12.28515625" style="187" customWidth="1"/>
    <col min="8204" max="8213" width="8.7109375" style="187" customWidth="1"/>
    <col min="8214" max="8214" width="12.85546875" style="187" bestFit="1" customWidth="1"/>
    <col min="8215" max="8449" width="11.42578125" style="187"/>
    <col min="8450" max="8450" width="3.140625" style="187" customWidth="1"/>
    <col min="8451" max="8451" width="2.85546875" style="187" customWidth="1"/>
    <col min="8452" max="8452" width="35.42578125" style="187" customWidth="1"/>
    <col min="8453" max="8453" width="14.140625" style="187" customWidth="1"/>
    <col min="8454" max="8454" width="16" style="187" customWidth="1"/>
    <col min="8455" max="8455" width="12.85546875" style="187" customWidth="1"/>
    <col min="8456" max="8456" width="11.28515625" style="187" bestFit="1" customWidth="1"/>
    <col min="8457" max="8457" width="11" style="187" customWidth="1"/>
    <col min="8458" max="8458" width="8.7109375" style="187" customWidth="1"/>
    <col min="8459" max="8459" width="12.28515625" style="187" customWidth="1"/>
    <col min="8460" max="8469" width="8.7109375" style="187" customWidth="1"/>
    <col min="8470" max="8470" width="12.85546875" style="187" bestFit="1" customWidth="1"/>
    <col min="8471" max="8705" width="11.42578125" style="187"/>
    <col min="8706" max="8706" width="3.140625" style="187" customWidth="1"/>
    <col min="8707" max="8707" width="2.85546875" style="187" customWidth="1"/>
    <col min="8708" max="8708" width="35.42578125" style="187" customWidth="1"/>
    <col min="8709" max="8709" width="14.140625" style="187" customWidth="1"/>
    <col min="8710" max="8710" width="16" style="187" customWidth="1"/>
    <col min="8711" max="8711" width="12.85546875" style="187" customWidth="1"/>
    <col min="8712" max="8712" width="11.28515625" style="187" bestFit="1" customWidth="1"/>
    <col min="8713" max="8713" width="11" style="187" customWidth="1"/>
    <col min="8714" max="8714" width="8.7109375" style="187" customWidth="1"/>
    <col min="8715" max="8715" width="12.28515625" style="187" customWidth="1"/>
    <col min="8716" max="8725" width="8.7109375" style="187" customWidth="1"/>
    <col min="8726" max="8726" width="12.85546875" style="187" bestFit="1" customWidth="1"/>
    <col min="8727" max="8961" width="11.42578125" style="187"/>
    <col min="8962" max="8962" width="3.140625" style="187" customWidth="1"/>
    <col min="8963" max="8963" width="2.85546875" style="187" customWidth="1"/>
    <col min="8964" max="8964" width="35.42578125" style="187" customWidth="1"/>
    <col min="8965" max="8965" width="14.140625" style="187" customWidth="1"/>
    <col min="8966" max="8966" width="16" style="187" customWidth="1"/>
    <col min="8967" max="8967" width="12.85546875" style="187" customWidth="1"/>
    <col min="8968" max="8968" width="11.28515625" style="187" bestFit="1" customWidth="1"/>
    <col min="8969" max="8969" width="11" style="187" customWidth="1"/>
    <col min="8970" max="8970" width="8.7109375" style="187" customWidth="1"/>
    <col min="8971" max="8971" width="12.28515625" style="187" customWidth="1"/>
    <col min="8972" max="8981" width="8.7109375" style="187" customWidth="1"/>
    <col min="8982" max="8982" width="12.85546875" style="187" bestFit="1" customWidth="1"/>
    <col min="8983" max="9217" width="11.42578125" style="187"/>
    <col min="9218" max="9218" width="3.140625" style="187" customWidth="1"/>
    <col min="9219" max="9219" width="2.85546875" style="187" customWidth="1"/>
    <col min="9220" max="9220" width="35.42578125" style="187" customWidth="1"/>
    <col min="9221" max="9221" width="14.140625" style="187" customWidth="1"/>
    <col min="9222" max="9222" width="16" style="187" customWidth="1"/>
    <col min="9223" max="9223" width="12.85546875" style="187" customWidth="1"/>
    <col min="9224" max="9224" width="11.28515625" style="187" bestFit="1" customWidth="1"/>
    <col min="9225" max="9225" width="11" style="187" customWidth="1"/>
    <col min="9226" max="9226" width="8.7109375" style="187" customWidth="1"/>
    <col min="9227" max="9227" width="12.28515625" style="187" customWidth="1"/>
    <col min="9228" max="9237" width="8.7109375" style="187" customWidth="1"/>
    <col min="9238" max="9238" width="12.85546875" style="187" bestFit="1" customWidth="1"/>
    <col min="9239" max="9473" width="11.42578125" style="187"/>
    <col min="9474" max="9474" width="3.140625" style="187" customWidth="1"/>
    <col min="9475" max="9475" width="2.85546875" style="187" customWidth="1"/>
    <col min="9476" max="9476" width="35.42578125" style="187" customWidth="1"/>
    <col min="9477" max="9477" width="14.140625" style="187" customWidth="1"/>
    <col min="9478" max="9478" width="16" style="187" customWidth="1"/>
    <col min="9479" max="9479" width="12.85546875" style="187" customWidth="1"/>
    <col min="9480" max="9480" width="11.28515625" style="187" bestFit="1" customWidth="1"/>
    <col min="9481" max="9481" width="11" style="187" customWidth="1"/>
    <col min="9482" max="9482" width="8.7109375" style="187" customWidth="1"/>
    <col min="9483" max="9483" width="12.28515625" style="187" customWidth="1"/>
    <col min="9484" max="9493" width="8.7109375" style="187" customWidth="1"/>
    <col min="9494" max="9494" width="12.85546875" style="187" bestFit="1" customWidth="1"/>
    <col min="9495" max="9729" width="11.42578125" style="187"/>
    <col min="9730" max="9730" width="3.140625" style="187" customWidth="1"/>
    <col min="9731" max="9731" width="2.85546875" style="187" customWidth="1"/>
    <col min="9732" max="9732" width="35.42578125" style="187" customWidth="1"/>
    <col min="9733" max="9733" width="14.140625" style="187" customWidth="1"/>
    <col min="9734" max="9734" width="16" style="187" customWidth="1"/>
    <col min="9735" max="9735" width="12.85546875" style="187" customWidth="1"/>
    <col min="9736" max="9736" width="11.28515625" style="187" bestFit="1" customWidth="1"/>
    <col min="9737" max="9737" width="11" style="187" customWidth="1"/>
    <col min="9738" max="9738" width="8.7109375" style="187" customWidth="1"/>
    <col min="9739" max="9739" width="12.28515625" style="187" customWidth="1"/>
    <col min="9740" max="9749" width="8.7109375" style="187" customWidth="1"/>
    <col min="9750" max="9750" width="12.85546875" style="187" bestFit="1" customWidth="1"/>
    <col min="9751" max="9985" width="11.42578125" style="187"/>
    <col min="9986" max="9986" width="3.140625" style="187" customWidth="1"/>
    <col min="9987" max="9987" width="2.85546875" style="187" customWidth="1"/>
    <col min="9988" max="9988" width="35.42578125" style="187" customWidth="1"/>
    <col min="9989" max="9989" width="14.140625" style="187" customWidth="1"/>
    <col min="9990" max="9990" width="16" style="187" customWidth="1"/>
    <col min="9991" max="9991" width="12.85546875" style="187" customWidth="1"/>
    <col min="9992" max="9992" width="11.28515625" style="187" bestFit="1" customWidth="1"/>
    <col min="9993" max="9993" width="11" style="187" customWidth="1"/>
    <col min="9994" max="9994" width="8.7109375" style="187" customWidth="1"/>
    <col min="9995" max="9995" width="12.28515625" style="187" customWidth="1"/>
    <col min="9996" max="10005" width="8.7109375" style="187" customWidth="1"/>
    <col min="10006" max="10006" width="12.85546875" style="187" bestFit="1" customWidth="1"/>
    <col min="10007" max="10241" width="11.42578125" style="187"/>
    <col min="10242" max="10242" width="3.140625" style="187" customWidth="1"/>
    <col min="10243" max="10243" width="2.85546875" style="187" customWidth="1"/>
    <col min="10244" max="10244" width="35.42578125" style="187" customWidth="1"/>
    <col min="10245" max="10245" width="14.140625" style="187" customWidth="1"/>
    <col min="10246" max="10246" width="16" style="187" customWidth="1"/>
    <col min="10247" max="10247" width="12.85546875" style="187" customWidth="1"/>
    <col min="10248" max="10248" width="11.28515625" style="187" bestFit="1" customWidth="1"/>
    <col min="10249" max="10249" width="11" style="187" customWidth="1"/>
    <col min="10250" max="10250" width="8.7109375" style="187" customWidth="1"/>
    <col min="10251" max="10251" width="12.28515625" style="187" customWidth="1"/>
    <col min="10252" max="10261" width="8.7109375" style="187" customWidth="1"/>
    <col min="10262" max="10262" width="12.85546875" style="187" bestFit="1" customWidth="1"/>
    <col min="10263" max="10497" width="11.42578125" style="187"/>
    <col min="10498" max="10498" width="3.140625" style="187" customWidth="1"/>
    <col min="10499" max="10499" width="2.85546875" style="187" customWidth="1"/>
    <col min="10500" max="10500" width="35.42578125" style="187" customWidth="1"/>
    <col min="10501" max="10501" width="14.140625" style="187" customWidth="1"/>
    <col min="10502" max="10502" width="16" style="187" customWidth="1"/>
    <col min="10503" max="10503" width="12.85546875" style="187" customWidth="1"/>
    <col min="10504" max="10504" width="11.28515625" style="187" bestFit="1" customWidth="1"/>
    <col min="10505" max="10505" width="11" style="187" customWidth="1"/>
    <col min="10506" max="10506" width="8.7109375" style="187" customWidth="1"/>
    <col min="10507" max="10507" width="12.28515625" style="187" customWidth="1"/>
    <col min="10508" max="10517" width="8.7109375" style="187" customWidth="1"/>
    <col min="10518" max="10518" width="12.85546875" style="187" bestFit="1" customWidth="1"/>
    <col min="10519" max="10753" width="11.42578125" style="187"/>
    <col min="10754" max="10754" width="3.140625" style="187" customWidth="1"/>
    <col min="10755" max="10755" width="2.85546875" style="187" customWidth="1"/>
    <col min="10756" max="10756" width="35.42578125" style="187" customWidth="1"/>
    <col min="10757" max="10757" width="14.140625" style="187" customWidth="1"/>
    <col min="10758" max="10758" width="16" style="187" customWidth="1"/>
    <col min="10759" max="10759" width="12.85546875" style="187" customWidth="1"/>
    <col min="10760" max="10760" width="11.28515625" style="187" bestFit="1" customWidth="1"/>
    <col min="10761" max="10761" width="11" style="187" customWidth="1"/>
    <col min="10762" max="10762" width="8.7109375" style="187" customWidth="1"/>
    <col min="10763" max="10763" width="12.28515625" style="187" customWidth="1"/>
    <col min="10764" max="10773" width="8.7109375" style="187" customWidth="1"/>
    <col min="10774" max="10774" width="12.85546875" style="187" bestFit="1" customWidth="1"/>
    <col min="10775" max="11009" width="11.42578125" style="187"/>
    <col min="11010" max="11010" width="3.140625" style="187" customWidth="1"/>
    <col min="11011" max="11011" width="2.85546875" style="187" customWidth="1"/>
    <col min="11012" max="11012" width="35.42578125" style="187" customWidth="1"/>
    <col min="11013" max="11013" width="14.140625" style="187" customWidth="1"/>
    <col min="11014" max="11014" width="16" style="187" customWidth="1"/>
    <col min="11015" max="11015" width="12.85546875" style="187" customWidth="1"/>
    <col min="11016" max="11016" width="11.28515625" style="187" bestFit="1" customWidth="1"/>
    <col min="11017" max="11017" width="11" style="187" customWidth="1"/>
    <col min="11018" max="11018" width="8.7109375" style="187" customWidth="1"/>
    <col min="11019" max="11019" width="12.28515625" style="187" customWidth="1"/>
    <col min="11020" max="11029" width="8.7109375" style="187" customWidth="1"/>
    <col min="11030" max="11030" width="12.85546875" style="187" bestFit="1" customWidth="1"/>
    <col min="11031" max="11265" width="11.42578125" style="187"/>
    <col min="11266" max="11266" width="3.140625" style="187" customWidth="1"/>
    <col min="11267" max="11267" width="2.85546875" style="187" customWidth="1"/>
    <col min="11268" max="11268" width="35.42578125" style="187" customWidth="1"/>
    <col min="11269" max="11269" width="14.140625" style="187" customWidth="1"/>
    <col min="11270" max="11270" width="16" style="187" customWidth="1"/>
    <col min="11271" max="11271" width="12.85546875" style="187" customWidth="1"/>
    <col min="11272" max="11272" width="11.28515625" style="187" bestFit="1" customWidth="1"/>
    <col min="11273" max="11273" width="11" style="187" customWidth="1"/>
    <col min="11274" max="11274" width="8.7109375" style="187" customWidth="1"/>
    <col min="11275" max="11275" width="12.28515625" style="187" customWidth="1"/>
    <col min="11276" max="11285" width="8.7109375" style="187" customWidth="1"/>
    <col min="11286" max="11286" width="12.85546875" style="187" bestFit="1" customWidth="1"/>
    <col min="11287" max="11521" width="11.42578125" style="187"/>
    <col min="11522" max="11522" width="3.140625" style="187" customWidth="1"/>
    <col min="11523" max="11523" width="2.85546875" style="187" customWidth="1"/>
    <col min="11524" max="11524" width="35.42578125" style="187" customWidth="1"/>
    <col min="11525" max="11525" width="14.140625" style="187" customWidth="1"/>
    <col min="11526" max="11526" width="16" style="187" customWidth="1"/>
    <col min="11527" max="11527" width="12.85546875" style="187" customWidth="1"/>
    <col min="11528" max="11528" width="11.28515625" style="187" bestFit="1" customWidth="1"/>
    <col min="11529" max="11529" width="11" style="187" customWidth="1"/>
    <col min="11530" max="11530" width="8.7109375" style="187" customWidth="1"/>
    <col min="11531" max="11531" width="12.28515625" style="187" customWidth="1"/>
    <col min="11532" max="11541" width="8.7109375" style="187" customWidth="1"/>
    <col min="11542" max="11542" width="12.85546875" style="187" bestFit="1" customWidth="1"/>
    <col min="11543" max="11777" width="11.42578125" style="187"/>
    <col min="11778" max="11778" width="3.140625" style="187" customWidth="1"/>
    <col min="11779" max="11779" width="2.85546875" style="187" customWidth="1"/>
    <col min="11780" max="11780" width="35.42578125" style="187" customWidth="1"/>
    <col min="11781" max="11781" width="14.140625" style="187" customWidth="1"/>
    <col min="11782" max="11782" width="16" style="187" customWidth="1"/>
    <col min="11783" max="11783" width="12.85546875" style="187" customWidth="1"/>
    <col min="11784" max="11784" width="11.28515625" style="187" bestFit="1" customWidth="1"/>
    <col min="11785" max="11785" width="11" style="187" customWidth="1"/>
    <col min="11786" max="11786" width="8.7109375" style="187" customWidth="1"/>
    <col min="11787" max="11787" width="12.28515625" style="187" customWidth="1"/>
    <col min="11788" max="11797" width="8.7109375" style="187" customWidth="1"/>
    <col min="11798" max="11798" width="12.85546875" style="187" bestFit="1" customWidth="1"/>
    <col min="11799" max="12033" width="11.42578125" style="187"/>
    <col min="12034" max="12034" width="3.140625" style="187" customWidth="1"/>
    <col min="12035" max="12035" width="2.85546875" style="187" customWidth="1"/>
    <col min="12036" max="12036" width="35.42578125" style="187" customWidth="1"/>
    <col min="12037" max="12037" width="14.140625" style="187" customWidth="1"/>
    <col min="12038" max="12038" width="16" style="187" customWidth="1"/>
    <col min="12039" max="12039" width="12.85546875" style="187" customWidth="1"/>
    <col min="12040" max="12040" width="11.28515625" style="187" bestFit="1" customWidth="1"/>
    <col min="12041" max="12041" width="11" style="187" customWidth="1"/>
    <col min="12042" max="12042" width="8.7109375" style="187" customWidth="1"/>
    <col min="12043" max="12043" width="12.28515625" style="187" customWidth="1"/>
    <col min="12044" max="12053" width="8.7109375" style="187" customWidth="1"/>
    <col min="12054" max="12054" width="12.85546875" style="187" bestFit="1" customWidth="1"/>
    <col min="12055" max="12289" width="11.42578125" style="187"/>
    <col min="12290" max="12290" width="3.140625" style="187" customWidth="1"/>
    <col min="12291" max="12291" width="2.85546875" style="187" customWidth="1"/>
    <col min="12292" max="12292" width="35.42578125" style="187" customWidth="1"/>
    <col min="12293" max="12293" width="14.140625" style="187" customWidth="1"/>
    <col min="12294" max="12294" width="16" style="187" customWidth="1"/>
    <col min="12295" max="12295" width="12.85546875" style="187" customWidth="1"/>
    <col min="12296" max="12296" width="11.28515625" style="187" bestFit="1" customWidth="1"/>
    <col min="12297" max="12297" width="11" style="187" customWidth="1"/>
    <col min="12298" max="12298" width="8.7109375" style="187" customWidth="1"/>
    <col min="12299" max="12299" width="12.28515625" style="187" customWidth="1"/>
    <col min="12300" max="12309" width="8.7109375" style="187" customWidth="1"/>
    <col min="12310" max="12310" width="12.85546875" style="187" bestFit="1" customWidth="1"/>
    <col min="12311" max="12545" width="11.42578125" style="187"/>
    <col min="12546" max="12546" width="3.140625" style="187" customWidth="1"/>
    <col min="12547" max="12547" width="2.85546875" style="187" customWidth="1"/>
    <col min="12548" max="12548" width="35.42578125" style="187" customWidth="1"/>
    <col min="12549" max="12549" width="14.140625" style="187" customWidth="1"/>
    <col min="12550" max="12550" width="16" style="187" customWidth="1"/>
    <col min="12551" max="12551" width="12.85546875" style="187" customWidth="1"/>
    <col min="12552" max="12552" width="11.28515625" style="187" bestFit="1" customWidth="1"/>
    <col min="12553" max="12553" width="11" style="187" customWidth="1"/>
    <col min="12554" max="12554" width="8.7109375" style="187" customWidth="1"/>
    <col min="12555" max="12555" width="12.28515625" style="187" customWidth="1"/>
    <col min="12556" max="12565" width="8.7109375" style="187" customWidth="1"/>
    <col min="12566" max="12566" width="12.85546875" style="187" bestFit="1" customWidth="1"/>
    <col min="12567" max="12801" width="11.42578125" style="187"/>
    <col min="12802" max="12802" width="3.140625" style="187" customWidth="1"/>
    <col min="12803" max="12803" width="2.85546875" style="187" customWidth="1"/>
    <col min="12804" max="12804" width="35.42578125" style="187" customWidth="1"/>
    <col min="12805" max="12805" width="14.140625" style="187" customWidth="1"/>
    <col min="12806" max="12806" width="16" style="187" customWidth="1"/>
    <col min="12807" max="12807" width="12.85546875" style="187" customWidth="1"/>
    <col min="12808" max="12808" width="11.28515625" style="187" bestFit="1" customWidth="1"/>
    <col min="12809" max="12809" width="11" style="187" customWidth="1"/>
    <col min="12810" max="12810" width="8.7109375" style="187" customWidth="1"/>
    <col min="12811" max="12811" width="12.28515625" style="187" customWidth="1"/>
    <col min="12812" max="12821" width="8.7109375" style="187" customWidth="1"/>
    <col min="12822" max="12822" width="12.85546875" style="187" bestFit="1" customWidth="1"/>
    <col min="12823" max="13057" width="11.42578125" style="187"/>
    <col min="13058" max="13058" width="3.140625" style="187" customWidth="1"/>
    <col min="13059" max="13059" width="2.85546875" style="187" customWidth="1"/>
    <col min="13060" max="13060" width="35.42578125" style="187" customWidth="1"/>
    <col min="13061" max="13061" width="14.140625" style="187" customWidth="1"/>
    <col min="13062" max="13062" width="16" style="187" customWidth="1"/>
    <col min="13063" max="13063" width="12.85546875" style="187" customWidth="1"/>
    <col min="13064" max="13064" width="11.28515625" style="187" bestFit="1" customWidth="1"/>
    <col min="13065" max="13065" width="11" style="187" customWidth="1"/>
    <col min="13066" max="13066" width="8.7109375" style="187" customWidth="1"/>
    <col min="13067" max="13067" width="12.28515625" style="187" customWidth="1"/>
    <col min="13068" max="13077" width="8.7109375" style="187" customWidth="1"/>
    <col min="13078" max="13078" width="12.85546875" style="187" bestFit="1" customWidth="1"/>
    <col min="13079" max="13313" width="11.42578125" style="187"/>
    <col min="13314" max="13314" width="3.140625" style="187" customWidth="1"/>
    <col min="13315" max="13315" width="2.85546875" style="187" customWidth="1"/>
    <col min="13316" max="13316" width="35.42578125" style="187" customWidth="1"/>
    <col min="13317" max="13317" width="14.140625" style="187" customWidth="1"/>
    <col min="13318" max="13318" width="16" style="187" customWidth="1"/>
    <col min="13319" max="13319" width="12.85546875" style="187" customWidth="1"/>
    <col min="13320" max="13320" width="11.28515625" style="187" bestFit="1" customWidth="1"/>
    <col min="13321" max="13321" width="11" style="187" customWidth="1"/>
    <col min="13322" max="13322" width="8.7109375" style="187" customWidth="1"/>
    <col min="13323" max="13323" width="12.28515625" style="187" customWidth="1"/>
    <col min="13324" max="13333" width="8.7109375" style="187" customWidth="1"/>
    <col min="13334" max="13334" width="12.85546875" style="187" bestFit="1" customWidth="1"/>
    <col min="13335" max="13569" width="11.42578125" style="187"/>
    <col min="13570" max="13570" width="3.140625" style="187" customWidth="1"/>
    <col min="13571" max="13571" width="2.85546875" style="187" customWidth="1"/>
    <col min="13572" max="13572" width="35.42578125" style="187" customWidth="1"/>
    <col min="13573" max="13573" width="14.140625" style="187" customWidth="1"/>
    <col min="13574" max="13574" width="16" style="187" customWidth="1"/>
    <col min="13575" max="13575" width="12.85546875" style="187" customWidth="1"/>
    <col min="13576" max="13576" width="11.28515625" style="187" bestFit="1" customWidth="1"/>
    <col min="13577" max="13577" width="11" style="187" customWidth="1"/>
    <col min="13578" max="13578" width="8.7109375" style="187" customWidth="1"/>
    <col min="13579" max="13579" width="12.28515625" style="187" customWidth="1"/>
    <col min="13580" max="13589" width="8.7109375" style="187" customWidth="1"/>
    <col min="13590" max="13590" width="12.85546875" style="187" bestFit="1" customWidth="1"/>
    <col min="13591" max="13825" width="11.42578125" style="187"/>
    <col min="13826" max="13826" width="3.140625" style="187" customWidth="1"/>
    <col min="13827" max="13827" width="2.85546875" style="187" customWidth="1"/>
    <col min="13828" max="13828" width="35.42578125" style="187" customWidth="1"/>
    <col min="13829" max="13829" width="14.140625" style="187" customWidth="1"/>
    <col min="13830" max="13830" width="16" style="187" customWidth="1"/>
    <col min="13831" max="13831" width="12.85546875" style="187" customWidth="1"/>
    <col min="13832" max="13832" width="11.28515625" style="187" bestFit="1" customWidth="1"/>
    <col min="13833" max="13833" width="11" style="187" customWidth="1"/>
    <col min="13834" max="13834" width="8.7109375" style="187" customWidth="1"/>
    <col min="13835" max="13835" width="12.28515625" style="187" customWidth="1"/>
    <col min="13836" max="13845" width="8.7109375" style="187" customWidth="1"/>
    <col min="13846" max="13846" width="12.85546875" style="187" bestFit="1" customWidth="1"/>
    <col min="13847" max="14081" width="11.42578125" style="187"/>
    <col min="14082" max="14082" width="3.140625" style="187" customWidth="1"/>
    <col min="14083" max="14083" width="2.85546875" style="187" customWidth="1"/>
    <col min="14084" max="14084" width="35.42578125" style="187" customWidth="1"/>
    <col min="14085" max="14085" width="14.140625" style="187" customWidth="1"/>
    <col min="14086" max="14086" width="16" style="187" customWidth="1"/>
    <col min="14087" max="14087" width="12.85546875" style="187" customWidth="1"/>
    <col min="14088" max="14088" width="11.28515625" style="187" bestFit="1" customWidth="1"/>
    <col min="14089" max="14089" width="11" style="187" customWidth="1"/>
    <col min="14090" max="14090" width="8.7109375" style="187" customWidth="1"/>
    <col min="14091" max="14091" width="12.28515625" style="187" customWidth="1"/>
    <col min="14092" max="14101" width="8.7109375" style="187" customWidth="1"/>
    <col min="14102" max="14102" width="12.85546875" style="187" bestFit="1" customWidth="1"/>
    <col min="14103" max="14337" width="11.42578125" style="187"/>
    <col min="14338" max="14338" width="3.140625" style="187" customWidth="1"/>
    <col min="14339" max="14339" width="2.85546875" style="187" customWidth="1"/>
    <col min="14340" max="14340" width="35.42578125" style="187" customWidth="1"/>
    <col min="14341" max="14341" width="14.140625" style="187" customWidth="1"/>
    <col min="14342" max="14342" width="16" style="187" customWidth="1"/>
    <col min="14343" max="14343" width="12.85546875" style="187" customWidth="1"/>
    <col min="14344" max="14344" width="11.28515625" style="187" bestFit="1" customWidth="1"/>
    <col min="14345" max="14345" width="11" style="187" customWidth="1"/>
    <col min="14346" max="14346" width="8.7109375" style="187" customWidth="1"/>
    <col min="14347" max="14347" width="12.28515625" style="187" customWidth="1"/>
    <col min="14348" max="14357" width="8.7109375" style="187" customWidth="1"/>
    <col min="14358" max="14358" width="12.85546875" style="187" bestFit="1" customWidth="1"/>
    <col min="14359" max="14593" width="11.42578125" style="187"/>
    <col min="14594" max="14594" width="3.140625" style="187" customWidth="1"/>
    <col min="14595" max="14595" width="2.85546875" style="187" customWidth="1"/>
    <col min="14596" max="14596" width="35.42578125" style="187" customWidth="1"/>
    <col min="14597" max="14597" width="14.140625" style="187" customWidth="1"/>
    <col min="14598" max="14598" width="16" style="187" customWidth="1"/>
    <col min="14599" max="14599" width="12.85546875" style="187" customWidth="1"/>
    <col min="14600" max="14600" width="11.28515625" style="187" bestFit="1" customWidth="1"/>
    <col min="14601" max="14601" width="11" style="187" customWidth="1"/>
    <col min="14602" max="14602" width="8.7109375" style="187" customWidth="1"/>
    <col min="14603" max="14603" width="12.28515625" style="187" customWidth="1"/>
    <col min="14604" max="14613" width="8.7109375" style="187" customWidth="1"/>
    <col min="14614" max="14614" width="12.85546875" style="187" bestFit="1" customWidth="1"/>
    <col min="14615" max="14849" width="11.42578125" style="187"/>
    <col min="14850" max="14850" width="3.140625" style="187" customWidth="1"/>
    <col min="14851" max="14851" width="2.85546875" style="187" customWidth="1"/>
    <col min="14852" max="14852" width="35.42578125" style="187" customWidth="1"/>
    <col min="14853" max="14853" width="14.140625" style="187" customWidth="1"/>
    <col min="14854" max="14854" width="16" style="187" customWidth="1"/>
    <col min="14855" max="14855" width="12.85546875" style="187" customWidth="1"/>
    <col min="14856" max="14856" width="11.28515625" style="187" bestFit="1" customWidth="1"/>
    <col min="14857" max="14857" width="11" style="187" customWidth="1"/>
    <col min="14858" max="14858" width="8.7109375" style="187" customWidth="1"/>
    <col min="14859" max="14859" width="12.28515625" style="187" customWidth="1"/>
    <col min="14860" max="14869" width="8.7109375" style="187" customWidth="1"/>
    <col min="14870" max="14870" width="12.85546875" style="187" bestFit="1" customWidth="1"/>
    <col min="14871" max="15105" width="11.42578125" style="187"/>
    <col min="15106" max="15106" width="3.140625" style="187" customWidth="1"/>
    <col min="15107" max="15107" width="2.85546875" style="187" customWidth="1"/>
    <col min="15108" max="15108" width="35.42578125" style="187" customWidth="1"/>
    <col min="15109" max="15109" width="14.140625" style="187" customWidth="1"/>
    <col min="15110" max="15110" width="16" style="187" customWidth="1"/>
    <col min="15111" max="15111" width="12.85546875" style="187" customWidth="1"/>
    <col min="15112" max="15112" width="11.28515625" style="187" bestFit="1" customWidth="1"/>
    <col min="15113" max="15113" width="11" style="187" customWidth="1"/>
    <col min="15114" max="15114" width="8.7109375" style="187" customWidth="1"/>
    <col min="15115" max="15115" width="12.28515625" style="187" customWidth="1"/>
    <col min="15116" max="15125" width="8.7109375" style="187" customWidth="1"/>
    <col min="15126" max="15126" width="12.85546875" style="187" bestFit="1" customWidth="1"/>
    <col min="15127" max="15361" width="11.42578125" style="187"/>
    <col min="15362" max="15362" width="3.140625" style="187" customWidth="1"/>
    <col min="15363" max="15363" width="2.85546875" style="187" customWidth="1"/>
    <col min="15364" max="15364" width="35.42578125" style="187" customWidth="1"/>
    <col min="15365" max="15365" width="14.140625" style="187" customWidth="1"/>
    <col min="15366" max="15366" width="16" style="187" customWidth="1"/>
    <col min="15367" max="15367" width="12.85546875" style="187" customWidth="1"/>
    <col min="15368" max="15368" width="11.28515625" style="187" bestFit="1" customWidth="1"/>
    <col min="15369" max="15369" width="11" style="187" customWidth="1"/>
    <col min="15370" max="15370" width="8.7109375" style="187" customWidth="1"/>
    <col min="15371" max="15371" width="12.28515625" style="187" customWidth="1"/>
    <col min="15372" max="15381" width="8.7109375" style="187" customWidth="1"/>
    <col min="15382" max="15382" width="12.85546875" style="187" bestFit="1" customWidth="1"/>
    <col min="15383" max="15617" width="11.42578125" style="187"/>
    <col min="15618" max="15618" width="3.140625" style="187" customWidth="1"/>
    <col min="15619" max="15619" width="2.85546875" style="187" customWidth="1"/>
    <col min="15620" max="15620" width="35.42578125" style="187" customWidth="1"/>
    <col min="15621" max="15621" width="14.140625" style="187" customWidth="1"/>
    <col min="15622" max="15622" width="16" style="187" customWidth="1"/>
    <col min="15623" max="15623" width="12.85546875" style="187" customWidth="1"/>
    <col min="15624" max="15624" width="11.28515625" style="187" bestFit="1" customWidth="1"/>
    <col min="15625" max="15625" width="11" style="187" customWidth="1"/>
    <col min="15626" max="15626" width="8.7109375" style="187" customWidth="1"/>
    <col min="15627" max="15627" width="12.28515625" style="187" customWidth="1"/>
    <col min="15628" max="15637" width="8.7109375" style="187" customWidth="1"/>
    <col min="15638" max="15638" width="12.85546875" style="187" bestFit="1" customWidth="1"/>
    <col min="15639" max="15873" width="11.42578125" style="187"/>
    <col min="15874" max="15874" width="3.140625" style="187" customWidth="1"/>
    <col min="15875" max="15875" width="2.85546875" style="187" customWidth="1"/>
    <col min="15876" max="15876" width="35.42578125" style="187" customWidth="1"/>
    <col min="15877" max="15877" width="14.140625" style="187" customWidth="1"/>
    <col min="15878" max="15878" width="16" style="187" customWidth="1"/>
    <col min="15879" max="15879" width="12.85546875" style="187" customWidth="1"/>
    <col min="15880" max="15880" width="11.28515625" style="187" bestFit="1" customWidth="1"/>
    <col min="15881" max="15881" width="11" style="187" customWidth="1"/>
    <col min="15882" max="15882" width="8.7109375" style="187" customWidth="1"/>
    <col min="15883" max="15883" width="12.28515625" style="187" customWidth="1"/>
    <col min="15884" max="15893" width="8.7109375" style="187" customWidth="1"/>
    <col min="15894" max="15894" width="12.85546875" style="187" bestFit="1" customWidth="1"/>
    <col min="15895" max="16129" width="11.42578125" style="187"/>
    <col min="16130" max="16130" width="3.140625" style="187" customWidth="1"/>
    <col min="16131" max="16131" width="2.85546875" style="187" customWidth="1"/>
    <col min="16132" max="16132" width="35.42578125" style="187" customWidth="1"/>
    <col min="16133" max="16133" width="14.140625" style="187" customWidth="1"/>
    <col min="16134" max="16134" width="16" style="187" customWidth="1"/>
    <col min="16135" max="16135" width="12.85546875" style="187" customWidth="1"/>
    <col min="16136" max="16136" width="11.28515625" style="187" bestFit="1" customWidth="1"/>
    <col min="16137" max="16137" width="11" style="187" customWidth="1"/>
    <col min="16138" max="16138" width="8.7109375" style="187" customWidth="1"/>
    <col min="16139" max="16139" width="12.28515625" style="187" customWidth="1"/>
    <col min="16140" max="16149" width="8.7109375" style="187" customWidth="1"/>
    <col min="16150" max="16150" width="12.85546875" style="187" bestFit="1" customWidth="1"/>
    <col min="16151" max="16384" width="11.42578125" style="187"/>
  </cols>
  <sheetData>
    <row r="3" spans="4:24" x14ac:dyDescent="0.2">
      <c r="D3" s="1340" t="s">
        <v>1437</v>
      </c>
      <c r="E3" s="1340"/>
      <c r="F3" s="1340"/>
      <c r="G3" s="1340"/>
      <c r="H3" s="1340"/>
      <c r="I3" s="1340"/>
      <c r="J3" s="1340"/>
      <c r="K3" s="1340"/>
      <c r="L3" s="1340"/>
      <c r="M3" s="1340"/>
      <c r="N3" s="1340"/>
      <c r="O3" s="1340"/>
      <c r="P3" s="1340"/>
      <c r="Q3" s="1340"/>
      <c r="R3" s="1340"/>
      <c r="S3" s="1340"/>
      <c r="T3" s="1340"/>
      <c r="U3" s="1340"/>
      <c r="V3" s="1340"/>
      <c r="W3" s="1340"/>
      <c r="X3" s="1340"/>
    </row>
    <row r="4" spans="4:24" ht="80.25" hidden="1" customHeight="1" thickTop="1" thickBot="1" x14ac:dyDescent="0.25">
      <c r="D4" s="272"/>
      <c r="E4" s="1326" t="s">
        <v>1269</v>
      </c>
      <c r="F4" s="1326"/>
      <c r="G4" s="1326"/>
      <c r="H4" s="1326"/>
      <c r="I4" s="1326"/>
      <c r="J4" s="1326"/>
      <c r="K4" s="1326"/>
      <c r="L4" s="1326"/>
      <c r="M4" s="1326"/>
      <c r="N4" s="1326"/>
      <c r="O4" s="1326"/>
      <c r="P4" s="1326"/>
      <c r="Q4" s="1326"/>
      <c r="R4" s="1326"/>
      <c r="S4" s="1326"/>
      <c r="T4" s="1326"/>
      <c r="U4" s="1326"/>
      <c r="V4" s="1326"/>
    </row>
    <row r="5" spans="4:24" hidden="1" x14ac:dyDescent="0.2">
      <c r="D5" s="306"/>
      <c r="E5" s="201"/>
      <c r="F5" s="201"/>
      <c r="G5" s="306"/>
      <c r="H5" s="306"/>
      <c r="I5" s="306"/>
      <c r="J5" s="306"/>
      <c r="K5" s="306"/>
      <c r="L5" s="306"/>
      <c r="M5" s="306"/>
      <c r="N5" s="306"/>
      <c r="O5" s="306"/>
      <c r="P5" s="306"/>
      <c r="Q5" s="306"/>
      <c r="R5" s="306"/>
      <c r="S5" s="306"/>
      <c r="T5" s="306"/>
      <c r="U5" s="306"/>
      <c r="V5" s="306"/>
    </row>
    <row r="6" spans="4:24" hidden="1" x14ac:dyDescent="0.2">
      <c r="D6" s="196" t="s">
        <v>1270</v>
      </c>
      <c r="E6" s="193" t="s">
        <v>1271</v>
      </c>
      <c r="F6" s="194"/>
      <c r="G6" s="195"/>
      <c r="H6" s="196"/>
      <c r="I6" s="197"/>
      <c r="J6" s="185"/>
      <c r="K6" s="185"/>
      <c r="L6" s="185"/>
      <c r="M6" s="185"/>
      <c r="N6" s="185"/>
      <c r="O6" s="185"/>
      <c r="P6" s="185"/>
      <c r="Q6" s="185"/>
      <c r="R6" s="185"/>
      <c r="S6" s="185"/>
      <c r="T6" s="185"/>
      <c r="U6" s="185"/>
      <c r="V6" s="185"/>
    </row>
    <row r="7" spans="4:24" hidden="1" x14ac:dyDescent="0.2">
      <c r="D7" s="196" t="s">
        <v>1272</v>
      </c>
      <c r="E7" s="199" t="s">
        <v>1273</v>
      </c>
      <c r="F7" s="200"/>
      <c r="G7" s="200"/>
      <c r="H7" s="200"/>
      <c r="I7" s="197"/>
      <c r="J7" s="185"/>
      <c r="K7" s="185"/>
      <c r="L7" s="185"/>
      <c r="M7" s="185"/>
      <c r="N7" s="185"/>
      <c r="O7" s="185"/>
      <c r="P7" s="185"/>
      <c r="Q7" s="185"/>
      <c r="R7" s="185"/>
      <c r="S7" s="185"/>
      <c r="T7" s="185"/>
      <c r="U7" s="185"/>
      <c r="V7" s="185"/>
    </row>
    <row r="8" spans="4:24" hidden="1" x14ac:dyDescent="0.2">
      <c r="D8" s="196" t="s">
        <v>1274</v>
      </c>
      <c r="E8" s="1327" t="s">
        <v>1275</v>
      </c>
      <c r="F8" s="1327"/>
      <c r="G8" s="201"/>
      <c r="H8" s="202"/>
      <c r="I8" s="203"/>
      <c r="J8" s="185"/>
      <c r="K8" s="185"/>
      <c r="L8" s="185"/>
      <c r="M8" s="185"/>
      <c r="N8" s="185"/>
      <c r="O8" s="185"/>
      <c r="P8" s="185"/>
      <c r="Q8" s="185"/>
      <c r="R8" s="185"/>
      <c r="S8" s="185"/>
      <c r="T8" s="185"/>
      <c r="U8" s="185"/>
      <c r="V8" s="185"/>
    </row>
    <row r="9" spans="4:24" hidden="1" x14ac:dyDescent="0.2">
      <c r="D9" s="196" t="s">
        <v>1276</v>
      </c>
      <c r="E9" s="204">
        <v>4662.1000000000004</v>
      </c>
      <c r="F9" s="205" t="s">
        <v>571</v>
      </c>
      <c r="G9" s="185"/>
      <c r="H9" s="202"/>
      <c r="I9" s="203"/>
      <c r="J9" s="185"/>
      <c r="K9" s="185"/>
      <c r="L9" s="185"/>
      <c r="M9" s="185"/>
      <c r="N9" s="185"/>
      <c r="O9" s="185"/>
      <c r="P9" s="185"/>
      <c r="Q9" s="185"/>
      <c r="R9" s="185"/>
      <c r="S9" s="185"/>
      <c r="T9" s="185"/>
      <c r="U9" s="185"/>
      <c r="V9" s="185"/>
    </row>
    <row r="10" spans="4:24" hidden="1" x14ac:dyDescent="0.2">
      <c r="D10" s="196" t="s">
        <v>1277</v>
      </c>
      <c r="E10" s="206">
        <v>2612.92</v>
      </c>
      <c r="F10" s="205" t="s">
        <v>571</v>
      </c>
      <c r="G10" s="185"/>
      <c r="H10" s="202"/>
      <c r="I10" s="203"/>
      <c r="J10" s="185"/>
      <c r="K10" s="185"/>
      <c r="L10" s="185"/>
      <c r="M10" s="185"/>
      <c r="N10" s="185"/>
      <c r="O10" s="185"/>
      <c r="P10" s="185"/>
      <c r="Q10" s="185"/>
      <c r="R10" s="185"/>
      <c r="S10" s="185"/>
      <c r="T10" s="185"/>
      <c r="U10" s="185"/>
      <c r="V10" s="185"/>
    </row>
    <row r="11" spans="4:24" hidden="1" x14ac:dyDescent="0.2">
      <c r="D11" s="196" t="s">
        <v>1278</v>
      </c>
      <c r="E11" s="207">
        <f>+E15/E9</f>
        <v>410.7914495147113</v>
      </c>
      <c r="F11" s="205" t="s">
        <v>1279</v>
      </c>
      <c r="G11" s="185"/>
      <c r="H11" s="202"/>
      <c r="I11" s="203"/>
      <c r="J11" s="185"/>
      <c r="K11" s="185"/>
      <c r="L11" s="208"/>
      <c r="M11" s="185"/>
      <c r="N11" s="185"/>
      <c r="O11" s="185"/>
      <c r="P11" s="185"/>
      <c r="Q11" s="185"/>
      <c r="R11" s="185"/>
      <c r="S11" s="185"/>
      <c r="T11" s="185"/>
      <c r="U11" s="185"/>
      <c r="V11" s="185"/>
    </row>
    <row r="12" spans="4:24" hidden="1" x14ac:dyDescent="0.2">
      <c r="D12" s="196" t="s">
        <v>1280</v>
      </c>
      <c r="E12" s="209">
        <v>1800000</v>
      </c>
      <c r="F12" s="210" t="str">
        <f>"+IVA"</f>
        <v>+IVA</v>
      </c>
      <c r="G12" s="185"/>
      <c r="H12" s="202"/>
      <c r="I12" s="211"/>
      <c r="J12" s="185"/>
      <c r="K12" s="185"/>
      <c r="L12" s="212"/>
      <c r="M12" s="213"/>
      <c r="N12" s="185"/>
      <c r="O12" s="212"/>
      <c r="P12" s="185"/>
      <c r="Q12" s="185"/>
      <c r="R12" s="185"/>
      <c r="S12" s="185"/>
      <c r="T12" s="185"/>
      <c r="U12" s="185"/>
      <c r="V12" s="185"/>
    </row>
    <row r="13" spans="4:24" hidden="1" x14ac:dyDescent="0.2">
      <c r="D13" s="196" t="s">
        <v>1281</v>
      </c>
      <c r="E13" s="332">
        <v>1678880.55</v>
      </c>
      <c r="F13" s="210" t="str">
        <f>"+IVA"</f>
        <v>+IVA</v>
      </c>
      <c r="G13" s="214"/>
      <c r="H13" s="215"/>
      <c r="I13" s="209"/>
      <c r="J13" s="210"/>
      <c r="K13" s="214"/>
      <c r="L13" s="215"/>
      <c r="M13" s="185"/>
      <c r="N13" s="185"/>
      <c r="O13" s="185"/>
      <c r="P13" s="185"/>
      <c r="Q13" s="185"/>
      <c r="R13" s="185"/>
      <c r="S13" s="185"/>
      <c r="T13" s="185"/>
      <c r="U13" s="185"/>
      <c r="V13" s="185"/>
    </row>
    <row r="14" spans="4:24" hidden="1" x14ac:dyDescent="0.2">
      <c r="D14" s="196" t="s">
        <v>1282</v>
      </c>
      <c r="E14" s="209">
        <f>V22</f>
        <v>236270.26678253576</v>
      </c>
      <c r="F14" s="210" t="str">
        <f>"+IVA"</f>
        <v>+IVA</v>
      </c>
      <c r="G14" s="214"/>
      <c r="H14" s="215"/>
      <c r="I14" s="209"/>
      <c r="J14" s="210"/>
      <c r="K14" s="214"/>
      <c r="L14" s="215"/>
      <c r="M14" s="185"/>
      <c r="N14" s="185"/>
      <c r="O14" s="185"/>
      <c r="P14" s="185"/>
      <c r="Q14" s="185"/>
      <c r="R14" s="185"/>
      <c r="S14" s="185"/>
      <c r="T14" s="185"/>
      <c r="U14" s="185"/>
      <c r="V14" s="185"/>
    </row>
    <row r="15" spans="4:24" ht="12" hidden="1" x14ac:dyDescent="0.2">
      <c r="D15" s="333" t="s">
        <v>1283</v>
      </c>
      <c r="E15" s="334">
        <f>E13+E14</f>
        <v>1915150.8167825358</v>
      </c>
      <c r="F15" s="219" t="str">
        <f>"+IVA"</f>
        <v>+IVA</v>
      </c>
      <c r="G15" s="216"/>
      <c r="H15" s="217"/>
      <c r="I15" s="218"/>
      <c r="J15" s="219"/>
      <c r="K15" s="216"/>
      <c r="L15" s="217"/>
      <c r="M15" s="185"/>
      <c r="N15" s="185"/>
      <c r="O15" s="185"/>
      <c r="P15" s="185"/>
      <c r="Q15" s="185"/>
      <c r="R15" s="185"/>
      <c r="S15" s="185"/>
      <c r="T15" s="185"/>
      <c r="U15" s="185"/>
      <c r="V15" s="185"/>
    </row>
    <row r="16" spans="4:24" ht="12" hidden="1" x14ac:dyDescent="0.2">
      <c r="D16" s="335" t="s">
        <v>1284</v>
      </c>
      <c r="E16" s="336">
        <f>E14/E15</f>
        <v>0.12336901340202082</v>
      </c>
      <c r="F16" s="209"/>
      <c r="G16" s="220"/>
      <c r="H16" s="202"/>
      <c r="I16" s="221"/>
      <c r="J16" s="220"/>
      <c r="K16" s="220"/>
      <c r="L16" s="222"/>
      <c r="M16" s="185"/>
      <c r="N16" s="185"/>
      <c r="O16" s="185"/>
      <c r="P16" s="185"/>
      <c r="Q16" s="185"/>
      <c r="R16" s="185"/>
      <c r="S16" s="185"/>
      <c r="T16" s="185"/>
      <c r="U16" s="185"/>
      <c r="V16" s="185"/>
    </row>
    <row r="17" spans="3:24" hidden="1" x14ac:dyDescent="0.2">
      <c r="D17" s="196" t="s">
        <v>1285</v>
      </c>
      <c r="E17" s="209">
        <f>+K15</f>
        <v>0</v>
      </c>
      <c r="F17" s="207"/>
      <c r="G17" s="220"/>
      <c r="H17" s="202"/>
      <c r="I17" s="211"/>
      <c r="J17" s="220"/>
      <c r="K17" s="220"/>
      <c r="L17" s="220"/>
      <c r="M17" s="185"/>
      <c r="N17" s="185"/>
      <c r="O17" s="185"/>
      <c r="P17" s="223"/>
      <c r="Q17" s="185"/>
      <c r="R17" s="185"/>
      <c r="S17" s="185"/>
      <c r="T17" s="185"/>
      <c r="U17" s="185"/>
      <c r="V17" s="185"/>
    </row>
    <row r="18" spans="3:24" hidden="1" x14ac:dyDescent="0.2">
      <c r="D18" s="196" t="s">
        <v>1286</v>
      </c>
      <c r="E18" s="224">
        <v>0.5</v>
      </c>
      <c r="F18" s="205"/>
      <c r="G18" s="185"/>
      <c r="H18" s="202"/>
      <c r="I18" s="203"/>
      <c r="J18" s="185"/>
      <c r="K18" s="185"/>
      <c r="L18" s="185"/>
      <c r="M18" s="185"/>
      <c r="N18" s="185"/>
      <c r="O18" s="185"/>
      <c r="P18" s="223"/>
      <c r="Q18" s="185"/>
      <c r="R18" s="185"/>
      <c r="S18" s="185"/>
      <c r="T18" s="185"/>
      <c r="U18" s="185"/>
      <c r="V18" s="185"/>
    </row>
    <row r="19" spans="3:24" hidden="1" x14ac:dyDescent="0.2">
      <c r="D19" s="196" t="s">
        <v>1287</v>
      </c>
      <c r="E19" s="201">
        <f>U22</f>
        <v>12</v>
      </c>
      <c r="F19" s="205" t="s">
        <v>1288</v>
      </c>
      <c r="G19" s="185"/>
      <c r="H19" s="202"/>
      <c r="I19" s="203"/>
      <c r="J19" s="185"/>
      <c r="K19" s="185"/>
      <c r="L19" s="185"/>
      <c r="M19" s="185"/>
      <c r="N19" s="185"/>
      <c r="O19" s="185"/>
      <c r="P19" s="185"/>
      <c r="Q19" s="185"/>
      <c r="R19" s="185"/>
      <c r="S19" s="185"/>
      <c r="T19" s="185"/>
      <c r="U19" s="185"/>
      <c r="V19" s="185"/>
    </row>
    <row r="20" spans="3:24" hidden="1" x14ac:dyDescent="0.2">
      <c r="D20" s="196"/>
      <c r="E20" s="225"/>
      <c r="F20" s="226"/>
      <c r="G20" s="200"/>
      <c r="H20" s="200"/>
      <c r="I20" s="197"/>
      <c r="J20" s="185"/>
      <c r="K20" s="185"/>
      <c r="L20" s="185"/>
      <c r="M20" s="185"/>
      <c r="N20" s="185"/>
      <c r="O20" s="185"/>
      <c r="P20" s="185"/>
      <c r="Q20" s="185"/>
      <c r="R20" s="185"/>
      <c r="S20" s="185"/>
      <c r="T20" s="185"/>
      <c r="U20" s="185"/>
      <c r="V20" s="185"/>
    </row>
    <row r="21" spans="3:24" ht="13.5" customHeight="1" x14ac:dyDescent="0.2">
      <c r="D21" s="1333" t="s">
        <v>1291</v>
      </c>
      <c r="E21" s="1334"/>
      <c r="F21" s="1334"/>
      <c r="G21" s="1334"/>
      <c r="H21" s="1334"/>
      <c r="I21" s="1335"/>
      <c r="J21" s="1328" t="s">
        <v>1289</v>
      </c>
      <c r="K21" s="1328"/>
      <c r="L21" s="1328"/>
      <c r="M21" s="1328"/>
      <c r="N21" s="1328"/>
      <c r="O21" s="1328"/>
      <c r="P21" s="1328"/>
      <c r="Q21" s="1328"/>
      <c r="R21" s="1328"/>
      <c r="S21" s="1328"/>
      <c r="T21" s="357"/>
      <c r="U21" s="357"/>
      <c r="V21" s="358" t="s">
        <v>1290</v>
      </c>
      <c r="W21" s="359"/>
      <c r="X21" s="359" t="s">
        <v>1436</v>
      </c>
    </row>
    <row r="22" spans="3:24" x14ac:dyDescent="0.2">
      <c r="D22" s="1336"/>
      <c r="E22" s="1337"/>
      <c r="F22" s="1337"/>
      <c r="G22" s="1337"/>
      <c r="H22" s="1337"/>
      <c r="I22" s="1338"/>
      <c r="J22" s="357">
        <v>1</v>
      </c>
      <c r="K22" s="357">
        <v>2</v>
      </c>
      <c r="L22" s="357">
        <v>3</v>
      </c>
      <c r="M22" s="357">
        <v>4</v>
      </c>
      <c r="N22" s="357">
        <v>5</v>
      </c>
      <c r="O22" s="357">
        <v>6</v>
      </c>
      <c r="P22" s="357">
        <v>7</v>
      </c>
      <c r="Q22" s="357">
        <v>8</v>
      </c>
      <c r="R22" s="357">
        <v>9</v>
      </c>
      <c r="S22" s="357">
        <v>10</v>
      </c>
      <c r="T22" s="357">
        <v>11</v>
      </c>
      <c r="U22" s="357">
        <v>12</v>
      </c>
      <c r="V22" s="360">
        <f>V24+V45+V75</f>
        <v>236270.26678253576</v>
      </c>
      <c r="W22" s="359"/>
      <c r="X22" s="359"/>
    </row>
    <row r="23" spans="3:24" s="227" customFormat="1" ht="12.75" hidden="1" x14ac:dyDescent="0.2">
      <c r="D23" s="230"/>
      <c r="E23" s="229"/>
      <c r="F23" s="229"/>
      <c r="G23" s="230"/>
      <c r="H23" s="230"/>
      <c r="I23" s="230"/>
      <c r="J23" s="230"/>
      <c r="K23" s="230"/>
      <c r="L23" s="230"/>
      <c r="M23" s="230"/>
      <c r="N23" s="230"/>
      <c r="O23" s="230"/>
      <c r="P23" s="230"/>
      <c r="Q23" s="230"/>
      <c r="R23" s="230"/>
      <c r="S23" s="230"/>
      <c r="T23" s="230"/>
      <c r="U23" s="230"/>
      <c r="V23" s="230"/>
    </row>
    <row r="24" spans="3:24" x14ac:dyDescent="0.2">
      <c r="C24" s="232"/>
      <c r="D24" s="352" t="s">
        <v>1292</v>
      </c>
      <c r="E24" s="280"/>
      <c r="F24" s="280"/>
      <c r="G24" s="280"/>
      <c r="H24" s="280"/>
      <c r="I24" s="280"/>
      <c r="J24" s="280"/>
      <c r="K24" s="281"/>
      <c r="L24" s="281"/>
      <c r="M24" s="281"/>
      <c r="N24" s="281"/>
      <c r="O24" s="281"/>
      <c r="P24" s="281"/>
      <c r="Q24" s="281"/>
      <c r="R24" s="281"/>
      <c r="S24" s="281"/>
      <c r="T24" s="281"/>
      <c r="U24" s="281"/>
      <c r="V24" s="353">
        <f>SUM(V26:V44)/2</f>
        <v>38880</v>
      </c>
      <c r="W24" s="354">
        <v>38880</v>
      </c>
      <c r="X24" s="362">
        <f>+W24/$W$120</f>
        <v>0.16455731196928527</v>
      </c>
    </row>
    <row r="25" spans="3:24" s="236" customFormat="1" ht="11.25" hidden="1" customHeight="1" x14ac:dyDescent="0.2">
      <c r="C25" s="232"/>
      <c r="D25" s="232"/>
      <c r="E25" s="233"/>
      <c r="F25" s="233"/>
      <c r="G25" s="234">
        <v>0</v>
      </c>
      <c r="H25" s="220"/>
      <c r="I25" s="220"/>
      <c r="J25" s="235"/>
      <c r="K25" s="235"/>
      <c r="L25" s="235"/>
      <c r="M25" s="235"/>
      <c r="N25" s="235"/>
      <c r="O25" s="235"/>
      <c r="P25" s="235"/>
      <c r="Q25" s="235"/>
      <c r="R25" s="235"/>
      <c r="S25" s="235"/>
      <c r="T25" s="235"/>
      <c r="U25" s="235"/>
      <c r="V25" s="327"/>
      <c r="W25" s="338"/>
      <c r="X25" s="361">
        <f t="shared" ref="X25:X88" si="0">+W25/$W$120</f>
        <v>0</v>
      </c>
    </row>
    <row r="26" spans="3:24" x14ac:dyDescent="0.2">
      <c r="D26" s="232" t="s">
        <v>1635</v>
      </c>
      <c r="E26" s="287" t="s">
        <v>1293</v>
      </c>
      <c r="F26" s="287" t="s">
        <v>1294</v>
      </c>
      <c r="G26" s="287" t="s">
        <v>1295</v>
      </c>
      <c r="H26" s="287" t="s">
        <v>1296</v>
      </c>
      <c r="I26" s="339" t="s">
        <v>1297</v>
      </c>
      <c r="J26" s="235"/>
      <c r="K26" s="235"/>
      <c r="L26" s="235"/>
      <c r="M26" s="235"/>
      <c r="N26" s="235"/>
      <c r="O26" s="235"/>
      <c r="P26" s="235"/>
      <c r="Q26" s="235"/>
      <c r="R26" s="235"/>
      <c r="S26" s="235"/>
      <c r="T26" s="235"/>
      <c r="U26" s="235"/>
      <c r="V26" s="328">
        <f>SUM(V27:V32)</f>
        <v>14400</v>
      </c>
      <c r="W26" s="338">
        <v>14400</v>
      </c>
      <c r="X26" s="361">
        <f t="shared" si="0"/>
        <v>6.0947152581216774E-2</v>
      </c>
    </row>
    <row r="27" spans="3:24" ht="15.75" customHeight="1" x14ac:dyDescent="0.2">
      <c r="D27" s="220" t="s">
        <v>1298</v>
      </c>
      <c r="E27" s="278">
        <v>1600</v>
      </c>
      <c r="F27" s="288">
        <v>0.75</v>
      </c>
      <c r="G27" s="289">
        <f t="shared" ref="G27:G32" si="1">E27*$G$25*F27</f>
        <v>0</v>
      </c>
      <c r="H27" s="289"/>
      <c r="I27" s="325">
        <f t="shared" ref="I27:I32" si="2">E27*F27+G27</f>
        <v>1200</v>
      </c>
      <c r="J27" s="290">
        <f t="shared" ref="J27:U32" si="3">$I27</f>
        <v>1200</v>
      </c>
      <c r="K27" s="290">
        <f t="shared" si="3"/>
        <v>1200</v>
      </c>
      <c r="L27" s="290">
        <f t="shared" si="3"/>
        <v>1200</v>
      </c>
      <c r="M27" s="290">
        <f t="shared" si="3"/>
        <v>1200</v>
      </c>
      <c r="N27" s="290">
        <f t="shared" si="3"/>
        <v>1200</v>
      </c>
      <c r="O27" s="290">
        <f t="shared" si="3"/>
        <v>1200</v>
      </c>
      <c r="P27" s="290">
        <f t="shared" si="3"/>
        <v>1200</v>
      </c>
      <c r="Q27" s="290">
        <f t="shared" si="3"/>
        <v>1200</v>
      </c>
      <c r="R27" s="290">
        <f t="shared" si="3"/>
        <v>1200</v>
      </c>
      <c r="S27" s="290">
        <f t="shared" si="3"/>
        <v>1200</v>
      </c>
      <c r="T27" s="290">
        <f t="shared" si="3"/>
        <v>1200</v>
      </c>
      <c r="U27" s="290">
        <f t="shared" si="3"/>
        <v>1200</v>
      </c>
      <c r="V27" s="327">
        <f t="shared" ref="V27:V32" si="4">SUM(J27:U27)</f>
        <v>14400</v>
      </c>
      <c r="W27" s="338">
        <v>14400</v>
      </c>
      <c r="X27" s="361">
        <f t="shared" si="0"/>
        <v>6.0947152581216774E-2</v>
      </c>
    </row>
    <row r="28" spans="3:24" ht="11.25" hidden="1" customHeight="1" x14ac:dyDescent="0.2">
      <c r="D28" s="220" t="s">
        <v>1299</v>
      </c>
      <c r="E28" s="278">
        <v>1300</v>
      </c>
      <c r="F28" s="288">
        <v>0</v>
      </c>
      <c r="G28" s="289">
        <f t="shared" si="1"/>
        <v>0</v>
      </c>
      <c r="H28" s="289"/>
      <c r="I28" s="325">
        <f t="shared" si="2"/>
        <v>0</v>
      </c>
      <c r="J28" s="290">
        <f t="shared" si="3"/>
        <v>0</v>
      </c>
      <c r="K28" s="290">
        <f t="shared" si="3"/>
        <v>0</v>
      </c>
      <c r="L28" s="290">
        <f t="shared" si="3"/>
        <v>0</v>
      </c>
      <c r="M28" s="290">
        <f t="shared" si="3"/>
        <v>0</v>
      </c>
      <c r="N28" s="290">
        <f t="shared" si="3"/>
        <v>0</v>
      </c>
      <c r="O28" s="290">
        <f t="shared" si="3"/>
        <v>0</v>
      </c>
      <c r="P28" s="290">
        <f t="shared" si="3"/>
        <v>0</v>
      </c>
      <c r="Q28" s="290">
        <f t="shared" si="3"/>
        <v>0</v>
      </c>
      <c r="R28" s="290">
        <f t="shared" si="3"/>
        <v>0</v>
      </c>
      <c r="S28" s="290">
        <f t="shared" si="3"/>
        <v>0</v>
      </c>
      <c r="T28" s="290">
        <f t="shared" si="3"/>
        <v>0</v>
      </c>
      <c r="U28" s="290">
        <f t="shared" si="3"/>
        <v>0</v>
      </c>
      <c r="V28" s="327">
        <f t="shared" si="4"/>
        <v>0</v>
      </c>
      <c r="W28" s="338">
        <v>0</v>
      </c>
      <c r="X28" s="361">
        <f t="shared" si="0"/>
        <v>0</v>
      </c>
    </row>
    <row r="29" spans="3:24" ht="11.25" hidden="1" customHeight="1" x14ac:dyDescent="0.2">
      <c r="D29" s="220" t="s">
        <v>1300</v>
      </c>
      <c r="E29" s="278">
        <v>1200</v>
      </c>
      <c r="F29" s="288">
        <v>0</v>
      </c>
      <c r="G29" s="289">
        <f t="shared" si="1"/>
        <v>0</v>
      </c>
      <c r="H29" s="289"/>
      <c r="I29" s="325">
        <f t="shared" si="2"/>
        <v>0</v>
      </c>
      <c r="J29" s="290">
        <f t="shared" si="3"/>
        <v>0</v>
      </c>
      <c r="K29" s="290">
        <f t="shared" si="3"/>
        <v>0</v>
      </c>
      <c r="L29" s="290">
        <f t="shared" si="3"/>
        <v>0</v>
      </c>
      <c r="M29" s="290">
        <f t="shared" si="3"/>
        <v>0</v>
      </c>
      <c r="N29" s="290">
        <f t="shared" si="3"/>
        <v>0</v>
      </c>
      <c r="O29" s="290">
        <f t="shared" si="3"/>
        <v>0</v>
      </c>
      <c r="P29" s="290">
        <f t="shared" si="3"/>
        <v>0</v>
      </c>
      <c r="Q29" s="290">
        <f t="shared" si="3"/>
        <v>0</v>
      </c>
      <c r="R29" s="290">
        <f t="shared" si="3"/>
        <v>0</v>
      </c>
      <c r="S29" s="290">
        <f t="shared" si="3"/>
        <v>0</v>
      </c>
      <c r="T29" s="290">
        <f t="shared" si="3"/>
        <v>0</v>
      </c>
      <c r="U29" s="290">
        <f t="shared" si="3"/>
        <v>0</v>
      </c>
      <c r="V29" s="327">
        <f t="shared" si="4"/>
        <v>0</v>
      </c>
      <c r="W29" s="338">
        <v>0</v>
      </c>
      <c r="X29" s="361">
        <f t="shared" si="0"/>
        <v>0</v>
      </c>
    </row>
    <row r="30" spans="3:24" ht="11.25" hidden="1" customHeight="1" x14ac:dyDescent="0.2">
      <c r="D30" s="220" t="s">
        <v>1301</v>
      </c>
      <c r="E30" s="278">
        <v>1200</v>
      </c>
      <c r="F30" s="288">
        <v>0</v>
      </c>
      <c r="G30" s="289">
        <f t="shared" si="1"/>
        <v>0</v>
      </c>
      <c r="H30" s="289"/>
      <c r="I30" s="325">
        <f t="shared" si="2"/>
        <v>0</v>
      </c>
      <c r="J30" s="290">
        <f t="shared" si="3"/>
        <v>0</v>
      </c>
      <c r="K30" s="290">
        <f t="shared" si="3"/>
        <v>0</v>
      </c>
      <c r="L30" s="290">
        <f t="shared" si="3"/>
        <v>0</v>
      </c>
      <c r="M30" s="290">
        <f t="shared" si="3"/>
        <v>0</v>
      </c>
      <c r="N30" s="290">
        <f t="shared" si="3"/>
        <v>0</v>
      </c>
      <c r="O30" s="290">
        <f t="shared" si="3"/>
        <v>0</v>
      </c>
      <c r="P30" s="290">
        <f t="shared" si="3"/>
        <v>0</v>
      </c>
      <c r="Q30" s="290">
        <f t="shared" si="3"/>
        <v>0</v>
      </c>
      <c r="R30" s="290">
        <f t="shared" si="3"/>
        <v>0</v>
      </c>
      <c r="S30" s="290">
        <f t="shared" si="3"/>
        <v>0</v>
      </c>
      <c r="T30" s="290">
        <f t="shared" si="3"/>
        <v>0</v>
      </c>
      <c r="U30" s="290">
        <f t="shared" si="3"/>
        <v>0</v>
      </c>
      <c r="V30" s="327">
        <f t="shared" si="4"/>
        <v>0</v>
      </c>
      <c r="W30" s="338">
        <v>0</v>
      </c>
      <c r="X30" s="361">
        <f t="shared" si="0"/>
        <v>0</v>
      </c>
    </row>
    <row r="31" spans="3:24" ht="11.25" hidden="1" customHeight="1" x14ac:dyDescent="0.2">
      <c r="D31" s="220" t="s">
        <v>1302</v>
      </c>
      <c r="E31" s="278">
        <v>1200</v>
      </c>
      <c r="F31" s="288">
        <v>0</v>
      </c>
      <c r="G31" s="289">
        <f t="shared" si="1"/>
        <v>0</v>
      </c>
      <c r="H31" s="289"/>
      <c r="I31" s="325">
        <f t="shared" si="2"/>
        <v>0</v>
      </c>
      <c r="J31" s="290">
        <f t="shared" si="3"/>
        <v>0</v>
      </c>
      <c r="K31" s="290">
        <f t="shared" si="3"/>
        <v>0</v>
      </c>
      <c r="L31" s="290">
        <f t="shared" si="3"/>
        <v>0</v>
      </c>
      <c r="M31" s="290">
        <f t="shared" si="3"/>
        <v>0</v>
      </c>
      <c r="N31" s="290">
        <f t="shared" si="3"/>
        <v>0</v>
      </c>
      <c r="O31" s="290">
        <f t="shared" si="3"/>
        <v>0</v>
      </c>
      <c r="P31" s="290">
        <f t="shared" si="3"/>
        <v>0</v>
      </c>
      <c r="Q31" s="290">
        <f t="shared" si="3"/>
        <v>0</v>
      </c>
      <c r="R31" s="290">
        <f t="shared" si="3"/>
        <v>0</v>
      </c>
      <c r="S31" s="290">
        <f t="shared" si="3"/>
        <v>0</v>
      </c>
      <c r="T31" s="290">
        <f t="shared" si="3"/>
        <v>0</v>
      </c>
      <c r="U31" s="290">
        <f t="shared" si="3"/>
        <v>0</v>
      </c>
      <c r="V31" s="327">
        <f t="shared" si="4"/>
        <v>0</v>
      </c>
      <c r="W31" s="338">
        <v>0</v>
      </c>
      <c r="X31" s="361">
        <f t="shared" si="0"/>
        <v>0</v>
      </c>
    </row>
    <row r="32" spans="3:24" ht="11.25" hidden="1" customHeight="1" x14ac:dyDescent="0.2">
      <c r="D32" s="220" t="s">
        <v>1303</v>
      </c>
      <c r="E32" s="278">
        <v>1200</v>
      </c>
      <c r="F32" s="288">
        <v>0</v>
      </c>
      <c r="G32" s="289">
        <f t="shared" si="1"/>
        <v>0</v>
      </c>
      <c r="H32" s="289"/>
      <c r="I32" s="325">
        <f t="shared" si="2"/>
        <v>0</v>
      </c>
      <c r="J32" s="290">
        <f t="shared" si="3"/>
        <v>0</v>
      </c>
      <c r="K32" s="290">
        <f t="shared" si="3"/>
        <v>0</v>
      </c>
      <c r="L32" s="290">
        <f t="shared" si="3"/>
        <v>0</v>
      </c>
      <c r="M32" s="290">
        <f t="shared" si="3"/>
        <v>0</v>
      </c>
      <c r="N32" s="290">
        <f t="shared" si="3"/>
        <v>0</v>
      </c>
      <c r="O32" s="290">
        <f t="shared" si="3"/>
        <v>0</v>
      </c>
      <c r="P32" s="290">
        <f t="shared" si="3"/>
        <v>0</v>
      </c>
      <c r="Q32" s="290">
        <f t="shared" si="3"/>
        <v>0</v>
      </c>
      <c r="R32" s="290">
        <f t="shared" si="3"/>
        <v>0</v>
      </c>
      <c r="S32" s="290">
        <f t="shared" si="3"/>
        <v>0</v>
      </c>
      <c r="T32" s="290">
        <f t="shared" si="3"/>
        <v>0</v>
      </c>
      <c r="U32" s="290">
        <f t="shared" si="3"/>
        <v>0</v>
      </c>
      <c r="V32" s="327">
        <f t="shared" si="4"/>
        <v>0</v>
      </c>
      <c r="W32" s="338">
        <v>0</v>
      </c>
      <c r="X32" s="361">
        <f t="shared" si="0"/>
        <v>0</v>
      </c>
    </row>
    <row r="33" spans="3:24" ht="11.25" hidden="1" customHeight="1" x14ac:dyDescent="0.2">
      <c r="D33" s="220"/>
      <c r="E33" s="278"/>
      <c r="F33" s="291"/>
      <c r="G33" s="289"/>
      <c r="H33" s="289"/>
      <c r="I33" s="363">
        <f>SUM(I27:I32)</f>
        <v>1200</v>
      </c>
      <c r="J33" s="290"/>
      <c r="K33" s="290"/>
      <c r="L33" s="290"/>
      <c r="M33" s="290"/>
      <c r="N33" s="290"/>
      <c r="O33" s="290"/>
      <c r="P33" s="290"/>
      <c r="Q33" s="290"/>
      <c r="R33" s="290"/>
      <c r="S33" s="290"/>
      <c r="T33" s="290"/>
      <c r="U33" s="290"/>
      <c r="V33" s="327"/>
      <c r="W33" s="338"/>
      <c r="X33" s="361">
        <f t="shared" si="0"/>
        <v>0</v>
      </c>
    </row>
    <row r="34" spans="3:24" x14ac:dyDescent="0.2">
      <c r="D34" s="232" t="s">
        <v>1304</v>
      </c>
      <c r="E34" s="324"/>
      <c r="F34" s="287"/>
      <c r="G34" s="287"/>
      <c r="H34" s="287"/>
      <c r="I34" s="324"/>
      <c r="J34" s="235"/>
      <c r="K34" s="235"/>
      <c r="L34" s="235"/>
      <c r="M34" s="235"/>
      <c r="N34" s="235"/>
      <c r="O34" s="235"/>
      <c r="P34" s="235"/>
      <c r="Q34" s="235"/>
      <c r="R34" s="235"/>
      <c r="S34" s="235"/>
      <c r="T34" s="235"/>
      <c r="U34" s="235"/>
      <c r="V34" s="328">
        <f>SUM(V35:V39)</f>
        <v>22800</v>
      </c>
      <c r="W34" s="338">
        <v>22800</v>
      </c>
      <c r="X34" s="361">
        <f t="shared" si="0"/>
        <v>9.6499658253593218E-2</v>
      </c>
    </row>
    <row r="35" spans="3:24" x14ac:dyDescent="0.2">
      <c r="D35" s="220" t="s">
        <v>1305</v>
      </c>
      <c r="E35" s="278">
        <v>600</v>
      </c>
      <c r="F35" s="288">
        <v>1</v>
      </c>
      <c r="G35" s="289">
        <f>E35*$G$25*F35</f>
        <v>0</v>
      </c>
      <c r="H35" s="289"/>
      <c r="I35" s="325">
        <f>E35*F35+G35</f>
        <v>600</v>
      </c>
      <c r="J35" s="290">
        <f t="shared" ref="J35:U39" si="5">$I35</f>
        <v>600</v>
      </c>
      <c r="K35" s="290">
        <f t="shared" si="5"/>
        <v>600</v>
      </c>
      <c r="L35" s="290">
        <f t="shared" si="5"/>
        <v>600</v>
      </c>
      <c r="M35" s="290">
        <f t="shared" si="5"/>
        <v>600</v>
      </c>
      <c r="N35" s="290">
        <f t="shared" si="5"/>
        <v>600</v>
      </c>
      <c r="O35" s="290">
        <f t="shared" si="5"/>
        <v>600</v>
      </c>
      <c r="P35" s="290">
        <f t="shared" si="5"/>
        <v>600</v>
      </c>
      <c r="Q35" s="290">
        <f t="shared" si="5"/>
        <v>600</v>
      </c>
      <c r="R35" s="290">
        <f t="shared" si="5"/>
        <v>600</v>
      </c>
      <c r="S35" s="290">
        <f t="shared" si="5"/>
        <v>600</v>
      </c>
      <c r="T35" s="290">
        <f t="shared" si="5"/>
        <v>600</v>
      </c>
      <c r="U35" s="290">
        <f t="shared" si="5"/>
        <v>600</v>
      </c>
      <c r="V35" s="327">
        <f>SUM(J35:U35)</f>
        <v>7200</v>
      </c>
      <c r="W35" s="338">
        <v>7200</v>
      </c>
      <c r="X35" s="361">
        <f t="shared" si="0"/>
        <v>3.0473576290608387E-2</v>
      </c>
    </row>
    <row r="36" spans="3:24" ht="11.25" hidden="1" customHeight="1" x14ac:dyDescent="0.2">
      <c r="D36" s="220" t="s">
        <v>1306</v>
      </c>
      <c r="E36" s="278">
        <v>600</v>
      </c>
      <c r="F36" s="288">
        <v>0</v>
      </c>
      <c r="G36" s="289">
        <f>E36*$G$25*F36</f>
        <v>0</v>
      </c>
      <c r="H36" s="289"/>
      <c r="I36" s="325">
        <f>E36*F36+G36</f>
        <v>0</v>
      </c>
      <c r="J36" s="290">
        <f t="shared" si="5"/>
        <v>0</v>
      </c>
      <c r="K36" s="290">
        <f t="shared" si="5"/>
        <v>0</v>
      </c>
      <c r="L36" s="290">
        <f t="shared" si="5"/>
        <v>0</v>
      </c>
      <c r="M36" s="290">
        <f t="shared" si="5"/>
        <v>0</v>
      </c>
      <c r="N36" s="290">
        <f t="shared" si="5"/>
        <v>0</v>
      </c>
      <c r="O36" s="290">
        <f t="shared" si="5"/>
        <v>0</v>
      </c>
      <c r="P36" s="290">
        <f t="shared" si="5"/>
        <v>0</v>
      </c>
      <c r="Q36" s="290">
        <f t="shared" si="5"/>
        <v>0</v>
      </c>
      <c r="R36" s="290">
        <f t="shared" si="5"/>
        <v>0</v>
      </c>
      <c r="S36" s="290">
        <f t="shared" si="5"/>
        <v>0</v>
      </c>
      <c r="T36" s="290">
        <f t="shared" si="5"/>
        <v>0</v>
      </c>
      <c r="U36" s="290">
        <f t="shared" si="5"/>
        <v>0</v>
      </c>
      <c r="V36" s="327">
        <f>SUM(J36:U36)</f>
        <v>0</v>
      </c>
      <c r="W36" s="338">
        <v>0</v>
      </c>
      <c r="X36" s="361">
        <f t="shared" si="0"/>
        <v>0</v>
      </c>
    </row>
    <row r="37" spans="3:24" ht="11.25" hidden="1" customHeight="1" x14ac:dyDescent="0.2">
      <c r="D37" s="220" t="s">
        <v>1307</v>
      </c>
      <c r="E37" s="278">
        <v>500</v>
      </c>
      <c r="F37" s="288">
        <v>0</v>
      </c>
      <c r="G37" s="289">
        <f>E37*$G$25*F37</f>
        <v>0</v>
      </c>
      <c r="H37" s="289"/>
      <c r="I37" s="325">
        <f>E37*F37+G37</f>
        <v>0</v>
      </c>
      <c r="J37" s="290">
        <f t="shared" si="5"/>
        <v>0</v>
      </c>
      <c r="K37" s="290">
        <f t="shared" si="5"/>
        <v>0</v>
      </c>
      <c r="L37" s="290">
        <f t="shared" si="5"/>
        <v>0</v>
      </c>
      <c r="M37" s="290">
        <f t="shared" si="5"/>
        <v>0</v>
      </c>
      <c r="N37" s="290">
        <f t="shared" si="5"/>
        <v>0</v>
      </c>
      <c r="O37" s="290">
        <f t="shared" si="5"/>
        <v>0</v>
      </c>
      <c r="P37" s="290">
        <f t="shared" si="5"/>
        <v>0</v>
      </c>
      <c r="Q37" s="290">
        <f t="shared" si="5"/>
        <v>0</v>
      </c>
      <c r="R37" s="290">
        <f t="shared" si="5"/>
        <v>0</v>
      </c>
      <c r="S37" s="290">
        <f t="shared" si="5"/>
        <v>0</v>
      </c>
      <c r="T37" s="290">
        <f t="shared" si="5"/>
        <v>0</v>
      </c>
      <c r="U37" s="290">
        <f t="shared" si="5"/>
        <v>0</v>
      </c>
      <c r="V37" s="327">
        <f>SUM(J37:U37)</f>
        <v>0</v>
      </c>
      <c r="W37" s="338">
        <v>0</v>
      </c>
      <c r="X37" s="361">
        <f t="shared" si="0"/>
        <v>0</v>
      </c>
    </row>
    <row r="38" spans="3:24" x14ac:dyDescent="0.2">
      <c r="D38" s="220" t="s">
        <v>1308</v>
      </c>
      <c r="E38" s="278">
        <v>1300</v>
      </c>
      <c r="F38" s="288">
        <v>1</v>
      </c>
      <c r="G38" s="289">
        <f>E38*$G$25*F38</f>
        <v>0</v>
      </c>
      <c r="H38" s="289"/>
      <c r="I38" s="325">
        <f>E38*F38+G38</f>
        <v>1300</v>
      </c>
      <c r="J38" s="290">
        <f t="shared" si="5"/>
        <v>1300</v>
      </c>
      <c r="K38" s="290">
        <f t="shared" si="5"/>
        <v>1300</v>
      </c>
      <c r="L38" s="290">
        <f t="shared" si="5"/>
        <v>1300</v>
      </c>
      <c r="M38" s="290">
        <f t="shared" si="5"/>
        <v>1300</v>
      </c>
      <c r="N38" s="290">
        <f t="shared" si="5"/>
        <v>1300</v>
      </c>
      <c r="O38" s="290">
        <f t="shared" si="5"/>
        <v>1300</v>
      </c>
      <c r="P38" s="290">
        <f t="shared" si="5"/>
        <v>1300</v>
      </c>
      <c r="Q38" s="290">
        <f t="shared" si="5"/>
        <v>1300</v>
      </c>
      <c r="R38" s="290">
        <f t="shared" si="5"/>
        <v>1300</v>
      </c>
      <c r="S38" s="290">
        <f t="shared" si="5"/>
        <v>1300</v>
      </c>
      <c r="T38" s="290">
        <f t="shared" si="5"/>
        <v>1300</v>
      </c>
      <c r="U38" s="290">
        <f t="shared" si="5"/>
        <v>1300</v>
      </c>
      <c r="V38" s="327">
        <f>SUM(J38:U38)</f>
        <v>15600</v>
      </c>
      <c r="W38" s="338">
        <v>15600</v>
      </c>
      <c r="X38" s="361">
        <f t="shared" si="0"/>
        <v>6.6026081962984831E-2</v>
      </c>
    </row>
    <row r="39" spans="3:24" ht="11.25" hidden="1" customHeight="1" x14ac:dyDescent="0.2">
      <c r="D39" s="220" t="s">
        <v>1309</v>
      </c>
      <c r="E39" s="278">
        <v>700</v>
      </c>
      <c r="F39" s="288">
        <v>0</v>
      </c>
      <c r="G39" s="289">
        <f>E39*$G$25*F39</f>
        <v>0</v>
      </c>
      <c r="H39" s="289"/>
      <c r="I39" s="325">
        <f>E39*F39+G39</f>
        <v>0</v>
      </c>
      <c r="J39" s="290">
        <f t="shared" si="5"/>
        <v>0</v>
      </c>
      <c r="K39" s="290">
        <f t="shared" si="5"/>
        <v>0</v>
      </c>
      <c r="L39" s="290">
        <f t="shared" si="5"/>
        <v>0</v>
      </c>
      <c r="M39" s="290">
        <f t="shared" si="5"/>
        <v>0</v>
      </c>
      <c r="N39" s="290">
        <f t="shared" si="5"/>
        <v>0</v>
      </c>
      <c r="O39" s="290">
        <f t="shared" si="5"/>
        <v>0</v>
      </c>
      <c r="P39" s="290">
        <f t="shared" si="5"/>
        <v>0</v>
      </c>
      <c r="Q39" s="290">
        <f t="shared" si="5"/>
        <v>0</v>
      </c>
      <c r="R39" s="290">
        <f t="shared" si="5"/>
        <v>0</v>
      </c>
      <c r="S39" s="290">
        <f t="shared" si="5"/>
        <v>0</v>
      </c>
      <c r="T39" s="290">
        <f t="shared" si="5"/>
        <v>0</v>
      </c>
      <c r="U39" s="290">
        <f t="shared" si="5"/>
        <v>0</v>
      </c>
      <c r="V39" s="327">
        <f>SUM(J39:U39)</f>
        <v>0</v>
      </c>
      <c r="W39" s="338">
        <v>0</v>
      </c>
      <c r="X39" s="361">
        <f t="shared" si="0"/>
        <v>0</v>
      </c>
    </row>
    <row r="40" spans="3:24" ht="11.25" hidden="1" customHeight="1" x14ac:dyDescent="0.2">
      <c r="D40" s="220"/>
      <c r="E40" s="278"/>
      <c r="F40" s="288"/>
      <c r="G40" s="289"/>
      <c r="H40" s="289"/>
      <c r="I40" s="363">
        <f>SUM(I35:I39)</f>
        <v>1900</v>
      </c>
      <c r="J40" s="290"/>
      <c r="K40" s="290"/>
      <c r="L40" s="290"/>
      <c r="M40" s="290"/>
      <c r="N40" s="290"/>
      <c r="O40" s="290"/>
      <c r="P40" s="290"/>
      <c r="Q40" s="290"/>
      <c r="R40" s="290"/>
      <c r="S40" s="290"/>
      <c r="T40" s="290"/>
      <c r="U40" s="290"/>
      <c r="V40" s="327"/>
      <c r="W40" s="338"/>
      <c r="X40" s="361">
        <f t="shared" si="0"/>
        <v>0</v>
      </c>
    </row>
    <row r="41" spans="3:24" x14ac:dyDescent="0.2">
      <c r="D41" s="232" t="s">
        <v>1310</v>
      </c>
      <c r="E41" s="324"/>
      <c r="F41" s="287"/>
      <c r="G41" s="287"/>
      <c r="H41" s="287"/>
      <c r="I41" s="324"/>
      <c r="J41" s="235"/>
      <c r="K41" s="235"/>
      <c r="L41" s="235"/>
      <c r="M41" s="235"/>
      <c r="N41" s="235"/>
      <c r="O41" s="235"/>
      <c r="P41" s="235"/>
      <c r="Q41" s="235"/>
      <c r="R41" s="235"/>
      <c r="S41" s="235"/>
      <c r="T41" s="235"/>
      <c r="U41" s="235"/>
      <c r="V41" s="328">
        <f>SUM(V42:V43)</f>
        <v>1680</v>
      </c>
      <c r="W41" s="338">
        <v>1680</v>
      </c>
      <c r="X41" s="361">
        <f t="shared" si="0"/>
        <v>7.1105011344752903E-3</v>
      </c>
    </row>
    <row r="42" spans="3:24" x14ac:dyDescent="0.2">
      <c r="D42" s="220" t="s">
        <v>1311</v>
      </c>
      <c r="E42" s="278">
        <v>700</v>
      </c>
      <c r="F42" s="288">
        <v>0.2</v>
      </c>
      <c r="G42" s="289">
        <f>E42*$G$25*F42</f>
        <v>0</v>
      </c>
      <c r="H42" s="289"/>
      <c r="I42" s="325">
        <f>E42*F42+G42</f>
        <v>140</v>
      </c>
      <c r="J42" s="290">
        <f t="shared" ref="J42:U43" si="6">$I42</f>
        <v>140</v>
      </c>
      <c r="K42" s="290">
        <f t="shared" si="6"/>
        <v>140</v>
      </c>
      <c r="L42" s="290">
        <f t="shared" si="6"/>
        <v>140</v>
      </c>
      <c r="M42" s="290">
        <f t="shared" si="6"/>
        <v>140</v>
      </c>
      <c r="N42" s="290">
        <f t="shared" si="6"/>
        <v>140</v>
      </c>
      <c r="O42" s="290">
        <f t="shared" si="6"/>
        <v>140</v>
      </c>
      <c r="P42" s="290">
        <f t="shared" si="6"/>
        <v>140</v>
      </c>
      <c r="Q42" s="290">
        <f t="shared" si="6"/>
        <v>140</v>
      </c>
      <c r="R42" s="290">
        <f t="shared" si="6"/>
        <v>140</v>
      </c>
      <c r="S42" s="290">
        <f t="shared" si="6"/>
        <v>140</v>
      </c>
      <c r="T42" s="290">
        <f t="shared" si="6"/>
        <v>140</v>
      </c>
      <c r="U42" s="290">
        <f t="shared" si="6"/>
        <v>140</v>
      </c>
      <c r="V42" s="327">
        <f>SUM(J42:U42)</f>
        <v>1680</v>
      </c>
      <c r="W42" s="338">
        <v>1680</v>
      </c>
      <c r="X42" s="361">
        <f t="shared" si="0"/>
        <v>7.1105011344752903E-3</v>
      </c>
    </row>
    <row r="43" spans="3:24" ht="11.25" hidden="1" customHeight="1" x14ac:dyDescent="0.2">
      <c r="D43" s="220" t="s">
        <v>1312</v>
      </c>
      <c r="E43" s="238">
        <f>700*0</f>
        <v>0</v>
      </c>
      <c r="F43" s="288">
        <v>0.15</v>
      </c>
      <c r="G43" s="289">
        <f>E43*$G$25*F43</f>
        <v>0</v>
      </c>
      <c r="H43" s="289"/>
      <c r="I43" s="203">
        <f>E43*F43+G43</f>
        <v>0</v>
      </c>
      <c r="J43" s="290">
        <f t="shared" si="6"/>
        <v>0</v>
      </c>
      <c r="K43" s="290">
        <f t="shared" si="6"/>
        <v>0</v>
      </c>
      <c r="L43" s="290">
        <f t="shared" si="6"/>
        <v>0</v>
      </c>
      <c r="M43" s="290">
        <f t="shared" si="6"/>
        <v>0</v>
      </c>
      <c r="N43" s="290">
        <f t="shared" si="6"/>
        <v>0</v>
      </c>
      <c r="O43" s="290">
        <f t="shared" si="6"/>
        <v>0</v>
      </c>
      <c r="P43" s="290">
        <f t="shared" si="6"/>
        <v>0</v>
      </c>
      <c r="Q43" s="290">
        <f t="shared" si="6"/>
        <v>0</v>
      </c>
      <c r="R43" s="290">
        <f t="shared" si="6"/>
        <v>0</v>
      </c>
      <c r="S43" s="290">
        <f t="shared" si="6"/>
        <v>0</v>
      </c>
      <c r="T43" s="290">
        <f t="shared" si="6"/>
        <v>0</v>
      </c>
      <c r="U43" s="290">
        <f t="shared" si="6"/>
        <v>0</v>
      </c>
      <c r="V43" s="327">
        <f>SUM(J43:U43)</f>
        <v>0</v>
      </c>
      <c r="W43" s="338">
        <v>0</v>
      </c>
      <c r="X43" s="361">
        <f t="shared" si="0"/>
        <v>0</v>
      </c>
    </row>
    <row r="44" spans="3:24" ht="11.25" hidden="1" customHeight="1" x14ac:dyDescent="0.2">
      <c r="D44" s="220"/>
      <c r="E44" s="238"/>
      <c r="F44" s="238"/>
      <c r="G44" s="203"/>
      <c r="H44" s="203"/>
      <c r="I44" s="340">
        <f>SUM(I42:I43)</f>
        <v>140</v>
      </c>
      <c r="J44" s="290"/>
      <c r="K44" s="290"/>
      <c r="L44" s="290"/>
      <c r="M44" s="290"/>
      <c r="N44" s="290"/>
      <c r="O44" s="290"/>
      <c r="P44" s="290"/>
      <c r="Q44" s="290"/>
      <c r="R44" s="290"/>
      <c r="S44" s="290"/>
      <c r="T44" s="290"/>
      <c r="U44" s="290"/>
      <c r="V44" s="327"/>
      <c r="W44" s="338"/>
      <c r="X44" s="361">
        <f t="shared" si="0"/>
        <v>0</v>
      </c>
    </row>
    <row r="45" spans="3:24" x14ac:dyDescent="0.2">
      <c r="C45" s="232"/>
      <c r="D45" s="355" t="s">
        <v>1313</v>
      </c>
      <c r="E45" s="282"/>
      <c r="F45" s="282"/>
      <c r="G45" s="284"/>
      <c r="H45" s="284"/>
      <c r="I45" s="284"/>
      <c r="J45" s="284"/>
      <c r="K45" s="283"/>
      <c r="L45" s="283"/>
      <c r="M45" s="283"/>
      <c r="N45" s="283"/>
      <c r="O45" s="283"/>
      <c r="P45" s="283"/>
      <c r="Q45" s="283"/>
      <c r="R45" s="283"/>
      <c r="S45" s="283"/>
      <c r="T45" s="283"/>
      <c r="U45" s="283"/>
      <c r="V45" s="356">
        <f>SUM(V47:V74)/2</f>
        <v>7740</v>
      </c>
      <c r="W45" s="354">
        <v>7740</v>
      </c>
      <c r="X45" s="362">
        <f t="shared" si="0"/>
        <v>3.2759094512404018E-2</v>
      </c>
    </row>
    <row r="46" spans="3:24" s="236" customFormat="1" hidden="1" x14ac:dyDescent="0.2">
      <c r="C46" s="232"/>
      <c r="D46" s="232"/>
      <c r="E46" s="233"/>
      <c r="F46" s="233"/>
      <c r="G46" s="220"/>
      <c r="H46" s="220"/>
      <c r="I46" s="220"/>
      <c r="J46" s="235"/>
      <c r="K46" s="235"/>
      <c r="L46" s="235"/>
      <c r="M46" s="235"/>
      <c r="N46" s="235"/>
      <c r="O46" s="235"/>
      <c r="P46" s="235"/>
      <c r="Q46" s="235"/>
      <c r="R46" s="235"/>
      <c r="S46" s="235"/>
      <c r="T46" s="235"/>
      <c r="U46" s="235"/>
      <c r="V46" s="327"/>
      <c r="W46" s="338"/>
      <c r="X46" s="361">
        <f t="shared" si="0"/>
        <v>0</v>
      </c>
    </row>
    <row r="47" spans="3:24" x14ac:dyDescent="0.2">
      <c r="D47" s="296" t="s">
        <v>1636</v>
      </c>
      <c r="E47" s="292" t="s">
        <v>1315</v>
      </c>
      <c r="F47" s="292" t="s">
        <v>1316</v>
      </c>
      <c r="G47" s="293" t="s">
        <v>1295</v>
      </c>
      <c r="H47" s="293" t="s">
        <v>1296</v>
      </c>
      <c r="I47" s="293" t="s">
        <v>1297</v>
      </c>
      <c r="J47" s="290"/>
      <c r="K47" s="290"/>
      <c r="L47" s="290"/>
      <c r="M47" s="290"/>
      <c r="N47" s="290"/>
      <c r="O47" s="290"/>
      <c r="P47" s="290"/>
      <c r="Q47" s="290"/>
      <c r="R47" s="290"/>
      <c r="S47" s="290"/>
      <c r="T47" s="290"/>
      <c r="U47" s="290"/>
      <c r="V47" s="328">
        <f>SUM(V48:V57)</f>
        <v>3840</v>
      </c>
      <c r="W47" s="338">
        <v>3840</v>
      </c>
      <c r="X47" s="361">
        <f t="shared" si="0"/>
        <v>1.6252574021657806E-2</v>
      </c>
    </row>
    <row r="48" spans="3:24" hidden="1" x14ac:dyDescent="0.2">
      <c r="D48" s="220" t="s">
        <v>1317</v>
      </c>
      <c r="E48" s="238">
        <v>0</v>
      </c>
      <c r="F48" s="288">
        <v>1</v>
      </c>
      <c r="G48" s="289">
        <f t="shared" ref="G48:G57" si="7">E48*$G$25*F48</f>
        <v>0</v>
      </c>
      <c r="H48" s="289"/>
      <c r="I48" s="203">
        <f t="shared" ref="I48:I57" si="8">E48*F48+G48</f>
        <v>0</v>
      </c>
      <c r="J48" s="290">
        <f t="shared" ref="J48:U57" si="9">$I48</f>
        <v>0</v>
      </c>
      <c r="K48" s="290">
        <f t="shared" si="9"/>
        <v>0</v>
      </c>
      <c r="L48" s="290">
        <f t="shared" si="9"/>
        <v>0</v>
      </c>
      <c r="M48" s="290">
        <f t="shared" si="9"/>
        <v>0</v>
      </c>
      <c r="N48" s="290">
        <f t="shared" si="9"/>
        <v>0</v>
      </c>
      <c r="O48" s="290">
        <f t="shared" si="9"/>
        <v>0</v>
      </c>
      <c r="P48" s="290">
        <f t="shared" si="9"/>
        <v>0</v>
      </c>
      <c r="Q48" s="290">
        <f t="shared" si="9"/>
        <v>0</v>
      </c>
      <c r="R48" s="290">
        <f t="shared" si="9"/>
        <v>0</v>
      </c>
      <c r="S48" s="290">
        <f t="shared" si="9"/>
        <v>0</v>
      </c>
      <c r="T48" s="290">
        <f t="shared" si="9"/>
        <v>0</v>
      </c>
      <c r="U48" s="290">
        <f t="shared" si="9"/>
        <v>0</v>
      </c>
      <c r="V48" s="327">
        <f t="shared" ref="V48:V57" si="10">SUM(J48:U48)</f>
        <v>0</v>
      </c>
      <c r="W48" s="338">
        <v>0</v>
      </c>
      <c r="X48" s="361">
        <f t="shared" si="0"/>
        <v>0</v>
      </c>
    </row>
    <row r="49" spans="4:24" hidden="1" x14ac:dyDescent="0.2">
      <c r="D49" s="220" t="s">
        <v>1318</v>
      </c>
      <c r="E49" s="238">
        <v>0</v>
      </c>
      <c r="F49" s="288">
        <v>1</v>
      </c>
      <c r="G49" s="289">
        <f t="shared" si="7"/>
        <v>0</v>
      </c>
      <c r="H49" s="289"/>
      <c r="I49" s="203">
        <f t="shared" si="8"/>
        <v>0</v>
      </c>
      <c r="J49" s="290">
        <f t="shared" si="9"/>
        <v>0</v>
      </c>
      <c r="K49" s="290">
        <f t="shared" si="9"/>
        <v>0</v>
      </c>
      <c r="L49" s="290">
        <f t="shared" si="9"/>
        <v>0</v>
      </c>
      <c r="M49" s="290">
        <f t="shared" si="9"/>
        <v>0</v>
      </c>
      <c r="N49" s="290">
        <f t="shared" si="9"/>
        <v>0</v>
      </c>
      <c r="O49" s="290">
        <f t="shared" si="9"/>
        <v>0</v>
      </c>
      <c r="P49" s="290">
        <f t="shared" si="9"/>
        <v>0</v>
      </c>
      <c r="Q49" s="290">
        <f t="shared" si="9"/>
        <v>0</v>
      </c>
      <c r="R49" s="290">
        <f t="shared" si="9"/>
        <v>0</v>
      </c>
      <c r="S49" s="290">
        <f t="shared" si="9"/>
        <v>0</v>
      </c>
      <c r="T49" s="290">
        <f t="shared" si="9"/>
        <v>0</v>
      </c>
      <c r="U49" s="290">
        <f t="shared" si="9"/>
        <v>0</v>
      </c>
      <c r="V49" s="327">
        <f t="shared" si="10"/>
        <v>0</v>
      </c>
      <c r="W49" s="338">
        <v>0</v>
      </c>
      <c r="X49" s="361">
        <f t="shared" si="0"/>
        <v>0</v>
      </c>
    </row>
    <row r="50" spans="4:24" hidden="1" x14ac:dyDescent="0.2">
      <c r="D50" s="220" t="s">
        <v>1319</v>
      </c>
      <c r="E50" s="238">
        <v>0</v>
      </c>
      <c r="F50" s="288">
        <v>1</v>
      </c>
      <c r="G50" s="289">
        <f t="shared" si="7"/>
        <v>0</v>
      </c>
      <c r="H50" s="289"/>
      <c r="I50" s="203">
        <f t="shared" si="8"/>
        <v>0</v>
      </c>
      <c r="J50" s="290">
        <f t="shared" si="9"/>
        <v>0</v>
      </c>
      <c r="K50" s="290">
        <f t="shared" si="9"/>
        <v>0</v>
      </c>
      <c r="L50" s="290">
        <f t="shared" si="9"/>
        <v>0</v>
      </c>
      <c r="M50" s="290">
        <f t="shared" si="9"/>
        <v>0</v>
      </c>
      <c r="N50" s="290">
        <f t="shared" si="9"/>
        <v>0</v>
      </c>
      <c r="O50" s="290">
        <f t="shared" si="9"/>
        <v>0</v>
      </c>
      <c r="P50" s="290">
        <f t="shared" si="9"/>
        <v>0</v>
      </c>
      <c r="Q50" s="290">
        <f t="shared" si="9"/>
        <v>0</v>
      </c>
      <c r="R50" s="290">
        <f t="shared" si="9"/>
        <v>0</v>
      </c>
      <c r="S50" s="290">
        <f t="shared" si="9"/>
        <v>0</v>
      </c>
      <c r="T50" s="290">
        <f t="shared" si="9"/>
        <v>0</v>
      </c>
      <c r="U50" s="290">
        <f t="shared" si="9"/>
        <v>0</v>
      </c>
      <c r="V50" s="327">
        <f t="shared" si="10"/>
        <v>0</v>
      </c>
      <c r="W50" s="338">
        <v>0</v>
      </c>
      <c r="X50" s="361">
        <f t="shared" si="0"/>
        <v>0</v>
      </c>
    </row>
    <row r="51" spans="4:24" hidden="1" x14ac:dyDescent="0.2">
      <c r="D51" s="220" t="s">
        <v>1320</v>
      </c>
      <c r="E51" s="238">
        <v>0</v>
      </c>
      <c r="F51" s="288">
        <v>1</v>
      </c>
      <c r="G51" s="289">
        <f t="shared" si="7"/>
        <v>0</v>
      </c>
      <c r="H51" s="289"/>
      <c r="I51" s="203">
        <f t="shared" si="8"/>
        <v>0</v>
      </c>
      <c r="J51" s="290">
        <f t="shared" si="9"/>
        <v>0</v>
      </c>
      <c r="K51" s="290">
        <f t="shared" si="9"/>
        <v>0</v>
      </c>
      <c r="L51" s="290">
        <f t="shared" si="9"/>
        <v>0</v>
      </c>
      <c r="M51" s="290">
        <f t="shared" si="9"/>
        <v>0</v>
      </c>
      <c r="N51" s="290">
        <f t="shared" si="9"/>
        <v>0</v>
      </c>
      <c r="O51" s="290">
        <f t="shared" si="9"/>
        <v>0</v>
      </c>
      <c r="P51" s="290">
        <f t="shared" si="9"/>
        <v>0</v>
      </c>
      <c r="Q51" s="290">
        <f t="shared" si="9"/>
        <v>0</v>
      </c>
      <c r="R51" s="290">
        <f t="shared" si="9"/>
        <v>0</v>
      </c>
      <c r="S51" s="290">
        <f t="shared" si="9"/>
        <v>0</v>
      </c>
      <c r="T51" s="290">
        <f t="shared" si="9"/>
        <v>0</v>
      </c>
      <c r="U51" s="290">
        <f t="shared" si="9"/>
        <v>0</v>
      </c>
      <c r="V51" s="327">
        <f t="shared" si="10"/>
        <v>0</v>
      </c>
      <c r="W51" s="338">
        <v>0</v>
      </c>
      <c r="X51" s="361">
        <f t="shared" si="0"/>
        <v>0</v>
      </c>
    </row>
    <row r="52" spans="4:24" hidden="1" x14ac:dyDescent="0.2">
      <c r="D52" s="220" t="s">
        <v>1321</v>
      </c>
      <c r="E52" s="238">
        <v>0</v>
      </c>
      <c r="F52" s="288">
        <v>1</v>
      </c>
      <c r="G52" s="289">
        <f t="shared" si="7"/>
        <v>0</v>
      </c>
      <c r="H52" s="289"/>
      <c r="I52" s="203">
        <f t="shared" si="8"/>
        <v>0</v>
      </c>
      <c r="J52" s="290">
        <f t="shared" si="9"/>
        <v>0</v>
      </c>
      <c r="K52" s="290">
        <f t="shared" si="9"/>
        <v>0</v>
      </c>
      <c r="L52" s="290">
        <f t="shared" si="9"/>
        <v>0</v>
      </c>
      <c r="M52" s="290">
        <f t="shared" si="9"/>
        <v>0</v>
      </c>
      <c r="N52" s="290">
        <f t="shared" si="9"/>
        <v>0</v>
      </c>
      <c r="O52" s="290">
        <f t="shared" si="9"/>
        <v>0</v>
      </c>
      <c r="P52" s="290">
        <f t="shared" si="9"/>
        <v>0</v>
      </c>
      <c r="Q52" s="290">
        <f t="shared" si="9"/>
        <v>0</v>
      </c>
      <c r="R52" s="290">
        <f t="shared" si="9"/>
        <v>0</v>
      </c>
      <c r="S52" s="290">
        <f t="shared" si="9"/>
        <v>0</v>
      </c>
      <c r="T52" s="290">
        <f t="shared" si="9"/>
        <v>0</v>
      </c>
      <c r="U52" s="290">
        <f t="shared" si="9"/>
        <v>0</v>
      </c>
      <c r="V52" s="327">
        <f t="shared" si="10"/>
        <v>0</v>
      </c>
      <c r="W52" s="338">
        <v>0</v>
      </c>
      <c r="X52" s="361">
        <f t="shared" si="0"/>
        <v>0</v>
      </c>
    </row>
    <row r="53" spans="4:24" x14ac:dyDescent="0.2">
      <c r="D53" s="220" t="s">
        <v>1322</v>
      </c>
      <c r="E53" s="278">
        <v>100</v>
      </c>
      <c r="F53" s="288">
        <v>1</v>
      </c>
      <c r="G53" s="289">
        <f t="shared" si="7"/>
        <v>0</v>
      </c>
      <c r="H53" s="289"/>
      <c r="I53" s="325">
        <f t="shared" si="8"/>
        <v>100</v>
      </c>
      <c r="J53" s="290">
        <f t="shared" si="9"/>
        <v>100</v>
      </c>
      <c r="K53" s="290">
        <f t="shared" si="9"/>
        <v>100</v>
      </c>
      <c r="L53" s="290">
        <f t="shared" si="9"/>
        <v>100</v>
      </c>
      <c r="M53" s="290">
        <f t="shared" si="9"/>
        <v>100</v>
      </c>
      <c r="N53" s="290">
        <f t="shared" si="9"/>
        <v>100</v>
      </c>
      <c r="O53" s="290">
        <f t="shared" si="9"/>
        <v>100</v>
      </c>
      <c r="P53" s="290">
        <f t="shared" si="9"/>
        <v>100</v>
      </c>
      <c r="Q53" s="290">
        <f t="shared" si="9"/>
        <v>100</v>
      </c>
      <c r="R53" s="290">
        <f t="shared" si="9"/>
        <v>100</v>
      </c>
      <c r="S53" s="290">
        <f t="shared" si="9"/>
        <v>100</v>
      </c>
      <c r="T53" s="290">
        <f t="shared" si="9"/>
        <v>100</v>
      </c>
      <c r="U53" s="290">
        <f t="shared" si="9"/>
        <v>100</v>
      </c>
      <c r="V53" s="327">
        <f t="shared" si="10"/>
        <v>1200</v>
      </c>
      <c r="W53" s="338">
        <v>1200</v>
      </c>
      <c r="X53" s="361">
        <f t="shared" si="0"/>
        <v>5.0789293817680645E-3</v>
      </c>
    </row>
    <row r="54" spans="4:24" hidden="1" x14ac:dyDescent="0.2">
      <c r="D54" s="220" t="s">
        <v>1323</v>
      </c>
      <c r="E54" s="278">
        <v>0</v>
      </c>
      <c r="F54" s="288">
        <v>1</v>
      </c>
      <c r="G54" s="289">
        <f t="shared" si="7"/>
        <v>0</v>
      </c>
      <c r="H54" s="289"/>
      <c r="I54" s="325">
        <f t="shared" si="8"/>
        <v>0</v>
      </c>
      <c r="J54" s="290">
        <f t="shared" si="9"/>
        <v>0</v>
      </c>
      <c r="K54" s="290">
        <f t="shared" si="9"/>
        <v>0</v>
      </c>
      <c r="L54" s="290">
        <f t="shared" si="9"/>
        <v>0</v>
      </c>
      <c r="M54" s="290">
        <f t="shared" si="9"/>
        <v>0</v>
      </c>
      <c r="N54" s="290">
        <f t="shared" si="9"/>
        <v>0</v>
      </c>
      <c r="O54" s="290">
        <f t="shared" si="9"/>
        <v>0</v>
      </c>
      <c r="P54" s="290">
        <f t="shared" si="9"/>
        <v>0</v>
      </c>
      <c r="Q54" s="290">
        <f t="shared" si="9"/>
        <v>0</v>
      </c>
      <c r="R54" s="290">
        <f t="shared" si="9"/>
        <v>0</v>
      </c>
      <c r="S54" s="290">
        <f t="shared" si="9"/>
        <v>0</v>
      </c>
      <c r="T54" s="290">
        <f t="shared" si="9"/>
        <v>0</v>
      </c>
      <c r="U54" s="290">
        <f t="shared" si="9"/>
        <v>0</v>
      </c>
      <c r="V54" s="327">
        <f t="shared" si="10"/>
        <v>0</v>
      </c>
      <c r="W54" s="338">
        <v>0</v>
      </c>
      <c r="X54" s="361">
        <f t="shared" si="0"/>
        <v>0</v>
      </c>
    </row>
    <row r="55" spans="4:24" hidden="1" x14ac:dyDescent="0.2">
      <c r="D55" s="220" t="s">
        <v>1324</v>
      </c>
      <c r="E55" s="278">
        <v>0</v>
      </c>
      <c r="F55" s="288">
        <v>1</v>
      </c>
      <c r="G55" s="289">
        <f t="shared" si="7"/>
        <v>0</v>
      </c>
      <c r="H55" s="289"/>
      <c r="I55" s="325">
        <f t="shared" si="8"/>
        <v>0</v>
      </c>
      <c r="J55" s="290">
        <f t="shared" si="9"/>
        <v>0</v>
      </c>
      <c r="K55" s="290">
        <f t="shared" si="9"/>
        <v>0</v>
      </c>
      <c r="L55" s="290">
        <f t="shared" si="9"/>
        <v>0</v>
      </c>
      <c r="M55" s="290">
        <f t="shared" si="9"/>
        <v>0</v>
      </c>
      <c r="N55" s="290">
        <f t="shared" si="9"/>
        <v>0</v>
      </c>
      <c r="O55" s="290">
        <f t="shared" si="9"/>
        <v>0</v>
      </c>
      <c r="P55" s="290">
        <f t="shared" si="9"/>
        <v>0</v>
      </c>
      <c r="Q55" s="290">
        <f t="shared" si="9"/>
        <v>0</v>
      </c>
      <c r="R55" s="290">
        <f t="shared" si="9"/>
        <v>0</v>
      </c>
      <c r="S55" s="290">
        <f t="shared" si="9"/>
        <v>0</v>
      </c>
      <c r="T55" s="290">
        <f t="shared" si="9"/>
        <v>0</v>
      </c>
      <c r="U55" s="290">
        <f t="shared" si="9"/>
        <v>0</v>
      </c>
      <c r="V55" s="327">
        <f t="shared" si="10"/>
        <v>0</v>
      </c>
      <c r="W55" s="338">
        <v>0</v>
      </c>
      <c r="X55" s="361">
        <f t="shared" si="0"/>
        <v>0</v>
      </c>
    </row>
    <row r="56" spans="4:24" x14ac:dyDescent="0.2">
      <c r="D56" s="220" t="s">
        <v>1325</v>
      </c>
      <c r="E56" s="278">
        <v>120</v>
      </c>
      <c r="F56" s="288">
        <v>1</v>
      </c>
      <c r="G56" s="289">
        <f t="shared" si="7"/>
        <v>0</v>
      </c>
      <c r="H56" s="289"/>
      <c r="I56" s="325">
        <f t="shared" si="8"/>
        <v>120</v>
      </c>
      <c r="J56" s="290">
        <f t="shared" si="9"/>
        <v>120</v>
      </c>
      <c r="K56" s="290">
        <f t="shared" si="9"/>
        <v>120</v>
      </c>
      <c r="L56" s="290">
        <f t="shared" si="9"/>
        <v>120</v>
      </c>
      <c r="M56" s="290">
        <f t="shared" si="9"/>
        <v>120</v>
      </c>
      <c r="N56" s="290">
        <f t="shared" si="9"/>
        <v>120</v>
      </c>
      <c r="O56" s="290">
        <f t="shared" si="9"/>
        <v>120</v>
      </c>
      <c r="P56" s="290">
        <f t="shared" si="9"/>
        <v>120</v>
      </c>
      <c r="Q56" s="290">
        <f t="shared" si="9"/>
        <v>120</v>
      </c>
      <c r="R56" s="290">
        <f t="shared" si="9"/>
        <v>120</v>
      </c>
      <c r="S56" s="290">
        <f t="shared" si="9"/>
        <v>120</v>
      </c>
      <c r="T56" s="290">
        <f t="shared" si="9"/>
        <v>120</v>
      </c>
      <c r="U56" s="290">
        <f t="shared" si="9"/>
        <v>120</v>
      </c>
      <c r="V56" s="327">
        <f t="shared" si="10"/>
        <v>1440</v>
      </c>
      <c r="W56" s="338">
        <v>1440</v>
      </c>
      <c r="X56" s="361">
        <f t="shared" si="0"/>
        <v>6.0947152581216774E-3</v>
      </c>
    </row>
    <row r="57" spans="4:24" x14ac:dyDescent="0.2">
      <c r="D57" s="220" t="s">
        <v>1326</v>
      </c>
      <c r="E57" s="278">
        <v>100</v>
      </c>
      <c r="F57" s="288">
        <v>1</v>
      </c>
      <c r="G57" s="289">
        <f t="shared" si="7"/>
        <v>0</v>
      </c>
      <c r="H57" s="289"/>
      <c r="I57" s="325">
        <f t="shared" si="8"/>
        <v>100</v>
      </c>
      <c r="J57" s="290">
        <f t="shared" si="9"/>
        <v>100</v>
      </c>
      <c r="K57" s="290">
        <f t="shared" si="9"/>
        <v>100</v>
      </c>
      <c r="L57" s="290">
        <f t="shared" si="9"/>
        <v>100</v>
      </c>
      <c r="M57" s="290">
        <f t="shared" si="9"/>
        <v>100</v>
      </c>
      <c r="N57" s="290">
        <f t="shared" si="9"/>
        <v>100</v>
      </c>
      <c r="O57" s="290">
        <f t="shared" si="9"/>
        <v>100</v>
      </c>
      <c r="P57" s="290">
        <f t="shared" si="9"/>
        <v>100</v>
      </c>
      <c r="Q57" s="290">
        <f t="shared" si="9"/>
        <v>100</v>
      </c>
      <c r="R57" s="290">
        <f t="shared" si="9"/>
        <v>100</v>
      </c>
      <c r="S57" s="290">
        <f t="shared" si="9"/>
        <v>100</v>
      </c>
      <c r="T57" s="290">
        <f t="shared" si="9"/>
        <v>100</v>
      </c>
      <c r="U57" s="290">
        <f t="shared" si="9"/>
        <v>100</v>
      </c>
      <c r="V57" s="327">
        <f t="shared" si="10"/>
        <v>1200</v>
      </c>
      <c r="W57" s="338">
        <v>1200</v>
      </c>
      <c r="X57" s="361">
        <f t="shared" si="0"/>
        <v>5.0789293817680645E-3</v>
      </c>
    </row>
    <row r="58" spans="4:24" hidden="1" x14ac:dyDescent="0.2">
      <c r="D58" s="220"/>
      <c r="E58" s="239"/>
      <c r="F58" s="238"/>
      <c r="G58" s="203"/>
      <c r="H58" s="203"/>
      <c r="I58" s="340">
        <f>SUM(I48:I57)</f>
        <v>320</v>
      </c>
      <c r="J58" s="290"/>
      <c r="K58" s="290"/>
      <c r="L58" s="290"/>
      <c r="M58" s="290"/>
      <c r="N58" s="290"/>
      <c r="O58" s="290"/>
      <c r="P58" s="290"/>
      <c r="Q58" s="290"/>
      <c r="R58" s="290"/>
      <c r="S58" s="290"/>
      <c r="T58" s="290"/>
      <c r="U58" s="290"/>
      <c r="V58" s="327"/>
      <c r="W58" s="338"/>
      <c r="X58" s="361">
        <f t="shared" si="0"/>
        <v>0</v>
      </c>
    </row>
    <row r="59" spans="4:24" x14ac:dyDescent="0.2">
      <c r="D59" s="296" t="s">
        <v>1327</v>
      </c>
      <c r="E59" s="292" t="s">
        <v>1328</v>
      </c>
      <c r="F59" s="292" t="s">
        <v>1329</v>
      </c>
      <c r="G59" s="293"/>
      <c r="H59" s="293"/>
      <c r="I59" s="293" t="s">
        <v>1297</v>
      </c>
      <c r="J59" s="290"/>
      <c r="K59" s="290"/>
      <c r="L59" s="290"/>
      <c r="M59" s="290"/>
      <c r="N59" s="290"/>
      <c r="O59" s="290"/>
      <c r="P59" s="290"/>
      <c r="Q59" s="290"/>
      <c r="R59" s="290"/>
      <c r="S59" s="290"/>
      <c r="T59" s="290"/>
      <c r="U59" s="290"/>
      <c r="V59" s="328">
        <f>SUM(V60:V64)</f>
        <v>2700</v>
      </c>
      <c r="W59" s="338">
        <v>2700</v>
      </c>
      <c r="X59" s="361">
        <f t="shared" si="0"/>
        <v>1.1427591108978145E-2</v>
      </c>
    </row>
    <row r="60" spans="4:24" x14ac:dyDescent="0.2">
      <c r="D60" s="220" t="s">
        <v>1330</v>
      </c>
      <c r="E60" s="278">
        <v>50</v>
      </c>
      <c r="F60" s="288">
        <v>1</v>
      </c>
      <c r="G60" s="289">
        <f>E60*$G$25*F60</f>
        <v>0</v>
      </c>
      <c r="H60" s="289"/>
      <c r="I60" s="325">
        <f>E60*F60+G60</f>
        <v>50</v>
      </c>
      <c r="J60" s="290">
        <f t="shared" ref="J60:U64" si="11">$I60</f>
        <v>50</v>
      </c>
      <c r="K60" s="290">
        <f t="shared" si="11"/>
        <v>50</v>
      </c>
      <c r="L60" s="290">
        <f t="shared" si="11"/>
        <v>50</v>
      </c>
      <c r="M60" s="290">
        <f t="shared" si="11"/>
        <v>50</v>
      </c>
      <c r="N60" s="290">
        <f t="shared" si="11"/>
        <v>50</v>
      </c>
      <c r="O60" s="290">
        <f t="shared" si="11"/>
        <v>50</v>
      </c>
      <c r="P60" s="290">
        <f t="shared" si="11"/>
        <v>50</v>
      </c>
      <c r="Q60" s="290">
        <f t="shared" si="11"/>
        <v>50</v>
      </c>
      <c r="R60" s="290">
        <f t="shared" si="11"/>
        <v>50</v>
      </c>
      <c r="S60" s="290">
        <f t="shared" si="11"/>
        <v>50</v>
      </c>
      <c r="T60" s="290">
        <f t="shared" si="11"/>
        <v>50</v>
      </c>
      <c r="U60" s="290">
        <f t="shared" si="11"/>
        <v>50</v>
      </c>
      <c r="V60" s="327">
        <f>SUM(J60:U60)</f>
        <v>600</v>
      </c>
      <c r="W60" s="338">
        <v>600</v>
      </c>
      <c r="X60" s="361">
        <f t="shared" si="0"/>
        <v>2.5394646908840322E-3</v>
      </c>
    </row>
    <row r="61" spans="4:24" x14ac:dyDescent="0.2">
      <c r="D61" s="220" t="s">
        <v>1331</v>
      </c>
      <c r="E61" s="278">
        <v>50</v>
      </c>
      <c r="F61" s="288">
        <v>1</v>
      </c>
      <c r="G61" s="289">
        <f>E61*$G$25*F61</f>
        <v>0</v>
      </c>
      <c r="H61" s="289"/>
      <c r="I61" s="325">
        <f>E61*F61+G61</f>
        <v>50</v>
      </c>
      <c r="J61" s="290">
        <f t="shared" si="11"/>
        <v>50</v>
      </c>
      <c r="K61" s="290">
        <f t="shared" si="11"/>
        <v>50</v>
      </c>
      <c r="L61" s="290">
        <f t="shared" si="11"/>
        <v>50</v>
      </c>
      <c r="M61" s="290">
        <f t="shared" si="11"/>
        <v>50</v>
      </c>
      <c r="N61" s="290">
        <f t="shared" si="11"/>
        <v>50</v>
      </c>
      <c r="O61" s="290">
        <f t="shared" si="11"/>
        <v>50</v>
      </c>
      <c r="P61" s="290">
        <f t="shared" si="11"/>
        <v>50</v>
      </c>
      <c r="Q61" s="290">
        <f t="shared" si="11"/>
        <v>50</v>
      </c>
      <c r="R61" s="290">
        <f t="shared" si="11"/>
        <v>50</v>
      </c>
      <c r="S61" s="290">
        <f t="shared" si="11"/>
        <v>50</v>
      </c>
      <c r="T61" s="290">
        <f t="shared" si="11"/>
        <v>50</v>
      </c>
      <c r="U61" s="290">
        <f t="shared" si="11"/>
        <v>50</v>
      </c>
      <c r="V61" s="327">
        <f>SUM(J61:U61)</f>
        <v>600</v>
      </c>
      <c r="W61" s="338">
        <v>600</v>
      </c>
      <c r="X61" s="361">
        <f t="shared" si="0"/>
        <v>2.5394646908840322E-3</v>
      </c>
    </row>
    <row r="62" spans="4:24" x14ac:dyDescent="0.2">
      <c r="D62" s="220" t="s">
        <v>1332</v>
      </c>
      <c r="E62" s="278">
        <v>50</v>
      </c>
      <c r="F62" s="288">
        <v>1</v>
      </c>
      <c r="G62" s="289">
        <f>E62*$G$25*F62</f>
        <v>0</v>
      </c>
      <c r="H62" s="289"/>
      <c r="I62" s="325">
        <f>E62*F62+G62</f>
        <v>50</v>
      </c>
      <c r="J62" s="290">
        <f t="shared" si="11"/>
        <v>50</v>
      </c>
      <c r="K62" s="290">
        <f t="shared" si="11"/>
        <v>50</v>
      </c>
      <c r="L62" s="290">
        <f t="shared" si="11"/>
        <v>50</v>
      </c>
      <c r="M62" s="290">
        <f t="shared" si="11"/>
        <v>50</v>
      </c>
      <c r="N62" s="290">
        <f t="shared" si="11"/>
        <v>50</v>
      </c>
      <c r="O62" s="290">
        <f t="shared" si="11"/>
        <v>50</v>
      </c>
      <c r="P62" s="290">
        <f t="shared" si="11"/>
        <v>50</v>
      </c>
      <c r="Q62" s="290">
        <f t="shared" si="11"/>
        <v>50</v>
      </c>
      <c r="R62" s="290">
        <f t="shared" si="11"/>
        <v>50</v>
      </c>
      <c r="S62" s="290">
        <f t="shared" si="11"/>
        <v>50</v>
      </c>
      <c r="T62" s="290">
        <f t="shared" si="11"/>
        <v>50</v>
      </c>
      <c r="U62" s="290">
        <f t="shared" si="11"/>
        <v>50</v>
      </c>
      <c r="V62" s="327">
        <f>SUM(J62:U62)</f>
        <v>600</v>
      </c>
      <c r="W62" s="338">
        <v>600</v>
      </c>
      <c r="X62" s="361">
        <f t="shared" si="0"/>
        <v>2.5394646908840322E-3</v>
      </c>
    </row>
    <row r="63" spans="4:24" x14ac:dyDescent="0.2">
      <c r="D63" s="220" t="s">
        <v>1333</v>
      </c>
      <c r="E63" s="278">
        <v>50</v>
      </c>
      <c r="F63" s="288">
        <v>1</v>
      </c>
      <c r="G63" s="289">
        <f>E63*$G$25*F63</f>
        <v>0</v>
      </c>
      <c r="H63" s="289"/>
      <c r="I63" s="325">
        <f>E63*F63+G63</f>
        <v>50</v>
      </c>
      <c r="J63" s="290">
        <f t="shared" si="11"/>
        <v>50</v>
      </c>
      <c r="K63" s="290">
        <f t="shared" si="11"/>
        <v>50</v>
      </c>
      <c r="L63" s="290">
        <f t="shared" si="11"/>
        <v>50</v>
      </c>
      <c r="M63" s="290">
        <f t="shared" si="11"/>
        <v>50</v>
      </c>
      <c r="N63" s="290">
        <f t="shared" si="11"/>
        <v>50</v>
      </c>
      <c r="O63" s="290">
        <f t="shared" si="11"/>
        <v>50</v>
      </c>
      <c r="P63" s="290">
        <f t="shared" si="11"/>
        <v>50</v>
      </c>
      <c r="Q63" s="290">
        <f t="shared" si="11"/>
        <v>50</v>
      </c>
      <c r="R63" s="290">
        <f t="shared" si="11"/>
        <v>50</v>
      </c>
      <c r="S63" s="290">
        <f t="shared" si="11"/>
        <v>50</v>
      </c>
      <c r="T63" s="290">
        <f t="shared" si="11"/>
        <v>50</v>
      </c>
      <c r="U63" s="290">
        <f t="shared" si="11"/>
        <v>50</v>
      </c>
      <c r="V63" s="327">
        <f>SUM(J63:U63)</f>
        <v>600</v>
      </c>
      <c r="W63" s="338">
        <v>600</v>
      </c>
      <c r="X63" s="361">
        <f t="shared" si="0"/>
        <v>2.5394646908840322E-3</v>
      </c>
    </row>
    <row r="64" spans="4:24" x14ac:dyDescent="0.2">
      <c r="D64" s="220" t="s">
        <v>1334</v>
      </c>
      <c r="E64" s="278">
        <v>25</v>
      </c>
      <c r="F64" s="288">
        <v>1</v>
      </c>
      <c r="G64" s="289">
        <f>E64*$G$25*F64</f>
        <v>0</v>
      </c>
      <c r="H64" s="289"/>
      <c r="I64" s="325">
        <f>E64*F64+G64</f>
        <v>25</v>
      </c>
      <c r="J64" s="290">
        <f t="shared" si="11"/>
        <v>25</v>
      </c>
      <c r="K64" s="290">
        <f t="shared" si="11"/>
        <v>25</v>
      </c>
      <c r="L64" s="290">
        <f t="shared" si="11"/>
        <v>25</v>
      </c>
      <c r="M64" s="290">
        <f t="shared" si="11"/>
        <v>25</v>
      </c>
      <c r="N64" s="290">
        <f t="shared" si="11"/>
        <v>25</v>
      </c>
      <c r="O64" s="290">
        <f t="shared" si="11"/>
        <v>25</v>
      </c>
      <c r="P64" s="290">
        <f t="shared" si="11"/>
        <v>25</v>
      </c>
      <c r="Q64" s="290">
        <f t="shared" si="11"/>
        <v>25</v>
      </c>
      <c r="R64" s="290">
        <f t="shared" si="11"/>
        <v>25</v>
      </c>
      <c r="S64" s="290">
        <f t="shared" si="11"/>
        <v>25</v>
      </c>
      <c r="T64" s="290">
        <f t="shared" si="11"/>
        <v>25</v>
      </c>
      <c r="U64" s="290">
        <f t="shared" si="11"/>
        <v>25</v>
      </c>
      <c r="V64" s="327">
        <f>SUM(J64:U64)</f>
        <v>300</v>
      </c>
      <c r="W64" s="338">
        <v>300</v>
      </c>
      <c r="X64" s="361">
        <f t="shared" si="0"/>
        <v>1.2697323454420161E-3</v>
      </c>
    </row>
    <row r="65" spans="4:24" hidden="1" x14ac:dyDescent="0.2">
      <c r="D65" s="220"/>
      <c r="E65" s="238"/>
      <c r="F65" s="238"/>
      <c r="G65" s="203"/>
      <c r="H65" s="203"/>
      <c r="I65" s="340">
        <f>SUM(I60:I64)</f>
        <v>225</v>
      </c>
      <c r="J65" s="290"/>
      <c r="K65" s="290"/>
      <c r="L65" s="290"/>
      <c r="M65" s="290"/>
      <c r="N65" s="290"/>
      <c r="O65" s="290"/>
      <c r="P65" s="290"/>
      <c r="Q65" s="290"/>
      <c r="R65" s="290"/>
      <c r="S65" s="290"/>
      <c r="T65" s="290"/>
      <c r="U65" s="290"/>
      <c r="V65" s="327"/>
      <c r="W65" s="338"/>
      <c r="X65" s="361">
        <f t="shared" si="0"/>
        <v>0</v>
      </c>
    </row>
    <row r="66" spans="4:24" x14ac:dyDescent="0.2">
      <c r="D66" s="296" t="s">
        <v>1335</v>
      </c>
      <c r="E66" s="292" t="s">
        <v>1315</v>
      </c>
      <c r="F66" s="292"/>
      <c r="G66" s="293" t="s">
        <v>1295</v>
      </c>
      <c r="H66" s="293" t="s">
        <v>1296</v>
      </c>
      <c r="I66" s="293" t="s">
        <v>1297</v>
      </c>
      <c r="J66" s="290"/>
      <c r="K66" s="290"/>
      <c r="L66" s="290"/>
      <c r="M66" s="290"/>
      <c r="N66" s="290"/>
      <c r="O66" s="290"/>
      <c r="P66" s="290"/>
      <c r="Q66" s="290"/>
      <c r="R66" s="290"/>
      <c r="S66" s="290"/>
      <c r="T66" s="290"/>
      <c r="U66" s="290"/>
      <c r="V66" s="328">
        <f>SUM(V67:V73)</f>
        <v>1200</v>
      </c>
      <c r="W66" s="338">
        <v>1200</v>
      </c>
      <c r="X66" s="361">
        <f t="shared" si="0"/>
        <v>5.0789293817680645E-3</v>
      </c>
    </row>
    <row r="67" spans="4:24" hidden="1" x14ac:dyDescent="0.2">
      <c r="D67" s="220" t="s">
        <v>1119</v>
      </c>
      <c r="E67" s="238">
        <v>50</v>
      </c>
      <c r="F67" s="288">
        <v>0</v>
      </c>
      <c r="G67" s="289">
        <f t="shared" ref="G67:G73" si="12">E67*$G$25*F67</f>
        <v>0</v>
      </c>
      <c r="H67" s="289"/>
      <c r="I67" s="203">
        <f t="shared" ref="I67:I73" si="13">E67*F67+G67</f>
        <v>0</v>
      </c>
      <c r="J67" s="290">
        <f t="shared" ref="J67:U73" si="14">$I67</f>
        <v>0</v>
      </c>
      <c r="K67" s="290">
        <f t="shared" si="14"/>
        <v>0</v>
      </c>
      <c r="L67" s="290">
        <f t="shared" si="14"/>
        <v>0</v>
      </c>
      <c r="M67" s="290">
        <f t="shared" si="14"/>
        <v>0</v>
      </c>
      <c r="N67" s="290">
        <f t="shared" si="14"/>
        <v>0</v>
      </c>
      <c r="O67" s="290">
        <f t="shared" si="14"/>
        <v>0</v>
      </c>
      <c r="P67" s="290">
        <f t="shared" si="14"/>
        <v>0</v>
      </c>
      <c r="Q67" s="290">
        <f t="shared" si="14"/>
        <v>0</v>
      </c>
      <c r="R67" s="290">
        <f t="shared" si="14"/>
        <v>0</v>
      </c>
      <c r="S67" s="290">
        <f t="shared" si="14"/>
        <v>0</v>
      </c>
      <c r="T67" s="290">
        <f t="shared" si="14"/>
        <v>0</v>
      </c>
      <c r="U67" s="290">
        <f t="shared" si="14"/>
        <v>0</v>
      </c>
      <c r="V67" s="327">
        <f t="shared" ref="V67:V73" si="15">SUM(J67:U67)</f>
        <v>0</v>
      </c>
      <c r="W67" s="338">
        <v>0</v>
      </c>
      <c r="X67" s="361">
        <f t="shared" si="0"/>
        <v>0</v>
      </c>
    </row>
    <row r="68" spans="4:24" hidden="1" x14ac:dyDescent="0.2">
      <c r="D68" s="220" t="s">
        <v>1336</v>
      </c>
      <c r="E68" s="238">
        <v>60</v>
      </c>
      <c r="F68" s="288">
        <v>0</v>
      </c>
      <c r="G68" s="289">
        <f t="shared" si="12"/>
        <v>0</v>
      </c>
      <c r="H68" s="289"/>
      <c r="I68" s="203">
        <f t="shared" si="13"/>
        <v>0</v>
      </c>
      <c r="J68" s="290">
        <f t="shared" si="14"/>
        <v>0</v>
      </c>
      <c r="K68" s="290">
        <f t="shared" si="14"/>
        <v>0</v>
      </c>
      <c r="L68" s="290">
        <f t="shared" si="14"/>
        <v>0</v>
      </c>
      <c r="M68" s="290">
        <f t="shared" si="14"/>
        <v>0</v>
      </c>
      <c r="N68" s="290">
        <f t="shared" si="14"/>
        <v>0</v>
      </c>
      <c r="O68" s="290">
        <f t="shared" si="14"/>
        <v>0</v>
      </c>
      <c r="P68" s="290">
        <f t="shared" si="14"/>
        <v>0</v>
      </c>
      <c r="Q68" s="290">
        <f t="shared" si="14"/>
        <v>0</v>
      </c>
      <c r="R68" s="290">
        <f t="shared" si="14"/>
        <v>0</v>
      </c>
      <c r="S68" s="290">
        <f t="shared" si="14"/>
        <v>0</v>
      </c>
      <c r="T68" s="290">
        <f t="shared" si="14"/>
        <v>0</v>
      </c>
      <c r="U68" s="290">
        <f t="shared" si="14"/>
        <v>0</v>
      </c>
      <c r="V68" s="327">
        <f t="shared" si="15"/>
        <v>0</v>
      </c>
      <c r="W68" s="338">
        <v>0</v>
      </c>
      <c r="X68" s="361">
        <f t="shared" si="0"/>
        <v>0</v>
      </c>
    </row>
    <row r="69" spans="4:24" hidden="1" x14ac:dyDescent="0.2">
      <c r="D69" s="220" t="s">
        <v>1337</v>
      </c>
      <c r="E69" s="238">
        <v>20</v>
      </c>
      <c r="F69" s="288">
        <v>0</v>
      </c>
      <c r="G69" s="289">
        <f t="shared" si="12"/>
        <v>0</v>
      </c>
      <c r="H69" s="289"/>
      <c r="I69" s="203">
        <f t="shared" si="13"/>
        <v>0</v>
      </c>
      <c r="J69" s="290">
        <f t="shared" si="14"/>
        <v>0</v>
      </c>
      <c r="K69" s="290">
        <f t="shared" si="14"/>
        <v>0</v>
      </c>
      <c r="L69" s="290">
        <f t="shared" si="14"/>
        <v>0</v>
      </c>
      <c r="M69" s="290">
        <f t="shared" si="14"/>
        <v>0</v>
      </c>
      <c r="N69" s="290">
        <f t="shared" si="14"/>
        <v>0</v>
      </c>
      <c r="O69" s="290">
        <f t="shared" si="14"/>
        <v>0</v>
      </c>
      <c r="P69" s="290">
        <f t="shared" si="14"/>
        <v>0</v>
      </c>
      <c r="Q69" s="290">
        <f t="shared" si="14"/>
        <v>0</v>
      </c>
      <c r="R69" s="290">
        <f t="shared" si="14"/>
        <v>0</v>
      </c>
      <c r="S69" s="290">
        <f t="shared" si="14"/>
        <v>0</v>
      </c>
      <c r="T69" s="290">
        <f t="shared" si="14"/>
        <v>0</v>
      </c>
      <c r="U69" s="290">
        <f t="shared" si="14"/>
        <v>0</v>
      </c>
      <c r="V69" s="327">
        <f t="shared" si="15"/>
        <v>0</v>
      </c>
      <c r="W69" s="338">
        <v>0</v>
      </c>
      <c r="X69" s="361">
        <f t="shared" si="0"/>
        <v>0</v>
      </c>
    </row>
    <row r="70" spans="4:24" x14ac:dyDescent="0.2">
      <c r="D70" s="220" t="s">
        <v>1338</v>
      </c>
      <c r="E70" s="238">
        <v>100</v>
      </c>
      <c r="F70" s="288">
        <v>1</v>
      </c>
      <c r="G70" s="289">
        <f t="shared" si="12"/>
        <v>0</v>
      </c>
      <c r="H70" s="289"/>
      <c r="I70" s="203">
        <f t="shared" si="13"/>
        <v>100</v>
      </c>
      <c r="J70" s="290">
        <f t="shared" si="14"/>
        <v>100</v>
      </c>
      <c r="K70" s="290">
        <f t="shared" si="14"/>
        <v>100</v>
      </c>
      <c r="L70" s="290">
        <f t="shared" si="14"/>
        <v>100</v>
      </c>
      <c r="M70" s="290">
        <f t="shared" si="14"/>
        <v>100</v>
      </c>
      <c r="N70" s="290">
        <f t="shared" si="14"/>
        <v>100</v>
      </c>
      <c r="O70" s="290">
        <f t="shared" si="14"/>
        <v>100</v>
      </c>
      <c r="P70" s="290">
        <f t="shared" si="14"/>
        <v>100</v>
      </c>
      <c r="Q70" s="290">
        <f t="shared" si="14"/>
        <v>100</v>
      </c>
      <c r="R70" s="290">
        <f t="shared" si="14"/>
        <v>100</v>
      </c>
      <c r="S70" s="290">
        <f t="shared" si="14"/>
        <v>100</v>
      </c>
      <c r="T70" s="290">
        <f t="shared" si="14"/>
        <v>100</v>
      </c>
      <c r="U70" s="290">
        <f t="shared" si="14"/>
        <v>100</v>
      </c>
      <c r="V70" s="327">
        <f t="shared" si="15"/>
        <v>1200</v>
      </c>
      <c r="W70" s="338">
        <v>1200</v>
      </c>
      <c r="X70" s="361">
        <f t="shared" si="0"/>
        <v>5.0789293817680645E-3</v>
      </c>
    </row>
    <row r="71" spans="4:24" hidden="1" x14ac:dyDescent="0.2">
      <c r="D71" s="220" t="s">
        <v>1339</v>
      </c>
      <c r="E71" s="238">
        <v>0</v>
      </c>
      <c r="F71" s="288">
        <v>0</v>
      </c>
      <c r="G71" s="289">
        <f t="shared" si="12"/>
        <v>0</v>
      </c>
      <c r="H71" s="289"/>
      <c r="I71" s="203">
        <f t="shared" si="13"/>
        <v>0</v>
      </c>
      <c r="J71" s="290">
        <f t="shared" si="14"/>
        <v>0</v>
      </c>
      <c r="K71" s="290">
        <f t="shared" si="14"/>
        <v>0</v>
      </c>
      <c r="L71" s="290">
        <f t="shared" si="14"/>
        <v>0</v>
      </c>
      <c r="M71" s="290">
        <f t="shared" si="14"/>
        <v>0</v>
      </c>
      <c r="N71" s="290">
        <f t="shared" si="14"/>
        <v>0</v>
      </c>
      <c r="O71" s="290">
        <f t="shared" si="14"/>
        <v>0</v>
      </c>
      <c r="P71" s="290">
        <f t="shared" si="14"/>
        <v>0</v>
      </c>
      <c r="Q71" s="290">
        <f t="shared" si="14"/>
        <v>0</v>
      </c>
      <c r="R71" s="290">
        <f t="shared" si="14"/>
        <v>0</v>
      </c>
      <c r="S71" s="290">
        <f t="shared" si="14"/>
        <v>0</v>
      </c>
      <c r="T71" s="290">
        <f t="shared" si="14"/>
        <v>0</v>
      </c>
      <c r="U71" s="290">
        <f t="shared" si="14"/>
        <v>0</v>
      </c>
      <c r="V71" s="327">
        <f t="shared" si="15"/>
        <v>0</v>
      </c>
      <c r="W71" s="338">
        <v>0</v>
      </c>
      <c r="X71" s="361">
        <f t="shared" si="0"/>
        <v>0</v>
      </c>
    </row>
    <row r="72" spans="4:24" hidden="1" x14ac:dyDescent="0.2">
      <c r="D72" s="220" t="s">
        <v>1340</v>
      </c>
      <c r="E72" s="238">
        <v>50</v>
      </c>
      <c r="F72" s="288">
        <v>0</v>
      </c>
      <c r="G72" s="289">
        <f t="shared" si="12"/>
        <v>0</v>
      </c>
      <c r="H72" s="289"/>
      <c r="I72" s="203">
        <f t="shared" si="13"/>
        <v>0</v>
      </c>
      <c r="J72" s="290">
        <f t="shared" si="14"/>
        <v>0</v>
      </c>
      <c r="K72" s="290">
        <f t="shared" si="14"/>
        <v>0</v>
      </c>
      <c r="L72" s="290">
        <f t="shared" si="14"/>
        <v>0</v>
      </c>
      <c r="M72" s="290">
        <f t="shared" si="14"/>
        <v>0</v>
      </c>
      <c r="N72" s="290">
        <f t="shared" si="14"/>
        <v>0</v>
      </c>
      <c r="O72" s="290">
        <f t="shared" si="14"/>
        <v>0</v>
      </c>
      <c r="P72" s="290">
        <f t="shared" si="14"/>
        <v>0</v>
      </c>
      <c r="Q72" s="290">
        <f t="shared" si="14"/>
        <v>0</v>
      </c>
      <c r="R72" s="290">
        <f t="shared" si="14"/>
        <v>0</v>
      </c>
      <c r="S72" s="290">
        <f t="shared" si="14"/>
        <v>0</v>
      </c>
      <c r="T72" s="290">
        <f t="shared" si="14"/>
        <v>0</v>
      </c>
      <c r="U72" s="290">
        <f t="shared" si="14"/>
        <v>0</v>
      </c>
      <c r="V72" s="327">
        <f t="shared" si="15"/>
        <v>0</v>
      </c>
      <c r="W72" s="338">
        <v>0</v>
      </c>
      <c r="X72" s="361">
        <f t="shared" si="0"/>
        <v>0</v>
      </c>
    </row>
    <row r="73" spans="4:24" hidden="1" x14ac:dyDescent="0.2">
      <c r="D73" s="220" t="s">
        <v>1341</v>
      </c>
      <c r="E73" s="238">
        <v>100</v>
      </c>
      <c r="F73" s="288">
        <v>0</v>
      </c>
      <c r="G73" s="289">
        <f t="shared" si="12"/>
        <v>0</v>
      </c>
      <c r="H73" s="289"/>
      <c r="I73" s="203">
        <f t="shared" si="13"/>
        <v>0</v>
      </c>
      <c r="J73" s="290">
        <f t="shared" si="14"/>
        <v>0</v>
      </c>
      <c r="K73" s="290">
        <f t="shared" si="14"/>
        <v>0</v>
      </c>
      <c r="L73" s="290">
        <f t="shared" si="14"/>
        <v>0</v>
      </c>
      <c r="M73" s="290">
        <f t="shared" si="14"/>
        <v>0</v>
      </c>
      <c r="N73" s="290">
        <f t="shared" si="14"/>
        <v>0</v>
      </c>
      <c r="O73" s="290">
        <f t="shared" si="14"/>
        <v>0</v>
      </c>
      <c r="P73" s="290">
        <f t="shared" si="14"/>
        <v>0</v>
      </c>
      <c r="Q73" s="290">
        <f t="shared" si="14"/>
        <v>0</v>
      </c>
      <c r="R73" s="290">
        <f t="shared" si="14"/>
        <v>0</v>
      </c>
      <c r="S73" s="290">
        <f t="shared" si="14"/>
        <v>0</v>
      </c>
      <c r="T73" s="290">
        <f t="shared" si="14"/>
        <v>0</v>
      </c>
      <c r="U73" s="290">
        <f t="shared" si="14"/>
        <v>0</v>
      </c>
      <c r="V73" s="327">
        <f t="shared" si="15"/>
        <v>0</v>
      </c>
      <c r="W73" s="338">
        <v>0</v>
      </c>
      <c r="X73" s="361">
        <f t="shared" si="0"/>
        <v>0</v>
      </c>
    </row>
    <row r="74" spans="4:24" hidden="1" x14ac:dyDescent="0.2">
      <c r="D74" s="220"/>
      <c r="E74" s="238"/>
      <c r="F74" s="238"/>
      <c r="G74" s="203"/>
      <c r="H74" s="203"/>
      <c r="I74" s="340">
        <f>SUM(I67:I73)</f>
        <v>100</v>
      </c>
      <c r="J74" s="290"/>
      <c r="K74" s="290"/>
      <c r="L74" s="290"/>
      <c r="M74" s="290"/>
      <c r="N74" s="290"/>
      <c r="O74" s="290"/>
      <c r="P74" s="290"/>
      <c r="Q74" s="290"/>
      <c r="R74" s="290"/>
      <c r="S74" s="290"/>
      <c r="T74" s="290"/>
      <c r="U74" s="290"/>
      <c r="V74" s="327"/>
      <c r="W74" s="338"/>
      <c r="X74" s="361">
        <f t="shared" si="0"/>
        <v>0</v>
      </c>
    </row>
    <row r="75" spans="4:24" x14ac:dyDescent="0.2">
      <c r="D75" s="355" t="s">
        <v>1637</v>
      </c>
      <c r="E75" s="285"/>
      <c r="F75" s="285"/>
      <c r="G75" s="286"/>
      <c r="H75" s="286"/>
      <c r="I75" s="286" t="s">
        <v>1297</v>
      </c>
      <c r="J75" s="283"/>
      <c r="K75" s="283"/>
      <c r="L75" s="283"/>
      <c r="M75" s="283"/>
      <c r="N75" s="283"/>
      <c r="O75" s="283"/>
      <c r="P75" s="283"/>
      <c r="Q75" s="283"/>
      <c r="R75" s="283"/>
      <c r="S75" s="283"/>
      <c r="T75" s="283"/>
      <c r="U75" s="283"/>
      <c r="V75" s="356">
        <f>SUM(V77:V119)/2</f>
        <v>189650.26678253576</v>
      </c>
      <c r="W75" s="354">
        <v>189650.26678253576</v>
      </c>
      <c r="X75" s="362">
        <f t="shared" si="0"/>
        <v>0.80268359351831065</v>
      </c>
    </row>
    <row r="76" spans="4:24" hidden="1" x14ac:dyDescent="0.2">
      <c r="D76" s="220"/>
      <c r="E76" s="238"/>
      <c r="F76" s="238"/>
      <c r="G76" s="203"/>
      <c r="H76" s="203"/>
      <c r="I76" s="203"/>
      <c r="J76" s="290"/>
      <c r="K76" s="290"/>
      <c r="L76" s="290"/>
      <c r="M76" s="290"/>
      <c r="N76" s="290"/>
      <c r="O76" s="290"/>
      <c r="P76" s="290"/>
      <c r="Q76" s="290"/>
      <c r="R76" s="290"/>
      <c r="S76" s="290"/>
      <c r="T76" s="290"/>
      <c r="U76" s="290"/>
      <c r="V76" s="327"/>
      <c r="W76" s="338"/>
      <c r="X76" s="361">
        <f t="shared" si="0"/>
        <v>0</v>
      </c>
    </row>
    <row r="77" spans="4:24" x14ac:dyDescent="0.2">
      <c r="D77" s="290" t="s">
        <v>1343</v>
      </c>
      <c r="E77" s="297" t="s">
        <v>1315</v>
      </c>
      <c r="F77" s="290"/>
      <c r="G77" s="290" t="s">
        <v>1295</v>
      </c>
      <c r="H77" s="290" t="s">
        <v>1296</v>
      </c>
      <c r="I77" s="290"/>
      <c r="J77" s="290"/>
      <c r="K77" s="290"/>
      <c r="L77" s="290"/>
      <c r="M77" s="290"/>
      <c r="N77" s="290"/>
      <c r="O77" s="290"/>
      <c r="P77" s="290"/>
      <c r="Q77" s="290"/>
      <c r="R77" s="290"/>
      <c r="S77" s="290"/>
      <c r="T77" s="290"/>
      <c r="U77" s="290"/>
      <c r="V77" s="328">
        <f>SUM(V78:V79)</f>
        <v>9774.5357142857138</v>
      </c>
      <c r="W77" s="338">
        <v>9774.5357142857138</v>
      </c>
      <c r="X77" s="361">
        <f t="shared" si="0"/>
        <v>4.1370147193689172E-2</v>
      </c>
    </row>
    <row r="78" spans="4:24" x14ac:dyDescent="0.2">
      <c r="D78" s="220" t="s">
        <v>1344</v>
      </c>
      <c r="E78" s="278">
        <f>+(1152.2/1.12)/3</f>
        <v>342.91666666666669</v>
      </c>
      <c r="F78" s="288">
        <v>1</v>
      </c>
      <c r="G78" s="289">
        <f>E78*$G$25*F78</f>
        <v>0</v>
      </c>
      <c r="H78" s="289"/>
      <c r="I78" s="325">
        <f>E78*F78+G78</f>
        <v>342.91666666666669</v>
      </c>
      <c r="J78" s="290">
        <f t="shared" ref="J78:U80" si="16">$I78</f>
        <v>342.91666666666669</v>
      </c>
      <c r="K78" s="290">
        <f t="shared" si="16"/>
        <v>342.91666666666669</v>
      </c>
      <c r="L78" s="290">
        <f t="shared" si="16"/>
        <v>342.91666666666669</v>
      </c>
      <c r="M78" s="290">
        <f t="shared" si="16"/>
        <v>342.91666666666669</v>
      </c>
      <c r="N78" s="290">
        <f t="shared" si="16"/>
        <v>342.91666666666669</v>
      </c>
      <c r="O78" s="290">
        <f t="shared" si="16"/>
        <v>342.91666666666669</v>
      </c>
      <c r="P78" s="290">
        <f t="shared" si="16"/>
        <v>342.91666666666669</v>
      </c>
      <c r="Q78" s="290">
        <f t="shared" si="16"/>
        <v>342.91666666666669</v>
      </c>
      <c r="R78" s="290">
        <f t="shared" si="16"/>
        <v>342.91666666666669</v>
      </c>
      <c r="S78" s="290">
        <f t="shared" si="16"/>
        <v>342.91666666666669</v>
      </c>
      <c r="T78" s="290">
        <f t="shared" si="16"/>
        <v>342.91666666666669</v>
      </c>
      <c r="U78" s="290">
        <f t="shared" si="16"/>
        <v>342.91666666666669</v>
      </c>
      <c r="V78" s="327">
        <f>SUM(J78:U78)</f>
        <v>4114.9999999999991</v>
      </c>
      <c r="W78" s="338">
        <v>4114.9999999999991</v>
      </c>
      <c r="X78" s="361">
        <f t="shared" si="0"/>
        <v>1.7416495338312982E-2</v>
      </c>
    </row>
    <row r="79" spans="4:24" x14ac:dyDescent="0.2">
      <c r="D79" s="220" t="s">
        <v>1345</v>
      </c>
      <c r="E79" s="278">
        <f>+(1584.67/1.12)/3</f>
        <v>471.62797619047615</v>
      </c>
      <c r="F79" s="288">
        <v>1</v>
      </c>
      <c r="G79" s="289">
        <f>E79*$G$25*F79</f>
        <v>0</v>
      </c>
      <c r="H79" s="289"/>
      <c r="I79" s="325">
        <f>E79*F79+G79</f>
        <v>471.62797619047615</v>
      </c>
      <c r="J79" s="290">
        <f t="shared" si="16"/>
        <v>471.62797619047615</v>
      </c>
      <c r="K79" s="290">
        <f t="shared" si="16"/>
        <v>471.62797619047615</v>
      </c>
      <c r="L79" s="290">
        <f t="shared" si="16"/>
        <v>471.62797619047615</v>
      </c>
      <c r="M79" s="290">
        <f t="shared" si="16"/>
        <v>471.62797619047615</v>
      </c>
      <c r="N79" s="290">
        <f t="shared" si="16"/>
        <v>471.62797619047615</v>
      </c>
      <c r="O79" s="290">
        <f t="shared" si="16"/>
        <v>471.62797619047615</v>
      </c>
      <c r="P79" s="290">
        <f t="shared" si="16"/>
        <v>471.62797619047615</v>
      </c>
      <c r="Q79" s="290">
        <f t="shared" si="16"/>
        <v>471.62797619047615</v>
      </c>
      <c r="R79" s="290">
        <f t="shared" si="16"/>
        <v>471.62797619047615</v>
      </c>
      <c r="S79" s="290">
        <f t="shared" si="16"/>
        <v>471.62797619047615</v>
      </c>
      <c r="T79" s="290">
        <f t="shared" si="16"/>
        <v>471.62797619047615</v>
      </c>
      <c r="U79" s="290">
        <f t="shared" si="16"/>
        <v>471.62797619047615</v>
      </c>
      <c r="V79" s="327">
        <f>SUM(J79:U79)</f>
        <v>5659.5357142857138</v>
      </c>
      <c r="W79" s="338">
        <v>5659.5357142857138</v>
      </c>
      <c r="X79" s="361">
        <f t="shared" si="0"/>
        <v>2.3953651855376182E-2</v>
      </c>
    </row>
    <row r="80" spans="4:24" x14ac:dyDescent="0.2">
      <c r="D80" s="220" t="s">
        <v>1346</v>
      </c>
      <c r="E80" s="278">
        <v>100</v>
      </c>
      <c r="F80" s="288">
        <v>1</v>
      </c>
      <c r="G80" s="289">
        <f>E80*$G$25*F80</f>
        <v>0</v>
      </c>
      <c r="H80" s="289"/>
      <c r="I80" s="325">
        <f>E80*F80+G80</f>
        <v>100</v>
      </c>
      <c r="J80" s="290">
        <f t="shared" si="16"/>
        <v>100</v>
      </c>
      <c r="K80" s="290">
        <f t="shared" si="16"/>
        <v>100</v>
      </c>
      <c r="L80" s="290">
        <f t="shared" si="16"/>
        <v>100</v>
      </c>
      <c r="M80" s="290">
        <f t="shared" si="16"/>
        <v>100</v>
      </c>
      <c r="N80" s="290">
        <f t="shared" si="16"/>
        <v>100</v>
      </c>
      <c r="O80" s="290">
        <f t="shared" si="16"/>
        <v>100</v>
      </c>
      <c r="P80" s="290">
        <f t="shared" si="16"/>
        <v>100</v>
      </c>
      <c r="Q80" s="290">
        <f t="shared" si="16"/>
        <v>100</v>
      </c>
      <c r="R80" s="290">
        <f t="shared" si="16"/>
        <v>100</v>
      </c>
      <c r="S80" s="290">
        <f t="shared" si="16"/>
        <v>100</v>
      </c>
      <c r="T80" s="290">
        <f t="shared" si="16"/>
        <v>100</v>
      </c>
      <c r="U80" s="290">
        <f t="shared" si="16"/>
        <v>100</v>
      </c>
      <c r="V80" s="327">
        <f>SUM(J80:U80)</f>
        <v>1200</v>
      </c>
      <c r="W80" s="338">
        <v>1200</v>
      </c>
      <c r="X80" s="361">
        <f t="shared" si="0"/>
        <v>5.0789293817680645E-3</v>
      </c>
    </row>
    <row r="81" spans="4:24" hidden="1" x14ac:dyDescent="0.2">
      <c r="D81" s="220"/>
      <c r="E81" s="238"/>
      <c r="F81" s="288"/>
      <c r="G81" s="341"/>
      <c r="H81" s="341"/>
      <c r="I81" s="340">
        <f>SUM(I78:I79)</f>
        <v>814.54464285714289</v>
      </c>
      <c r="J81" s="290"/>
      <c r="K81" s="290"/>
      <c r="L81" s="290"/>
      <c r="M81" s="290"/>
      <c r="N81" s="290"/>
      <c r="O81" s="290"/>
      <c r="P81" s="290"/>
      <c r="Q81" s="290"/>
      <c r="R81" s="290"/>
      <c r="S81" s="290"/>
      <c r="T81" s="290"/>
      <c r="U81" s="290"/>
      <c r="V81" s="327"/>
      <c r="W81" s="338"/>
      <c r="X81" s="361">
        <f t="shared" si="0"/>
        <v>0</v>
      </c>
    </row>
    <row r="82" spans="4:24" hidden="1" x14ac:dyDescent="0.2">
      <c r="D82" s="290" t="s">
        <v>1347</v>
      </c>
      <c r="E82" s="290" t="s">
        <v>1315</v>
      </c>
      <c r="F82" s="290"/>
      <c r="G82" s="290" t="s">
        <v>1295</v>
      </c>
      <c r="H82" s="290" t="s">
        <v>1296</v>
      </c>
      <c r="I82" s="290"/>
      <c r="J82" s="290"/>
      <c r="K82" s="290"/>
      <c r="L82" s="290"/>
      <c r="M82" s="290"/>
      <c r="N82" s="290"/>
      <c r="O82" s="290"/>
      <c r="P82" s="290"/>
      <c r="Q82" s="290"/>
      <c r="R82" s="290"/>
      <c r="S82" s="290"/>
      <c r="T82" s="290"/>
      <c r="U82" s="290"/>
      <c r="V82" s="328">
        <f>SUM(V83:V89)</f>
        <v>0</v>
      </c>
      <c r="W82" s="338">
        <v>0</v>
      </c>
      <c r="X82" s="361">
        <f t="shared" si="0"/>
        <v>0</v>
      </c>
    </row>
    <row r="83" spans="4:24" hidden="1" x14ac:dyDescent="0.2">
      <c r="D83" s="220" t="s">
        <v>1348</v>
      </c>
      <c r="E83" s="238">
        <v>100</v>
      </c>
      <c r="F83" s="288">
        <v>0</v>
      </c>
      <c r="G83" s="289">
        <f t="shared" ref="G83:G89" si="17">E83*$G$25*F83</f>
        <v>0</v>
      </c>
      <c r="H83" s="289"/>
      <c r="I83" s="203">
        <f t="shared" ref="I83:I89" si="18">E83*F83+G83</f>
        <v>0</v>
      </c>
      <c r="J83" s="290">
        <f t="shared" ref="J83:U89" si="19">$I83</f>
        <v>0</v>
      </c>
      <c r="K83" s="290">
        <f t="shared" si="19"/>
        <v>0</v>
      </c>
      <c r="L83" s="290">
        <f t="shared" si="19"/>
        <v>0</v>
      </c>
      <c r="M83" s="290">
        <f t="shared" si="19"/>
        <v>0</v>
      </c>
      <c r="N83" s="290">
        <f t="shared" si="19"/>
        <v>0</v>
      </c>
      <c r="O83" s="290">
        <f t="shared" si="19"/>
        <v>0</v>
      </c>
      <c r="P83" s="290">
        <f t="shared" si="19"/>
        <v>0</v>
      </c>
      <c r="Q83" s="290">
        <f t="shared" si="19"/>
        <v>0</v>
      </c>
      <c r="R83" s="290">
        <f t="shared" si="19"/>
        <v>0</v>
      </c>
      <c r="S83" s="290">
        <f t="shared" si="19"/>
        <v>0</v>
      </c>
      <c r="T83" s="290">
        <f t="shared" si="19"/>
        <v>0</v>
      </c>
      <c r="U83" s="290">
        <f t="shared" si="19"/>
        <v>0</v>
      </c>
      <c r="V83" s="327">
        <f t="shared" ref="V83:V89" si="20">SUM(J83:U83)</f>
        <v>0</v>
      </c>
      <c r="W83" s="338">
        <v>0</v>
      </c>
      <c r="X83" s="361">
        <f t="shared" si="0"/>
        <v>0</v>
      </c>
    </row>
    <row r="84" spans="4:24" hidden="1" x14ac:dyDescent="0.2">
      <c r="D84" s="220" t="s">
        <v>1349</v>
      </c>
      <c r="E84" s="238">
        <v>100</v>
      </c>
      <c r="F84" s="288">
        <v>0</v>
      </c>
      <c r="G84" s="289">
        <f t="shared" si="17"/>
        <v>0</v>
      </c>
      <c r="H84" s="289"/>
      <c r="I84" s="203">
        <f t="shared" si="18"/>
        <v>0</v>
      </c>
      <c r="J84" s="290">
        <f t="shared" si="19"/>
        <v>0</v>
      </c>
      <c r="K84" s="290">
        <f t="shared" si="19"/>
        <v>0</v>
      </c>
      <c r="L84" s="290">
        <f t="shared" si="19"/>
        <v>0</v>
      </c>
      <c r="M84" s="290">
        <f t="shared" si="19"/>
        <v>0</v>
      </c>
      <c r="N84" s="290">
        <f t="shared" si="19"/>
        <v>0</v>
      </c>
      <c r="O84" s="290">
        <f t="shared" si="19"/>
        <v>0</v>
      </c>
      <c r="P84" s="290">
        <f t="shared" si="19"/>
        <v>0</v>
      </c>
      <c r="Q84" s="290">
        <f t="shared" si="19"/>
        <v>0</v>
      </c>
      <c r="R84" s="290">
        <f t="shared" si="19"/>
        <v>0</v>
      </c>
      <c r="S84" s="290">
        <f t="shared" si="19"/>
        <v>0</v>
      </c>
      <c r="T84" s="290">
        <f t="shared" si="19"/>
        <v>0</v>
      </c>
      <c r="U84" s="290">
        <f t="shared" si="19"/>
        <v>0</v>
      </c>
      <c r="V84" s="327">
        <f t="shared" si="20"/>
        <v>0</v>
      </c>
      <c r="W84" s="338">
        <v>0</v>
      </c>
      <c r="X84" s="361">
        <f t="shared" si="0"/>
        <v>0</v>
      </c>
    </row>
    <row r="85" spans="4:24" hidden="1" x14ac:dyDescent="0.2">
      <c r="D85" s="220" t="s">
        <v>1350</v>
      </c>
      <c r="E85" s="238">
        <v>100</v>
      </c>
      <c r="F85" s="288">
        <v>0</v>
      </c>
      <c r="G85" s="289">
        <f t="shared" si="17"/>
        <v>0</v>
      </c>
      <c r="H85" s="289"/>
      <c r="I85" s="203">
        <f t="shared" si="18"/>
        <v>0</v>
      </c>
      <c r="J85" s="290">
        <f t="shared" si="19"/>
        <v>0</v>
      </c>
      <c r="K85" s="290">
        <f t="shared" si="19"/>
        <v>0</v>
      </c>
      <c r="L85" s="290">
        <f t="shared" si="19"/>
        <v>0</v>
      </c>
      <c r="M85" s="290">
        <f t="shared" si="19"/>
        <v>0</v>
      </c>
      <c r="N85" s="290">
        <f t="shared" si="19"/>
        <v>0</v>
      </c>
      <c r="O85" s="290">
        <f t="shared" si="19"/>
        <v>0</v>
      </c>
      <c r="P85" s="290">
        <f t="shared" si="19"/>
        <v>0</v>
      </c>
      <c r="Q85" s="290">
        <f t="shared" si="19"/>
        <v>0</v>
      </c>
      <c r="R85" s="290">
        <f t="shared" si="19"/>
        <v>0</v>
      </c>
      <c r="S85" s="290">
        <f t="shared" si="19"/>
        <v>0</v>
      </c>
      <c r="T85" s="290">
        <f t="shared" si="19"/>
        <v>0</v>
      </c>
      <c r="U85" s="290">
        <f t="shared" si="19"/>
        <v>0</v>
      </c>
      <c r="V85" s="327">
        <f t="shared" si="20"/>
        <v>0</v>
      </c>
      <c r="W85" s="338">
        <v>0</v>
      </c>
      <c r="X85" s="361">
        <f t="shared" si="0"/>
        <v>0</v>
      </c>
    </row>
    <row r="86" spans="4:24" hidden="1" x14ac:dyDescent="0.2">
      <c r="D86" s="220" t="s">
        <v>1351</v>
      </c>
      <c r="E86" s="238">
        <v>200</v>
      </c>
      <c r="F86" s="288">
        <v>0</v>
      </c>
      <c r="G86" s="289">
        <f t="shared" si="17"/>
        <v>0</v>
      </c>
      <c r="H86" s="289"/>
      <c r="I86" s="203">
        <f t="shared" si="18"/>
        <v>0</v>
      </c>
      <c r="J86" s="290">
        <f t="shared" si="19"/>
        <v>0</v>
      </c>
      <c r="K86" s="290">
        <f t="shared" si="19"/>
        <v>0</v>
      </c>
      <c r="L86" s="290">
        <f t="shared" si="19"/>
        <v>0</v>
      </c>
      <c r="M86" s="290">
        <f t="shared" si="19"/>
        <v>0</v>
      </c>
      <c r="N86" s="290">
        <f t="shared" si="19"/>
        <v>0</v>
      </c>
      <c r="O86" s="290">
        <f t="shared" si="19"/>
        <v>0</v>
      </c>
      <c r="P86" s="290">
        <f t="shared" si="19"/>
        <v>0</v>
      </c>
      <c r="Q86" s="290">
        <f t="shared" si="19"/>
        <v>0</v>
      </c>
      <c r="R86" s="290">
        <f t="shared" si="19"/>
        <v>0</v>
      </c>
      <c r="S86" s="290">
        <f t="shared" si="19"/>
        <v>0</v>
      </c>
      <c r="T86" s="290">
        <f t="shared" si="19"/>
        <v>0</v>
      </c>
      <c r="U86" s="290">
        <f t="shared" si="19"/>
        <v>0</v>
      </c>
      <c r="V86" s="327">
        <f t="shared" si="20"/>
        <v>0</v>
      </c>
      <c r="W86" s="338">
        <v>0</v>
      </c>
      <c r="X86" s="361">
        <f t="shared" si="0"/>
        <v>0</v>
      </c>
    </row>
    <row r="87" spans="4:24" hidden="1" x14ac:dyDescent="0.2">
      <c r="D87" s="220" t="s">
        <v>1352</v>
      </c>
      <c r="E87" s="238">
        <v>50</v>
      </c>
      <c r="F87" s="288">
        <v>0</v>
      </c>
      <c r="G87" s="289">
        <f t="shared" si="17"/>
        <v>0</v>
      </c>
      <c r="H87" s="289"/>
      <c r="I87" s="203">
        <f t="shared" si="18"/>
        <v>0</v>
      </c>
      <c r="J87" s="290">
        <f t="shared" si="19"/>
        <v>0</v>
      </c>
      <c r="K87" s="290">
        <f t="shared" si="19"/>
        <v>0</v>
      </c>
      <c r="L87" s="290">
        <f t="shared" si="19"/>
        <v>0</v>
      </c>
      <c r="M87" s="290">
        <f t="shared" si="19"/>
        <v>0</v>
      </c>
      <c r="N87" s="290">
        <f t="shared" si="19"/>
        <v>0</v>
      </c>
      <c r="O87" s="290">
        <f t="shared" si="19"/>
        <v>0</v>
      </c>
      <c r="P87" s="290">
        <f t="shared" si="19"/>
        <v>0</v>
      </c>
      <c r="Q87" s="290">
        <f t="shared" si="19"/>
        <v>0</v>
      </c>
      <c r="R87" s="290">
        <f t="shared" si="19"/>
        <v>0</v>
      </c>
      <c r="S87" s="290">
        <f t="shared" si="19"/>
        <v>0</v>
      </c>
      <c r="T87" s="290">
        <f t="shared" si="19"/>
        <v>0</v>
      </c>
      <c r="U87" s="290">
        <f t="shared" si="19"/>
        <v>0</v>
      </c>
      <c r="V87" s="327">
        <f t="shared" si="20"/>
        <v>0</v>
      </c>
      <c r="W87" s="338">
        <v>0</v>
      </c>
      <c r="X87" s="361">
        <f t="shared" si="0"/>
        <v>0</v>
      </c>
    </row>
    <row r="88" spans="4:24" hidden="1" x14ac:dyDescent="0.2">
      <c r="D88" s="220" t="s">
        <v>1353</v>
      </c>
      <c r="E88" s="238">
        <v>300</v>
      </c>
      <c r="F88" s="288">
        <v>0</v>
      </c>
      <c r="G88" s="289">
        <f t="shared" si="17"/>
        <v>0</v>
      </c>
      <c r="H88" s="289"/>
      <c r="I88" s="203">
        <f t="shared" si="18"/>
        <v>0</v>
      </c>
      <c r="J88" s="290">
        <f t="shared" si="19"/>
        <v>0</v>
      </c>
      <c r="K88" s="290">
        <f t="shared" si="19"/>
        <v>0</v>
      </c>
      <c r="L88" s="290">
        <f t="shared" si="19"/>
        <v>0</v>
      </c>
      <c r="M88" s="290">
        <f t="shared" si="19"/>
        <v>0</v>
      </c>
      <c r="N88" s="290">
        <f t="shared" si="19"/>
        <v>0</v>
      </c>
      <c r="O88" s="290">
        <f t="shared" si="19"/>
        <v>0</v>
      </c>
      <c r="P88" s="290">
        <f t="shared" si="19"/>
        <v>0</v>
      </c>
      <c r="Q88" s="290">
        <f t="shared" si="19"/>
        <v>0</v>
      </c>
      <c r="R88" s="290">
        <f t="shared" si="19"/>
        <v>0</v>
      </c>
      <c r="S88" s="290">
        <f t="shared" si="19"/>
        <v>0</v>
      </c>
      <c r="T88" s="290">
        <f t="shared" si="19"/>
        <v>0</v>
      </c>
      <c r="U88" s="290">
        <f t="shared" si="19"/>
        <v>0</v>
      </c>
      <c r="V88" s="327">
        <f t="shared" si="20"/>
        <v>0</v>
      </c>
      <c r="W88" s="338">
        <v>0</v>
      </c>
      <c r="X88" s="361">
        <f t="shared" si="0"/>
        <v>0</v>
      </c>
    </row>
    <row r="89" spans="4:24" hidden="1" x14ac:dyDescent="0.2">
      <c r="D89" s="220" t="s">
        <v>1354</v>
      </c>
      <c r="E89" s="238">
        <v>100</v>
      </c>
      <c r="F89" s="288">
        <v>0</v>
      </c>
      <c r="G89" s="289">
        <f t="shared" si="17"/>
        <v>0</v>
      </c>
      <c r="H89" s="289"/>
      <c r="I89" s="203">
        <f t="shared" si="18"/>
        <v>0</v>
      </c>
      <c r="J89" s="290">
        <f t="shared" si="19"/>
        <v>0</v>
      </c>
      <c r="K89" s="290">
        <f t="shared" si="19"/>
        <v>0</v>
      </c>
      <c r="L89" s="290">
        <f t="shared" si="19"/>
        <v>0</v>
      </c>
      <c r="M89" s="290">
        <f t="shared" si="19"/>
        <v>0</v>
      </c>
      <c r="N89" s="290">
        <f t="shared" si="19"/>
        <v>0</v>
      </c>
      <c r="O89" s="290">
        <f t="shared" si="19"/>
        <v>0</v>
      </c>
      <c r="P89" s="290">
        <f t="shared" si="19"/>
        <v>0</v>
      </c>
      <c r="Q89" s="290">
        <f t="shared" si="19"/>
        <v>0</v>
      </c>
      <c r="R89" s="290">
        <f t="shared" si="19"/>
        <v>0</v>
      </c>
      <c r="S89" s="290">
        <f t="shared" si="19"/>
        <v>0</v>
      </c>
      <c r="T89" s="290">
        <f t="shared" si="19"/>
        <v>0</v>
      </c>
      <c r="U89" s="290">
        <f t="shared" si="19"/>
        <v>0</v>
      </c>
      <c r="V89" s="327">
        <f t="shared" si="20"/>
        <v>0</v>
      </c>
      <c r="W89" s="338">
        <v>0</v>
      </c>
      <c r="X89" s="361">
        <f t="shared" ref="X89:X120" si="21">+W89/$W$120</f>
        <v>0</v>
      </c>
    </row>
    <row r="90" spans="4:24" hidden="1" x14ac:dyDescent="0.2">
      <c r="D90" s="220"/>
      <c r="E90" s="238"/>
      <c r="F90" s="238"/>
      <c r="G90" s="203"/>
      <c r="H90" s="203"/>
      <c r="I90" s="340">
        <f>SUM(I83:I89)</f>
        <v>0</v>
      </c>
      <c r="J90" s="290"/>
      <c r="K90" s="290"/>
      <c r="L90" s="290"/>
      <c r="M90" s="290"/>
      <c r="N90" s="290"/>
      <c r="O90" s="290"/>
      <c r="P90" s="290"/>
      <c r="Q90" s="290"/>
      <c r="R90" s="290"/>
      <c r="S90" s="290"/>
      <c r="T90" s="290"/>
      <c r="U90" s="290"/>
      <c r="V90" s="327"/>
      <c r="W90" s="338"/>
      <c r="X90" s="361">
        <f t="shared" si="21"/>
        <v>0</v>
      </c>
    </row>
    <row r="91" spans="4:24" hidden="1" x14ac:dyDescent="0.2">
      <c r="D91" s="290" t="s">
        <v>1355</v>
      </c>
      <c r="E91" s="290" t="s">
        <v>1315</v>
      </c>
      <c r="F91" s="290"/>
      <c r="G91" s="290" t="s">
        <v>1295</v>
      </c>
      <c r="H91" s="290" t="s">
        <v>1296</v>
      </c>
      <c r="I91" s="290"/>
      <c r="J91" s="290"/>
      <c r="K91" s="290"/>
      <c r="L91" s="290"/>
      <c r="M91" s="290"/>
      <c r="N91" s="290"/>
      <c r="O91" s="290"/>
      <c r="P91" s="290"/>
      <c r="Q91" s="290"/>
      <c r="R91" s="290"/>
      <c r="S91" s="290"/>
      <c r="T91" s="290"/>
      <c r="U91" s="290"/>
      <c r="V91" s="328">
        <f>SUM(V92:V97)</f>
        <v>0</v>
      </c>
      <c r="W91" s="338">
        <v>0</v>
      </c>
      <c r="X91" s="361">
        <f t="shared" si="21"/>
        <v>0</v>
      </c>
    </row>
    <row r="92" spans="4:24" hidden="1" x14ac:dyDescent="0.2">
      <c r="D92" s="220" t="s">
        <v>1356</v>
      </c>
      <c r="E92" s="238">
        <v>0</v>
      </c>
      <c r="F92" s="288">
        <v>0</v>
      </c>
      <c r="G92" s="289">
        <f t="shared" ref="G92:G97" si="22">E92*$G$25*F92</f>
        <v>0</v>
      </c>
      <c r="H92" s="289"/>
      <c r="I92" s="203">
        <f t="shared" ref="I92:I97" si="23">E92*F92+G92</f>
        <v>0</v>
      </c>
      <c r="J92" s="290">
        <f t="shared" ref="J92:U97" si="24">$I92</f>
        <v>0</v>
      </c>
      <c r="K92" s="290">
        <f t="shared" si="24"/>
        <v>0</v>
      </c>
      <c r="L92" s="290">
        <f t="shared" si="24"/>
        <v>0</v>
      </c>
      <c r="M92" s="290">
        <f t="shared" si="24"/>
        <v>0</v>
      </c>
      <c r="N92" s="290">
        <f t="shared" si="24"/>
        <v>0</v>
      </c>
      <c r="O92" s="290">
        <f t="shared" si="24"/>
        <v>0</v>
      </c>
      <c r="P92" s="290">
        <f t="shared" si="24"/>
        <v>0</v>
      </c>
      <c r="Q92" s="290">
        <f t="shared" si="24"/>
        <v>0</v>
      </c>
      <c r="R92" s="290">
        <f t="shared" si="24"/>
        <v>0</v>
      </c>
      <c r="S92" s="290">
        <f t="shared" si="24"/>
        <v>0</v>
      </c>
      <c r="T92" s="290">
        <f t="shared" si="24"/>
        <v>0</v>
      </c>
      <c r="U92" s="290">
        <f t="shared" si="24"/>
        <v>0</v>
      </c>
      <c r="V92" s="327">
        <f t="shared" ref="V92:V97" si="25">SUM(J92:U92)</f>
        <v>0</v>
      </c>
      <c r="W92" s="338">
        <v>0</v>
      </c>
      <c r="X92" s="361">
        <f t="shared" si="21"/>
        <v>0</v>
      </c>
    </row>
    <row r="93" spans="4:24" hidden="1" x14ac:dyDescent="0.2">
      <c r="D93" s="220" t="s">
        <v>1357</v>
      </c>
      <c r="E93" s="238">
        <v>50</v>
      </c>
      <c r="F93" s="288">
        <v>0</v>
      </c>
      <c r="G93" s="289">
        <f t="shared" si="22"/>
        <v>0</v>
      </c>
      <c r="H93" s="289"/>
      <c r="I93" s="203">
        <f t="shared" si="23"/>
        <v>0</v>
      </c>
      <c r="J93" s="290">
        <f t="shared" si="24"/>
        <v>0</v>
      </c>
      <c r="K93" s="290">
        <f t="shared" si="24"/>
        <v>0</v>
      </c>
      <c r="L93" s="290">
        <f t="shared" si="24"/>
        <v>0</v>
      </c>
      <c r="M93" s="290">
        <f t="shared" si="24"/>
        <v>0</v>
      </c>
      <c r="N93" s="290">
        <f t="shared" si="24"/>
        <v>0</v>
      </c>
      <c r="O93" s="290">
        <f t="shared" si="24"/>
        <v>0</v>
      </c>
      <c r="P93" s="290">
        <f t="shared" si="24"/>
        <v>0</v>
      </c>
      <c r="Q93" s="290">
        <f t="shared" si="24"/>
        <v>0</v>
      </c>
      <c r="R93" s="290">
        <f t="shared" si="24"/>
        <v>0</v>
      </c>
      <c r="S93" s="290">
        <f t="shared" si="24"/>
        <v>0</v>
      </c>
      <c r="T93" s="290">
        <f t="shared" si="24"/>
        <v>0</v>
      </c>
      <c r="U93" s="290">
        <f t="shared" si="24"/>
        <v>0</v>
      </c>
      <c r="V93" s="327">
        <f t="shared" si="25"/>
        <v>0</v>
      </c>
      <c r="W93" s="338">
        <v>0</v>
      </c>
      <c r="X93" s="361">
        <f t="shared" si="21"/>
        <v>0</v>
      </c>
    </row>
    <row r="94" spans="4:24" hidden="1" x14ac:dyDescent="0.2">
      <c r="D94" s="220" t="s">
        <v>1358</v>
      </c>
      <c r="E94" s="238">
        <v>0</v>
      </c>
      <c r="F94" s="288">
        <v>0</v>
      </c>
      <c r="G94" s="289">
        <f t="shared" si="22"/>
        <v>0</v>
      </c>
      <c r="H94" s="289"/>
      <c r="I94" s="203">
        <f t="shared" si="23"/>
        <v>0</v>
      </c>
      <c r="J94" s="290">
        <f t="shared" si="24"/>
        <v>0</v>
      </c>
      <c r="K94" s="290">
        <f t="shared" si="24"/>
        <v>0</v>
      </c>
      <c r="L94" s="290">
        <f t="shared" si="24"/>
        <v>0</v>
      </c>
      <c r="M94" s="290">
        <f t="shared" si="24"/>
        <v>0</v>
      </c>
      <c r="N94" s="290">
        <f t="shared" si="24"/>
        <v>0</v>
      </c>
      <c r="O94" s="290">
        <f t="shared" si="24"/>
        <v>0</v>
      </c>
      <c r="P94" s="290">
        <f t="shared" si="24"/>
        <v>0</v>
      </c>
      <c r="Q94" s="290">
        <f t="shared" si="24"/>
        <v>0</v>
      </c>
      <c r="R94" s="290">
        <f t="shared" si="24"/>
        <v>0</v>
      </c>
      <c r="S94" s="290">
        <f t="shared" si="24"/>
        <v>0</v>
      </c>
      <c r="T94" s="290">
        <f t="shared" si="24"/>
        <v>0</v>
      </c>
      <c r="U94" s="290">
        <f t="shared" si="24"/>
        <v>0</v>
      </c>
      <c r="V94" s="327">
        <f t="shared" si="25"/>
        <v>0</v>
      </c>
      <c r="W94" s="338">
        <v>0</v>
      </c>
      <c r="X94" s="361">
        <f t="shared" si="21"/>
        <v>0</v>
      </c>
    </row>
    <row r="95" spans="4:24" hidden="1" x14ac:dyDescent="0.2">
      <c r="D95" s="220" t="s">
        <v>1359</v>
      </c>
      <c r="E95" s="238">
        <v>150</v>
      </c>
      <c r="F95" s="288">
        <v>0</v>
      </c>
      <c r="G95" s="289">
        <f>E95*$G$25*F95</f>
        <v>0</v>
      </c>
      <c r="H95" s="289"/>
      <c r="I95" s="203">
        <f t="shared" si="23"/>
        <v>0</v>
      </c>
      <c r="J95" s="290">
        <f t="shared" si="24"/>
        <v>0</v>
      </c>
      <c r="K95" s="290">
        <f t="shared" si="24"/>
        <v>0</v>
      </c>
      <c r="L95" s="290">
        <f t="shared" si="24"/>
        <v>0</v>
      </c>
      <c r="M95" s="290">
        <f t="shared" si="24"/>
        <v>0</v>
      </c>
      <c r="N95" s="290">
        <f t="shared" si="24"/>
        <v>0</v>
      </c>
      <c r="O95" s="290">
        <f t="shared" si="24"/>
        <v>0</v>
      </c>
      <c r="P95" s="290">
        <f t="shared" si="24"/>
        <v>0</v>
      </c>
      <c r="Q95" s="290">
        <f t="shared" si="24"/>
        <v>0</v>
      </c>
      <c r="R95" s="290">
        <f t="shared" si="24"/>
        <v>0</v>
      </c>
      <c r="S95" s="290">
        <f t="shared" si="24"/>
        <v>0</v>
      </c>
      <c r="T95" s="290">
        <f t="shared" si="24"/>
        <v>0</v>
      </c>
      <c r="U95" s="290">
        <f t="shared" si="24"/>
        <v>0</v>
      </c>
      <c r="V95" s="327">
        <f t="shared" si="25"/>
        <v>0</v>
      </c>
      <c r="W95" s="338">
        <v>0</v>
      </c>
      <c r="X95" s="361">
        <f t="shared" si="21"/>
        <v>0</v>
      </c>
    </row>
    <row r="96" spans="4:24" hidden="1" x14ac:dyDescent="0.2">
      <c r="D96" s="220" t="s">
        <v>1360</v>
      </c>
      <c r="E96" s="238">
        <v>0</v>
      </c>
      <c r="F96" s="288">
        <v>0</v>
      </c>
      <c r="G96" s="289">
        <f t="shared" si="22"/>
        <v>0</v>
      </c>
      <c r="H96" s="289"/>
      <c r="I96" s="203">
        <f t="shared" si="23"/>
        <v>0</v>
      </c>
      <c r="J96" s="290">
        <f t="shared" si="24"/>
        <v>0</v>
      </c>
      <c r="K96" s="290">
        <f t="shared" si="24"/>
        <v>0</v>
      </c>
      <c r="L96" s="290">
        <f t="shared" si="24"/>
        <v>0</v>
      </c>
      <c r="M96" s="290">
        <f t="shared" si="24"/>
        <v>0</v>
      </c>
      <c r="N96" s="290">
        <f t="shared" si="24"/>
        <v>0</v>
      </c>
      <c r="O96" s="290">
        <f t="shared" si="24"/>
        <v>0</v>
      </c>
      <c r="P96" s="290">
        <f t="shared" si="24"/>
        <v>0</v>
      </c>
      <c r="Q96" s="290">
        <f t="shared" si="24"/>
        <v>0</v>
      </c>
      <c r="R96" s="290">
        <f t="shared" si="24"/>
        <v>0</v>
      </c>
      <c r="S96" s="290">
        <f t="shared" si="24"/>
        <v>0</v>
      </c>
      <c r="T96" s="290">
        <f t="shared" si="24"/>
        <v>0</v>
      </c>
      <c r="U96" s="290">
        <f t="shared" si="24"/>
        <v>0</v>
      </c>
      <c r="V96" s="327">
        <f t="shared" si="25"/>
        <v>0</v>
      </c>
      <c r="W96" s="338">
        <v>0</v>
      </c>
      <c r="X96" s="361">
        <f t="shared" si="21"/>
        <v>0</v>
      </c>
    </row>
    <row r="97" spans="4:24" hidden="1" x14ac:dyDescent="0.2">
      <c r="D97" s="220" t="s">
        <v>1361</v>
      </c>
      <c r="E97" s="238">
        <v>150</v>
      </c>
      <c r="F97" s="288">
        <v>0</v>
      </c>
      <c r="G97" s="289">
        <f t="shared" si="22"/>
        <v>0</v>
      </c>
      <c r="H97" s="289"/>
      <c r="I97" s="203">
        <f t="shared" si="23"/>
        <v>0</v>
      </c>
      <c r="J97" s="290">
        <f t="shared" si="24"/>
        <v>0</v>
      </c>
      <c r="K97" s="290">
        <f t="shared" si="24"/>
        <v>0</v>
      </c>
      <c r="L97" s="290">
        <f t="shared" si="24"/>
        <v>0</v>
      </c>
      <c r="M97" s="290">
        <f t="shared" si="24"/>
        <v>0</v>
      </c>
      <c r="N97" s="290">
        <f t="shared" si="24"/>
        <v>0</v>
      </c>
      <c r="O97" s="290">
        <f t="shared" si="24"/>
        <v>0</v>
      </c>
      <c r="P97" s="290">
        <f t="shared" si="24"/>
        <v>0</v>
      </c>
      <c r="Q97" s="290">
        <f t="shared" si="24"/>
        <v>0</v>
      </c>
      <c r="R97" s="290">
        <f t="shared" si="24"/>
        <v>0</v>
      </c>
      <c r="S97" s="290">
        <f t="shared" si="24"/>
        <v>0</v>
      </c>
      <c r="T97" s="290">
        <f t="shared" si="24"/>
        <v>0</v>
      </c>
      <c r="U97" s="290">
        <f t="shared" si="24"/>
        <v>0</v>
      </c>
      <c r="V97" s="327">
        <f t="shared" si="25"/>
        <v>0</v>
      </c>
      <c r="W97" s="338">
        <v>0</v>
      </c>
      <c r="X97" s="361">
        <f t="shared" si="21"/>
        <v>0</v>
      </c>
    </row>
    <row r="98" spans="4:24" hidden="1" x14ac:dyDescent="0.2">
      <c r="D98" s="220"/>
      <c r="E98" s="238"/>
      <c r="F98" s="238"/>
      <c r="G98" s="203"/>
      <c r="H98" s="203"/>
      <c r="I98" s="340">
        <f>SUM(I92:I97)</f>
        <v>0</v>
      </c>
      <c r="J98" s="290"/>
      <c r="K98" s="290"/>
      <c r="L98" s="290"/>
      <c r="M98" s="290"/>
      <c r="N98" s="290"/>
      <c r="O98" s="290"/>
      <c r="P98" s="290"/>
      <c r="Q98" s="290"/>
      <c r="R98" s="290"/>
      <c r="S98" s="290"/>
      <c r="T98" s="290"/>
      <c r="U98" s="290"/>
      <c r="V98" s="327"/>
      <c r="W98" s="338"/>
      <c r="X98" s="361">
        <f t="shared" si="21"/>
        <v>0</v>
      </c>
    </row>
    <row r="99" spans="4:24" ht="13.5" customHeight="1" x14ac:dyDescent="0.2">
      <c r="D99" s="290" t="s">
        <v>1362</v>
      </c>
      <c r="E99" s="290"/>
      <c r="F99" s="297" t="s">
        <v>1363</v>
      </c>
      <c r="G99" s="1329" t="s">
        <v>1364</v>
      </c>
      <c r="H99" s="1329"/>
      <c r="I99" s="297" t="s">
        <v>1365</v>
      </c>
      <c r="J99" s="290" t="s">
        <v>1366</v>
      </c>
      <c r="K99" s="290"/>
      <c r="L99" s="290" t="s">
        <v>1367</v>
      </c>
      <c r="M99" s="290"/>
      <c r="N99" s="290" t="s">
        <v>1295</v>
      </c>
      <c r="O99" s="290"/>
      <c r="P99" s="290" t="s">
        <v>1296</v>
      </c>
      <c r="Q99" s="290" t="s">
        <v>1290</v>
      </c>
      <c r="R99" s="290"/>
      <c r="S99" s="290"/>
      <c r="T99" s="290"/>
      <c r="U99" s="290"/>
      <c r="V99" s="328">
        <f>SUM(V100:V107)</f>
        <v>2879.28014325</v>
      </c>
      <c r="W99" s="338">
        <v>2879.28014325</v>
      </c>
      <c r="X99" s="361">
        <f t="shared" si="21"/>
        <v>1.2186383764911489E-2</v>
      </c>
    </row>
    <row r="100" spans="4:24" hidden="1" x14ac:dyDescent="0.2">
      <c r="D100" s="220" t="s">
        <v>1368</v>
      </c>
      <c r="E100" s="220"/>
      <c r="F100" s="342">
        <f>E13</f>
        <v>1678880.55</v>
      </c>
      <c r="G100" s="1330">
        <v>0</v>
      </c>
      <c r="H100" s="1330"/>
      <c r="I100" s="337">
        <v>1</v>
      </c>
      <c r="J100" s="1331">
        <v>3.0000000000000001E-3</v>
      </c>
      <c r="K100" s="1331"/>
      <c r="L100" s="1332">
        <f>F100*G100*I100/12*J100</f>
        <v>0</v>
      </c>
      <c r="M100" s="1332"/>
      <c r="N100" s="1332">
        <f>L100*$G$25</f>
        <v>0</v>
      </c>
      <c r="O100" s="1332"/>
      <c r="P100" s="343"/>
      <c r="Q100" s="1332">
        <f>N100+L100</f>
        <v>0</v>
      </c>
      <c r="R100" s="1332"/>
      <c r="S100" s="344"/>
      <c r="T100" s="344"/>
      <c r="U100" s="344"/>
      <c r="V100" s="327">
        <f>Q100</f>
        <v>0</v>
      </c>
      <c r="W100" s="338">
        <v>0</v>
      </c>
      <c r="X100" s="361">
        <f t="shared" si="21"/>
        <v>0</v>
      </c>
    </row>
    <row r="101" spans="4:24" x14ac:dyDescent="0.2">
      <c r="D101" s="220" t="s">
        <v>1369</v>
      </c>
      <c r="E101" s="220"/>
      <c r="F101" s="342">
        <f t="shared" ref="F101:F107" si="26">$E$13</f>
        <v>1678880.55</v>
      </c>
      <c r="G101" s="1330">
        <v>0.05</v>
      </c>
      <c r="H101" s="1330"/>
      <c r="I101" s="337">
        <f>U22</f>
        <v>12</v>
      </c>
      <c r="J101" s="1331">
        <v>5.3E-3</v>
      </c>
      <c r="K101" s="1331"/>
      <c r="L101" s="1332">
        <f>F101*G101*I101/12*J101</f>
        <v>444.90334575000008</v>
      </c>
      <c r="M101" s="1332"/>
      <c r="N101" s="1332">
        <f t="shared" ref="N101:N107" si="27">L101*$G$25</f>
        <v>0</v>
      </c>
      <c r="O101" s="1332"/>
      <c r="P101" s="343"/>
      <c r="Q101" s="1332">
        <f t="shared" ref="Q101:Q107" si="28">N101+L101</f>
        <v>444.90334575000008</v>
      </c>
      <c r="R101" s="1332"/>
      <c r="S101" s="345"/>
      <c r="T101" s="345"/>
      <c r="U101" s="345"/>
      <c r="V101" s="327">
        <f t="shared" ref="V101:V107" si="29">Q101</f>
        <v>444.90334575000008</v>
      </c>
      <c r="W101" s="338">
        <v>444.90334575000008</v>
      </c>
      <c r="X101" s="361">
        <f t="shared" si="21"/>
        <v>1.8830272289804928E-3</v>
      </c>
    </row>
    <row r="102" spans="4:24" x14ac:dyDescent="0.2">
      <c r="D102" s="220" t="s">
        <v>1370</v>
      </c>
      <c r="E102" s="220"/>
      <c r="F102" s="342">
        <f t="shared" si="26"/>
        <v>1678880.55</v>
      </c>
      <c r="G102" s="1330">
        <v>0.15</v>
      </c>
      <c r="H102" s="1330"/>
      <c r="I102" s="238">
        <f>I101</f>
        <v>12</v>
      </c>
      <c r="J102" s="1331">
        <v>6.0000000000000001E-3</v>
      </c>
      <c r="K102" s="1331"/>
      <c r="L102" s="1332">
        <f>F102*G102*I102/12*J102</f>
        <v>1510.992495</v>
      </c>
      <c r="M102" s="1332"/>
      <c r="N102" s="1332">
        <f t="shared" si="27"/>
        <v>0</v>
      </c>
      <c r="O102" s="1332"/>
      <c r="P102" s="346"/>
      <c r="Q102" s="1332">
        <f t="shared" si="28"/>
        <v>1510.992495</v>
      </c>
      <c r="R102" s="1332"/>
      <c r="S102" s="344"/>
      <c r="T102" s="344"/>
      <c r="U102" s="344"/>
      <c r="V102" s="327">
        <f t="shared" si="29"/>
        <v>1510.992495</v>
      </c>
      <c r="W102" s="338">
        <v>1510.992495</v>
      </c>
      <c r="X102" s="361">
        <f t="shared" si="21"/>
        <v>6.395186815405446E-3</v>
      </c>
    </row>
    <row r="103" spans="4:24" x14ac:dyDescent="0.2">
      <c r="D103" s="220" t="s">
        <v>1371</v>
      </c>
      <c r="E103" s="220"/>
      <c r="F103" s="342">
        <f t="shared" si="26"/>
        <v>1678880.55</v>
      </c>
      <c r="G103" s="1330">
        <v>0.05</v>
      </c>
      <c r="H103" s="1330"/>
      <c r="I103" s="337">
        <v>6</v>
      </c>
      <c r="J103" s="1331">
        <v>0.01</v>
      </c>
      <c r="K103" s="1331"/>
      <c r="L103" s="1332">
        <f>F103*G103*I103/12*J103</f>
        <v>419.72013750000008</v>
      </c>
      <c r="M103" s="1332"/>
      <c r="N103" s="1332">
        <f t="shared" si="27"/>
        <v>0</v>
      </c>
      <c r="O103" s="1332"/>
      <c r="P103" s="343"/>
      <c r="Q103" s="1332">
        <f t="shared" si="28"/>
        <v>419.72013750000008</v>
      </c>
      <c r="R103" s="1332"/>
      <c r="S103" s="344"/>
      <c r="T103" s="344"/>
      <c r="U103" s="344"/>
      <c r="V103" s="327">
        <f>Q103</f>
        <v>419.72013750000008</v>
      </c>
      <c r="W103" s="338">
        <v>419.72013750000008</v>
      </c>
      <c r="X103" s="361">
        <f t="shared" si="21"/>
        <v>1.7764407820570686E-3</v>
      </c>
    </row>
    <row r="104" spans="4:24" x14ac:dyDescent="0.2">
      <c r="D104" s="220" t="s">
        <v>1372</v>
      </c>
      <c r="E104" s="220"/>
      <c r="F104" s="342">
        <f t="shared" si="26"/>
        <v>1678880.55</v>
      </c>
      <c r="G104" s="1330">
        <v>0.01</v>
      </c>
      <c r="H104" s="1330"/>
      <c r="I104" s="337">
        <v>12</v>
      </c>
      <c r="J104" s="1331">
        <v>0.03</v>
      </c>
      <c r="K104" s="1331"/>
      <c r="L104" s="1332">
        <f>F104*G104*I104/12*J104</f>
        <v>503.66416500000003</v>
      </c>
      <c r="M104" s="1332"/>
      <c r="N104" s="1332">
        <f>L104*$G$25</f>
        <v>0</v>
      </c>
      <c r="O104" s="1332"/>
      <c r="P104" s="343"/>
      <c r="Q104" s="1332">
        <f>N104+L104</f>
        <v>503.66416500000003</v>
      </c>
      <c r="R104" s="1332"/>
      <c r="S104" s="220"/>
      <c r="T104" s="220"/>
      <c r="U104" s="220"/>
      <c r="V104" s="327">
        <f t="shared" si="29"/>
        <v>503.66416500000003</v>
      </c>
      <c r="W104" s="338">
        <v>503.66416500000003</v>
      </c>
      <c r="X104" s="361">
        <f t="shared" si="21"/>
        <v>2.131728938468482E-3</v>
      </c>
    </row>
    <row r="105" spans="4:24" hidden="1" x14ac:dyDescent="0.2">
      <c r="D105" s="220" t="s">
        <v>1373</v>
      </c>
      <c r="E105" s="220"/>
      <c r="F105" s="342">
        <f t="shared" si="26"/>
        <v>1678880.55</v>
      </c>
      <c r="G105" s="1330">
        <v>0</v>
      </c>
      <c r="H105" s="1330"/>
      <c r="I105" s="337">
        <v>0</v>
      </c>
      <c r="J105" s="1331"/>
      <c r="K105" s="1331"/>
      <c r="L105" s="1332">
        <v>0</v>
      </c>
      <c r="M105" s="1332"/>
      <c r="N105" s="1332">
        <f t="shared" si="27"/>
        <v>0</v>
      </c>
      <c r="O105" s="1332"/>
      <c r="P105" s="343"/>
      <c r="Q105" s="1332">
        <f t="shared" si="28"/>
        <v>0</v>
      </c>
      <c r="R105" s="1332"/>
      <c r="S105" s="220"/>
      <c r="T105" s="220"/>
      <c r="U105" s="220"/>
      <c r="V105" s="327">
        <f t="shared" si="29"/>
        <v>0</v>
      </c>
      <c r="W105" s="338">
        <v>0</v>
      </c>
      <c r="X105" s="361">
        <f t="shared" si="21"/>
        <v>0</v>
      </c>
    </row>
    <row r="106" spans="4:24" hidden="1" x14ac:dyDescent="0.2">
      <c r="D106" s="220" t="s">
        <v>1374</v>
      </c>
      <c r="E106" s="220"/>
      <c r="F106" s="342">
        <f t="shared" si="26"/>
        <v>1678880.55</v>
      </c>
      <c r="G106" s="1330">
        <v>0</v>
      </c>
      <c r="H106" s="1330"/>
      <c r="I106" s="337">
        <v>0</v>
      </c>
      <c r="J106" s="1331"/>
      <c r="K106" s="1331"/>
      <c r="L106" s="1332">
        <v>0</v>
      </c>
      <c r="M106" s="1332"/>
      <c r="N106" s="1332">
        <f t="shared" si="27"/>
        <v>0</v>
      </c>
      <c r="O106" s="1332"/>
      <c r="P106" s="343"/>
      <c r="Q106" s="1332">
        <f t="shared" si="28"/>
        <v>0</v>
      </c>
      <c r="R106" s="1332"/>
      <c r="S106" s="220"/>
      <c r="T106" s="220"/>
      <c r="U106" s="220"/>
      <c r="V106" s="327">
        <f t="shared" si="29"/>
        <v>0</v>
      </c>
      <c r="W106" s="338">
        <v>0</v>
      </c>
      <c r="X106" s="361">
        <f t="shared" si="21"/>
        <v>0</v>
      </c>
    </row>
    <row r="107" spans="4:24" hidden="1" x14ac:dyDescent="0.2">
      <c r="D107" s="220" t="s">
        <v>861</v>
      </c>
      <c r="E107" s="220"/>
      <c r="F107" s="342">
        <f t="shared" si="26"/>
        <v>1678880.55</v>
      </c>
      <c r="G107" s="1330">
        <v>0</v>
      </c>
      <c r="H107" s="1330"/>
      <c r="I107" s="337">
        <v>0</v>
      </c>
      <c r="J107" s="1331"/>
      <c r="K107" s="1331"/>
      <c r="L107" s="1332">
        <v>0</v>
      </c>
      <c r="M107" s="1332"/>
      <c r="N107" s="1332">
        <f t="shared" si="27"/>
        <v>0</v>
      </c>
      <c r="O107" s="1332"/>
      <c r="P107" s="343"/>
      <c r="Q107" s="1332">
        <f t="shared" si="28"/>
        <v>0</v>
      </c>
      <c r="R107" s="1332"/>
      <c r="S107" s="220"/>
      <c r="T107" s="220"/>
      <c r="U107" s="220"/>
      <c r="V107" s="327">
        <f t="shared" si="29"/>
        <v>0</v>
      </c>
      <c r="W107" s="338">
        <v>0</v>
      </c>
      <c r="X107" s="361">
        <f t="shared" si="21"/>
        <v>0</v>
      </c>
    </row>
    <row r="108" spans="4:24" hidden="1" x14ac:dyDescent="0.2">
      <c r="D108" s="220"/>
      <c r="E108" s="238"/>
      <c r="F108" s="238"/>
      <c r="G108" s="203"/>
      <c r="H108" s="203"/>
      <c r="I108" s="340">
        <f>SUM(V100:V107)/U22</f>
        <v>239.9400119375</v>
      </c>
      <c r="J108" s="290"/>
      <c r="K108" s="290"/>
      <c r="L108" s="1339"/>
      <c r="M108" s="1339"/>
      <c r="N108" s="290"/>
      <c r="O108" s="290"/>
      <c r="P108" s="290"/>
      <c r="Q108" s="290"/>
      <c r="R108" s="290"/>
      <c r="S108" s="290"/>
      <c r="T108" s="290"/>
      <c r="U108" s="290"/>
      <c r="V108" s="327"/>
      <c r="W108" s="338"/>
      <c r="X108" s="361">
        <f t="shared" si="21"/>
        <v>0</v>
      </c>
    </row>
    <row r="109" spans="4:24" x14ac:dyDescent="0.2">
      <c r="D109" s="290" t="s">
        <v>1375</v>
      </c>
      <c r="E109" s="290"/>
      <c r="F109" s="297" t="s">
        <v>1376</v>
      </c>
      <c r="G109" s="364" t="s">
        <v>1377</v>
      </c>
      <c r="H109" s="297"/>
      <c r="I109" s="297"/>
      <c r="J109" s="290"/>
      <c r="K109" s="290"/>
      <c r="L109" s="290"/>
      <c r="M109" s="290"/>
      <c r="N109" s="290"/>
      <c r="O109" s="290"/>
      <c r="P109" s="290"/>
      <c r="Q109" s="290"/>
      <c r="R109" s="290"/>
      <c r="S109" s="290"/>
      <c r="T109" s="290"/>
      <c r="U109" s="290"/>
      <c r="V109" s="328">
        <f>SUM(V110:V118)</f>
        <v>176396.45092500004</v>
      </c>
      <c r="W109" s="338">
        <v>176396.45092500004</v>
      </c>
      <c r="X109" s="361">
        <f t="shared" si="21"/>
        <v>0.746587597868826</v>
      </c>
    </row>
    <row r="110" spans="4:24" x14ac:dyDescent="0.2">
      <c r="D110" s="220" t="s">
        <v>1378</v>
      </c>
      <c r="E110" s="220"/>
      <c r="F110" s="342">
        <f t="shared" ref="F110:F117" si="30">$E$13</f>
        <v>1678880.55</v>
      </c>
      <c r="G110" s="347">
        <f>'[4]OFICINA ADMINISTRATIVA'!$X$11/3</f>
        <v>26789</v>
      </c>
      <c r="H110" s="348">
        <f>G110/F110</f>
        <v>1.5956465753325929E-2</v>
      </c>
      <c r="I110" s="325">
        <f>G110/12</f>
        <v>2232.4166666666665</v>
      </c>
      <c r="J110" s="290">
        <f t="shared" ref="J110:U118" si="31">$I110</f>
        <v>2232.4166666666665</v>
      </c>
      <c r="K110" s="290">
        <f t="shared" si="31"/>
        <v>2232.4166666666665</v>
      </c>
      <c r="L110" s="290">
        <f t="shared" si="31"/>
        <v>2232.4166666666665</v>
      </c>
      <c r="M110" s="290">
        <f t="shared" si="31"/>
        <v>2232.4166666666665</v>
      </c>
      <c r="N110" s="290">
        <f t="shared" si="31"/>
        <v>2232.4166666666665</v>
      </c>
      <c r="O110" s="290">
        <f t="shared" si="31"/>
        <v>2232.4166666666665</v>
      </c>
      <c r="P110" s="290">
        <f t="shared" si="31"/>
        <v>2232.4166666666665</v>
      </c>
      <c r="Q110" s="290">
        <f t="shared" si="31"/>
        <v>2232.4166666666665</v>
      </c>
      <c r="R110" s="290">
        <f t="shared" si="31"/>
        <v>2232.4166666666665</v>
      </c>
      <c r="S110" s="290">
        <f t="shared" si="31"/>
        <v>2232.4166666666665</v>
      </c>
      <c r="T110" s="290">
        <f t="shared" si="31"/>
        <v>2232.4166666666665</v>
      </c>
      <c r="U110" s="290">
        <f t="shared" si="31"/>
        <v>2232.4166666666665</v>
      </c>
      <c r="V110" s="327">
        <f t="shared" ref="V110:V118" si="32">SUM(J110:U110)</f>
        <v>26789.000000000004</v>
      </c>
      <c r="W110" s="338">
        <v>26789.000000000004</v>
      </c>
      <c r="X110" s="361">
        <f t="shared" si="21"/>
        <v>0.11338286600682058</v>
      </c>
    </row>
    <row r="111" spans="4:24" x14ac:dyDescent="0.2">
      <c r="D111" s="220" t="s">
        <v>1379</v>
      </c>
      <c r="E111" s="220"/>
      <c r="F111" s="342">
        <f t="shared" si="30"/>
        <v>1678880.55</v>
      </c>
      <c r="G111" s="349">
        <f>F111*H111</f>
        <v>83944.027500000011</v>
      </c>
      <c r="H111" s="348">
        <v>0.05</v>
      </c>
      <c r="I111" s="325">
        <f>G111/12</f>
        <v>6995.3356250000006</v>
      </c>
      <c r="J111" s="290">
        <f t="shared" si="31"/>
        <v>6995.3356250000006</v>
      </c>
      <c r="K111" s="290">
        <f t="shared" si="31"/>
        <v>6995.3356250000006</v>
      </c>
      <c r="L111" s="290">
        <f t="shared" si="31"/>
        <v>6995.3356250000006</v>
      </c>
      <c r="M111" s="290">
        <f t="shared" si="31"/>
        <v>6995.3356250000006</v>
      </c>
      <c r="N111" s="290">
        <f t="shared" si="31"/>
        <v>6995.3356250000006</v>
      </c>
      <c r="O111" s="290">
        <f t="shared" si="31"/>
        <v>6995.3356250000006</v>
      </c>
      <c r="P111" s="290">
        <f t="shared" si="31"/>
        <v>6995.3356250000006</v>
      </c>
      <c r="Q111" s="290">
        <f t="shared" si="31"/>
        <v>6995.3356250000006</v>
      </c>
      <c r="R111" s="290">
        <f t="shared" si="31"/>
        <v>6995.3356250000006</v>
      </c>
      <c r="S111" s="290">
        <f t="shared" si="31"/>
        <v>6995.3356250000006</v>
      </c>
      <c r="T111" s="290">
        <f t="shared" si="31"/>
        <v>6995.3356250000006</v>
      </c>
      <c r="U111" s="290">
        <f t="shared" si="31"/>
        <v>6995.3356250000006</v>
      </c>
      <c r="V111" s="327">
        <f t="shared" si="32"/>
        <v>83944.027500000026</v>
      </c>
      <c r="W111" s="338">
        <v>83944.027500000026</v>
      </c>
      <c r="X111" s="361">
        <f t="shared" si="21"/>
        <v>0.35528815641141376</v>
      </c>
    </row>
    <row r="112" spans="4:24" hidden="1" x14ac:dyDescent="0.2">
      <c r="D112" s="220" t="s">
        <v>1380</v>
      </c>
      <c r="E112" s="220"/>
      <c r="F112" s="342">
        <f t="shared" si="30"/>
        <v>1678880.55</v>
      </c>
      <c r="G112" s="349">
        <f t="shared" ref="G112:G117" si="33">F112*H112</f>
        <v>0</v>
      </c>
      <c r="H112" s="348">
        <v>0</v>
      </c>
      <c r="I112" s="325">
        <f t="shared" ref="I112:I117" si="34">G112/12</f>
        <v>0</v>
      </c>
      <c r="J112" s="290">
        <f t="shared" si="31"/>
        <v>0</v>
      </c>
      <c r="K112" s="290">
        <f t="shared" si="31"/>
        <v>0</v>
      </c>
      <c r="L112" s="290">
        <f t="shared" si="31"/>
        <v>0</v>
      </c>
      <c r="M112" s="290">
        <f t="shared" si="31"/>
        <v>0</v>
      </c>
      <c r="N112" s="290">
        <f t="shared" si="31"/>
        <v>0</v>
      </c>
      <c r="O112" s="290">
        <f t="shared" si="31"/>
        <v>0</v>
      </c>
      <c r="P112" s="290">
        <f t="shared" si="31"/>
        <v>0</v>
      </c>
      <c r="Q112" s="290">
        <f t="shared" si="31"/>
        <v>0</v>
      </c>
      <c r="R112" s="290">
        <f t="shared" si="31"/>
        <v>0</v>
      </c>
      <c r="S112" s="290">
        <f t="shared" si="31"/>
        <v>0</v>
      </c>
      <c r="T112" s="290">
        <f t="shared" si="31"/>
        <v>0</v>
      </c>
      <c r="U112" s="290">
        <f t="shared" si="31"/>
        <v>0</v>
      </c>
      <c r="V112" s="327">
        <f t="shared" si="32"/>
        <v>0</v>
      </c>
      <c r="W112" s="338">
        <v>0</v>
      </c>
      <c r="X112" s="361">
        <f t="shared" si="21"/>
        <v>0</v>
      </c>
    </row>
    <row r="113" spans="4:24" hidden="1" x14ac:dyDescent="0.2">
      <c r="D113" s="220" t="s">
        <v>1381</v>
      </c>
      <c r="E113" s="220"/>
      <c r="F113" s="342">
        <f>$E$13/3</f>
        <v>559626.85</v>
      </c>
      <c r="G113" s="349">
        <f t="shared" si="33"/>
        <v>0</v>
      </c>
      <c r="H113" s="348">
        <v>0</v>
      </c>
      <c r="I113" s="325">
        <f t="shared" si="34"/>
        <v>0</v>
      </c>
      <c r="J113" s="290">
        <f t="shared" si="31"/>
        <v>0</v>
      </c>
      <c r="K113" s="290">
        <f t="shared" si="31"/>
        <v>0</v>
      </c>
      <c r="L113" s="290">
        <f t="shared" si="31"/>
        <v>0</v>
      </c>
      <c r="M113" s="290">
        <f t="shared" si="31"/>
        <v>0</v>
      </c>
      <c r="N113" s="290">
        <f t="shared" si="31"/>
        <v>0</v>
      </c>
      <c r="O113" s="290">
        <f t="shared" si="31"/>
        <v>0</v>
      </c>
      <c r="P113" s="290">
        <f t="shared" si="31"/>
        <v>0</v>
      </c>
      <c r="Q113" s="290">
        <f t="shared" si="31"/>
        <v>0</v>
      </c>
      <c r="R113" s="290">
        <f t="shared" si="31"/>
        <v>0</v>
      </c>
      <c r="S113" s="290">
        <f t="shared" si="31"/>
        <v>0</v>
      </c>
      <c r="T113" s="290">
        <f t="shared" si="31"/>
        <v>0</v>
      </c>
      <c r="U113" s="290">
        <f t="shared" si="31"/>
        <v>0</v>
      </c>
      <c r="V113" s="327">
        <f t="shared" si="32"/>
        <v>0</v>
      </c>
      <c r="W113" s="338">
        <v>0</v>
      </c>
      <c r="X113" s="361">
        <f t="shared" si="21"/>
        <v>0</v>
      </c>
    </row>
    <row r="114" spans="4:24" hidden="1" x14ac:dyDescent="0.2">
      <c r="D114" s="220" t="s">
        <v>1382</v>
      </c>
      <c r="E114" s="220"/>
      <c r="F114" s="342">
        <f t="shared" si="30"/>
        <v>1678880.55</v>
      </c>
      <c r="G114" s="349">
        <f>F114*H114*0</f>
        <v>0</v>
      </c>
      <c r="H114" s="348">
        <v>0.02</v>
      </c>
      <c r="I114" s="325">
        <f t="shared" si="34"/>
        <v>0</v>
      </c>
      <c r="J114" s="290">
        <f t="shared" si="31"/>
        <v>0</v>
      </c>
      <c r="K114" s="290">
        <f t="shared" si="31"/>
        <v>0</v>
      </c>
      <c r="L114" s="290">
        <f t="shared" si="31"/>
        <v>0</v>
      </c>
      <c r="M114" s="290">
        <f t="shared" si="31"/>
        <v>0</v>
      </c>
      <c r="N114" s="290">
        <f t="shared" si="31"/>
        <v>0</v>
      </c>
      <c r="O114" s="290">
        <f t="shared" si="31"/>
        <v>0</v>
      </c>
      <c r="P114" s="290">
        <f t="shared" si="31"/>
        <v>0</v>
      </c>
      <c r="Q114" s="290">
        <f t="shared" si="31"/>
        <v>0</v>
      </c>
      <c r="R114" s="290">
        <f t="shared" si="31"/>
        <v>0</v>
      </c>
      <c r="S114" s="290">
        <f t="shared" si="31"/>
        <v>0</v>
      </c>
      <c r="T114" s="290">
        <f t="shared" si="31"/>
        <v>0</v>
      </c>
      <c r="U114" s="290">
        <f t="shared" si="31"/>
        <v>0</v>
      </c>
      <c r="V114" s="327">
        <f t="shared" si="32"/>
        <v>0</v>
      </c>
      <c r="W114" s="338">
        <v>0</v>
      </c>
      <c r="X114" s="361">
        <f t="shared" si="21"/>
        <v>0</v>
      </c>
    </row>
    <row r="115" spans="4:24" x14ac:dyDescent="0.2">
      <c r="D115" s="220" t="s">
        <v>1383</v>
      </c>
      <c r="E115" s="220"/>
      <c r="F115" s="342">
        <f>G111</f>
        <v>83944.027500000011</v>
      </c>
      <c r="G115" s="349">
        <f t="shared" si="33"/>
        <v>12591.604125000002</v>
      </c>
      <c r="H115" s="348">
        <v>0.15</v>
      </c>
      <c r="I115" s="325">
        <f t="shared" si="34"/>
        <v>1049.3003437500001</v>
      </c>
      <c r="J115" s="290">
        <f t="shared" si="31"/>
        <v>1049.3003437500001</v>
      </c>
      <c r="K115" s="290">
        <f t="shared" si="31"/>
        <v>1049.3003437500001</v>
      </c>
      <c r="L115" s="290">
        <f t="shared" si="31"/>
        <v>1049.3003437500001</v>
      </c>
      <c r="M115" s="290">
        <f t="shared" si="31"/>
        <v>1049.3003437500001</v>
      </c>
      <c r="N115" s="290">
        <f t="shared" si="31"/>
        <v>1049.3003437500001</v>
      </c>
      <c r="O115" s="290">
        <f t="shared" si="31"/>
        <v>1049.3003437500001</v>
      </c>
      <c r="P115" s="290">
        <f t="shared" si="31"/>
        <v>1049.3003437500001</v>
      </c>
      <c r="Q115" s="290">
        <f t="shared" si="31"/>
        <v>1049.3003437500001</v>
      </c>
      <c r="R115" s="290">
        <f t="shared" si="31"/>
        <v>1049.3003437500001</v>
      </c>
      <c r="S115" s="290">
        <f t="shared" si="31"/>
        <v>1049.3003437500001</v>
      </c>
      <c r="T115" s="290">
        <f t="shared" si="31"/>
        <v>1049.3003437500001</v>
      </c>
      <c r="U115" s="290">
        <f t="shared" si="31"/>
        <v>1049.3003437500001</v>
      </c>
      <c r="V115" s="327">
        <f t="shared" si="32"/>
        <v>12591.604125000005</v>
      </c>
      <c r="W115" s="338">
        <v>12591.604125000005</v>
      </c>
      <c r="X115" s="361">
        <f t="shared" si="21"/>
        <v>5.3293223461712072E-2</v>
      </c>
    </row>
    <row r="116" spans="4:24" x14ac:dyDescent="0.2">
      <c r="D116" s="220" t="s">
        <v>1384</v>
      </c>
      <c r="E116" s="220"/>
      <c r="F116" s="342">
        <f t="shared" si="30"/>
        <v>1678880.55</v>
      </c>
      <c r="G116" s="349">
        <f t="shared" si="33"/>
        <v>8394.4027500000011</v>
      </c>
      <c r="H116" s="348">
        <v>5.0000000000000001E-3</v>
      </c>
      <c r="I116" s="325">
        <f t="shared" si="34"/>
        <v>699.53356250000013</v>
      </c>
      <c r="J116" s="290">
        <f t="shared" si="31"/>
        <v>699.53356250000013</v>
      </c>
      <c r="K116" s="290">
        <f t="shared" si="31"/>
        <v>699.53356250000013</v>
      </c>
      <c r="L116" s="290">
        <f t="shared" si="31"/>
        <v>699.53356250000013</v>
      </c>
      <c r="M116" s="290">
        <f t="shared" si="31"/>
        <v>699.53356250000013</v>
      </c>
      <c r="N116" s="290">
        <f t="shared" si="31"/>
        <v>699.53356250000013</v>
      </c>
      <c r="O116" s="290">
        <f t="shared" si="31"/>
        <v>699.53356250000013</v>
      </c>
      <c r="P116" s="290">
        <f t="shared" si="31"/>
        <v>699.53356250000013</v>
      </c>
      <c r="Q116" s="290">
        <f t="shared" si="31"/>
        <v>699.53356250000013</v>
      </c>
      <c r="R116" s="290">
        <f t="shared" si="31"/>
        <v>699.53356250000013</v>
      </c>
      <c r="S116" s="290">
        <f t="shared" si="31"/>
        <v>699.53356250000013</v>
      </c>
      <c r="T116" s="290">
        <f t="shared" si="31"/>
        <v>699.53356250000013</v>
      </c>
      <c r="U116" s="290">
        <f t="shared" si="31"/>
        <v>699.53356250000013</v>
      </c>
      <c r="V116" s="327">
        <f t="shared" si="32"/>
        <v>8394.4027499999993</v>
      </c>
      <c r="W116" s="338">
        <v>8394.4027499999993</v>
      </c>
      <c r="X116" s="361">
        <f t="shared" si="21"/>
        <v>3.5528815641141361E-2</v>
      </c>
    </row>
    <row r="117" spans="4:24" x14ac:dyDescent="0.2">
      <c r="D117" s="220" t="s">
        <v>1385</v>
      </c>
      <c r="E117" s="220"/>
      <c r="F117" s="342">
        <f t="shared" si="30"/>
        <v>1678880.55</v>
      </c>
      <c r="G117" s="349">
        <f t="shared" si="33"/>
        <v>1678.8805500000001</v>
      </c>
      <c r="H117" s="348">
        <v>1E-3</v>
      </c>
      <c r="I117" s="325">
        <f t="shared" si="34"/>
        <v>139.9067125</v>
      </c>
      <c r="J117" s="290">
        <f t="shared" si="31"/>
        <v>139.9067125</v>
      </c>
      <c r="K117" s="290">
        <f t="shared" si="31"/>
        <v>139.9067125</v>
      </c>
      <c r="L117" s="290">
        <f t="shared" si="31"/>
        <v>139.9067125</v>
      </c>
      <c r="M117" s="290">
        <f t="shared" si="31"/>
        <v>139.9067125</v>
      </c>
      <c r="N117" s="290">
        <f t="shared" si="31"/>
        <v>139.9067125</v>
      </c>
      <c r="O117" s="290">
        <f t="shared" si="31"/>
        <v>139.9067125</v>
      </c>
      <c r="P117" s="290">
        <f t="shared" si="31"/>
        <v>139.9067125</v>
      </c>
      <c r="Q117" s="290">
        <f t="shared" si="31"/>
        <v>139.9067125</v>
      </c>
      <c r="R117" s="290">
        <f t="shared" si="31"/>
        <v>139.9067125</v>
      </c>
      <c r="S117" s="290">
        <f t="shared" si="31"/>
        <v>139.9067125</v>
      </c>
      <c r="T117" s="290">
        <f t="shared" si="31"/>
        <v>139.9067125</v>
      </c>
      <c r="U117" s="290">
        <f t="shared" si="31"/>
        <v>139.9067125</v>
      </c>
      <c r="V117" s="327">
        <f t="shared" si="32"/>
        <v>1678.8805499999996</v>
      </c>
      <c r="W117" s="338">
        <v>1678.8805499999996</v>
      </c>
      <c r="X117" s="361">
        <f t="shared" si="21"/>
        <v>7.1057631282282719E-3</v>
      </c>
    </row>
    <row r="118" spans="4:24" x14ac:dyDescent="0.2">
      <c r="D118" s="220" t="s">
        <v>1386</v>
      </c>
      <c r="E118" s="220"/>
      <c r="F118" s="342">
        <f>$E$13</f>
        <v>1678880.55</v>
      </c>
      <c r="G118" s="347">
        <f>'[4]PRESUPUESTO ESTUDIOS'!$H$30</f>
        <v>42998.536</v>
      </c>
      <c r="H118" s="348">
        <f>G118/F118</f>
        <v>2.5611432570351714E-2</v>
      </c>
      <c r="I118" s="325">
        <f>G118/12</f>
        <v>3583.2113333333332</v>
      </c>
      <c r="J118" s="290">
        <f t="shared" si="31"/>
        <v>3583.2113333333332</v>
      </c>
      <c r="K118" s="290">
        <f t="shared" si="31"/>
        <v>3583.2113333333332</v>
      </c>
      <c r="L118" s="290">
        <f t="shared" si="31"/>
        <v>3583.2113333333332</v>
      </c>
      <c r="M118" s="290">
        <f t="shared" si="31"/>
        <v>3583.2113333333332</v>
      </c>
      <c r="N118" s="290">
        <f t="shared" si="31"/>
        <v>3583.2113333333332</v>
      </c>
      <c r="O118" s="290">
        <f t="shared" si="31"/>
        <v>3583.2113333333332</v>
      </c>
      <c r="P118" s="290">
        <f t="shared" si="31"/>
        <v>3583.2113333333332</v>
      </c>
      <c r="Q118" s="290">
        <f t="shared" si="31"/>
        <v>3583.2113333333332</v>
      </c>
      <c r="R118" s="290">
        <f t="shared" si="31"/>
        <v>3583.2113333333332</v>
      </c>
      <c r="S118" s="290">
        <f t="shared" si="31"/>
        <v>3583.2113333333332</v>
      </c>
      <c r="T118" s="290">
        <f t="shared" si="31"/>
        <v>3583.2113333333332</v>
      </c>
      <c r="U118" s="290">
        <f t="shared" si="31"/>
        <v>3583.2113333333332</v>
      </c>
      <c r="V118" s="327">
        <f t="shared" si="32"/>
        <v>42998.536</v>
      </c>
      <c r="W118" s="338">
        <v>42998.536</v>
      </c>
      <c r="X118" s="361">
        <f t="shared" si="21"/>
        <v>0.18198877321950988</v>
      </c>
    </row>
    <row r="119" spans="4:24" x14ac:dyDescent="0.2">
      <c r="D119" s="220"/>
      <c r="E119" s="220"/>
      <c r="F119" s="350"/>
      <c r="G119" s="348"/>
      <c r="H119" s="351"/>
      <c r="I119" s="340">
        <f>SUM(I110:I118)</f>
        <v>14699.704243750002</v>
      </c>
      <c r="J119" s="220"/>
      <c r="K119" s="220"/>
      <c r="L119" s="220"/>
      <c r="M119" s="220"/>
      <c r="N119" s="220"/>
      <c r="O119" s="220"/>
      <c r="P119" s="220"/>
      <c r="Q119" s="220"/>
      <c r="R119" s="220"/>
      <c r="S119" s="347"/>
      <c r="T119" s="347"/>
      <c r="U119" s="347"/>
      <c r="V119" s="329"/>
      <c r="W119" s="338"/>
      <c r="X119" s="361">
        <f t="shared" si="21"/>
        <v>0</v>
      </c>
    </row>
    <row r="120" spans="4:24" ht="20.25" customHeight="1" x14ac:dyDescent="0.2">
      <c r="D120" s="365"/>
      <c r="E120" s="365"/>
      <c r="F120" s="366" t="s">
        <v>1387</v>
      </c>
      <c r="G120" s="365"/>
      <c r="H120" s="365"/>
      <c r="I120" s="365"/>
      <c r="J120" s="365"/>
      <c r="K120" s="365"/>
      <c r="L120" s="367"/>
      <c r="M120" s="365"/>
      <c r="N120" s="367"/>
      <c r="O120" s="367"/>
      <c r="P120" s="367"/>
      <c r="Q120" s="367"/>
      <c r="R120" s="367"/>
      <c r="S120" s="367"/>
      <c r="T120" s="367"/>
      <c r="U120" s="367"/>
      <c r="V120" s="368">
        <f>V24+V45+V75</f>
        <v>236270.26678253576</v>
      </c>
      <c r="W120" s="369">
        <v>236270.26678253576</v>
      </c>
      <c r="X120" s="370">
        <f t="shared" si="21"/>
        <v>1</v>
      </c>
    </row>
    <row r="121" spans="4:24" hidden="1" x14ac:dyDescent="0.2">
      <c r="D121" s="237"/>
      <c r="E121" s="246"/>
      <c r="F121" s="246"/>
      <c r="G121" s="185"/>
      <c r="H121" s="185"/>
      <c r="I121" s="185"/>
      <c r="J121" s="185"/>
      <c r="K121" s="185"/>
      <c r="L121" s="185"/>
      <c r="M121" s="185"/>
      <c r="N121" s="185"/>
      <c r="O121" s="185"/>
      <c r="P121" s="185"/>
      <c r="Q121" s="185"/>
      <c r="R121" s="185"/>
      <c r="S121" s="185"/>
      <c r="T121" s="185"/>
      <c r="U121" s="185"/>
      <c r="V121" s="247"/>
    </row>
    <row r="122" spans="4:24" ht="20.25" hidden="1" customHeight="1" thickBot="1" x14ac:dyDescent="0.25">
      <c r="D122" s="241"/>
      <c r="E122" s="242"/>
      <c r="F122" s="243" t="s">
        <v>1388</v>
      </c>
      <c r="G122" s="242"/>
      <c r="H122" s="242"/>
      <c r="I122" s="242"/>
      <c r="J122" s="242"/>
      <c r="K122" s="242"/>
      <c r="L122" s="244"/>
      <c r="M122" s="242"/>
      <c r="N122" s="244"/>
      <c r="O122" s="244"/>
      <c r="P122" s="244"/>
      <c r="Q122" s="244"/>
      <c r="R122" s="244"/>
      <c r="S122" s="244"/>
      <c r="T122" s="244"/>
      <c r="U122" s="244"/>
      <c r="V122" s="248">
        <f>V120/E15</f>
        <v>0.12336901340202082</v>
      </c>
    </row>
    <row r="123" spans="4:24" s="236" customFormat="1" hidden="1" x14ac:dyDescent="0.2">
      <c r="D123" s="240"/>
      <c r="E123" s="233"/>
      <c r="F123" s="249"/>
      <c r="G123" s="220"/>
      <c r="H123" s="220"/>
      <c r="I123" s="220"/>
      <c r="J123" s="220"/>
      <c r="K123" s="220"/>
      <c r="L123" s="250"/>
      <c r="M123" s="220"/>
      <c r="N123" s="250"/>
      <c r="O123" s="250"/>
      <c r="P123" s="250"/>
      <c r="Q123" s="250"/>
      <c r="R123" s="250"/>
      <c r="S123" s="250"/>
      <c r="T123" s="250"/>
      <c r="U123" s="250"/>
      <c r="V123" s="251"/>
    </row>
    <row r="124" spans="4:24" ht="20.25" hidden="1" customHeight="1" thickBot="1" x14ac:dyDescent="0.25">
      <c r="D124" s="241"/>
      <c r="E124" s="242"/>
      <c r="F124" s="242"/>
      <c r="G124" s="243" t="s">
        <v>1389</v>
      </c>
      <c r="H124" s="242"/>
      <c r="I124" s="242"/>
      <c r="J124" s="242"/>
      <c r="K124" s="242"/>
      <c r="L124" s="244"/>
      <c r="M124" s="242"/>
      <c r="N124" s="244"/>
      <c r="O124" s="244"/>
      <c r="P124" s="244"/>
      <c r="Q124" s="244"/>
      <c r="R124" s="244"/>
      <c r="S124" s="244"/>
      <c r="T124" s="244"/>
      <c r="U124" s="244"/>
      <c r="V124" s="245">
        <f>V120/$E$19</f>
        <v>19689.188898544646</v>
      </c>
    </row>
    <row r="125" spans="4:24" hidden="1" x14ac:dyDescent="0.2">
      <c r="D125" s="252"/>
      <c r="E125" s="253"/>
      <c r="F125" s="253"/>
      <c r="G125" s="254"/>
      <c r="H125" s="254"/>
      <c r="I125" s="255"/>
      <c r="J125" s="254"/>
      <c r="K125" s="254"/>
      <c r="L125" s="254"/>
      <c r="M125" s="254"/>
      <c r="N125" s="254"/>
      <c r="O125" s="254"/>
      <c r="P125" s="254"/>
      <c r="Q125" s="254"/>
      <c r="R125" s="254"/>
      <c r="S125" s="254"/>
      <c r="T125" s="254"/>
      <c r="U125" s="254"/>
      <c r="V125" s="256"/>
    </row>
    <row r="126" spans="4:24" ht="23.25" hidden="1" customHeight="1" x14ac:dyDescent="0.2">
      <c r="D126" s="237"/>
      <c r="E126" s="246"/>
      <c r="F126" s="187"/>
      <c r="G126" s="185"/>
      <c r="H126" s="246" t="s">
        <v>1390</v>
      </c>
      <c r="I126" s="185"/>
      <c r="J126" s="185"/>
      <c r="K126" s="185"/>
      <c r="L126" s="185"/>
      <c r="M126" s="185"/>
      <c r="N126" s="185"/>
      <c r="O126" s="185"/>
      <c r="P126" s="185"/>
      <c r="Q126" s="185"/>
      <c r="R126" s="185"/>
      <c r="S126" s="185"/>
      <c r="T126" s="185"/>
      <c r="U126" s="185"/>
      <c r="V126" s="198"/>
    </row>
    <row r="127" spans="4:24" hidden="1" x14ac:dyDescent="0.2">
      <c r="D127" s="237"/>
      <c r="E127" s="246"/>
      <c r="F127" s="187"/>
      <c r="G127" s="185"/>
      <c r="H127" s="257" t="s">
        <v>1391</v>
      </c>
      <c r="I127" s="185"/>
      <c r="J127" s="185"/>
      <c r="K127" s="185"/>
      <c r="L127" s="185"/>
      <c r="M127" s="185"/>
      <c r="N127" s="185"/>
      <c r="O127" s="185"/>
      <c r="P127" s="185"/>
      <c r="Q127" s="185"/>
      <c r="R127" s="185"/>
      <c r="S127" s="185"/>
      <c r="T127" s="185"/>
      <c r="U127" s="185"/>
      <c r="V127" s="198"/>
    </row>
    <row r="128" spans="4:24" hidden="1" x14ac:dyDescent="0.2">
      <c r="D128" s="237"/>
      <c r="E128" s="246"/>
      <c r="F128" s="246"/>
      <c r="G128" s="185"/>
      <c r="H128" s="185"/>
      <c r="I128" s="185"/>
      <c r="J128" s="185"/>
      <c r="K128" s="185"/>
      <c r="L128" s="185"/>
      <c r="M128" s="185"/>
      <c r="N128" s="185"/>
      <c r="O128" s="185"/>
      <c r="P128" s="185"/>
      <c r="Q128" s="185"/>
      <c r="R128" s="185"/>
      <c r="S128" s="185"/>
      <c r="T128" s="185"/>
      <c r="U128" s="185"/>
      <c r="V128" s="198"/>
    </row>
    <row r="129" spans="4:22" hidden="1" x14ac:dyDescent="0.2">
      <c r="D129" s="237"/>
      <c r="E129" s="246"/>
      <c r="F129" s="246"/>
      <c r="G129" s="185"/>
      <c r="H129" s="185"/>
      <c r="I129" s="185"/>
      <c r="J129" s="185"/>
      <c r="K129" s="185"/>
      <c r="L129" s="185"/>
      <c r="M129" s="185"/>
      <c r="N129" s="185"/>
      <c r="O129" s="185"/>
      <c r="P129" s="185"/>
      <c r="Q129" s="185"/>
      <c r="R129" s="185"/>
      <c r="S129" s="185"/>
      <c r="T129" s="185"/>
      <c r="U129" s="185"/>
      <c r="V129" s="198"/>
    </row>
    <row r="130" spans="4:22" hidden="1" x14ac:dyDescent="0.2">
      <c r="D130" s="237"/>
      <c r="E130" s="246"/>
      <c r="F130" s="246"/>
      <c r="G130" s="185"/>
      <c r="H130" s="185"/>
      <c r="I130" s="185"/>
      <c r="J130" s="185"/>
      <c r="K130" s="185"/>
      <c r="L130" s="185"/>
      <c r="M130" s="185"/>
      <c r="N130" s="185"/>
      <c r="O130" s="185"/>
      <c r="P130" s="185"/>
      <c r="Q130" s="185"/>
      <c r="R130" s="185"/>
      <c r="S130" s="185"/>
      <c r="T130" s="185"/>
      <c r="U130" s="185"/>
      <c r="V130" s="198"/>
    </row>
    <row r="131" spans="4:22" hidden="1" x14ac:dyDescent="0.2">
      <c r="D131" s="237"/>
      <c r="E131" s="246"/>
      <c r="F131" s="246"/>
      <c r="G131" s="185"/>
      <c r="H131" s="185"/>
      <c r="I131" s="185"/>
      <c r="J131" s="185"/>
      <c r="K131" s="185"/>
      <c r="L131" s="185"/>
      <c r="M131" s="185"/>
      <c r="N131" s="185"/>
      <c r="O131" s="185"/>
      <c r="P131" s="185"/>
      <c r="Q131" s="185"/>
      <c r="R131" s="185"/>
      <c r="S131" s="185"/>
      <c r="T131" s="185"/>
      <c r="U131" s="185"/>
      <c r="V131" s="198"/>
    </row>
    <row r="132" spans="4:22" hidden="1" x14ac:dyDescent="0.2">
      <c r="D132" s="237"/>
      <c r="E132" s="258"/>
      <c r="F132" s="259" t="s">
        <v>168</v>
      </c>
      <c r="G132" s="260"/>
      <c r="H132" s="185"/>
      <c r="I132" s="185"/>
      <c r="J132" s="260"/>
      <c r="K132" s="259" t="s">
        <v>167</v>
      </c>
      <c r="L132" s="259"/>
      <c r="M132" s="185"/>
      <c r="N132" s="185"/>
      <c r="O132" s="185"/>
      <c r="P132" s="185"/>
      <c r="Q132" s="185"/>
      <c r="R132" s="185"/>
      <c r="S132" s="185"/>
      <c r="T132" s="185"/>
      <c r="U132" s="185"/>
      <c r="V132" s="198"/>
    </row>
    <row r="133" spans="4:22" hidden="1" x14ac:dyDescent="0.2">
      <c r="D133" s="237"/>
      <c r="E133" s="246"/>
      <c r="F133" s="246" t="s">
        <v>1392</v>
      </c>
      <c r="G133" s="185"/>
      <c r="H133" s="185"/>
      <c r="I133" s="185"/>
      <c r="J133" s="185"/>
      <c r="K133" s="246" t="s">
        <v>1393</v>
      </c>
      <c r="L133" s="185"/>
      <c r="M133" s="185"/>
      <c r="N133" s="185"/>
      <c r="O133" s="185"/>
      <c r="P133" s="185"/>
      <c r="Q133" s="185"/>
      <c r="R133" s="185"/>
      <c r="S133" s="185"/>
      <c r="T133" s="185"/>
      <c r="U133" s="185"/>
      <c r="V133" s="198"/>
    </row>
    <row r="134" spans="4:22" hidden="1" x14ac:dyDescent="0.2">
      <c r="D134" s="237"/>
      <c r="E134" s="246"/>
      <c r="F134" s="246"/>
      <c r="G134" s="185"/>
      <c r="H134" s="185"/>
      <c r="I134" s="185"/>
      <c r="J134" s="185"/>
      <c r="K134" s="185"/>
      <c r="L134" s="185"/>
      <c r="M134" s="185"/>
      <c r="N134" s="185"/>
      <c r="O134" s="185"/>
      <c r="P134" s="185"/>
      <c r="Q134" s="185"/>
      <c r="R134" s="185"/>
      <c r="S134" s="185"/>
      <c r="T134" s="185"/>
      <c r="U134" s="185"/>
      <c r="V134" s="198"/>
    </row>
    <row r="135" spans="4:22" ht="12" hidden="1" thickBot="1" x14ac:dyDescent="0.25">
      <c r="D135" s="261"/>
      <c r="E135" s="262" t="s">
        <v>1394</v>
      </c>
      <c r="F135" s="263" t="s">
        <v>1395</v>
      </c>
      <c r="G135" s="264"/>
      <c r="H135" s="264"/>
      <c r="I135" s="264"/>
      <c r="J135" s="265"/>
      <c r="K135" s="265"/>
      <c r="L135" s="265"/>
      <c r="M135" s="265"/>
      <c r="N135" s="265"/>
      <c r="O135" s="265"/>
      <c r="P135" s="265"/>
      <c r="Q135" s="265"/>
      <c r="R135" s="265"/>
      <c r="S135" s="265"/>
      <c r="T135" s="265"/>
      <c r="U135" s="265"/>
      <c r="V135" s="266"/>
    </row>
    <row r="136" spans="4:22" hidden="1" x14ac:dyDescent="0.2">
      <c r="D136" s="185" t="s">
        <v>1396</v>
      </c>
    </row>
    <row r="137" spans="4:22" hidden="1" x14ac:dyDescent="0.2">
      <c r="D137" s="185" t="s">
        <v>1397</v>
      </c>
    </row>
    <row r="138" spans="4:22" hidden="1" x14ac:dyDescent="0.2">
      <c r="D138" s="185" t="s">
        <v>1398</v>
      </c>
    </row>
    <row r="139" spans="4:22" hidden="1" x14ac:dyDescent="0.2">
      <c r="D139" s="185" t="s">
        <v>1399</v>
      </c>
    </row>
    <row r="140" spans="4:22" hidden="1" x14ac:dyDescent="0.2"/>
    <row r="142" spans="4:22" x14ac:dyDescent="0.2">
      <c r="J142" s="740">
        <f>+SUM(J27:J80)+SUM(J110:J118)</f>
        <v>19499.248886607144</v>
      </c>
      <c r="K142" s="740">
        <f t="shared" ref="K142:T142" si="35">+SUM(K27:K80)+SUM(K110:K118)</f>
        <v>19499.248886607144</v>
      </c>
      <c r="L142" s="740">
        <f t="shared" si="35"/>
        <v>19499.248886607144</v>
      </c>
      <c r="M142" s="740">
        <f t="shared" si="35"/>
        <v>19499.248886607144</v>
      </c>
      <c r="N142" s="740">
        <f t="shared" si="35"/>
        <v>19499.248886607144</v>
      </c>
      <c r="O142" s="740">
        <f t="shared" si="35"/>
        <v>19499.248886607144</v>
      </c>
      <c r="P142" s="740">
        <f t="shared" si="35"/>
        <v>19499.248886607144</v>
      </c>
      <c r="Q142" s="740">
        <f t="shared" si="35"/>
        <v>19499.248886607144</v>
      </c>
      <c r="R142" s="740">
        <f t="shared" si="35"/>
        <v>19499.248886607144</v>
      </c>
      <c r="S142" s="740">
        <f t="shared" si="35"/>
        <v>19499.248886607144</v>
      </c>
      <c r="T142" s="740">
        <f t="shared" si="35"/>
        <v>19499.248886607144</v>
      </c>
      <c r="U142" s="740">
        <f>+SUM(U27:U80)+SUM(U110:U118)+V99+V101+V102+V103+V104</f>
        <v>25257.80917310714</v>
      </c>
    </row>
    <row r="143" spans="4:22" x14ac:dyDescent="0.2">
      <c r="J143" s="740">
        <f>+J142</f>
        <v>19499.248886607144</v>
      </c>
      <c r="K143" s="740">
        <f>+J143+K142</f>
        <v>38998.497773214287</v>
      </c>
      <c r="L143" s="740">
        <f t="shared" ref="L143:U143" si="36">+K143+L142</f>
        <v>58497.746659821431</v>
      </c>
      <c r="M143" s="740">
        <f t="shared" si="36"/>
        <v>77996.995546428574</v>
      </c>
      <c r="N143" s="740">
        <f t="shared" si="36"/>
        <v>97496.244433035725</v>
      </c>
      <c r="O143" s="740">
        <f t="shared" si="36"/>
        <v>116995.49331964288</v>
      </c>
      <c r="P143" s="740">
        <f t="shared" si="36"/>
        <v>136494.74220625003</v>
      </c>
      <c r="Q143" s="740">
        <f t="shared" si="36"/>
        <v>155993.99109285718</v>
      </c>
      <c r="R143" s="740">
        <f t="shared" si="36"/>
        <v>175493.23997946433</v>
      </c>
      <c r="S143" s="740">
        <f t="shared" si="36"/>
        <v>194992.48886607148</v>
      </c>
      <c r="T143" s="740">
        <f t="shared" si="36"/>
        <v>214491.73775267863</v>
      </c>
      <c r="U143" s="740">
        <f t="shared" si="36"/>
        <v>239749.54692578578</v>
      </c>
    </row>
    <row r="144" spans="4:22" x14ac:dyDescent="0.2">
      <c r="V144" s="738"/>
    </row>
    <row r="146" spans="11:24" x14ac:dyDescent="0.2">
      <c r="W146" s="738"/>
    </row>
    <row r="147" spans="11:24" x14ac:dyDescent="0.2">
      <c r="K147" s="748" t="s">
        <v>1869</v>
      </c>
      <c r="L147" s="748" t="s">
        <v>1854</v>
      </c>
      <c r="M147" s="748" t="s">
        <v>1855</v>
      </c>
      <c r="N147" s="748" t="s">
        <v>1856</v>
      </c>
      <c r="O147" s="748" t="s">
        <v>1857</v>
      </c>
      <c r="P147" s="748" t="s">
        <v>1858</v>
      </c>
      <c r="Q147" s="748" t="s">
        <v>1859</v>
      </c>
      <c r="R147" s="748" t="s">
        <v>1860</v>
      </c>
      <c r="S147" s="748" t="s">
        <v>1861</v>
      </c>
      <c r="T147" s="748" t="s">
        <v>1862</v>
      </c>
      <c r="U147" s="748" t="s">
        <v>1863</v>
      </c>
      <c r="V147" s="748" t="s">
        <v>1864</v>
      </c>
      <c r="W147" s="758" t="s">
        <v>503</v>
      </c>
    </row>
    <row r="148" spans="11:24" x14ac:dyDescent="0.2">
      <c r="K148" s="744">
        <v>1200</v>
      </c>
      <c r="L148" s="744">
        <v>1200</v>
      </c>
      <c r="M148" s="744">
        <v>1200</v>
      </c>
      <c r="N148" s="744">
        <v>1200</v>
      </c>
      <c r="O148" s="744">
        <v>1200</v>
      </c>
      <c r="P148" s="744">
        <v>1200</v>
      </c>
      <c r="Q148" s="744">
        <v>1200</v>
      </c>
      <c r="R148" s="744">
        <v>1200</v>
      </c>
      <c r="S148" s="744">
        <v>1200</v>
      </c>
      <c r="T148" s="744">
        <v>1200</v>
      </c>
      <c r="U148" s="744">
        <v>1200</v>
      </c>
      <c r="V148" s="744">
        <v>1200</v>
      </c>
      <c r="W148" s="744">
        <f>SUM(K148:V148)</f>
        <v>14400</v>
      </c>
      <c r="X148" s="739"/>
    </row>
    <row r="149" spans="11:24" x14ac:dyDescent="0.2">
      <c r="K149" s="744">
        <v>600</v>
      </c>
      <c r="L149" s="744">
        <v>600</v>
      </c>
      <c r="M149" s="744">
        <v>600</v>
      </c>
      <c r="N149" s="744">
        <v>600</v>
      </c>
      <c r="O149" s="744">
        <v>600</v>
      </c>
      <c r="P149" s="744">
        <v>600</v>
      </c>
      <c r="Q149" s="744">
        <v>600</v>
      </c>
      <c r="R149" s="744">
        <v>600</v>
      </c>
      <c r="S149" s="744">
        <v>600</v>
      </c>
      <c r="T149" s="744">
        <v>600</v>
      </c>
      <c r="U149" s="744">
        <v>600</v>
      </c>
      <c r="V149" s="744">
        <v>600</v>
      </c>
      <c r="W149" s="744">
        <f t="shared" ref="W149:W170" si="37">SUM(K149:V149)</f>
        <v>7200</v>
      </c>
    </row>
    <row r="150" spans="11:24" x14ac:dyDescent="0.2">
      <c r="K150" s="744">
        <v>1300</v>
      </c>
      <c r="L150" s="744">
        <v>1300</v>
      </c>
      <c r="M150" s="744">
        <v>1300</v>
      </c>
      <c r="N150" s="744">
        <v>1300</v>
      </c>
      <c r="O150" s="744">
        <v>1300</v>
      </c>
      <c r="P150" s="744">
        <v>1300</v>
      </c>
      <c r="Q150" s="744">
        <v>1300</v>
      </c>
      <c r="R150" s="744">
        <v>1300</v>
      </c>
      <c r="S150" s="744">
        <v>1300</v>
      </c>
      <c r="T150" s="744">
        <v>1300</v>
      </c>
      <c r="U150" s="744">
        <v>1300</v>
      </c>
      <c r="V150" s="744">
        <v>1300</v>
      </c>
      <c r="W150" s="744">
        <f t="shared" si="37"/>
        <v>15600</v>
      </c>
    </row>
    <row r="151" spans="11:24" x14ac:dyDescent="0.2">
      <c r="K151" s="744">
        <v>140</v>
      </c>
      <c r="L151" s="744">
        <v>140</v>
      </c>
      <c r="M151" s="744">
        <v>140</v>
      </c>
      <c r="N151" s="744">
        <v>140</v>
      </c>
      <c r="O151" s="744">
        <v>140</v>
      </c>
      <c r="P151" s="744">
        <v>140</v>
      </c>
      <c r="Q151" s="744">
        <v>140</v>
      </c>
      <c r="R151" s="744">
        <v>140</v>
      </c>
      <c r="S151" s="744">
        <v>140</v>
      </c>
      <c r="T151" s="744">
        <v>140</v>
      </c>
      <c r="U151" s="744">
        <v>140</v>
      </c>
      <c r="V151" s="744">
        <v>140</v>
      </c>
      <c r="W151" s="744">
        <f t="shared" si="37"/>
        <v>1680</v>
      </c>
    </row>
    <row r="152" spans="11:24" x14ac:dyDescent="0.2">
      <c r="K152" s="744">
        <v>100</v>
      </c>
      <c r="L152" s="744">
        <v>100</v>
      </c>
      <c r="M152" s="744">
        <v>100</v>
      </c>
      <c r="N152" s="744">
        <v>100</v>
      </c>
      <c r="O152" s="744">
        <v>100</v>
      </c>
      <c r="P152" s="744">
        <v>100</v>
      </c>
      <c r="Q152" s="744">
        <v>100</v>
      </c>
      <c r="R152" s="744">
        <v>100</v>
      </c>
      <c r="S152" s="744">
        <v>100</v>
      </c>
      <c r="T152" s="744">
        <v>100</v>
      </c>
      <c r="U152" s="744">
        <v>100</v>
      </c>
      <c r="V152" s="744">
        <v>100</v>
      </c>
      <c r="W152" s="744">
        <f t="shared" si="37"/>
        <v>1200</v>
      </c>
    </row>
    <row r="153" spans="11:24" x14ac:dyDescent="0.2">
      <c r="K153" s="744">
        <v>120</v>
      </c>
      <c r="L153" s="744">
        <v>120</v>
      </c>
      <c r="M153" s="744">
        <v>120</v>
      </c>
      <c r="N153" s="744">
        <v>120</v>
      </c>
      <c r="O153" s="744">
        <v>120</v>
      </c>
      <c r="P153" s="744">
        <v>120</v>
      </c>
      <c r="Q153" s="744">
        <v>120</v>
      </c>
      <c r="R153" s="744">
        <v>120</v>
      </c>
      <c r="S153" s="744">
        <v>120</v>
      </c>
      <c r="T153" s="744">
        <v>120</v>
      </c>
      <c r="U153" s="744">
        <v>120</v>
      </c>
      <c r="V153" s="744">
        <v>120</v>
      </c>
      <c r="W153" s="744">
        <f t="shared" si="37"/>
        <v>1440</v>
      </c>
    </row>
    <row r="154" spans="11:24" x14ac:dyDescent="0.2">
      <c r="K154" s="744">
        <v>100</v>
      </c>
      <c r="L154" s="744">
        <v>100</v>
      </c>
      <c r="M154" s="744">
        <v>100</v>
      </c>
      <c r="N154" s="744">
        <v>100</v>
      </c>
      <c r="O154" s="744">
        <v>100</v>
      </c>
      <c r="P154" s="744">
        <v>100</v>
      </c>
      <c r="Q154" s="744">
        <v>100</v>
      </c>
      <c r="R154" s="744">
        <v>100</v>
      </c>
      <c r="S154" s="744">
        <v>100</v>
      </c>
      <c r="T154" s="744">
        <v>100</v>
      </c>
      <c r="U154" s="744">
        <v>100</v>
      </c>
      <c r="V154" s="744">
        <v>100</v>
      </c>
      <c r="W154" s="744">
        <f t="shared" si="37"/>
        <v>1200</v>
      </c>
    </row>
    <row r="155" spans="11:24" x14ac:dyDescent="0.2">
      <c r="K155" s="744">
        <v>50</v>
      </c>
      <c r="L155" s="744">
        <v>50</v>
      </c>
      <c r="M155" s="744">
        <v>50</v>
      </c>
      <c r="N155" s="744">
        <v>50</v>
      </c>
      <c r="O155" s="744">
        <v>50</v>
      </c>
      <c r="P155" s="744">
        <v>50</v>
      </c>
      <c r="Q155" s="744">
        <v>50</v>
      </c>
      <c r="R155" s="744">
        <v>50</v>
      </c>
      <c r="S155" s="744">
        <v>50</v>
      </c>
      <c r="T155" s="744">
        <v>50</v>
      </c>
      <c r="U155" s="744">
        <v>50</v>
      </c>
      <c r="V155" s="744">
        <v>50</v>
      </c>
      <c r="W155" s="744">
        <f t="shared" si="37"/>
        <v>600</v>
      </c>
    </row>
    <row r="156" spans="11:24" x14ac:dyDescent="0.2">
      <c r="K156" s="744">
        <v>50</v>
      </c>
      <c r="L156" s="744">
        <v>50</v>
      </c>
      <c r="M156" s="744">
        <v>50</v>
      </c>
      <c r="N156" s="744">
        <v>50</v>
      </c>
      <c r="O156" s="744">
        <v>50</v>
      </c>
      <c r="P156" s="744">
        <v>50</v>
      </c>
      <c r="Q156" s="744">
        <v>50</v>
      </c>
      <c r="R156" s="744">
        <v>50</v>
      </c>
      <c r="S156" s="744">
        <v>50</v>
      </c>
      <c r="T156" s="744">
        <v>50</v>
      </c>
      <c r="U156" s="744">
        <v>50</v>
      </c>
      <c r="V156" s="744">
        <v>50</v>
      </c>
      <c r="W156" s="744">
        <f t="shared" si="37"/>
        <v>600</v>
      </c>
    </row>
    <row r="157" spans="11:24" x14ac:dyDescent="0.2">
      <c r="K157" s="744">
        <v>50</v>
      </c>
      <c r="L157" s="744">
        <v>50</v>
      </c>
      <c r="M157" s="744">
        <v>50</v>
      </c>
      <c r="N157" s="744">
        <v>50</v>
      </c>
      <c r="O157" s="744">
        <v>50</v>
      </c>
      <c r="P157" s="744">
        <v>50</v>
      </c>
      <c r="Q157" s="744">
        <v>50</v>
      </c>
      <c r="R157" s="744">
        <v>50</v>
      </c>
      <c r="S157" s="744">
        <v>50</v>
      </c>
      <c r="T157" s="744">
        <v>50</v>
      </c>
      <c r="U157" s="744">
        <v>50</v>
      </c>
      <c r="V157" s="744">
        <v>50</v>
      </c>
      <c r="W157" s="744">
        <f t="shared" si="37"/>
        <v>600</v>
      </c>
    </row>
    <row r="158" spans="11:24" x14ac:dyDescent="0.2">
      <c r="K158" s="744">
        <v>50</v>
      </c>
      <c r="L158" s="744">
        <v>50</v>
      </c>
      <c r="M158" s="744">
        <v>50</v>
      </c>
      <c r="N158" s="744">
        <v>50</v>
      </c>
      <c r="O158" s="744">
        <v>50</v>
      </c>
      <c r="P158" s="744">
        <v>50</v>
      </c>
      <c r="Q158" s="744">
        <v>50</v>
      </c>
      <c r="R158" s="744">
        <v>50</v>
      </c>
      <c r="S158" s="744">
        <v>50</v>
      </c>
      <c r="T158" s="744">
        <v>50</v>
      </c>
      <c r="U158" s="744">
        <v>50</v>
      </c>
      <c r="V158" s="744">
        <v>50</v>
      </c>
      <c r="W158" s="744">
        <f t="shared" si="37"/>
        <v>600</v>
      </c>
    </row>
    <row r="159" spans="11:24" x14ac:dyDescent="0.2">
      <c r="K159" s="744">
        <v>25</v>
      </c>
      <c r="L159" s="744">
        <v>25</v>
      </c>
      <c r="M159" s="744">
        <v>25</v>
      </c>
      <c r="N159" s="744">
        <v>25</v>
      </c>
      <c r="O159" s="744">
        <v>25</v>
      </c>
      <c r="P159" s="744">
        <v>25</v>
      </c>
      <c r="Q159" s="744">
        <v>25</v>
      </c>
      <c r="R159" s="744">
        <v>25</v>
      </c>
      <c r="S159" s="744">
        <v>25</v>
      </c>
      <c r="T159" s="744">
        <v>25</v>
      </c>
      <c r="U159" s="744">
        <v>25</v>
      </c>
      <c r="V159" s="744">
        <v>25</v>
      </c>
      <c r="W159" s="744">
        <f t="shared" si="37"/>
        <v>300</v>
      </c>
    </row>
    <row r="160" spans="11:24" x14ac:dyDescent="0.2">
      <c r="K160" s="744">
        <v>100</v>
      </c>
      <c r="L160" s="744">
        <v>100</v>
      </c>
      <c r="M160" s="744">
        <v>100</v>
      </c>
      <c r="N160" s="744">
        <v>100</v>
      </c>
      <c r="O160" s="744">
        <v>100</v>
      </c>
      <c r="P160" s="744">
        <v>100</v>
      </c>
      <c r="Q160" s="744">
        <v>100</v>
      </c>
      <c r="R160" s="744">
        <v>100</v>
      </c>
      <c r="S160" s="744">
        <v>100</v>
      </c>
      <c r="T160" s="744">
        <v>100</v>
      </c>
      <c r="U160" s="744">
        <v>100</v>
      </c>
      <c r="V160" s="744">
        <v>100</v>
      </c>
      <c r="W160" s="744">
        <f t="shared" si="37"/>
        <v>1200</v>
      </c>
    </row>
    <row r="161" spans="6:27" x14ac:dyDescent="0.2">
      <c r="K161" s="744">
        <v>2232.4166666666665</v>
      </c>
      <c r="L161" s="744">
        <v>2232.4166666666665</v>
      </c>
      <c r="M161" s="744">
        <v>2232.4166666666665</v>
      </c>
      <c r="N161" s="744">
        <v>2232.4166666666665</v>
      </c>
      <c r="O161" s="744">
        <v>2232.4166666666665</v>
      </c>
      <c r="P161" s="744">
        <v>2232.4166666666665</v>
      </c>
      <c r="Q161" s="744">
        <v>2232.4166666666665</v>
      </c>
      <c r="R161" s="744">
        <v>2232.4166666666665</v>
      </c>
      <c r="S161" s="744">
        <v>2232.4166666666665</v>
      </c>
      <c r="T161" s="744">
        <v>2232.4166666666665</v>
      </c>
      <c r="U161" s="744">
        <v>2232.4166666666665</v>
      </c>
      <c r="V161" s="744">
        <v>2232.4166666666665</v>
      </c>
      <c r="W161" s="744">
        <f t="shared" si="37"/>
        <v>26789.000000000004</v>
      </c>
    </row>
    <row r="162" spans="6:27" x14ac:dyDescent="0.2">
      <c r="K162" s="744">
        <v>6995.3356250000006</v>
      </c>
      <c r="L162" s="744">
        <v>6995.3356250000006</v>
      </c>
      <c r="M162" s="744">
        <v>6995.3356250000006</v>
      </c>
      <c r="N162" s="744">
        <v>6995.3356250000006</v>
      </c>
      <c r="O162" s="744">
        <v>6995.3356250000006</v>
      </c>
      <c r="P162" s="744">
        <v>6995.3356250000006</v>
      </c>
      <c r="Q162" s="744">
        <v>6995.3356250000006</v>
      </c>
      <c r="R162" s="744">
        <v>6995.3356250000006</v>
      </c>
      <c r="S162" s="744">
        <v>6995.3356250000006</v>
      </c>
      <c r="T162" s="744">
        <v>6995.3356250000006</v>
      </c>
      <c r="U162" s="744">
        <v>6995.3356250000006</v>
      </c>
      <c r="V162" s="744">
        <v>6995.3356250000006</v>
      </c>
      <c r="W162" s="744">
        <f t="shared" si="37"/>
        <v>83944.027500000026</v>
      </c>
    </row>
    <row r="163" spans="6:27" x14ac:dyDescent="0.2">
      <c r="K163" s="744">
        <v>1049.3003437500001</v>
      </c>
      <c r="L163" s="744">
        <v>1049.3003437500001</v>
      </c>
      <c r="M163" s="744">
        <v>1049.3003437500001</v>
      </c>
      <c r="N163" s="744">
        <v>1049.3003437500001</v>
      </c>
      <c r="O163" s="744">
        <v>1049.3003437500001</v>
      </c>
      <c r="P163" s="744">
        <v>1049.3003437500001</v>
      </c>
      <c r="Q163" s="744">
        <v>1049.3003437500001</v>
      </c>
      <c r="R163" s="744">
        <v>1049.3003437500001</v>
      </c>
      <c r="S163" s="744">
        <v>1049.3003437500001</v>
      </c>
      <c r="T163" s="744">
        <v>1049.3003437500001</v>
      </c>
      <c r="U163" s="744">
        <v>1049.3003437500001</v>
      </c>
      <c r="V163" s="744">
        <v>1049.3003437500001</v>
      </c>
      <c r="W163" s="744">
        <f t="shared" si="37"/>
        <v>12591.604125000005</v>
      </c>
    </row>
    <row r="164" spans="6:27" x14ac:dyDescent="0.2">
      <c r="K164" s="744">
        <v>699.53356250000013</v>
      </c>
      <c r="L164" s="744">
        <v>699.53356250000013</v>
      </c>
      <c r="M164" s="744">
        <v>699.53356250000013</v>
      </c>
      <c r="N164" s="744">
        <v>699.53356250000013</v>
      </c>
      <c r="O164" s="744">
        <v>699.53356250000013</v>
      </c>
      <c r="P164" s="744">
        <v>699.53356250000013</v>
      </c>
      <c r="Q164" s="744">
        <v>699.53356250000013</v>
      </c>
      <c r="R164" s="744">
        <v>699.53356250000013</v>
      </c>
      <c r="S164" s="744">
        <v>699.53356250000013</v>
      </c>
      <c r="T164" s="744">
        <v>699.53356250000013</v>
      </c>
      <c r="U164" s="744">
        <v>699.53356250000013</v>
      </c>
      <c r="V164" s="744">
        <v>699.53356250000013</v>
      </c>
      <c r="W164" s="744">
        <f t="shared" si="37"/>
        <v>8394.4027499999993</v>
      </c>
    </row>
    <row r="165" spans="6:27" x14ac:dyDescent="0.2">
      <c r="K165" s="744">
        <v>139.9067125</v>
      </c>
      <c r="L165" s="744">
        <v>139.9067125</v>
      </c>
      <c r="M165" s="744">
        <v>139.9067125</v>
      </c>
      <c r="N165" s="744">
        <v>139.9067125</v>
      </c>
      <c r="O165" s="744">
        <v>139.9067125</v>
      </c>
      <c r="P165" s="744">
        <v>139.9067125</v>
      </c>
      <c r="Q165" s="744">
        <v>139.9067125</v>
      </c>
      <c r="R165" s="744">
        <v>139.9067125</v>
      </c>
      <c r="S165" s="744">
        <v>139.9067125</v>
      </c>
      <c r="T165" s="744">
        <v>139.9067125</v>
      </c>
      <c r="U165" s="744">
        <v>139.9067125</v>
      </c>
      <c r="V165" s="744">
        <v>139.9067125</v>
      </c>
      <c r="W165" s="744">
        <f t="shared" si="37"/>
        <v>1678.8805499999996</v>
      </c>
    </row>
    <row r="166" spans="6:27" x14ac:dyDescent="0.2">
      <c r="K166" s="744">
        <v>3583.2113333333332</v>
      </c>
      <c r="L166" s="744">
        <v>3583.2113333333332</v>
      </c>
      <c r="M166" s="744">
        <v>3583.2113333333332</v>
      </c>
      <c r="N166" s="744">
        <v>3583.2113333333332</v>
      </c>
      <c r="O166" s="744">
        <v>3583.2113333333332</v>
      </c>
      <c r="P166" s="744">
        <v>3583.2113333333332</v>
      </c>
      <c r="Q166" s="744">
        <v>3583.2113333333332</v>
      </c>
      <c r="R166" s="744">
        <v>3583.2113333333332</v>
      </c>
      <c r="S166" s="744">
        <v>3583.2113333333332</v>
      </c>
      <c r="T166" s="744">
        <v>3583.2113333333332</v>
      </c>
      <c r="U166" s="744">
        <v>3583.2113333333332</v>
      </c>
      <c r="V166" s="744">
        <v>3583.2113333333332</v>
      </c>
      <c r="W166" s="744">
        <f t="shared" si="37"/>
        <v>42998.536</v>
      </c>
    </row>
    <row r="167" spans="6:27" x14ac:dyDescent="0.2">
      <c r="K167" s="744">
        <v>37.075278812500009</v>
      </c>
      <c r="L167" s="744">
        <v>37.075278812500009</v>
      </c>
      <c r="M167" s="744">
        <v>37.075278812500009</v>
      </c>
      <c r="N167" s="744">
        <v>37.075278812500009</v>
      </c>
      <c r="O167" s="744">
        <v>37.075278812500009</v>
      </c>
      <c r="P167" s="744">
        <v>37.075278812500009</v>
      </c>
      <c r="Q167" s="744">
        <v>37.075278812500009</v>
      </c>
      <c r="R167" s="744">
        <v>37.075278812500009</v>
      </c>
      <c r="S167" s="744">
        <v>37.075278812500009</v>
      </c>
      <c r="T167" s="744">
        <v>37.075278812500009</v>
      </c>
      <c r="U167" s="744">
        <v>37.075278812500009</v>
      </c>
      <c r="V167" s="744">
        <v>37.075278812500009</v>
      </c>
      <c r="W167" s="744">
        <f t="shared" si="37"/>
        <v>444.90334575000014</v>
      </c>
    </row>
    <row r="168" spans="6:27" x14ac:dyDescent="0.2">
      <c r="K168" s="744">
        <v>125.91604124999999</v>
      </c>
      <c r="L168" s="744">
        <v>125.91604124999999</v>
      </c>
      <c r="M168" s="744">
        <v>125.91604124999999</v>
      </c>
      <c r="N168" s="744">
        <v>125.91604124999999</v>
      </c>
      <c r="O168" s="744">
        <v>125.91604124999999</v>
      </c>
      <c r="P168" s="744">
        <v>125.91604124999999</v>
      </c>
      <c r="Q168" s="744">
        <v>125.91604124999999</v>
      </c>
      <c r="R168" s="744">
        <v>125.91604124999999</v>
      </c>
      <c r="S168" s="744">
        <v>125.91604124999999</v>
      </c>
      <c r="T168" s="744">
        <v>125.91604124999999</v>
      </c>
      <c r="U168" s="744">
        <v>125.91604124999999</v>
      </c>
      <c r="V168" s="744">
        <v>125.91604124999999</v>
      </c>
      <c r="W168" s="744">
        <f t="shared" si="37"/>
        <v>1510.9924950000002</v>
      </c>
    </row>
    <row r="169" spans="6:27" x14ac:dyDescent="0.2">
      <c r="K169" s="744">
        <v>34.976678125000007</v>
      </c>
      <c r="L169" s="744">
        <v>34.976678125000007</v>
      </c>
      <c r="M169" s="744">
        <v>34.976678125000007</v>
      </c>
      <c r="N169" s="744">
        <v>34.976678125000007</v>
      </c>
      <c r="O169" s="744">
        <v>34.976678125000007</v>
      </c>
      <c r="P169" s="744">
        <v>34.976678125000007</v>
      </c>
      <c r="Q169" s="744">
        <v>34.976678125000007</v>
      </c>
      <c r="R169" s="744">
        <v>34.976678125000007</v>
      </c>
      <c r="S169" s="744">
        <v>34.976678125000007</v>
      </c>
      <c r="T169" s="744">
        <v>34.976678125000007</v>
      </c>
      <c r="U169" s="744">
        <v>34.976678125000007</v>
      </c>
      <c r="V169" s="744">
        <v>34.976678125000007</v>
      </c>
      <c r="W169" s="744">
        <f t="shared" si="37"/>
        <v>419.72013750000019</v>
      </c>
    </row>
    <row r="170" spans="6:27" x14ac:dyDescent="0.2">
      <c r="K170" s="744">
        <v>41.972013750000002</v>
      </c>
      <c r="L170" s="744">
        <v>41.972013750000002</v>
      </c>
      <c r="M170" s="744">
        <v>41.972013750000002</v>
      </c>
      <c r="N170" s="744">
        <v>41.972013750000002</v>
      </c>
      <c r="O170" s="744">
        <v>41.972013750000002</v>
      </c>
      <c r="P170" s="744">
        <v>41.972013750000002</v>
      </c>
      <c r="Q170" s="744">
        <v>41.972013750000002</v>
      </c>
      <c r="R170" s="744">
        <v>41.972013750000002</v>
      </c>
      <c r="S170" s="744">
        <v>41.972013750000002</v>
      </c>
      <c r="T170" s="744">
        <v>41.972013750000002</v>
      </c>
      <c r="U170" s="744">
        <v>41.972013750000002</v>
      </c>
      <c r="V170" s="744">
        <v>41.972013750000002</v>
      </c>
      <c r="W170" s="744">
        <f t="shared" si="37"/>
        <v>503.66416499999991</v>
      </c>
    </row>
    <row r="171" spans="6:27" x14ac:dyDescent="0.2">
      <c r="J171" s="187" t="s">
        <v>1845</v>
      </c>
      <c r="K171" s="744">
        <f>SUM(K148:K170)</f>
        <v>18824.644255687501</v>
      </c>
      <c r="L171" s="744">
        <f t="shared" ref="L171:V171" si="38">SUM(L148:L170)</f>
        <v>18824.644255687501</v>
      </c>
      <c r="M171" s="744">
        <f t="shared" si="38"/>
        <v>18824.644255687501</v>
      </c>
      <c r="N171" s="744">
        <f t="shared" si="38"/>
        <v>18824.644255687501</v>
      </c>
      <c r="O171" s="744">
        <f t="shared" si="38"/>
        <v>18824.644255687501</v>
      </c>
      <c r="P171" s="744">
        <f t="shared" si="38"/>
        <v>18824.644255687501</v>
      </c>
      <c r="Q171" s="744">
        <f t="shared" si="38"/>
        <v>18824.644255687501</v>
      </c>
      <c r="R171" s="744">
        <f t="shared" si="38"/>
        <v>18824.644255687501</v>
      </c>
      <c r="S171" s="744">
        <f t="shared" si="38"/>
        <v>18824.644255687501</v>
      </c>
      <c r="T171" s="744">
        <f t="shared" si="38"/>
        <v>18824.644255687501</v>
      </c>
      <c r="U171" s="744">
        <f t="shared" si="38"/>
        <v>18824.644255687501</v>
      </c>
      <c r="V171" s="744">
        <f t="shared" si="38"/>
        <v>18824.644255687501</v>
      </c>
      <c r="W171" s="744"/>
      <c r="X171" s="745"/>
      <c r="Y171" s="739"/>
      <c r="Z171" s="738"/>
      <c r="AA171" s="739">
        <f>SUM(Y171:Z171)</f>
        <v>0</v>
      </c>
    </row>
    <row r="172" spans="6:27" x14ac:dyDescent="0.2">
      <c r="K172" s="744"/>
      <c r="L172" s="744"/>
      <c r="M172" s="744"/>
      <c r="N172" s="744"/>
      <c r="O172" s="744"/>
      <c r="P172" s="744"/>
      <c r="Q172" s="744"/>
      <c r="R172" s="744"/>
      <c r="S172" s="744"/>
      <c r="T172" s="744"/>
      <c r="U172" s="744"/>
      <c r="V172" s="744"/>
      <c r="W172" s="744"/>
      <c r="X172" s="745"/>
      <c r="Y172" s="739"/>
      <c r="Z172" s="738"/>
      <c r="AA172" s="739"/>
    </row>
    <row r="173" spans="6:27" x14ac:dyDescent="0.2">
      <c r="F173" s="747"/>
      <c r="K173" s="748" t="s">
        <v>1869</v>
      </c>
      <c r="L173" s="748" t="s">
        <v>1854</v>
      </c>
      <c r="M173" s="748" t="s">
        <v>1855</v>
      </c>
      <c r="N173" s="748" t="s">
        <v>1856</v>
      </c>
      <c r="O173" s="748" t="s">
        <v>1857</v>
      </c>
      <c r="P173" s="748" t="s">
        <v>1858</v>
      </c>
      <c r="Q173" s="748" t="s">
        <v>1859</v>
      </c>
      <c r="R173" s="748" t="s">
        <v>1860</v>
      </c>
      <c r="S173" s="748" t="s">
        <v>1861</v>
      </c>
      <c r="T173" s="748" t="s">
        <v>1862</v>
      </c>
      <c r="U173" s="748" t="s">
        <v>1863</v>
      </c>
      <c r="V173" s="748" t="s">
        <v>1864</v>
      </c>
      <c r="W173" s="748" t="s">
        <v>1865</v>
      </c>
      <c r="X173" s="748" t="s">
        <v>1866</v>
      </c>
      <c r="Y173" s="739"/>
      <c r="Z173" s="738"/>
      <c r="AA173" s="739"/>
    </row>
    <row r="174" spans="6:27" x14ac:dyDescent="0.2">
      <c r="F174" s="747"/>
      <c r="K174" s="748"/>
      <c r="L174" s="748"/>
      <c r="M174" s="748"/>
      <c r="N174" s="748"/>
      <c r="O174" s="748"/>
      <c r="P174" s="748"/>
      <c r="Q174" s="748"/>
      <c r="R174" s="748"/>
      <c r="S174" s="748"/>
      <c r="T174" s="748"/>
      <c r="U174" s="748"/>
      <c r="V174" s="748"/>
      <c r="W174" s="748"/>
      <c r="X174" s="748"/>
      <c r="Y174" s="739"/>
      <c r="Z174" s="738"/>
      <c r="AA174" s="739"/>
    </row>
    <row r="175" spans="6:27" x14ac:dyDescent="0.2">
      <c r="F175" s="748" t="s">
        <v>1847</v>
      </c>
      <c r="J175" s="187" t="s">
        <v>1845</v>
      </c>
      <c r="K175" s="744"/>
      <c r="L175" s="744"/>
      <c r="M175" s="744">
        <v>18824.644255687501</v>
      </c>
      <c r="N175" s="744">
        <v>18824.644255687501</v>
      </c>
      <c r="O175" s="744">
        <v>18824.644255687501</v>
      </c>
      <c r="P175" s="744">
        <v>18824.644255687501</v>
      </c>
      <c r="Q175" s="744">
        <v>18824.644255687501</v>
      </c>
      <c r="R175" s="744">
        <v>18824.644255687501</v>
      </c>
      <c r="S175" s="744">
        <v>18824.644255687501</v>
      </c>
      <c r="T175" s="744">
        <v>18824.644255687501</v>
      </c>
      <c r="U175" s="744">
        <v>18824.644255687501</v>
      </c>
      <c r="V175" s="744">
        <v>18824.644255687501</v>
      </c>
      <c r="W175" s="744">
        <v>18824.644255687501</v>
      </c>
      <c r="X175" s="744">
        <v>18824.644255687501</v>
      </c>
      <c r="Y175" s="739"/>
      <c r="AA175" s="739">
        <f t="shared" ref="AA175:AA178" si="39">SUM(Y175:Z175)</f>
        <v>0</v>
      </c>
    </row>
    <row r="176" spans="6:27" x14ac:dyDescent="0.2">
      <c r="F176" s="748" t="s">
        <v>1848</v>
      </c>
      <c r="J176" s="187" t="s">
        <v>1845</v>
      </c>
      <c r="K176" s="744">
        <v>42998.54</v>
      </c>
      <c r="L176" s="744"/>
      <c r="M176" s="744"/>
      <c r="N176" s="744"/>
      <c r="O176" s="744"/>
      <c r="P176" s="744"/>
      <c r="Q176" s="744"/>
      <c r="R176" s="744"/>
      <c r="S176" s="744"/>
      <c r="T176" s="744"/>
      <c r="U176" s="744"/>
      <c r="V176" s="744"/>
      <c r="W176" s="744"/>
      <c r="X176" s="745"/>
      <c r="Y176" s="739"/>
      <c r="AA176" s="739">
        <f t="shared" si="39"/>
        <v>0</v>
      </c>
    </row>
    <row r="177" spans="6:27" x14ac:dyDescent="0.2">
      <c r="F177" s="748" t="s">
        <v>1850</v>
      </c>
      <c r="J177" s="187" t="s">
        <v>1849</v>
      </c>
      <c r="K177" s="744">
        <v>5740.5</v>
      </c>
      <c r="L177" s="744">
        <v>5740.5</v>
      </c>
      <c r="M177" s="744">
        <v>5740.5</v>
      </c>
      <c r="N177" s="744">
        <v>5740.5</v>
      </c>
      <c r="O177" s="744">
        <v>5740.5</v>
      </c>
      <c r="P177" s="744">
        <v>5740.5</v>
      </c>
      <c r="Q177" s="744">
        <v>5740.5</v>
      </c>
      <c r="R177" s="744">
        <v>5740.5</v>
      </c>
      <c r="S177" s="744">
        <v>5740.5</v>
      </c>
      <c r="T177" s="744">
        <v>5740.5</v>
      </c>
      <c r="U177" s="744">
        <v>5740.5</v>
      </c>
      <c r="V177" s="744">
        <v>5740.5</v>
      </c>
      <c r="W177" s="744">
        <v>5740.5</v>
      </c>
      <c r="X177" s="745">
        <v>5740.5</v>
      </c>
      <c r="Y177" s="739"/>
      <c r="AA177" s="739">
        <f t="shared" si="39"/>
        <v>0</v>
      </c>
    </row>
    <row r="178" spans="6:27" x14ac:dyDescent="0.2">
      <c r="F178" s="748" t="s">
        <v>1623</v>
      </c>
      <c r="J178" s="187" t="s">
        <v>1845</v>
      </c>
      <c r="L178" s="740">
        <v>12340.733333333335</v>
      </c>
      <c r="M178" s="740">
        <v>12340.733333333335</v>
      </c>
      <c r="N178" s="304">
        <v>12340.733333333335</v>
      </c>
      <c r="Y178" s="739"/>
      <c r="Z178" s="738"/>
      <c r="AA178" s="739">
        <f t="shared" si="39"/>
        <v>0</v>
      </c>
    </row>
    <row r="179" spans="6:27" x14ac:dyDescent="0.2">
      <c r="F179" s="1300" t="s">
        <v>1851</v>
      </c>
      <c r="J179" s="187" t="s">
        <v>1852</v>
      </c>
      <c r="K179" s="746">
        <f>SUM(K175:K178)</f>
        <v>48739.040000000001</v>
      </c>
      <c r="L179" s="746">
        <f t="shared" ref="L179:X179" si="40">SUM(L175:L178)</f>
        <v>18081.233333333337</v>
      </c>
      <c r="M179" s="746">
        <f t="shared" si="40"/>
        <v>36905.877589020834</v>
      </c>
      <c r="N179" s="746">
        <f>SUM(N175:N178)</f>
        <v>36905.877589020834</v>
      </c>
      <c r="O179" s="746">
        <f t="shared" si="40"/>
        <v>24565.144255687501</v>
      </c>
      <c r="P179" s="746">
        <f t="shared" si="40"/>
        <v>24565.144255687501</v>
      </c>
      <c r="Q179" s="746">
        <f t="shared" si="40"/>
        <v>24565.144255687501</v>
      </c>
      <c r="R179" s="746">
        <f t="shared" si="40"/>
        <v>24565.144255687501</v>
      </c>
      <c r="S179" s="746">
        <f t="shared" si="40"/>
        <v>24565.144255687501</v>
      </c>
      <c r="T179" s="746">
        <f t="shared" si="40"/>
        <v>24565.144255687501</v>
      </c>
      <c r="U179" s="746">
        <f t="shared" si="40"/>
        <v>24565.144255687501</v>
      </c>
      <c r="V179" s="746">
        <f t="shared" si="40"/>
        <v>24565.144255687501</v>
      </c>
      <c r="W179" s="746">
        <f t="shared" si="40"/>
        <v>24565.144255687501</v>
      </c>
      <c r="X179" s="746">
        <f t="shared" si="40"/>
        <v>24565.144255687501</v>
      </c>
    </row>
    <row r="180" spans="6:27" x14ac:dyDescent="0.2">
      <c r="F180" s="1300"/>
      <c r="J180" s="187" t="s">
        <v>1846</v>
      </c>
      <c r="K180" s="746">
        <f>+K179</f>
        <v>48739.040000000001</v>
      </c>
      <c r="L180" s="746">
        <f>+K180+L179</f>
        <v>66820.273333333345</v>
      </c>
      <c r="M180" s="746">
        <f t="shared" ref="M180:X180" si="41">+L180+M179</f>
        <v>103726.15092235418</v>
      </c>
      <c r="N180" s="746">
        <f t="shared" si="41"/>
        <v>140632.02851137501</v>
      </c>
      <c r="O180" s="746">
        <f t="shared" si="41"/>
        <v>165197.17276706253</v>
      </c>
      <c r="P180" s="746">
        <f t="shared" si="41"/>
        <v>189762.31702275004</v>
      </c>
      <c r="Q180" s="746">
        <f t="shared" si="41"/>
        <v>214327.46127843755</v>
      </c>
      <c r="R180" s="746">
        <f t="shared" si="41"/>
        <v>238892.60553412506</v>
      </c>
      <c r="S180" s="746">
        <f t="shared" si="41"/>
        <v>263457.74978981254</v>
      </c>
      <c r="T180" s="746">
        <f t="shared" si="41"/>
        <v>288022.89404550003</v>
      </c>
      <c r="U180" s="746">
        <f t="shared" si="41"/>
        <v>312588.03830118751</v>
      </c>
      <c r="V180" s="746">
        <f t="shared" si="41"/>
        <v>337153.18255687499</v>
      </c>
      <c r="W180" s="746">
        <f t="shared" si="41"/>
        <v>361718.32681256247</v>
      </c>
      <c r="X180" s="746">
        <f t="shared" si="41"/>
        <v>386283.47106824996</v>
      </c>
      <c r="Y180" s="739">
        <f>SUM(Y171:Y178)</f>
        <v>0</v>
      </c>
      <c r="AA180" s="739">
        <f>SUM(AA171:AA178)</f>
        <v>0</v>
      </c>
    </row>
  </sheetData>
  <mergeCells count="48">
    <mergeCell ref="D3:X3"/>
    <mergeCell ref="G107:H107"/>
    <mergeCell ref="J107:K107"/>
    <mergeCell ref="L107:M107"/>
    <mergeCell ref="N107:O107"/>
    <mergeCell ref="Q107:R107"/>
    <mergeCell ref="Q105:R105"/>
    <mergeCell ref="Q106:R106"/>
    <mergeCell ref="G103:H103"/>
    <mergeCell ref="J103:K103"/>
    <mergeCell ref="L103:M103"/>
    <mergeCell ref="N103:O103"/>
    <mergeCell ref="Q103:R103"/>
    <mergeCell ref="G104:H104"/>
    <mergeCell ref="J104:K104"/>
    <mergeCell ref="N105:O105"/>
    <mergeCell ref="L108:M108"/>
    <mergeCell ref="G105:H105"/>
    <mergeCell ref="J105:K105"/>
    <mergeCell ref="L105:M105"/>
    <mergeCell ref="F179:F180"/>
    <mergeCell ref="G106:H106"/>
    <mergeCell ref="J106:K106"/>
    <mergeCell ref="L106:M106"/>
    <mergeCell ref="N106:O106"/>
    <mergeCell ref="N104:O104"/>
    <mergeCell ref="Q104:R104"/>
    <mergeCell ref="G101:H101"/>
    <mergeCell ref="J101:K101"/>
    <mergeCell ref="L101:M101"/>
    <mergeCell ref="N101:O101"/>
    <mergeCell ref="Q101:R101"/>
    <mergeCell ref="G102:H102"/>
    <mergeCell ref="J102:K102"/>
    <mergeCell ref="L102:M102"/>
    <mergeCell ref="N102:O102"/>
    <mergeCell ref="Q102:R102"/>
    <mergeCell ref="L104:M104"/>
    <mergeCell ref="E4:V4"/>
    <mergeCell ref="E8:F8"/>
    <mergeCell ref="J21:S21"/>
    <mergeCell ref="G99:H99"/>
    <mergeCell ref="G100:H100"/>
    <mergeCell ref="J100:K100"/>
    <mergeCell ref="L100:M100"/>
    <mergeCell ref="N100:O100"/>
    <mergeCell ref="Q100:R100"/>
    <mergeCell ref="D21:I22"/>
  </mergeCells>
  <phoneticPr fontId="16" type="noConversion"/>
  <printOptions horizontalCentered="1" verticalCentered="1"/>
  <pageMargins left="0.59055118110236227" right="0.19685039370078741" top="0" bottom="0" header="0.31496062992125984" footer="0.31496062992125984"/>
  <pageSetup paperSize="8" scale="6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A1:J57"/>
  <sheetViews>
    <sheetView showGridLines="0" zoomScale="90" zoomScaleNormal="90" workbookViewId="0">
      <selection sqref="A1:I57"/>
    </sheetView>
  </sheetViews>
  <sheetFormatPr baseColWidth="10" defaultRowHeight="15.75" x14ac:dyDescent="0.25"/>
  <cols>
    <col min="1" max="1" width="19.5703125" style="2" customWidth="1"/>
    <col min="2" max="2" width="25.5703125" style="2" customWidth="1"/>
    <col min="3" max="3" width="24.7109375" style="2" customWidth="1"/>
    <col min="4" max="4" width="10.85546875" style="2" customWidth="1"/>
    <col min="5" max="5" width="11.42578125" style="2" customWidth="1"/>
    <col min="6" max="6" width="9.7109375" style="2" customWidth="1"/>
    <col min="7" max="7" width="11" style="2" customWidth="1"/>
    <col min="8" max="8" width="11.42578125" style="2"/>
    <col min="9" max="9" width="31.140625" style="2" customWidth="1"/>
    <col min="10" max="16384" width="11.42578125" style="2"/>
  </cols>
  <sheetData>
    <row r="1" spans="1:10" ht="71.25" customHeight="1" x14ac:dyDescent="0.25">
      <c r="A1" s="1011"/>
      <c r="B1" s="1012"/>
      <c r="C1" s="1013"/>
      <c r="D1" s="1014"/>
      <c r="E1" s="1014"/>
      <c r="F1" s="1014"/>
      <c r="G1" s="1014"/>
      <c r="H1" s="1014"/>
      <c r="I1" s="1015"/>
    </row>
    <row r="2" spans="1:10" ht="30.75" customHeight="1" x14ac:dyDescent="0.25">
      <c r="A2" s="1016" t="s">
        <v>228</v>
      </c>
      <c r="B2" s="1017"/>
      <c r="C2" s="1017"/>
      <c r="D2" s="1017"/>
      <c r="E2" s="1017"/>
      <c r="F2" s="1017"/>
      <c r="G2" s="1017"/>
      <c r="H2" s="1017"/>
      <c r="I2" s="1018"/>
    </row>
    <row r="3" spans="1:10" x14ac:dyDescent="0.25">
      <c r="A3" s="988" t="s">
        <v>127</v>
      </c>
      <c r="B3" s="989"/>
      <c r="C3" s="989"/>
      <c r="D3" s="989"/>
      <c r="E3" s="989"/>
      <c r="F3" s="989"/>
      <c r="G3" s="989"/>
      <c r="H3" s="989"/>
      <c r="I3" s="990"/>
    </row>
    <row r="4" spans="1:10" x14ac:dyDescent="0.25">
      <c r="A4" s="988" t="s">
        <v>128</v>
      </c>
      <c r="B4" s="989"/>
      <c r="C4" s="989"/>
      <c r="D4" s="989"/>
      <c r="E4" s="989"/>
      <c r="F4" s="989"/>
      <c r="G4" s="989"/>
      <c r="H4" s="989"/>
      <c r="I4" s="990"/>
    </row>
    <row r="5" spans="1:10" x14ac:dyDescent="0.25">
      <c r="A5" s="1008" t="s">
        <v>2</v>
      </c>
      <c r="B5" s="1009"/>
      <c r="C5" s="995" t="s">
        <v>13</v>
      </c>
      <c r="D5" s="995"/>
      <c r="E5" s="995"/>
      <c r="F5" s="995"/>
      <c r="G5" s="995"/>
      <c r="H5" s="995"/>
      <c r="I5" s="1006"/>
    </row>
    <row r="6" spans="1:10" x14ac:dyDescent="0.25">
      <c r="A6" s="1008" t="s">
        <v>229</v>
      </c>
      <c r="B6" s="1009"/>
      <c r="C6" s="995" t="s">
        <v>280</v>
      </c>
      <c r="D6" s="995"/>
      <c r="E6" s="995"/>
      <c r="F6" s="995"/>
      <c r="G6" s="995"/>
      <c r="H6" s="995"/>
      <c r="I6" s="1006"/>
    </row>
    <row r="7" spans="1:10" x14ac:dyDescent="0.25">
      <c r="A7" s="1008" t="s">
        <v>129</v>
      </c>
      <c r="B7" s="1009"/>
      <c r="C7" s="1007">
        <v>43625</v>
      </c>
      <c r="D7" s="1007"/>
      <c r="E7" s="1009" t="s">
        <v>130</v>
      </c>
      <c r="F7" s="1009"/>
      <c r="G7" s="1009"/>
      <c r="H7" s="1007">
        <v>43625</v>
      </c>
      <c r="I7" s="1020"/>
    </row>
    <row r="8" spans="1:10" ht="60.75" customHeight="1" x14ac:dyDescent="0.25">
      <c r="A8" s="404" t="s">
        <v>131</v>
      </c>
      <c r="B8" s="810" t="s">
        <v>134</v>
      </c>
      <c r="C8" s="836" t="s">
        <v>132</v>
      </c>
      <c r="D8" s="1019" t="s">
        <v>15</v>
      </c>
      <c r="E8" s="1019"/>
      <c r="F8" s="1009" t="s">
        <v>133</v>
      </c>
      <c r="G8" s="1009"/>
      <c r="H8" s="1019" t="s">
        <v>16</v>
      </c>
      <c r="I8" s="1021"/>
    </row>
    <row r="9" spans="1:10" x14ac:dyDescent="0.25">
      <c r="A9" s="988" t="s">
        <v>9</v>
      </c>
      <c r="B9" s="989"/>
      <c r="C9" s="989"/>
      <c r="D9" s="989"/>
      <c r="E9" s="989"/>
      <c r="F9" s="989"/>
      <c r="G9" s="989"/>
      <c r="H9" s="989"/>
      <c r="I9" s="990"/>
    </row>
    <row r="10" spans="1:10" x14ac:dyDescent="0.25">
      <c r="A10" s="997" t="s">
        <v>135</v>
      </c>
      <c r="B10" s="995"/>
      <c r="C10" s="995"/>
      <c r="D10" s="995" t="s">
        <v>10</v>
      </c>
      <c r="E10" s="995"/>
      <c r="F10" s="995"/>
      <c r="G10" s="995" t="s">
        <v>136</v>
      </c>
      <c r="H10" s="995"/>
      <c r="I10" s="1006"/>
    </row>
    <row r="11" spans="1:10" x14ac:dyDescent="0.25">
      <c r="A11" s="998" t="s">
        <v>496</v>
      </c>
      <c r="B11" s="995"/>
      <c r="C11" s="995"/>
      <c r="D11" s="996" t="s">
        <v>13</v>
      </c>
      <c r="E11" s="996"/>
      <c r="F11" s="996"/>
      <c r="G11" s="1007">
        <v>43609</v>
      </c>
      <c r="H11" s="1007"/>
      <c r="I11" s="1010"/>
    </row>
    <row r="12" spans="1:10" x14ac:dyDescent="0.25">
      <c r="A12" s="988" t="s">
        <v>137</v>
      </c>
      <c r="B12" s="989"/>
      <c r="C12" s="989"/>
      <c r="D12" s="989"/>
      <c r="E12" s="989"/>
      <c r="F12" s="989"/>
      <c r="G12" s="989"/>
      <c r="H12" s="989"/>
      <c r="I12" s="990"/>
      <c r="J12" s="4"/>
    </row>
    <row r="13" spans="1:10" ht="15.75" customHeight="1" x14ac:dyDescent="0.25">
      <c r="A13" s="999" t="s">
        <v>18</v>
      </c>
      <c r="B13" s="1000"/>
      <c r="C13" s="1004" t="s">
        <v>25</v>
      </c>
      <c r="D13" s="1004"/>
      <c r="E13" s="1004"/>
      <c r="F13" s="1004"/>
      <c r="G13" s="1004"/>
      <c r="H13" s="1004"/>
      <c r="I13" s="1005"/>
      <c r="J13" s="4"/>
    </row>
    <row r="14" spans="1:10" ht="15" customHeight="1" x14ac:dyDescent="0.25">
      <c r="A14" s="999" t="s">
        <v>19</v>
      </c>
      <c r="B14" s="1000"/>
      <c r="C14" s="1004" t="s">
        <v>26</v>
      </c>
      <c r="D14" s="1004"/>
      <c r="E14" s="1004"/>
      <c r="F14" s="1004"/>
      <c r="G14" s="1004"/>
      <c r="H14" s="1004"/>
      <c r="I14" s="1005"/>
      <c r="J14" s="4"/>
    </row>
    <row r="15" spans="1:10" x14ac:dyDescent="0.25">
      <c r="A15" s="999" t="s">
        <v>20</v>
      </c>
      <c r="B15" s="1000"/>
      <c r="C15" s="1004" t="s">
        <v>27</v>
      </c>
      <c r="D15" s="1004"/>
      <c r="E15" s="1004"/>
      <c r="F15" s="1004"/>
      <c r="G15" s="1004"/>
      <c r="H15" s="1004"/>
      <c r="I15" s="1005"/>
      <c r="J15" s="4"/>
    </row>
    <row r="16" spans="1:10" x14ac:dyDescent="0.25">
      <c r="A16" s="999" t="s">
        <v>21</v>
      </c>
      <c r="B16" s="1000"/>
      <c r="C16" s="1004" t="s">
        <v>28</v>
      </c>
      <c r="D16" s="1004"/>
      <c r="E16" s="1004"/>
      <c r="F16" s="1004"/>
      <c r="G16" s="1004"/>
      <c r="H16" s="1004"/>
      <c r="I16" s="1005"/>
      <c r="J16" s="4"/>
    </row>
    <row r="17" spans="1:10" ht="15.75" customHeight="1" x14ac:dyDescent="0.25">
      <c r="A17" s="999" t="s">
        <v>22</v>
      </c>
      <c r="B17" s="1000"/>
      <c r="C17" s="1004" t="s">
        <v>29</v>
      </c>
      <c r="D17" s="1004"/>
      <c r="E17" s="1004"/>
      <c r="F17" s="1004"/>
      <c r="G17" s="1004"/>
      <c r="H17" s="1004"/>
      <c r="I17" s="1005"/>
      <c r="J17" s="4"/>
    </row>
    <row r="18" spans="1:10" x14ac:dyDescent="0.25">
      <c r="A18" s="988" t="s">
        <v>230</v>
      </c>
      <c r="B18" s="989"/>
      <c r="C18" s="989"/>
      <c r="D18" s="989"/>
      <c r="E18" s="989"/>
      <c r="F18" s="989"/>
      <c r="G18" s="989"/>
      <c r="H18" s="989"/>
      <c r="I18" s="990"/>
      <c r="J18" s="4"/>
    </row>
    <row r="19" spans="1:10" customFormat="1" ht="37.5" customHeight="1" x14ac:dyDescent="0.25">
      <c r="A19" s="1023" t="s">
        <v>231</v>
      </c>
      <c r="B19" s="1022" t="s">
        <v>232</v>
      </c>
      <c r="C19" s="1022"/>
      <c r="D19" s="1022" t="s">
        <v>12</v>
      </c>
      <c r="E19" s="1022"/>
      <c r="F19" s="1022" t="s">
        <v>238</v>
      </c>
      <c r="G19" s="1022"/>
      <c r="H19" s="1022"/>
      <c r="I19" s="1003" t="s">
        <v>239</v>
      </c>
    </row>
    <row r="20" spans="1:10" customFormat="1" ht="22.5" customHeight="1" x14ac:dyDescent="0.25">
      <c r="A20" s="1023"/>
      <c r="B20" s="1022"/>
      <c r="C20" s="1022"/>
      <c r="D20" s="819" t="s">
        <v>233</v>
      </c>
      <c r="E20" s="819" t="s">
        <v>234</v>
      </c>
      <c r="F20" s="819" t="s">
        <v>235</v>
      </c>
      <c r="G20" s="819" t="s">
        <v>236</v>
      </c>
      <c r="H20" s="819" t="s">
        <v>237</v>
      </c>
      <c r="I20" s="1003"/>
    </row>
    <row r="21" spans="1:10" customFormat="1" ht="18" customHeight="1" x14ac:dyDescent="0.25">
      <c r="A21" s="818" t="s">
        <v>240</v>
      </c>
      <c r="B21" s="994" t="s">
        <v>241</v>
      </c>
      <c r="C21" s="994"/>
      <c r="D21" s="837">
        <v>43361</v>
      </c>
      <c r="E21" s="837">
        <v>43389</v>
      </c>
      <c r="F21" s="814"/>
      <c r="G21" s="814"/>
      <c r="H21" s="814" t="s">
        <v>164</v>
      </c>
      <c r="I21" s="838" t="s">
        <v>222</v>
      </c>
    </row>
    <row r="22" spans="1:10" customFormat="1" ht="18" customHeight="1" x14ac:dyDescent="0.25">
      <c r="A22" s="1001" t="s">
        <v>233</v>
      </c>
      <c r="B22" s="994" t="s">
        <v>242</v>
      </c>
      <c r="C22" s="994"/>
      <c r="D22" s="837"/>
      <c r="E22" s="837"/>
      <c r="F22" s="814"/>
      <c r="G22" s="814"/>
      <c r="H22" s="814" t="s">
        <v>164</v>
      </c>
      <c r="I22" s="838" t="s">
        <v>275</v>
      </c>
    </row>
    <row r="23" spans="1:10" customFormat="1" ht="18" customHeight="1" x14ac:dyDescent="0.25">
      <c r="A23" s="1001"/>
      <c r="B23" s="1002" t="s">
        <v>243</v>
      </c>
      <c r="C23" s="1002"/>
      <c r="D23" s="839"/>
      <c r="E23" s="839"/>
      <c r="F23" s="840"/>
      <c r="G23" s="840" t="s">
        <v>164</v>
      </c>
      <c r="H23" s="840"/>
      <c r="I23" s="841" t="s">
        <v>275</v>
      </c>
    </row>
    <row r="24" spans="1:10" customFormat="1" ht="18" customHeight="1" x14ac:dyDescent="0.25">
      <c r="A24" s="1001"/>
      <c r="B24" s="994" t="s">
        <v>244</v>
      </c>
      <c r="C24" s="994"/>
      <c r="D24" s="837"/>
      <c r="E24" s="837"/>
      <c r="F24" s="814"/>
      <c r="G24" s="814"/>
      <c r="H24" s="814" t="s">
        <v>164</v>
      </c>
      <c r="I24" s="838" t="s">
        <v>275</v>
      </c>
    </row>
    <row r="25" spans="1:10" customFormat="1" ht="18" customHeight="1" x14ac:dyDescent="0.25">
      <c r="A25" s="1001"/>
      <c r="B25" s="994" t="s">
        <v>245</v>
      </c>
      <c r="C25" s="994"/>
      <c r="D25" s="837"/>
      <c r="E25" s="837"/>
      <c r="F25" s="814"/>
      <c r="G25" s="814"/>
      <c r="H25" s="814" t="s">
        <v>164</v>
      </c>
      <c r="I25" s="838" t="s">
        <v>275</v>
      </c>
    </row>
    <row r="26" spans="1:10" customFormat="1" ht="18" customHeight="1" x14ac:dyDescent="0.25">
      <c r="A26" s="1001"/>
      <c r="B26" s="994" t="s">
        <v>246</v>
      </c>
      <c r="C26" s="994"/>
      <c r="D26" s="837"/>
      <c r="E26" s="837"/>
      <c r="F26" s="814"/>
      <c r="G26" s="814"/>
      <c r="H26" s="814" t="s">
        <v>164</v>
      </c>
      <c r="I26" s="838" t="s">
        <v>275</v>
      </c>
    </row>
    <row r="27" spans="1:10" customFormat="1" ht="18" customHeight="1" x14ac:dyDescent="0.25">
      <c r="A27" s="1001"/>
      <c r="B27" s="1002" t="s">
        <v>247</v>
      </c>
      <c r="C27" s="1002"/>
      <c r="D27" s="839"/>
      <c r="E27" s="839"/>
      <c r="F27" s="840"/>
      <c r="G27" s="840" t="s">
        <v>164</v>
      </c>
      <c r="H27" s="840"/>
      <c r="I27" s="841" t="s">
        <v>275</v>
      </c>
    </row>
    <row r="28" spans="1:10" customFormat="1" ht="18" customHeight="1" x14ac:dyDescent="0.25">
      <c r="A28" s="1001"/>
      <c r="B28" s="1002" t="s">
        <v>248</v>
      </c>
      <c r="C28" s="1002"/>
      <c r="D28" s="839"/>
      <c r="E28" s="839"/>
      <c r="F28" s="840"/>
      <c r="G28" s="840" t="s">
        <v>164</v>
      </c>
      <c r="H28" s="840"/>
      <c r="I28" s="841" t="s">
        <v>275</v>
      </c>
    </row>
    <row r="29" spans="1:10" customFormat="1" ht="18" customHeight="1" x14ac:dyDescent="0.25">
      <c r="A29" s="1001"/>
      <c r="B29" s="1002" t="s">
        <v>249</v>
      </c>
      <c r="C29" s="1002"/>
      <c r="D29" s="839"/>
      <c r="E29" s="839"/>
      <c r="F29" s="840"/>
      <c r="G29" s="840" t="s">
        <v>164</v>
      </c>
      <c r="H29" s="840"/>
      <c r="I29" s="841" t="s">
        <v>275</v>
      </c>
    </row>
    <row r="30" spans="1:10" customFormat="1" ht="18" customHeight="1" x14ac:dyDescent="0.25">
      <c r="A30" s="1001"/>
      <c r="B30" s="1002" t="s">
        <v>250</v>
      </c>
      <c r="C30" s="1002"/>
      <c r="D30" s="839"/>
      <c r="E30" s="839"/>
      <c r="F30" s="840"/>
      <c r="G30" s="840" t="s">
        <v>164</v>
      </c>
      <c r="H30" s="840"/>
      <c r="I30" s="841" t="s">
        <v>275</v>
      </c>
    </row>
    <row r="31" spans="1:10" customFormat="1" ht="18" customHeight="1" x14ac:dyDescent="0.25">
      <c r="A31" s="1001"/>
      <c r="B31" s="1002" t="s">
        <v>251</v>
      </c>
      <c r="C31" s="1002"/>
      <c r="D31" s="839"/>
      <c r="E31" s="839"/>
      <c r="F31" s="840"/>
      <c r="G31" s="840" t="s">
        <v>164</v>
      </c>
      <c r="H31" s="840"/>
      <c r="I31" s="841" t="s">
        <v>275</v>
      </c>
    </row>
    <row r="32" spans="1:10" customFormat="1" ht="18" customHeight="1" x14ac:dyDescent="0.25">
      <c r="A32" s="1001" t="s">
        <v>271</v>
      </c>
      <c r="B32" s="994" t="s">
        <v>252</v>
      </c>
      <c r="C32" s="994"/>
      <c r="D32" s="837"/>
      <c r="E32" s="837">
        <v>43424</v>
      </c>
      <c r="F32" s="814"/>
      <c r="G32" s="814"/>
      <c r="H32" s="814" t="s">
        <v>164</v>
      </c>
      <c r="I32" s="838" t="s">
        <v>222</v>
      </c>
    </row>
    <row r="33" spans="1:9" customFormat="1" ht="18" customHeight="1" x14ac:dyDescent="0.25">
      <c r="A33" s="1001"/>
      <c r="B33" s="994" t="s">
        <v>253</v>
      </c>
      <c r="C33" s="994"/>
      <c r="D33" s="837">
        <v>43374</v>
      </c>
      <c r="E33" s="837">
        <v>43424</v>
      </c>
      <c r="F33" s="814"/>
      <c r="G33" s="814"/>
      <c r="H33" s="814" t="s">
        <v>164</v>
      </c>
      <c r="I33" s="838" t="s">
        <v>277</v>
      </c>
    </row>
    <row r="34" spans="1:9" customFormat="1" ht="18" customHeight="1" x14ac:dyDescent="0.25">
      <c r="A34" s="1001"/>
      <c r="B34" s="994" t="s">
        <v>254</v>
      </c>
      <c r="C34" s="994"/>
      <c r="D34" s="837"/>
      <c r="E34" s="837">
        <v>43395</v>
      </c>
      <c r="F34" s="814"/>
      <c r="G34" s="814"/>
      <c r="H34" s="814" t="s">
        <v>164</v>
      </c>
      <c r="I34" s="838" t="s">
        <v>276</v>
      </c>
    </row>
    <row r="35" spans="1:9" customFormat="1" ht="18" customHeight="1" x14ac:dyDescent="0.25">
      <c r="A35" s="1001"/>
      <c r="B35" s="994" t="s">
        <v>255</v>
      </c>
      <c r="C35" s="994"/>
      <c r="D35" s="837"/>
      <c r="E35" s="837">
        <v>43410</v>
      </c>
      <c r="F35" s="814"/>
      <c r="G35" s="814"/>
      <c r="H35" s="814" t="s">
        <v>164</v>
      </c>
      <c r="I35" s="838" t="s">
        <v>276</v>
      </c>
    </row>
    <row r="36" spans="1:9" customFormat="1" ht="18" customHeight="1" x14ac:dyDescent="0.25">
      <c r="A36" s="1001"/>
      <c r="B36" s="994" t="s">
        <v>256</v>
      </c>
      <c r="C36" s="994"/>
      <c r="D36" s="837"/>
      <c r="E36" s="837">
        <v>43434</v>
      </c>
      <c r="F36" s="814"/>
      <c r="G36" s="814"/>
      <c r="H36" s="814" t="s">
        <v>164</v>
      </c>
      <c r="I36" s="838" t="s">
        <v>276</v>
      </c>
    </row>
    <row r="37" spans="1:9" customFormat="1" ht="18" customHeight="1" x14ac:dyDescent="0.25">
      <c r="A37" s="1001"/>
      <c r="B37" s="994" t="s">
        <v>257</v>
      </c>
      <c r="C37" s="994"/>
      <c r="D37" s="837"/>
      <c r="E37" s="837">
        <v>43434</v>
      </c>
      <c r="F37" s="814"/>
      <c r="G37" s="814"/>
      <c r="H37" s="814" t="s">
        <v>164</v>
      </c>
      <c r="I37" s="838" t="s">
        <v>276</v>
      </c>
    </row>
    <row r="38" spans="1:9" customFormat="1" ht="18" customHeight="1" x14ac:dyDescent="0.25">
      <c r="A38" s="1001"/>
      <c r="B38" s="994" t="s">
        <v>258</v>
      </c>
      <c r="C38" s="994"/>
      <c r="D38" s="837"/>
      <c r="E38" s="837">
        <v>43480</v>
      </c>
      <c r="F38" s="814"/>
      <c r="G38" s="814"/>
      <c r="H38" s="814" t="s">
        <v>164</v>
      </c>
      <c r="I38" s="838" t="s">
        <v>276</v>
      </c>
    </row>
    <row r="39" spans="1:9" customFormat="1" ht="18" customHeight="1" x14ac:dyDescent="0.25">
      <c r="A39" s="1001"/>
      <c r="B39" s="994" t="s">
        <v>259</v>
      </c>
      <c r="C39" s="994"/>
      <c r="D39" s="837"/>
      <c r="E39" s="837">
        <v>43496</v>
      </c>
      <c r="F39" s="814"/>
      <c r="G39" s="814"/>
      <c r="H39" s="814" t="s">
        <v>164</v>
      </c>
      <c r="I39" s="838" t="s">
        <v>276</v>
      </c>
    </row>
    <row r="40" spans="1:9" customFormat="1" ht="18" customHeight="1" x14ac:dyDescent="0.25">
      <c r="A40" s="1001"/>
      <c r="B40" s="994" t="s">
        <v>260</v>
      </c>
      <c r="C40" s="994"/>
      <c r="D40" s="837"/>
      <c r="E40" s="837">
        <v>43516</v>
      </c>
      <c r="F40" s="814"/>
      <c r="G40" s="814"/>
      <c r="H40" s="814" t="s">
        <v>164</v>
      </c>
      <c r="I40" s="838" t="s">
        <v>276</v>
      </c>
    </row>
    <row r="41" spans="1:9" customFormat="1" ht="18" customHeight="1" x14ac:dyDescent="0.25">
      <c r="A41" s="1001"/>
      <c r="B41" s="994" t="s">
        <v>261</v>
      </c>
      <c r="C41" s="994"/>
      <c r="D41" s="837"/>
      <c r="E41" s="837">
        <v>43530</v>
      </c>
      <c r="F41" s="814"/>
      <c r="G41" s="814"/>
      <c r="H41" s="814" t="s">
        <v>164</v>
      </c>
      <c r="I41" s="838" t="s">
        <v>276</v>
      </c>
    </row>
    <row r="42" spans="1:9" customFormat="1" ht="18" customHeight="1" x14ac:dyDescent="0.25">
      <c r="A42" s="1001"/>
      <c r="B42" s="994" t="s">
        <v>262</v>
      </c>
      <c r="C42" s="994"/>
      <c r="D42" s="837"/>
      <c r="E42" s="837">
        <v>43549</v>
      </c>
      <c r="F42" s="814"/>
      <c r="G42" s="814"/>
      <c r="H42" s="814" t="s">
        <v>164</v>
      </c>
      <c r="I42" s="838" t="s">
        <v>276</v>
      </c>
    </row>
    <row r="43" spans="1:9" customFormat="1" ht="18" customHeight="1" x14ac:dyDescent="0.25">
      <c r="A43" s="1001"/>
      <c r="B43" s="994" t="s">
        <v>263</v>
      </c>
      <c r="C43" s="994"/>
      <c r="D43" s="837"/>
      <c r="E43" s="837">
        <v>43563</v>
      </c>
      <c r="F43" s="814"/>
      <c r="G43" s="814"/>
      <c r="H43" s="814" t="s">
        <v>164</v>
      </c>
      <c r="I43" s="838" t="s">
        <v>276</v>
      </c>
    </row>
    <row r="44" spans="1:9" customFormat="1" ht="18" customHeight="1" x14ac:dyDescent="0.25">
      <c r="A44" s="1001"/>
      <c r="B44" s="994" t="s">
        <v>264</v>
      </c>
      <c r="C44" s="994"/>
      <c r="D44" s="837"/>
      <c r="E44" s="837">
        <v>43579</v>
      </c>
      <c r="F44" s="814"/>
      <c r="G44" s="814"/>
      <c r="H44" s="814" t="s">
        <v>164</v>
      </c>
      <c r="I44" s="838" t="s">
        <v>276</v>
      </c>
    </row>
    <row r="45" spans="1:9" customFormat="1" ht="18" customHeight="1" x14ac:dyDescent="0.25">
      <c r="A45" s="1001"/>
      <c r="B45" s="994" t="s">
        <v>265</v>
      </c>
      <c r="C45" s="994"/>
      <c r="D45" s="837"/>
      <c r="E45" s="837">
        <v>43599</v>
      </c>
      <c r="F45" s="814"/>
      <c r="G45" s="814"/>
      <c r="H45" s="814" t="s">
        <v>164</v>
      </c>
      <c r="I45" s="838" t="s">
        <v>276</v>
      </c>
    </row>
    <row r="46" spans="1:9" customFormat="1" ht="18" customHeight="1" x14ac:dyDescent="0.25">
      <c r="A46" s="1001"/>
      <c r="B46" s="994" t="s">
        <v>266</v>
      </c>
      <c r="C46" s="994"/>
      <c r="D46" s="837"/>
      <c r="E46" s="837">
        <v>43616</v>
      </c>
      <c r="F46" s="814"/>
      <c r="G46" s="814"/>
      <c r="H46" s="814" t="s">
        <v>164</v>
      </c>
      <c r="I46" s="838" t="s">
        <v>276</v>
      </c>
    </row>
    <row r="47" spans="1:9" customFormat="1" ht="18" customHeight="1" x14ac:dyDescent="0.25">
      <c r="A47" s="1001"/>
      <c r="B47" s="994" t="s">
        <v>273</v>
      </c>
      <c r="C47" s="994"/>
      <c r="D47" s="837" t="s">
        <v>274</v>
      </c>
      <c r="E47" s="837" t="s">
        <v>274</v>
      </c>
      <c r="F47" s="814"/>
      <c r="G47" s="814" t="s">
        <v>164</v>
      </c>
      <c r="H47" s="814"/>
      <c r="I47" s="838" t="s">
        <v>276</v>
      </c>
    </row>
    <row r="48" spans="1:9" customFormat="1" ht="18" customHeight="1" x14ac:dyDescent="0.25">
      <c r="A48" s="1001"/>
      <c r="B48" s="994" t="s">
        <v>267</v>
      </c>
      <c r="C48" s="994"/>
      <c r="D48" s="837"/>
      <c r="E48" s="837">
        <v>43763</v>
      </c>
      <c r="F48" s="814" t="s">
        <v>1</v>
      </c>
      <c r="G48" s="814"/>
      <c r="H48" s="814"/>
      <c r="I48" s="838" t="s">
        <v>181</v>
      </c>
    </row>
    <row r="49" spans="1:9" customFormat="1" ht="18" customHeight="1" x14ac:dyDescent="0.25">
      <c r="A49" s="1001"/>
      <c r="B49" s="994" t="s">
        <v>268</v>
      </c>
      <c r="C49" s="994"/>
      <c r="D49" s="837"/>
      <c r="E49" s="837">
        <v>43768</v>
      </c>
      <c r="F49" s="814" t="s">
        <v>1</v>
      </c>
      <c r="G49" s="814"/>
      <c r="H49" s="814"/>
      <c r="I49" s="838" t="s">
        <v>278</v>
      </c>
    </row>
    <row r="50" spans="1:9" customFormat="1" ht="18" customHeight="1" x14ac:dyDescent="0.25">
      <c r="A50" s="1001"/>
      <c r="B50" s="994" t="s">
        <v>269</v>
      </c>
      <c r="C50" s="994"/>
      <c r="D50" s="837" t="s">
        <v>274</v>
      </c>
      <c r="E50" s="837" t="s">
        <v>274</v>
      </c>
      <c r="F50" s="814" t="s">
        <v>1</v>
      </c>
      <c r="G50" s="814"/>
      <c r="H50" s="814"/>
      <c r="I50" s="838" t="s">
        <v>222</v>
      </c>
    </row>
    <row r="51" spans="1:9" x14ac:dyDescent="0.25">
      <c r="A51" s="988" t="s">
        <v>270</v>
      </c>
      <c r="B51" s="989"/>
      <c r="C51" s="989"/>
      <c r="D51" s="989"/>
      <c r="E51" s="989"/>
      <c r="F51" s="989"/>
      <c r="G51" s="989"/>
      <c r="H51" s="989"/>
      <c r="I51" s="990"/>
    </row>
    <row r="52" spans="1:9" customFormat="1" ht="17.25" customHeight="1" x14ac:dyDescent="0.25">
      <c r="A52" s="991"/>
      <c r="B52" s="992"/>
      <c r="C52" s="992"/>
      <c r="D52" s="992"/>
      <c r="E52" s="992"/>
      <c r="F52" s="992"/>
      <c r="G52" s="992"/>
      <c r="H52" s="992"/>
      <c r="I52" s="993"/>
    </row>
    <row r="53" spans="1:9" x14ac:dyDescent="0.25">
      <c r="A53" s="985" t="s">
        <v>186</v>
      </c>
      <c r="B53" s="986"/>
      <c r="C53" s="986"/>
      <c r="D53" s="986"/>
      <c r="E53" s="986"/>
      <c r="F53" s="986"/>
      <c r="G53" s="986"/>
      <c r="H53" s="986"/>
      <c r="I53" s="987"/>
    </row>
    <row r="54" spans="1:9" x14ac:dyDescent="0.25">
      <c r="A54" s="842"/>
      <c r="B54" s="883" t="s">
        <v>496</v>
      </c>
      <c r="C54" s="883"/>
      <c r="D54" s="843"/>
      <c r="E54" s="883" t="s">
        <v>168</v>
      </c>
      <c r="F54" s="883"/>
      <c r="G54" s="883"/>
      <c r="H54" s="883"/>
      <c r="I54" s="844"/>
    </row>
    <row r="55" spans="1:9" x14ac:dyDescent="0.25">
      <c r="A55" s="842"/>
      <c r="B55" s="883" t="s">
        <v>184</v>
      </c>
      <c r="C55" s="883"/>
      <c r="D55" s="843"/>
      <c r="E55" s="883" t="s">
        <v>177</v>
      </c>
      <c r="F55" s="883"/>
      <c r="G55" s="883"/>
      <c r="H55" s="883"/>
      <c r="I55" s="844"/>
    </row>
    <row r="56" spans="1:9" x14ac:dyDescent="0.25">
      <c r="A56" s="842"/>
      <c r="B56" s="883" t="s">
        <v>187</v>
      </c>
      <c r="C56" s="883"/>
      <c r="D56" s="843"/>
      <c r="E56" s="883" t="s">
        <v>188</v>
      </c>
      <c r="F56" s="883"/>
      <c r="G56" s="883"/>
      <c r="H56" s="883"/>
      <c r="I56" s="844"/>
    </row>
    <row r="57" spans="1:9" ht="16.5" thickBot="1" x14ac:dyDescent="0.3">
      <c r="A57" s="845"/>
      <c r="B57" s="846"/>
      <c r="C57" s="846"/>
      <c r="D57" s="846"/>
      <c r="E57" s="846"/>
      <c r="F57" s="846"/>
      <c r="G57" s="846"/>
      <c r="H57" s="846"/>
      <c r="I57" s="847"/>
    </row>
  </sheetData>
  <mergeCells count="81">
    <mergeCell ref="E55:H55"/>
    <mergeCell ref="E56:H56"/>
    <mergeCell ref="B54:C54"/>
    <mergeCell ref="B55:C55"/>
    <mergeCell ref="B56:C56"/>
    <mergeCell ref="E54:H54"/>
    <mergeCell ref="B33:C33"/>
    <mergeCell ref="B34:C34"/>
    <mergeCell ref="B35:C35"/>
    <mergeCell ref="A17:B17"/>
    <mergeCell ref="C17:I17"/>
    <mergeCell ref="D19:E19"/>
    <mergeCell ref="F19:H19"/>
    <mergeCell ref="A19:A20"/>
    <mergeCell ref="B19:C20"/>
    <mergeCell ref="B29:C29"/>
    <mergeCell ref="B30:C30"/>
    <mergeCell ref="B32:C32"/>
    <mergeCell ref="A32:A50"/>
    <mergeCell ref="B24:C24"/>
    <mergeCell ref="B28:C28"/>
    <mergeCell ref="B31:C31"/>
    <mergeCell ref="A1:B1"/>
    <mergeCell ref="C1:I1"/>
    <mergeCell ref="A16:B16"/>
    <mergeCell ref="C16:I16"/>
    <mergeCell ref="C15:I15"/>
    <mergeCell ref="C5:I5"/>
    <mergeCell ref="A3:I3"/>
    <mergeCell ref="A2:I2"/>
    <mergeCell ref="E7:G7"/>
    <mergeCell ref="F8:G8"/>
    <mergeCell ref="D8:E8"/>
    <mergeCell ref="A5:B5"/>
    <mergeCell ref="A4:I4"/>
    <mergeCell ref="H7:I7"/>
    <mergeCell ref="H8:I8"/>
    <mergeCell ref="A6:B6"/>
    <mergeCell ref="C14:I14"/>
    <mergeCell ref="C6:I6"/>
    <mergeCell ref="C7:D7"/>
    <mergeCell ref="B23:C23"/>
    <mergeCell ref="A7:B7"/>
    <mergeCell ref="A9:I9"/>
    <mergeCell ref="G10:I10"/>
    <mergeCell ref="G11:I11"/>
    <mergeCell ref="A13:B13"/>
    <mergeCell ref="C13:I13"/>
    <mergeCell ref="A12:I12"/>
    <mergeCell ref="B42:C42"/>
    <mergeCell ref="B45:C45"/>
    <mergeCell ref="D10:F10"/>
    <mergeCell ref="D11:F11"/>
    <mergeCell ref="A10:C10"/>
    <mergeCell ref="A11:C11"/>
    <mergeCell ref="A15:B15"/>
    <mergeCell ref="A22:A31"/>
    <mergeCell ref="B25:C25"/>
    <mergeCell ref="B26:C26"/>
    <mergeCell ref="B27:C27"/>
    <mergeCell ref="A18:I18"/>
    <mergeCell ref="I19:I20"/>
    <mergeCell ref="B21:C21"/>
    <mergeCell ref="B22:C22"/>
    <mergeCell ref="A14:B14"/>
    <mergeCell ref="A53:I53"/>
    <mergeCell ref="A51:I51"/>
    <mergeCell ref="A52:I52"/>
    <mergeCell ref="B50:C50"/>
    <mergeCell ref="B36:C36"/>
    <mergeCell ref="B37:C37"/>
    <mergeCell ref="B38:C38"/>
    <mergeCell ref="B39:C39"/>
    <mergeCell ref="B40:C40"/>
    <mergeCell ref="B41:C41"/>
    <mergeCell ref="B46:C46"/>
    <mergeCell ref="B47:C47"/>
    <mergeCell ref="B48:C48"/>
    <mergeCell ref="B49:C49"/>
    <mergeCell ref="B43:C43"/>
    <mergeCell ref="B44:C44"/>
  </mergeCells>
  <pageMargins left="1" right="1" top="1" bottom="1" header="0.5" footer="0.5"/>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3:K51"/>
  <sheetViews>
    <sheetView topLeftCell="A17" workbookViewId="0">
      <selection activeCell="A33" sqref="A33:G57"/>
    </sheetView>
  </sheetViews>
  <sheetFormatPr baseColWidth="10" defaultRowHeight="12.75" x14ac:dyDescent="0.2"/>
  <cols>
    <col min="1" max="1" width="11.42578125" style="227"/>
    <col min="2" max="2" width="10.5703125" style="227" customWidth="1"/>
    <col min="3" max="3" width="56.28515625" style="227" customWidth="1"/>
    <col min="4" max="4" width="17" style="227" hidden="1" customWidth="1"/>
    <col min="5" max="5" width="13.42578125" style="227" hidden="1" customWidth="1"/>
    <col min="6" max="6" width="13.5703125" style="227" hidden="1" customWidth="1"/>
    <col min="7" max="7" width="16.28515625" style="227" hidden="1" customWidth="1"/>
    <col min="8" max="8" width="18.7109375" style="227" customWidth="1"/>
    <col min="9" max="9" width="10.140625" style="227" hidden="1" customWidth="1"/>
    <col min="10" max="10" width="10" style="501" hidden="1" customWidth="1"/>
    <col min="11" max="11" width="13.140625" style="483" customWidth="1"/>
    <col min="12" max="256" width="11.42578125" style="227"/>
    <col min="257" max="257" width="0.85546875" style="227" customWidth="1"/>
    <col min="258" max="258" width="46.85546875" style="227" customWidth="1"/>
    <col min="259" max="259" width="17" style="227" customWidth="1"/>
    <col min="260" max="260" width="13.42578125" style="227" customWidth="1"/>
    <col min="261" max="261" width="13.5703125" style="227" customWidth="1"/>
    <col min="262" max="262" width="16.28515625" style="227" customWidth="1"/>
    <col min="263" max="263" width="18.7109375" style="227" customWidth="1"/>
    <col min="264" max="264" width="0.85546875" style="227" customWidth="1"/>
    <col min="265" max="265" width="10" style="227" customWidth="1"/>
    <col min="266" max="512" width="11.42578125" style="227"/>
    <col min="513" max="513" width="0.85546875" style="227" customWidth="1"/>
    <col min="514" max="514" width="46.85546875" style="227" customWidth="1"/>
    <col min="515" max="515" width="17" style="227" customWidth="1"/>
    <col min="516" max="516" width="13.42578125" style="227" customWidth="1"/>
    <col min="517" max="517" width="13.5703125" style="227" customWidth="1"/>
    <col min="518" max="518" width="16.28515625" style="227" customWidth="1"/>
    <col min="519" max="519" width="18.7109375" style="227" customWidth="1"/>
    <col min="520" max="520" width="0.85546875" style="227" customWidth="1"/>
    <col min="521" max="521" width="10" style="227" customWidth="1"/>
    <col min="522" max="768" width="11.42578125" style="227"/>
    <col min="769" max="769" width="0.85546875" style="227" customWidth="1"/>
    <col min="770" max="770" width="46.85546875" style="227" customWidth="1"/>
    <col min="771" max="771" width="17" style="227" customWidth="1"/>
    <col min="772" max="772" width="13.42578125" style="227" customWidth="1"/>
    <col min="773" max="773" width="13.5703125" style="227" customWidth="1"/>
    <col min="774" max="774" width="16.28515625" style="227" customWidth="1"/>
    <col min="775" max="775" width="18.7109375" style="227" customWidth="1"/>
    <col min="776" max="776" width="0.85546875" style="227" customWidth="1"/>
    <col min="777" max="777" width="10" style="227" customWidth="1"/>
    <col min="778" max="1024" width="11.42578125" style="227"/>
    <col min="1025" max="1025" width="0.85546875" style="227" customWidth="1"/>
    <col min="1026" max="1026" width="46.85546875" style="227" customWidth="1"/>
    <col min="1027" max="1027" width="17" style="227" customWidth="1"/>
    <col min="1028" max="1028" width="13.42578125" style="227" customWidth="1"/>
    <col min="1029" max="1029" width="13.5703125" style="227" customWidth="1"/>
    <col min="1030" max="1030" width="16.28515625" style="227" customWidth="1"/>
    <col min="1031" max="1031" width="18.7109375" style="227" customWidth="1"/>
    <col min="1032" max="1032" width="0.85546875" style="227" customWidth="1"/>
    <col min="1033" max="1033" width="10" style="227" customWidth="1"/>
    <col min="1034" max="1280" width="11.42578125" style="227"/>
    <col min="1281" max="1281" width="0.85546875" style="227" customWidth="1"/>
    <col min="1282" max="1282" width="46.85546875" style="227" customWidth="1"/>
    <col min="1283" max="1283" width="17" style="227" customWidth="1"/>
    <col min="1284" max="1284" width="13.42578125" style="227" customWidth="1"/>
    <col min="1285" max="1285" width="13.5703125" style="227" customWidth="1"/>
    <col min="1286" max="1286" width="16.28515625" style="227" customWidth="1"/>
    <col min="1287" max="1287" width="18.7109375" style="227" customWidth="1"/>
    <col min="1288" max="1288" width="0.85546875" style="227" customWidth="1"/>
    <col min="1289" max="1289" width="10" style="227" customWidth="1"/>
    <col min="1290" max="1536" width="11.42578125" style="227"/>
    <col min="1537" max="1537" width="0.85546875" style="227" customWidth="1"/>
    <col min="1538" max="1538" width="46.85546875" style="227" customWidth="1"/>
    <col min="1539" max="1539" width="17" style="227" customWidth="1"/>
    <col min="1540" max="1540" width="13.42578125" style="227" customWidth="1"/>
    <col min="1541" max="1541" width="13.5703125" style="227" customWidth="1"/>
    <col min="1542" max="1542" width="16.28515625" style="227" customWidth="1"/>
    <col min="1543" max="1543" width="18.7109375" style="227" customWidth="1"/>
    <col min="1544" max="1544" width="0.85546875" style="227" customWidth="1"/>
    <col min="1545" max="1545" width="10" style="227" customWidth="1"/>
    <col min="1546" max="1792" width="11.42578125" style="227"/>
    <col min="1793" max="1793" width="0.85546875" style="227" customWidth="1"/>
    <col min="1794" max="1794" width="46.85546875" style="227" customWidth="1"/>
    <col min="1795" max="1795" width="17" style="227" customWidth="1"/>
    <col min="1796" max="1796" width="13.42578125" style="227" customWidth="1"/>
    <col min="1797" max="1797" width="13.5703125" style="227" customWidth="1"/>
    <col min="1798" max="1798" width="16.28515625" style="227" customWidth="1"/>
    <col min="1799" max="1799" width="18.7109375" style="227" customWidth="1"/>
    <col min="1800" max="1800" width="0.85546875" style="227" customWidth="1"/>
    <col min="1801" max="1801" width="10" style="227" customWidth="1"/>
    <col min="1802" max="2048" width="11.42578125" style="227"/>
    <col min="2049" max="2049" width="0.85546875" style="227" customWidth="1"/>
    <col min="2050" max="2050" width="46.85546875" style="227" customWidth="1"/>
    <col min="2051" max="2051" width="17" style="227" customWidth="1"/>
    <col min="2052" max="2052" width="13.42578125" style="227" customWidth="1"/>
    <col min="2053" max="2053" width="13.5703125" style="227" customWidth="1"/>
    <col min="2054" max="2054" width="16.28515625" style="227" customWidth="1"/>
    <col min="2055" max="2055" width="18.7109375" style="227" customWidth="1"/>
    <col min="2056" max="2056" width="0.85546875" style="227" customWidth="1"/>
    <col min="2057" max="2057" width="10" style="227" customWidth="1"/>
    <col min="2058" max="2304" width="11.42578125" style="227"/>
    <col min="2305" max="2305" width="0.85546875" style="227" customWidth="1"/>
    <col min="2306" max="2306" width="46.85546875" style="227" customWidth="1"/>
    <col min="2307" max="2307" width="17" style="227" customWidth="1"/>
    <col min="2308" max="2308" width="13.42578125" style="227" customWidth="1"/>
    <col min="2309" max="2309" width="13.5703125" style="227" customWidth="1"/>
    <col min="2310" max="2310" width="16.28515625" style="227" customWidth="1"/>
    <col min="2311" max="2311" width="18.7109375" style="227" customWidth="1"/>
    <col min="2312" max="2312" width="0.85546875" style="227" customWidth="1"/>
    <col min="2313" max="2313" width="10" style="227" customWidth="1"/>
    <col min="2314" max="2560" width="11.42578125" style="227"/>
    <col min="2561" max="2561" width="0.85546875" style="227" customWidth="1"/>
    <col min="2562" max="2562" width="46.85546875" style="227" customWidth="1"/>
    <col min="2563" max="2563" width="17" style="227" customWidth="1"/>
    <col min="2564" max="2564" width="13.42578125" style="227" customWidth="1"/>
    <col min="2565" max="2565" width="13.5703125" style="227" customWidth="1"/>
    <col min="2566" max="2566" width="16.28515625" style="227" customWidth="1"/>
    <col min="2567" max="2567" width="18.7109375" style="227" customWidth="1"/>
    <col min="2568" max="2568" width="0.85546875" style="227" customWidth="1"/>
    <col min="2569" max="2569" width="10" style="227" customWidth="1"/>
    <col min="2570" max="2816" width="11.42578125" style="227"/>
    <col min="2817" max="2817" width="0.85546875" style="227" customWidth="1"/>
    <col min="2818" max="2818" width="46.85546875" style="227" customWidth="1"/>
    <col min="2819" max="2819" width="17" style="227" customWidth="1"/>
    <col min="2820" max="2820" width="13.42578125" style="227" customWidth="1"/>
    <col min="2821" max="2821" width="13.5703125" style="227" customWidth="1"/>
    <col min="2822" max="2822" width="16.28515625" style="227" customWidth="1"/>
    <col min="2823" max="2823" width="18.7109375" style="227" customWidth="1"/>
    <col min="2824" max="2824" width="0.85546875" style="227" customWidth="1"/>
    <col min="2825" max="2825" width="10" style="227" customWidth="1"/>
    <col min="2826" max="3072" width="11.42578125" style="227"/>
    <col min="3073" max="3073" width="0.85546875" style="227" customWidth="1"/>
    <col min="3074" max="3074" width="46.85546875" style="227" customWidth="1"/>
    <col min="3075" max="3075" width="17" style="227" customWidth="1"/>
    <col min="3076" max="3076" width="13.42578125" style="227" customWidth="1"/>
    <col min="3077" max="3077" width="13.5703125" style="227" customWidth="1"/>
    <col min="3078" max="3078" width="16.28515625" style="227" customWidth="1"/>
    <col min="3079" max="3079" width="18.7109375" style="227" customWidth="1"/>
    <col min="3080" max="3080" width="0.85546875" style="227" customWidth="1"/>
    <col min="3081" max="3081" width="10" style="227" customWidth="1"/>
    <col min="3082" max="3328" width="11.42578125" style="227"/>
    <col min="3329" max="3329" width="0.85546875" style="227" customWidth="1"/>
    <col min="3330" max="3330" width="46.85546875" style="227" customWidth="1"/>
    <col min="3331" max="3331" width="17" style="227" customWidth="1"/>
    <col min="3332" max="3332" width="13.42578125" style="227" customWidth="1"/>
    <col min="3333" max="3333" width="13.5703125" style="227" customWidth="1"/>
    <col min="3334" max="3334" width="16.28515625" style="227" customWidth="1"/>
    <col min="3335" max="3335" width="18.7109375" style="227" customWidth="1"/>
    <col min="3336" max="3336" width="0.85546875" style="227" customWidth="1"/>
    <col min="3337" max="3337" width="10" style="227" customWidth="1"/>
    <col min="3338" max="3584" width="11.42578125" style="227"/>
    <col min="3585" max="3585" width="0.85546875" style="227" customWidth="1"/>
    <col min="3586" max="3586" width="46.85546875" style="227" customWidth="1"/>
    <col min="3587" max="3587" width="17" style="227" customWidth="1"/>
    <col min="3588" max="3588" width="13.42578125" style="227" customWidth="1"/>
    <col min="3589" max="3589" width="13.5703125" style="227" customWidth="1"/>
    <col min="3590" max="3590" width="16.28515625" style="227" customWidth="1"/>
    <col min="3591" max="3591" width="18.7109375" style="227" customWidth="1"/>
    <col min="3592" max="3592" width="0.85546875" style="227" customWidth="1"/>
    <col min="3593" max="3593" width="10" style="227" customWidth="1"/>
    <col min="3594" max="3840" width="11.42578125" style="227"/>
    <col min="3841" max="3841" width="0.85546875" style="227" customWidth="1"/>
    <col min="3842" max="3842" width="46.85546875" style="227" customWidth="1"/>
    <col min="3843" max="3843" width="17" style="227" customWidth="1"/>
    <col min="3844" max="3844" width="13.42578125" style="227" customWidth="1"/>
    <col min="3845" max="3845" width="13.5703125" style="227" customWidth="1"/>
    <col min="3846" max="3846" width="16.28515625" style="227" customWidth="1"/>
    <col min="3847" max="3847" width="18.7109375" style="227" customWidth="1"/>
    <col min="3848" max="3848" width="0.85546875" style="227" customWidth="1"/>
    <col min="3849" max="3849" width="10" style="227" customWidth="1"/>
    <col min="3850" max="4096" width="11.42578125" style="227"/>
    <col min="4097" max="4097" width="0.85546875" style="227" customWidth="1"/>
    <col min="4098" max="4098" width="46.85546875" style="227" customWidth="1"/>
    <col min="4099" max="4099" width="17" style="227" customWidth="1"/>
    <col min="4100" max="4100" width="13.42578125" style="227" customWidth="1"/>
    <col min="4101" max="4101" width="13.5703125" style="227" customWidth="1"/>
    <col min="4102" max="4102" width="16.28515625" style="227" customWidth="1"/>
    <col min="4103" max="4103" width="18.7109375" style="227" customWidth="1"/>
    <col min="4104" max="4104" width="0.85546875" style="227" customWidth="1"/>
    <col min="4105" max="4105" width="10" style="227" customWidth="1"/>
    <col min="4106" max="4352" width="11.42578125" style="227"/>
    <col min="4353" max="4353" width="0.85546875" style="227" customWidth="1"/>
    <col min="4354" max="4354" width="46.85546875" style="227" customWidth="1"/>
    <col min="4355" max="4355" width="17" style="227" customWidth="1"/>
    <col min="4356" max="4356" width="13.42578125" style="227" customWidth="1"/>
    <col min="4357" max="4357" width="13.5703125" style="227" customWidth="1"/>
    <col min="4358" max="4358" width="16.28515625" style="227" customWidth="1"/>
    <col min="4359" max="4359" width="18.7109375" style="227" customWidth="1"/>
    <col min="4360" max="4360" width="0.85546875" style="227" customWidth="1"/>
    <col min="4361" max="4361" width="10" style="227" customWidth="1"/>
    <col min="4362" max="4608" width="11.42578125" style="227"/>
    <col min="4609" max="4609" width="0.85546875" style="227" customWidth="1"/>
    <col min="4610" max="4610" width="46.85546875" style="227" customWidth="1"/>
    <col min="4611" max="4611" width="17" style="227" customWidth="1"/>
    <col min="4612" max="4612" width="13.42578125" style="227" customWidth="1"/>
    <col min="4613" max="4613" width="13.5703125" style="227" customWidth="1"/>
    <col min="4614" max="4614" width="16.28515625" style="227" customWidth="1"/>
    <col min="4615" max="4615" width="18.7109375" style="227" customWidth="1"/>
    <col min="4616" max="4616" width="0.85546875" style="227" customWidth="1"/>
    <col min="4617" max="4617" width="10" style="227" customWidth="1"/>
    <col min="4618" max="4864" width="11.42578125" style="227"/>
    <col min="4865" max="4865" width="0.85546875" style="227" customWidth="1"/>
    <col min="4866" max="4866" width="46.85546875" style="227" customWidth="1"/>
    <col min="4867" max="4867" width="17" style="227" customWidth="1"/>
    <col min="4868" max="4868" width="13.42578125" style="227" customWidth="1"/>
    <col min="4869" max="4869" width="13.5703125" style="227" customWidth="1"/>
    <col min="4870" max="4870" width="16.28515625" style="227" customWidth="1"/>
    <col min="4871" max="4871" width="18.7109375" style="227" customWidth="1"/>
    <col min="4872" max="4872" width="0.85546875" style="227" customWidth="1"/>
    <col min="4873" max="4873" width="10" style="227" customWidth="1"/>
    <col min="4874" max="5120" width="11.42578125" style="227"/>
    <col min="5121" max="5121" width="0.85546875" style="227" customWidth="1"/>
    <col min="5122" max="5122" width="46.85546875" style="227" customWidth="1"/>
    <col min="5123" max="5123" width="17" style="227" customWidth="1"/>
    <col min="5124" max="5124" width="13.42578125" style="227" customWidth="1"/>
    <col min="5125" max="5125" width="13.5703125" style="227" customWidth="1"/>
    <col min="5126" max="5126" width="16.28515625" style="227" customWidth="1"/>
    <col min="5127" max="5127" width="18.7109375" style="227" customWidth="1"/>
    <col min="5128" max="5128" width="0.85546875" style="227" customWidth="1"/>
    <col min="5129" max="5129" width="10" style="227" customWidth="1"/>
    <col min="5130" max="5376" width="11.42578125" style="227"/>
    <col min="5377" max="5377" width="0.85546875" style="227" customWidth="1"/>
    <col min="5378" max="5378" width="46.85546875" style="227" customWidth="1"/>
    <col min="5379" max="5379" width="17" style="227" customWidth="1"/>
    <col min="5380" max="5380" width="13.42578125" style="227" customWidth="1"/>
    <col min="5381" max="5381" width="13.5703125" style="227" customWidth="1"/>
    <col min="5382" max="5382" width="16.28515625" style="227" customWidth="1"/>
    <col min="5383" max="5383" width="18.7109375" style="227" customWidth="1"/>
    <col min="5384" max="5384" width="0.85546875" style="227" customWidth="1"/>
    <col min="5385" max="5385" width="10" style="227" customWidth="1"/>
    <col min="5386" max="5632" width="11.42578125" style="227"/>
    <col min="5633" max="5633" width="0.85546875" style="227" customWidth="1"/>
    <col min="5634" max="5634" width="46.85546875" style="227" customWidth="1"/>
    <col min="5635" max="5635" width="17" style="227" customWidth="1"/>
    <col min="5636" max="5636" width="13.42578125" style="227" customWidth="1"/>
    <col min="5637" max="5637" width="13.5703125" style="227" customWidth="1"/>
    <col min="5638" max="5638" width="16.28515625" style="227" customWidth="1"/>
    <col min="5639" max="5639" width="18.7109375" style="227" customWidth="1"/>
    <col min="5640" max="5640" width="0.85546875" style="227" customWidth="1"/>
    <col min="5641" max="5641" width="10" style="227" customWidth="1"/>
    <col min="5642" max="5888" width="11.42578125" style="227"/>
    <col min="5889" max="5889" width="0.85546875" style="227" customWidth="1"/>
    <col min="5890" max="5890" width="46.85546875" style="227" customWidth="1"/>
    <col min="5891" max="5891" width="17" style="227" customWidth="1"/>
    <col min="5892" max="5892" width="13.42578125" style="227" customWidth="1"/>
    <col min="5893" max="5893" width="13.5703125" style="227" customWidth="1"/>
    <col min="5894" max="5894" width="16.28515625" style="227" customWidth="1"/>
    <col min="5895" max="5895" width="18.7109375" style="227" customWidth="1"/>
    <col min="5896" max="5896" width="0.85546875" style="227" customWidth="1"/>
    <col min="5897" max="5897" width="10" style="227" customWidth="1"/>
    <col min="5898" max="6144" width="11.42578125" style="227"/>
    <col min="6145" max="6145" width="0.85546875" style="227" customWidth="1"/>
    <col min="6146" max="6146" width="46.85546875" style="227" customWidth="1"/>
    <col min="6147" max="6147" width="17" style="227" customWidth="1"/>
    <col min="6148" max="6148" width="13.42578125" style="227" customWidth="1"/>
    <col min="6149" max="6149" width="13.5703125" style="227" customWidth="1"/>
    <col min="6150" max="6150" width="16.28515625" style="227" customWidth="1"/>
    <col min="6151" max="6151" width="18.7109375" style="227" customWidth="1"/>
    <col min="6152" max="6152" width="0.85546875" style="227" customWidth="1"/>
    <col min="6153" max="6153" width="10" style="227" customWidth="1"/>
    <col min="6154" max="6400" width="11.42578125" style="227"/>
    <col min="6401" max="6401" width="0.85546875" style="227" customWidth="1"/>
    <col min="6402" max="6402" width="46.85546875" style="227" customWidth="1"/>
    <col min="6403" max="6403" width="17" style="227" customWidth="1"/>
    <col min="6404" max="6404" width="13.42578125" style="227" customWidth="1"/>
    <col min="6405" max="6405" width="13.5703125" style="227" customWidth="1"/>
    <col min="6406" max="6406" width="16.28515625" style="227" customWidth="1"/>
    <col min="6407" max="6407" width="18.7109375" style="227" customWidth="1"/>
    <col min="6408" max="6408" width="0.85546875" style="227" customWidth="1"/>
    <col min="6409" max="6409" width="10" style="227" customWidth="1"/>
    <col min="6410" max="6656" width="11.42578125" style="227"/>
    <col min="6657" max="6657" width="0.85546875" style="227" customWidth="1"/>
    <col min="6658" max="6658" width="46.85546875" style="227" customWidth="1"/>
    <col min="6659" max="6659" width="17" style="227" customWidth="1"/>
    <col min="6660" max="6660" width="13.42578125" style="227" customWidth="1"/>
    <col min="6661" max="6661" width="13.5703125" style="227" customWidth="1"/>
    <col min="6662" max="6662" width="16.28515625" style="227" customWidth="1"/>
    <col min="6663" max="6663" width="18.7109375" style="227" customWidth="1"/>
    <col min="6664" max="6664" width="0.85546875" style="227" customWidth="1"/>
    <col min="6665" max="6665" width="10" style="227" customWidth="1"/>
    <col min="6666" max="6912" width="11.42578125" style="227"/>
    <col min="6913" max="6913" width="0.85546875" style="227" customWidth="1"/>
    <col min="6914" max="6914" width="46.85546875" style="227" customWidth="1"/>
    <col min="6915" max="6915" width="17" style="227" customWidth="1"/>
    <col min="6916" max="6916" width="13.42578125" style="227" customWidth="1"/>
    <col min="6917" max="6917" width="13.5703125" style="227" customWidth="1"/>
    <col min="6918" max="6918" width="16.28515625" style="227" customWidth="1"/>
    <col min="6919" max="6919" width="18.7109375" style="227" customWidth="1"/>
    <col min="6920" max="6920" width="0.85546875" style="227" customWidth="1"/>
    <col min="6921" max="6921" width="10" style="227" customWidth="1"/>
    <col min="6922" max="7168" width="11.42578125" style="227"/>
    <col min="7169" max="7169" width="0.85546875" style="227" customWidth="1"/>
    <col min="7170" max="7170" width="46.85546875" style="227" customWidth="1"/>
    <col min="7171" max="7171" width="17" style="227" customWidth="1"/>
    <col min="7172" max="7172" width="13.42578125" style="227" customWidth="1"/>
    <col min="7173" max="7173" width="13.5703125" style="227" customWidth="1"/>
    <col min="7174" max="7174" width="16.28515625" style="227" customWidth="1"/>
    <col min="7175" max="7175" width="18.7109375" style="227" customWidth="1"/>
    <col min="7176" max="7176" width="0.85546875" style="227" customWidth="1"/>
    <col min="7177" max="7177" width="10" style="227" customWidth="1"/>
    <col min="7178" max="7424" width="11.42578125" style="227"/>
    <col min="7425" max="7425" width="0.85546875" style="227" customWidth="1"/>
    <col min="7426" max="7426" width="46.85546875" style="227" customWidth="1"/>
    <col min="7427" max="7427" width="17" style="227" customWidth="1"/>
    <col min="7428" max="7428" width="13.42578125" style="227" customWidth="1"/>
    <col min="7429" max="7429" width="13.5703125" style="227" customWidth="1"/>
    <col min="7430" max="7430" width="16.28515625" style="227" customWidth="1"/>
    <col min="7431" max="7431" width="18.7109375" style="227" customWidth="1"/>
    <col min="7432" max="7432" width="0.85546875" style="227" customWidth="1"/>
    <col min="7433" max="7433" width="10" style="227" customWidth="1"/>
    <col min="7434" max="7680" width="11.42578125" style="227"/>
    <col min="7681" max="7681" width="0.85546875" style="227" customWidth="1"/>
    <col min="7682" max="7682" width="46.85546875" style="227" customWidth="1"/>
    <col min="7683" max="7683" width="17" style="227" customWidth="1"/>
    <col min="7684" max="7684" width="13.42578125" style="227" customWidth="1"/>
    <col min="7685" max="7685" width="13.5703125" style="227" customWidth="1"/>
    <col min="7686" max="7686" width="16.28515625" style="227" customWidth="1"/>
    <col min="7687" max="7687" width="18.7109375" style="227" customWidth="1"/>
    <col min="7688" max="7688" width="0.85546875" style="227" customWidth="1"/>
    <col min="7689" max="7689" width="10" style="227" customWidth="1"/>
    <col min="7690" max="7936" width="11.42578125" style="227"/>
    <col min="7937" max="7937" width="0.85546875" style="227" customWidth="1"/>
    <col min="7938" max="7938" width="46.85546875" style="227" customWidth="1"/>
    <col min="7939" max="7939" width="17" style="227" customWidth="1"/>
    <col min="7940" max="7940" width="13.42578125" style="227" customWidth="1"/>
    <col min="7941" max="7941" width="13.5703125" style="227" customWidth="1"/>
    <col min="7942" max="7942" width="16.28515625" style="227" customWidth="1"/>
    <col min="7943" max="7943" width="18.7109375" style="227" customWidth="1"/>
    <col min="7944" max="7944" width="0.85546875" style="227" customWidth="1"/>
    <col min="7945" max="7945" width="10" style="227" customWidth="1"/>
    <col min="7946" max="8192" width="11.42578125" style="227"/>
    <col min="8193" max="8193" width="0.85546875" style="227" customWidth="1"/>
    <col min="8194" max="8194" width="46.85546875" style="227" customWidth="1"/>
    <col min="8195" max="8195" width="17" style="227" customWidth="1"/>
    <col min="8196" max="8196" width="13.42578125" style="227" customWidth="1"/>
    <col min="8197" max="8197" width="13.5703125" style="227" customWidth="1"/>
    <col min="8198" max="8198" width="16.28515625" style="227" customWidth="1"/>
    <col min="8199" max="8199" width="18.7109375" style="227" customWidth="1"/>
    <col min="8200" max="8200" width="0.85546875" style="227" customWidth="1"/>
    <col min="8201" max="8201" width="10" style="227" customWidth="1"/>
    <col min="8202" max="8448" width="11.42578125" style="227"/>
    <col min="8449" max="8449" width="0.85546875" style="227" customWidth="1"/>
    <col min="8450" max="8450" width="46.85546875" style="227" customWidth="1"/>
    <col min="8451" max="8451" width="17" style="227" customWidth="1"/>
    <col min="8452" max="8452" width="13.42578125" style="227" customWidth="1"/>
    <col min="8453" max="8453" width="13.5703125" style="227" customWidth="1"/>
    <col min="8454" max="8454" width="16.28515625" style="227" customWidth="1"/>
    <col min="8455" max="8455" width="18.7109375" style="227" customWidth="1"/>
    <col min="8456" max="8456" width="0.85546875" style="227" customWidth="1"/>
    <col min="8457" max="8457" width="10" style="227" customWidth="1"/>
    <col min="8458" max="8704" width="11.42578125" style="227"/>
    <col min="8705" max="8705" width="0.85546875" style="227" customWidth="1"/>
    <col min="8706" max="8706" width="46.85546875" style="227" customWidth="1"/>
    <col min="8707" max="8707" width="17" style="227" customWidth="1"/>
    <col min="8708" max="8708" width="13.42578125" style="227" customWidth="1"/>
    <col min="8709" max="8709" width="13.5703125" style="227" customWidth="1"/>
    <col min="8710" max="8710" width="16.28515625" style="227" customWidth="1"/>
    <col min="8711" max="8711" width="18.7109375" style="227" customWidth="1"/>
    <col min="8712" max="8712" width="0.85546875" style="227" customWidth="1"/>
    <col min="8713" max="8713" width="10" style="227" customWidth="1"/>
    <col min="8714" max="8960" width="11.42578125" style="227"/>
    <col min="8961" max="8961" width="0.85546875" style="227" customWidth="1"/>
    <col min="8962" max="8962" width="46.85546875" style="227" customWidth="1"/>
    <col min="8963" max="8963" width="17" style="227" customWidth="1"/>
    <col min="8964" max="8964" width="13.42578125" style="227" customWidth="1"/>
    <col min="8965" max="8965" width="13.5703125" style="227" customWidth="1"/>
    <col min="8966" max="8966" width="16.28515625" style="227" customWidth="1"/>
    <col min="8967" max="8967" width="18.7109375" style="227" customWidth="1"/>
    <col min="8968" max="8968" width="0.85546875" style="227" customWidth="1"/>
    <col min="8969" max="8969" width="10" style="227" customWidth="1"/>
    <col min="8970" max="9216" width="11.42578125" style="227"/>
    <col min="9217" max="9217" width="0.85546875" style="227" customWidth="1"/>
    <col min="9218" max="9218" width="46.85546875" style="227" customWidth="1"/>
    <col min="9219" max="9219" width="17" style="227" customWidth="1"/>
    <col min="9220" max="9220" width="13.42578125" style="227" customWidth="1"/>
    <col min="9221" max="9221" width="13.5703125" style="227" customWidth="1"/>
    <col min="9222" max="9222" width="16.28515625" style="227" customWidth="1"/>
    <col min="9223" max="9223" width="18.7109375" style="227" customWidth="1"/>
    <col min="9224" max="9224" width="0.85546875" style="227" customWidth="1"/>
    <col min="9225" max="9225" width="10" style="227" customWidth="1"/>
    <col min="9226" max="9472" width="11.42578125" style="227"/>
    <col min="9473" max="9473" width="0.85546875" style="227" customWidth="1"/>
    <col min="9474" max="9474" width="46.85546875" style="227" customWidth="1"/>
    <col min="9475" max="9475" width="17" style="227" customWidth="1"/>
    <col min="9476" max="9476" width="13.42578125" style="227" customWidth="1"/>
    <col min="9477" max="9477" width="13.5703125" style="227" customWidth="1"/>
    <col min="9478" max="9478" width="16.28515625" style="227" customWidth="1"/>
    <col min="9479" max="9479" width="18.7109375" style="227" customWidth="1"/>
    <col min="9480" max="9480" width="0.85546875" style="227" customWidth="1"/>
    <col min="9481" max="9481" width="10" style="227" customWidth="1"/>
    <col min="9482" max="9728" width="11.42578125" style="227"/>
    <col min="9729" max="9729" width="0.85546875" style="227" customWidth="1"/>
    <col min="9730" max="9730" width="46.85546875" style="227" customWidth="1"/>
    <col min="9731" max="9731" width="17" style="227" customWidth="1"/>
    <col min="9732" max="9732" width="13.42578125" style="227" customWidth="1"/>
    <col min="9733" max="9733" width="13.5703125" style="227" customWidth="1"/>
    <col min="9734" max="9734" width="16.28515625" style="227" customWidth="1"/>
    <col min="9735" max="9735" width="18.7109375" style="227" customWidth="1"/>
    <col min="9736" max="9736" width="0.85546875" style="227" customWidth="1"/>
    <col min="9737" max="9737" width="10" style="227" customWidth="1"/>
    <col min="9738" max="9984" width="11.42578125" style="227"/>
    <col min="9985" max="9985" width="0.85546875" style="227" customWidth="1"/>
    <col min="9986" max="9986" width="46.85546875" style="227" customWidth="1"/>
    <col min="9987" max="9987" width="17" style="227" customWidth="1"/>
    <col min="9988" max="9988" width="13.42578125" style="227" customWidth="1"/>
    <col min="9989" max="9989" width="13.5703125" style="227" customWidth="1"/>
    <col min="9990" max="9990" width="16.28515625" style="227" customWidth="1"/>
    <col min="9991" max="9991" width="18.7109375" style="227" customWidth="1"/>
    <col min="9992" max="9992" width="0.85546875" style="227" customWidth="1"/>
    <col min="9993" max="9993" width="10" style="227" customWidth="1"/>
    <col min="9994" max="10240" width="11.42578125" style="227"/>
    <col min="10241" max="10241" width="0.85546875" style="227" customWidth="1"/>
    <col min="10242" max="10242" width="46.85546875" style="227" customWidth="1"/>
    <col min="10243" max="10243" width="17" style="227" customWidth="1"/>
    <col min="10244" max="10244" width="13.42578125" style="227" customWidth="1"/>
    <col min="10245" max="10245" width="13.5703125" style="227" customWidth="1"/>
    <col min="10246" max="10246" width="16.28515625" style="227" customWidth="1"/>
    <col min="10247" max="10247" width="18.7109375" style="227" customWidth="1"/>
    <col min="10248" max="10248" width="0.85546875" style="227" customWidth="1"/>
    <col min="10249" max="10249" width="10" style="227" customWidth="1"/>
    <col min="10250" max="10496" width="11.42578125" style="227"/>
    <col min="10497" max="10497" width="0.85546875" style="227" customWidth="1"/>
    <col min="10498" max="10498" width="46.85546875" style="227" customWidth="1"/>
    <col min="10499" max="10499" width="17" style="227" customWidth="1"/>
    <col min="10500" max="10500" width="13.42578125" style="227" customWidth="1"/>
    <col min="10501" max="10501" width="13.5703125" style="227" customWidth="1"/>
    <col min="10502" max="10502" width="16.28515625" style="227" customWidth="1"/>
    <col min="10503" max="10503" width="18.7109375" style="227" customWidth="1"/>
    <col min="10504" max="10504" width="0.85546875" style="227" customWidth="1"/>
    <col min="10505" max="10505" width="10" style="227" customWidth="1"/>
    <col min="10506" max="10752" width="11.42578125" style="227"/>
    <col min="10753" max="10753" width="0.85546875" style="227" customWidth="1"/>
    <col min="10754" max="10754" width="46.85546875" style="227" customWidth="1"/>
    <col min="10755" max="10755" width="17" style="227" customWidth="1"/>
    <col min="10756" max="10756" width="13.42578125" style="227" customWidth="1"/>
    <col min="10757" max="10757" width="13.5703125" style="227" customWidth="1"/>
    <col min="10758" max="10758" width="16.28515625" style="227" customWidth="1"/>
    <col min="10759" max="10759" width="18.7109375" style="227" customWidth="1"/>
    <col min="10760" max="10760" width="0.85546875" style="227" customWidth="1"/>
    <col min="10761" max="10761" width="10" style="227" customWidth="1"/>
    <col min="10762" max="11008" width="11.42578125" style="227"/>
    <col min="11009" max="11009" width="0.85546875" style="227" customWidth="1"/>
    <col min="11010" max="11010" width="46.85546875" style="227" customWidth="1"/>
    <col min="11011" max="11011" width="17" style="227" customWidth="1"/>
    <col min="11012" max="11012" width="13.42578125" style="227" customWidth="1"/>
    <col min="11013" max="11013" width="13.5703125" style="227" customWidth="1"/>
    <col min="11014" max="11014" width="16.28515625" style="227" customWidth="1"/>
    <col min="11015" max="11015" width="18.7109375" style="227" customWidth="1"/>
    <col min="11016" max="11016" width="0.85546875" style="227" customWidth="1"/>
    <col min="11017" max="11017" width="10" style="227" customWidth="1"/>
    <col min="11018" max="11264" width="11.42578125" style="227"/>
    <col min="11265" max="11265" width="0.85546875" style="227" customWidth="1"/>
    <col min="11266" max="11266" width="46.85546875" style="227" customWidth="1"/>
    <col min="11267" max="11267" width="17" style="227" customWidth="1"/>
    <col min="11268" max="11268" width="13.42578125" style="227" customWidth="1"/>
    <col min="11269" max="11269" width="13.5703125" style="227" customWidth="1"/>
    <col min="11270" max="11270" width="16.28515625" style="227" customWidth="1"/>
    <col min="11271" max="11271" width="18.7109375" style="227" customWidth="1"/>
    <col min="11272" max="11272" width="0.85546875" style="227" customWidth="1"/>
    <col min="11273" max="11273" width="10" style="227" customWidth="1"/>
    <col min="11274" max="11520" width="11.42578125" style="227"/>
    <col min="11521" max="11521" width="0.85546875" style="227" customWidth="1"/>
    <col min="11522" max="11522" width="46.85546875" style="227" customWidth="1"/>
    <col min="11523" max="11523" width="17" style="227" customWidth="1"/>
    <col min="11524" max="11524" width="13.42578125" style="227" customWidth="1"/>
    <col min="11525" max="11525" width="13.5703125" style="227" customWidth="1"/>
    <col min="11526" max="11526" width="16.28515625" style="227" customWidth="1"/>
    <col min="11527" max="11527" width="18.7109375" style="227" customWidth="1"/>
    <col min="11528" max="11528" width="0.85546875" style="227" customWidth="1"/>
    <col min="11529" max="11529" width="10" style="227" customWidth="1"/>
    <col min="11530" max="11776" width="11.42578125" style="227"/>
    <col min="11777" max="11777" width="0.85546875" style="227" customWidth="1"/>
    <col min="11778" max="11778" width="46.85546875" style="227" customWidth="1"/>
    <col min="11779" max="11779" width="17" style="227" customWidth="1"/>
    <col min="11780" max="11780" width="13.42578125" style="227" customWidth="1"/>
    <col min="11781" max="11781" width="13.5703125" style="227" customWidth="1"/>
    <col min="11782" max="11782" width="16.28515625" style="227" customWidth="1"/>
    <col min="11783" max="11783" width="18.7109375" style="227" customWidth="1"/>
    <col min="11784" max="11784" width="0.85546875" style="227" customWidth="1"/>
    <col min="11785" max="11785" width="10" style="227" customWidth="1"/>
    <col min="11786" max="12032" width="11.42578125" style="227"/>
    <col min="12033" max="12033" width="0.85546875" style="227" customWidth="1"/>
    <col min="12034" max="12034" width="46.85546875" style="227" customWidth="1"/>
    <col min="12035" max="12035" width="17" style="227" customWidth="1"/>
    <col min="12036" max="12036" width="13.42578125" style="227" customWidth="1"/>
    <col min="12037" max="12037" width="13.5703125" style="227" customWidth="1"/>
    <col min="12038" max="12038" width="16.28515625" style="227" customWidth="1"/>
    <col min="12039" max="12039" width="18.7109375" style="227" customWidth="1"/>
    <col min="12040" max="12040" width="0.85546875" style="227" customWidth="1"/>
    <col min="12041" max="12041" width="10" style="227" customWidth="1"/>
    <col min="12042" max="12288" width="11.42578125" style="227"/>
    <col min="12289" max="12289" width="0.85546875" style="227" customWidth="1"/>
    <col min="12290" max="12290" width="46.85546875" style="227" customWidth="1"/>
    <col min="12291" max="12291" width="17" style="227" customWidth="1"/>
    <col min="12292" max="12292" width="13.42578125" style="227" customWidth="1"/>
    <col min="12293" max="12293" width="13.5703125" style="227" customWidth="1"/>
    <col min="12294" max="12294" width="16.28515625" style="227" customWidth="1"/>
    <col min="12295" max="12295" width="18.7109375" style="227" customWidth="1"/>
    <col min="12296" max="12296" width="0.85546875" style="227" customWidth="1"/>
    <col min="12297" max="12297" width="10" style="227" customWidth="1"/>
    <col min="12298" max="12544" width="11.42578125" style="227"/>
    <col min="12545" max="12545" width="0.85546875" style="227" customWidth="1"/>
    <col min="12546" max="12546" width="46.85546875" style="227" customWidth="1"/>
    <col min="12547" max="12547" width="17" style="227" customWidth="1"/>
    <col min="12548" max="12548" width="13.42578125" style="227" customWidth="1"/>
    <col min="12549" max="12549" width="13.5703125" style="227" customWidth="1"/>
    <col min="12550" max="12550" width="16.28515625" style="227" customWidth="1"/>
    <col min="12551" max="12551" width="18.7109375" style="227" customWidth="1"/>
    <col min="12552" max="12552" width="0.85546875" style="227" customWidth="1"/>
    <col min="12553" max="12553" width="10" style="227" customWidth="1"/>
    <col min="12554" max="12800" width="11.42578125" style="227"/>
    <col min="12801" max="12801" width="0.85546875" style="227" customWidth="1"/>
    <col min="12802" max="12802" width="46.85546875" style="227" customWidth="1"/>
    <col min="12803" max="12803" width="17" style="227" customWidth="1"/>
    <col min="12804" max="12804" width="13.42578125" style="227" customWidth="1"/>
    <col min="12805" max="12805" width="13.5703125" style="227" customWidth="1"/>
    <col min="12806" max="12806" width="16.28515625" style="227" customWidth="1"/>
    <col min="12807" max="12807" width="18.7109375" style="227" customWidth="1"/>
    <col min="12808" max="12808" width="0.85546875" style="227" customWidth="1"/>
    <col min="12809" max="12809" width="10" style="227" customWidth="1"/>
    <col min="12810" max="13056" width="11.42578125" style="227"/>
    <col min="13057" max="13057" width="0.85546875" style="227" customWidth="1"/>
    <col min="13058" max="13058" width="46.85546875" style="227" customWidth="1"/>
    <col min="13059" max="13059" width="17" style="227" customWidth="1"/>
    <col min="13060" max="13060" width="13.42578125" style="227" customWidth="1"/>
    <col min="13061" max="13061" width="13.5703125" style="227" customWidth="1"/>
    <col min="13062" max="13062" width="16.28515625" style="227" customWidth="1"/>
    <col min="13063" max="13063" width="18.7109375" style="227" customWidth="1"/>
    <col min="13064" max="13064" width="0.85546875" style="227" customWidth="1"/>
    <col min="13065" max="13065" width="10" style="227" customWidth="1"/>
    <col min="13066" max="13312" width="11.42578125" style="227"/>
    <col min="13313" max="13313" width="0.85546875" style="227" customWidth="1"/>
    <col min="13314" max="13314" width="46.85546875" style="227" customWidth="1"/>
    <col min="13315" max="13315" width="17" style="227" customWidth="1"/>
    <col min="13316" max="13316" width="13.42578125" style="227" customWidth="1"/>
    <col min="13317" max="13317" width="13.5703125" style="227" customWidth="1"/>
    <col min="13318" max="13318" width="16.28515625" style="227" customWidth="1"/>
    <col min="13319" max="13319" width="18.7109375" style="227" customWidth="1"/>
    <col min="13320" max="13320" width="0.85546875" style="227" customWidth="1"/>
    <col min="13321" max="13321" width="10" style="227" customWidth="1"/>
    <col min="13322" max="13568" width="11.42578125" style="227"/>
    <col min="13569" max="13569" width="0.85546875" style="227" customWidth="1"/>
    <col min="13570" max="13570" width="46.85546875" style="227" customWidth="1"/>
    <col min="13571" max="13571" width="17" style="227" customWidth="1"/>
    <col min="13572" max="13572" width="13.42578125" style="227" customWidth="1"/>
    <col min="13573" max="13573" width="13.5703125" style="227" customWidth="1"/>
    <col min="13574" max="13574" width="16.28515625" style="227" customWidth="1"/>
    <col min="13575" max="13575" width="18.7109375" style="227" customWidth="1"/>
    <col min="13576" max="13576" width="0.85546875" style="227" customWidth="1"/>
    <col min="13577" max="13577" width="10" style="227" customWidth="1"/>
    <col min="13578" max="13824" width="11.42578125" style="227"/>
    <col min="13825" max="13825" width="0.85546875" style="227" customWidth="1"/>
    <col min="13826" max="13826" width="46.85546875" style="227" customWidth="1"/>
    <col min="13827" max="13827" width="17" style="227" customWidth="1"/>
    <col min="13828" max="13828" width="13.42578125" style="227" customWidth="1"/>
    <col min="13829" max="13829" width="13.5703125" style="227" customWidth="1"/>
    <col min="13830" max="13830" width="16.28515625" style="227" customWidth="1"/>
    <col min="13831" max="13831" width="18.7109375" style="227" customWidth="1"/>
    <col min="13832" max="13832" width="0.85546875" style="227" customWidth="1"/>
    <col min="13833" max="13833" width="10" style="227" customWidth="1"/>
    <col min="13834" max="14080" width="11.42578125" style="227"/>
    <col min="14081" max="14081" width="0.85546875" style="227" customWidth="1"/>
    <col min="14082" max="14082" width="46.85546875" style="227" customWidth="1"/>
    <col min="14083" max="14083" width="17" style="227" customWidth="1"/>
    <col min="14084" max="14084" width="13.42578125" style="227" customWidth="1"/>
    <col min="14085" max="14085" width="13.5703125" style="227" customWidth="1"/>
    <col min="14086" max="14086" width="16.28515625" style="227" customWidth="1"/>
    <col min="14087" max="14087" width="18.7109375" style="227" customWidth="1"/>
    <col min="14088" max="14088" width="0.85546875" style="227" customWidth="1"/>
    <col min="14089" max="14089" width="10" style="227" customWidth="1"/>
    <col min="14090" max="14336" width="11.42578125" style="227"/>
    <col min="14337" max="14337" width="0.85546875" style="227" customWidth="1"/>
    <col min="14338" max="14338" width="46.85546875" style="227" customWidth="1"/>
    <col min="14339" max="14339" width="17" style="227" customWidth="1"/>
    <col min="14340" max="14340" width="13.42578125" style="227" customWidth="1"/>
    <col min="14341" max="14341" width="13.5703125" style="227" customWidth="1"/>
    <col min="14342" max="14342" width="16.28515625" style="227" customWidth="1"/>
    <col min="14343" max="14343" width="18.7109375" style="227" customWidth="1"/>
    <col min="14344" max="14344" width="0.85546875" style="227" customWidth="1"/>
    <col min="14345" max="14345" width="10" style="227" customWidth="1"/>
    <col min="14346" max="14592" width="11.42578125" style="227"/>
    <col min="14593" max="14593" width="0.85546875" style="227" customWidth="1"/>
    <col min="14594" max="14594" width="46.85546875" style="227" customWidth="1"/>
    <col min="14595" max="14595" width="17" style="227" customWidth="1"/>
    <col min="14596" max="14596" width="13.42578125" style="227" customWidth="1"/>
    <col min="14597" max="14597" width="13.5703125" style="227" customWidth="1"/>
    <col min="14598" max="14598" width="16.28515625" style="227" customWidth="1"/>
    <col min="14599" max="14599" width="18.7109375" style="227" customWidth="1"/>
    <col min="14600" max="14600" width="0.85546875" style="227" customWidth="1"/>
    <col min="14601" max="14601" width="10" style="227" customWidth="1"/>
    <col min="14602" max="14848" width="11.42578125" style="227"/>
    <col min="14849" max="14849" width="0.85546875" style="227" customWidth="1"/>
    <col min="14850" max="14850" width="46.85546875" style="227" customWidth="1"/>
    <col min="14851" max="14851" width="17" style="227" customWidth="1"/>
    <col min="14852" max="14852" width="13.42578125" style="227" customWidth="1"/>
    <col min="14853" max="14853" width="13.5703125" style="227" customWidth="1"/>
    <col min="14854" max="14854" width="16.28515625" style="227" customWidth="1"/>
    <col min="14855" max="14855" width="18.7109375" style="227" customWidth="1"/>
    <col min="14856" max="14856" width="0.85546875" style="227" customWidth="1"/>
    <col min="14857" max="14857" width="10" style="227" customWidth="1"/>
    <col min="14858" max="15104" width="11.42578125" style="227"/>
    <col min="15105" max="15105" width="0.85546875" style="227" customWidth="1"/>
    <col min="15106" max="15106" width="46.85546875" style="227" customWidth="1"/>
    <col min="15107" max="15107" width="17" style="227" customWidth="1"/>
    <col min="15108" max="15108" width="13.42578125" style="227" customWidth="1"/>
    <col min="15109" max="15109" width="13.5703125" style="227" customWidth="1"/>
    <col min="15110" max="15110" width="16.28515625" style="227" customWidth="1"/>
    <col min="15111" max="15111" width="18.7109375" style="227" customWidth="1"/>
    <col min="15112" max="15112" width="0.85546875" style="227" customWidth="1"/>
    <col min="15113" max="15113" width="10" style="227" customWidth="1"/>
    <col min="15114" max="15360" width="11.42578125" style="227"/>
    <col min="15361" max="15361" width="0.85546875" style="227" customWidth="1"/>
    <col min="15362" max="15362" width="46.85546875" style="227" customWidth="1"/>
    <col min="15363" max="15363" width="17" style="227" customWidth="1"/>
    <col min="15364" max="15364" width="13.42578125" style="227" customWidth="1"/>
    <col min="15365" max="15365" width="13.5703125" style="227" customWidth="1"/>
    <col min="15366" max="15366" width="16.28515625" style="227" customWidth="1"/>
    <col min="15367" max="15367" width="18.7109375" style="227" customWidth="1"/>
    <col min="15368" max="15368" width="0.85546875" style="227" customWidth="1"/>
    <col min="15369" max="15369" width="10" style="227" customWidth="1"/>
    <col min="15370" max="15616" width="11.42578125" style="227"/>
    <col min="15617" max="15617" width="0.85546875" style="227" customWidth="1"/>
    <col min="15618" max="15618" width="46.85546875" style="227" customWidth="1"/>
    <col min="15619" max="15619" width="17" style="227" customWidth="1"/>
    <col min="15620" max="15620" width="13.42578125" style="227" customWidth="1"/>
    <col min="15621" max="15621" width="13.5703125" style="227" customWidth="1"/>
    <col min="15622" max="15622" width="16.28515625" style="227" customWidth="1"/>
    <col min="15623" max="15623" width="18.7109375" style="227" customWidth="1"/>
    <col min="15624" max="15624" width="0.85546875" style="227" customWidth="1"/>
    <col min="15625" max="15625" width="10" style="227" customWidth="1"/>
    <col min="15626" max="15872" width="11.42578125" style="227"/>
    <col min="15873" max="15873" width="0.85546875" style="227" customWidth="1"/>
    <col min="15874" max="15874" width="46.85546875" style="227" customWidth="1"/>
    <col min="15875" max="15875" width="17" style="227" customWidth="1"/>
    <col min="15876" max="15876" width="13.42578125" style="227" customWidth="1"/>
    <col min="15877" max="15877" width="13.5703125" style="227" customWidth="1"/>
    <col min="15878" max="15878" width="16.28515625" style="227" customWidth="1"/>
    <col min="15879" max="15879" width="18.7109375" style="227" customWidth="1"/>
    <col min="15880" max="15880" width="0.85546875" style="227" customWidth="1"/>
    <col min="15881" max="15881" width="10" style="227" customWidth="1"/>
    <col min="15882" max="16128" width="11.42578125" style="227"/>
    <col min="16129" max="16129" width="0.85546875" style="227" customWidth="1"/>
    <col min="16130" max="16130" width="46.85546875" style="227" customWidth="1"/>
    <col min="16131" max="16131" width="17" style="227" customWidth="1"/>
    <col min="16132" max="16132" width="13.42578125" style="227" customWidth="1"/>
    <col min="16133" max="16133" width="13.5703125" style="227" customWidth="1"/>
    <col min="16134" max="16134" width="16.28515625" style="227" customWidth="1"/>
    <col min="16135" max="16135" width="18.7109375" style="227" customWidth="1"/>
    <col min="16136" max="16136" width="0.85546875" style="227" customWidth="1"/>
    <col min="16137" max="16137" width="10" style="227" customWidth="1"/>
    <col min="16138" max="16384" width="11.42578125" style="227"/>
  </cols>
  <sheetData>
    <row r="3" spans="2:11" ht="5.25" hidden="1" customHeight="1" thickTop="1" thickBot="1" x14ac:dyDescent="0.25">
      <c r="B3" s="448"/>
      <c r="C3" s="449"/>
      <c r="D3" s="449"/>
      <c r="E3" s="449"/>
      <c r="F3" s="449"/>
      <c r="G3" s="449"/>
      <c r="H3" s="449"/>
      <c r="I3" s="450"/>
      <c r="J3" s="502"/>
    </row>
    <row r="4" spans="2:11" ht="24" hidden="1" customHeight="1" thickBot="1" x14ac:dyDescent="0.25">
      <c r="B4" s="228"/>
      <c r="C4" s="1344"/>
      <c r="D4" s="1347" t="s">
        <v>1597</v>
      </c>
      <c r="E4" s="1348"/>
      <c r="F4" s="1348"/>
      <c r="G4" s="1349"/>
      <c r="H4" s="451" t="s">
        <v>1598</v>
      </c>
      <c r="I4" s="231"/>
      <c r="J4" s="502"/>
    </row>
    <row r="5" spans="2:11" ht="24" hidden="1" customHeight="1" thickBot="1" x14ac:dyDescent="0.25">
      <c r="B5" s="228"/>
      <c r="C5" s="1345"/>
      <c r="D5" s="452" t="s">
        <v>1599</v>
      </c>
      <c r="E5" s="1350" t="s">
        <v>1600</v>
      </c>
      <c r="F5" s="1351"/>
      <c r="G5" s="1352"/>
      <c r="H5" s="451" t="s">
        <v>1601</v>
      </c>
      <c r="I5" s="231"/>
      <c r="J5" s="502"/>
    </row>
    <row r="6" spans="2:11" ht="24" hidden="1" customHeight="1" thickBot="1" x14ac:dyDescent="0.25">
      <c r="B6" s="228"/>
      <c r="C6" s="1345"/>
      <c r="D6" s="452" t="s">
        <v>1602</v>
      </c>
      <c r="E6" s="453" t="s">
        <v>1603</v>
      </c>
      <c r="G6" s="454"/>
      <c r="H6" s="451" t="s">
        <v>1604</v>
      </c>
      <c r="I6" s="231"/>
      <c r="J6" s="502"/>
    </row>
    <row r="7" spans="2:11" ht="24" hidden="1" customHeight="1" thickBot="1" x14ac:dyDescent="0.25">
      <c r="B7" s="228"/>
      <c r="C7" s="1345"/>
      <c r="D7" s="452" t="s">
        <v>1605</v>
      </c>
      <c r="E7" s="1350" t="s">
        <v>1606</v>
      </c>
      <c r="F7" s="1351"/>
      <c r="G7" s="1352"/>
      <c r="H7" s="451"/>
      <c r="I7" s="231"/>
      <c r="J7" s="502"/>
    </row>
    <row r="8" spans="2:11" ht="24" hidden="1" customHeight="1" thickBot="1" x14ac:dyDescent="0.25">
      <c r="B8" s="228"/>
      <c r="C8" s="1346"/>
      <c r="D8" s="452" t="s">
        <v>1607</v>
      </c>
      <c r="E8" s="455" t="str">
        <f>[5]RESUMEN!E8</f>
        <v>HORUS CONSTRUCTORES Cia. Ltda.</v>
      </c>
      <c r="F8" s="456"/>
      <c r="G8" s="457"/>
      <c r="H8" s="458" t="str">
        <f>[5]RESUMEN!$H$8</f>
        <v>DIV.: ESTUDIOS</v>
      </c>
      <c r="I8" s="231"/>
      <c r="J8" s="502"/>
    </row>
    <row r="9" spans="2:11" ht="38.25" hidden="1" customHeight="1" thickBot="1" x14ac:dyDescent="0.25">
      <c r="B9" s="228"/>
      <c r="C9" s="459" t="s">
        <v>1608</v>
      </c>
      <c r="D9" s="459" t="s">
        <v>1609</v>
      </c>
      <c r="E9" s="1353" t="s">
        <v>1610</v>
      </c>
      <c r="F9" s="1354"/>
      <c r="G9" s="460" t="s">
        <v>1611</v>
      </c>
      <c r="H9" s="461">
        <v>43510</v>
      </c>
      <c r="I9" s="231"/>
      <c r="J9" s="502"/>
    </row>
    <row r="10" spans="2:11" ht="6" customHeight="1" x14ac:dyDescent="0.2">
      <c r="B10" s="228"/>
      <c r="C10" s="230"/>
      <c r="D10" s="230"/>
      <c r="E10" s="230"/>
      <c r="F10" s="230"/>
      <c r="G10" s="230"/>
      <c r="H10" s="230"/>
      <c r="I10" s="231"/>
      <c r="J10" s="502"/>
    </row>
    <row r="11" spans="2:11" ht="21" customHeight="1" x14ac:dyDescent="0.2">
      <c r="B11" s="228"/>
      <c r="C11" s="1343" t="s">
        <v>1621</v>
      </c>
      <c r="D11" s="1343"/>
      <c r="E11" s="1343"/>
      <c r="F11" s="1343"/>
      <c r="G11" s="1343"/>
      <c r="H11" s="1343"/>
      <c r="I11" s="1343"/>
      <c r="J11" s="1343"/>
      <c r="K11" s="1343"/>
    </row>
    <row r="12" spans="2:11" ht="29.25" customHeight="1" thickBot="1" x14ac:dyDescent="0.25">
      <c r="B12" s="228"/>
      <c r="C12" s="1341" t="s">
        <v>535</v>
      </c>
      <c r="D12" s="1341"/>
      <c r="E12" s="484" t="s">
        <v>1020</v>
      </c>
      <c r="F12" s="484" t="s">
        <v>1021</v>
      </c>
      <c r="G12" s="484" t="s">
        <v>1612</v>
      </c>
      <c r="H12" s="484" t="s">
        <v>536</v>
      </c>
      <c r="I12" s="494"/>
      <c r="J12" s="503" t="s">
        <v>1619</v>
      </c>
      <c r="K12" s="507" t="s">
        <v>1436</v>
      </c>
    </row>
    <row r="13" spans="2:11" ht="5.25" hidden="1" customHeight="1" x14ac:dyDescent="0.2">
      <c r="B13" s="228"/>
      <c r="C13" s="494"/>
      <c r="D13" s="494"/>
      <c r="E13" s="494"/>
      <c r="F13" s="494"/>
      <c r="G13" s="494"/>
      <c r="H13" s="494"/>
      <c r="I13" s="494"/>
      <c r="J13" s="503"/>
      <c r="K13" s="508"/>
    </row>
    <row r="14" spans="2:11" ht="15.6" hidden="1" customHeight="1" thickBot="1" x14ac:dyDescent="0.25">
      <c r="B14" s="228"/>
      <c r="C14" s="494"/>
      <c r="D14" s="494"/>
      <c r="E14" s="494"/>
      <c r="F14" s="495" t="s">
        <v>1613</v>
      </c>
      <c r="G14" s="495">
        <v>0.05</v>
      </c>
      <c r="H14" s="494"/>
      <c r="I14" s="494"/>
      <c r="J14" s="503"/>
      <c r="K14" s="508"/>
    </row>
    <row r="15" spans="2:11" ht="34.9" customHeight="1" thickBot="1" x14ac:dyDescent="0.25">
      <c r="B15" s="228"/>
      <c r="C15" s="696" t="s">
        <v>1638</v>
      </c>
      <c r="D15" s="485" t="s">
        <v>1614</v>
      </c>
      <c r="E15" s="486" t="s">
        <v>571</v>
      </c>
      <c r="F15" s="487">
        <f>[6]OBRAS!$E$9</f>
        <v>4662.1000000000004</v>
      </c>
      <c r="G15" s="487">
        <v>1.25</v>
      </c>
      <c r="H15" s="499">
        <f>G15*F15</f>
        <v>5827.625</v>
      </c>
      <c r="I15" s="498"/>
      <c r="J15" s="504">
        <v>5827.625</v>
      </c>
      <c r="K15" s="500">
        <f>+J15*100/$J$30</f>
        <v>13.553077714087754</v>
      </c>
    </row>
    <row r="16" spans="2:11" ht="34.9" customHeight="1" thickBot="1" x14ac:dyDescent="0.25">
      <c r="B16" s="228"/>
      <c r="C16" s="697" t="s">
        <v>1639</v>
      </c>
      <c r="D16" s="485" t="s">
        <v>1614</v>
      </c>
      <c r="E16" s="486" t="s">
        <v>571</v>
      </c>
      <c r="F16" s="487">
        <f>[6]OBRAS!$E$9</f>
        <v>4662.1000000000004</v>
      </c>
      <c r="G16" s="487">
        <v>1</v>
      </c>
      <c r="H16" s="499">
        <f t="shared" ref="H16:H26" si="0">G16*F16</f>
        <v>4662.1000000000004</v>
      </c>
      <c r="I16" s="498"/>
      <c r="J16" s="504">
        <v>4662.1000000000004</v>
      </c>
      <c r="K16" s="500">
        <f t="shared" ref="K16:K30" si="1">+J16*100/$J$30</f>
        <v>10.842462171270205</v>
      </c>
    </row>
    <row r="17" spans="2:11" ht="34.9" customHeight="1" thickBot="1" x14ac:dyDescent="0.25">
      <c r="B17" s="228"/>
      <c r="C17" s="697" t="s">
        <v>1640</v>
      </c>
      <c r="D17" s="485" t="s">
        <v>1614</v>
      </c>
      <c r="E17" s="486" t="s">
        <v>571</v>
      </c>
      <c r="F17" s="487">
        <f>[6]OBRAS!$E$9</f>
        <v>4662.1000000000004</v>
      </c>
      <c r="G17" s="487">
        <v>0.65</v>
      </c>
      <c r="H17" s="499">
        <f t="shared" si="0"/>
        <v>3030.3650000000002</v>
      </c>
      <c r="I17" s="498"/>
      <c r="J17" s="504">
        <v>3030.3650000000002</v>
      </c>
      <c r="K17" s="500">
        <f t="shared" si="1"/>
        <v>7.0476004113256323</v>
      </c>
    </row>
    <row r="18" spans="2:11" ht="34.9" customHeight="1" thickBot="1" x14ac:dyDescent="0.25">
      <c r="B18" s="228"/>
      <c r="C18" s="697" t="s">
        <v>1641</v>
      </c>
      <c r="D18" s="485" t="s">
        <v>1614</v>
      </c>
      <c r="E18" s="486" t="s">
        <v>571</v>
      </c>
      <c r="F18" s="487">
        <f>[6]OBRAS!$E$9</f>
        <v>4662.1000000000004</v>
      </c>
      <c r="G18" s="487">
        <f>G17</f>
        <v>0.65</v>
      </c>
      <c r="H18" s="499">
        <f t="shared" si="0"/>
        <v>3030.3650000000002</v>
      </c>
      <c r="I18" s="498"/>
      <c r="J18" s="504">
        <v>3030.3650000000002</v>
      </c>
      <c r="K18" s="500">
        <f t="shared" si="1"/>
        <v>7.0476004113256323</v>
      </c>
    </row>
    <row r="19" spans="2:11" ht="34.9" customHeight="1" thickBot="1" x14ac:dyDescent="0.25">
      <c r="B19" s="228"/>
      <c r="C19" s="697" t="s">
        <v>1642</v>
      </c>
      <c r="D19" s="485" t="s">
        <v>1614</v>
      </c>
      <c r="E19" s="486" t="s">
        <v>571</v>
      </c>
      <c r="F19" s="487">
        <f>[6]OBRAS!$E$9</f>
        <v>4662.1000000000004</v>
      </c>
      <c r="G19" s="487">
        <f>G18</f>
        <v>0.65</v>
      </c>
      <c r="H19" s="499">
        <f t="shared" si="0"/>
        <v>3030.3650000000002</v>
      </c>
      <c r="I19" s="498"/>
      <c r="J19" s="504">
        <v>3030.3650000000002</v>
      </c>
      <c r="K19" s="500">
        <f t="shared" si="1"/>
        <v>7.0476004113256323</v>
      </c>
    </row>
    <row r="20" spans="2:11" ht="34.9" customHeight="1" thickBot="1" x14ac:dyDescent="0.25">
      <c r="B20" s="228"/>
      <c r="C20" s="697" t="s">
        <v>1640</v>
      </c>
      <c r="D20" s="485" t="s">
        <v>1614</v>
      </c>
      <c r="E20" s="486" t="s">
        <v>571</v>
      </c>
      <c r="F20" s="487">
        <f>[6]OBRAS!$E$9</f>
        <v>4662.1000000000004</v>
      </c>
      <c r="G20" s="487">
        <f>G19</f>
        <v>0.65</v>
      </c>
      <c r="H20" s="499">
        <f t="shared" si="0"/>
        <v>3030.3650000000002</v>
      </c>
      <c r="I20" s="498"/>
      <c r="J20" s="504">
        <v>3030.3650000000002</v>
      </c>
      <c r="K20" s="500">
        <f t="shared" si="1"/>
        <v>7.0476004113256323</v>
      </c>
    </row>
    <row r="21" spans="2:11" ht="34.9" customHeight="1" thickBot="1" x14ac:dyDescent="0.25">
      <c r="B21" s="228"/>
      <c r="C21" s="697" t="s">
        <v>1643</v>
      </c>
      <c r="D21" s="485" t="s">
        <v>1614</v>
      </c>
      <c r="E21" s="486" t="s">
        <v>571</v>
      </c>
      <c r="F21" s="487">
        <f>[6]OBRAS!$E$9</f>
        <v>4662.1000000000004</v>
      </c>
      <c r="G21" s="487">
        <f>G20</f>
        <v>0.65</v>
      </c>
      <c r="H21" s="499">
        <f>G21*F21</f>
        <v>3030.3650000000002</v>
      </c>
      <c r="I21" s="498"/>
      <c r="J21" s="504">
        <v>3030.3650000000002</v>
      </c>
      <c r="K21" s="500">
        <f t="shared" si="1"/>
        <v>7.0476004113256323</v>
      </c>
    </row>
    <row r="22" spans="2:11" ht="34.9" customHeight="1" thickBot="1" x14ac:dyDescent="0.25">
      <c r="B22" s="228"/>
      <c r="C22" s="697" t="s">
        <v>1644</v>
      </c>
      <c r="D22" s="485" t="s">
        <v>1614</v>
      </c>
      <c r="E22" s="486" t="s">
        <v>1066</v>
      </c>
      <c r="F22" s="487">
        <v>250</v>
      </c>
      <c r="G22" s="487">
        <f>100*$G$14</f>
        <v>5</v>
      </c>
      <c r="H22" s="499">
        <f t="shared" si="0"/>
        <v>1250</v>
      </c>
      <c r="I22" s="498"/>
      <c r="J22" s="504">
        <v>1250</v>
      </c>
      <c r="K22" s="500">
        <f t="shared" si="1"/>
        <v>2.9070757199733497</v>
      </c>
    </row>
    <row r="23" spans="2:11" ht="34.9" customHeight="1" thickBot="1" x14ac:dyDescent="0.25">
      <c r="B23" s="228"/>
      <c r="C23" s="697" t="s">
        <v>1645</v>
      </c>
      <c r="D23" s="485" t="s">
        <v>1614</v>
      </c>
      <c r="E23" s="486" t="s">
        <v>1066</v>
      </c>
      <c r="F23" s="487">
        <f>F22</f>
        <v>250</v>
      </c>
      <c r="G23" s="487">
        <v>3</v>
      </c>
      <c r="H23" s="499">
        <f t="shared" si="0"/>
        <v>750</v>
      </c>
      <c r="I23" s="498"/>
      <c r="J23" s="504">
        <v>750</v>
      </c>
      <c r="K23" s="500">
        <f t="shared" si="1"/>
        <v>1.7442454319840099</v>
      </c>
    </row>
    <row r="24" spans="2:11" ht="34.9" customHeight="1" thickBot="1" x14ac:dyDescent="0.25">
      <c r="B24" s="228"/>
      <c r="C24" s="697" t="s">
        <v>1646</v>
      </c>
      <c r="D24" s="485" t="s">
        <v>1614</v>
      </c>
      <c r="E24" s="486" t="s">
        <v>1066</v>
      </c>
      <c r="F24" s="487">
        <f>F22</f>
        <v>250</v>
      </c>
      <c r="G24" s="487">
        <v>3</v>
      </c>
      <c r="H24" s="499">
        <f t="shared" si="0"/>
        <v>750</v>
      </c>
      <c r="I24" s="498"/>
      <c r="J24" s="504">
        <v>750</v>
      </c>
      <c r="K24" s="500">
        <f t="shared" si="1"/>
        <v>1.7442454319840099</v>
      </c>
    </row>
    <row r="25" spans="2:11" ht="34.9" customHeight="1" thickBot="1" x14ac:dyDescent="0.25">
      <c r="B25" s="228"/>
      <c r="C25" s="697" t="s">
        <v>1647</v>
      </c>
      <c r="D25" s="485" t="s">
        <v>1614</v>
      </c>
      <c r="E25" s="486" t="s">
        <v>556</v>
      </c>
      <c r="F25" s="487">
        <v>1</v>
      </c>
      <c r="G25" s="487">
        <v>4500</v>
      </c>
      <c r="H25" s="499">
        <f t="shared" si="0"/>
        <v>4500</v>
      </c>
      <c r="I25" s="498"/>
      <c r="J25" s="504">
        <v>4500</v>
      </c>
      <c r="K25" s="500">
        <f t="shared" si="1"/>
        <v>10.46547259190406</v>
      </c>
    </row>
    <row r="26" spans="2:11" ht="34.9" customHeight="1" thickBot="1" x14ac:dyDescent="0.25">
      <c r="B26" s="228"/>
      <c r="C26" s="697" t="s">
        <v>1648</v>
      </c>
      <c r="D26" s="485" t="s">
        <v>1614</v>
      </c>
      <c r="E26" s="486" t="s">
        <v>556</v>
      </c>
      <c r="F26" s="487">
        <v>1</v>
      </c>
      <c r="G26" s="487">
        <v>5500</v>
      </c>
      <c r="H26" s="499">
        <f t="shared" si="0"/>
        <v>5500</v>
      </c>
      <c r="I26" s="498"/>
      <c r="J26" s="504">
        <v>5500</v>
      </c>
      <c r="K26" s="500">
        <f t="shared" si="1"/>
        <v>12.791133167882739</v>
      </c>
    </row>
    <row r="27" spans="2:11" ht="15" hidden="1" x14ac:dyDescent="0.2">
      <c r="B27" s="228"/>
      <c r="C27" s="488"/>
      <c r="D27" s="488"/>
      <c r="E27" s="486"/>
      <c r="F27" s="488"/>
      <c r="G27" s="488"/>
      <c r="H27" s="488"/>
      <c r="I27" s="494"/>
      <c r="J27" s="505"/>
      <c r="K27" s="496"/>
    </row>
    <row r="28" spans="2:11" ht="15" hidden="1" x14ac:dyDescent="0.2">
      <c r="B28" s="228"/>
      <c r="C28" s="489" t="s">
        <v>1615</v>
      </c>
      <c r="D28" s="488"/>
      <c r="E28" s="488"/>
      <c r="F28" s="488"/>
      <c r="G28" s="488"/>
      <c r="H28" s="490">
        <f>SUM(H15:H27)</f>
        <v>38391.550000000003</v>
      </c>
      <c r="I28" s="494"/>
      <c r="J28" s="506">
        <v>38391.550000000003</v>
      </c>
      <c r="K28" s="496"/>
    </row>
    <row r="29" spans="2:11" ht="15" hidden="1" x14ac:dyDescent="0.2">
      <c r="B29" s="228"/>
      <c r="C29" s="489" t="s">
        <v>1616</v>
      </c>
      <c r="D29" s="488"/>
      <c r="E29" s="488"/>
      <c r="F29" s="488"/>
      <c r="G29" s="491">
        <f>[5]RESUMEN!G27</f>
        <v>0.12</v>
      </c>
      <c r="H29" s="492">
        <f>H28*G29</f>
        <v>4606.9859999999999</v>
      </c>
      <c r="I29" s="494"/>
      <c r="J29" s="505">
        <v>4606.9859999999999</v>
      </c>
      <c r="K29" s="496"/>
    </row>
    <row r="30" spans="2:11" ht="15" x14ac:dyDescent="0.2">
      <c r="B30" s="228"/>
      <c r="C30" s="489" t="s">
        <v>1620</v>
      </c>
      <c r="D30" s="488"/>
      <c r="E30" s="488"/>
      <c r="F30" s="488"/>
      <c r="G30" s="488"/>
      <c r="H30" s="490">
        <f>SUM(H28:H29)</f>
        <v>42998.536</v>
      </c>
      <c r="I30" s="494"/>
      <c r="J30" s="506">
        <v>42998.536</v>
      </c>
      <c r="K30" s="500">
        <f t="shared" si="1"/>
        <v>99.999999999999986</v>
      </c>
    </row>
    <row r="31" spans="2:11" ht="20.100000000000001" hidden="1" customHeight="1" x14ac:dyDescent="0.2">
      <c r="B31" s="228"/>
      <c r="C31" s="493" t="s">
        <v>1617</v>
      </c>
      <c r="D31" s="1342" t="s">
        <v>1618</v>
      </c>
      <c r="E31" s="1342"/>
      <c r="F31" s="1342"/>
      <c r="G31" s="1342"/>
      <c r="H31" s="1342"/>
      <c r="I31" s="494"/>
      <c r="J31" s="503"/>
      <c r="K31" s="497"/>
    </row>
    <row r="32" spans="2:11" hidden="1" x14ac:dyDescent="0.2">
      <c r="B32" s="228"/>
      <c r="C32" s="462"/>
      <c r="D32" s="463"/>
      <c r="E32" s="230"/>
      <c r="F32" s="230"/>
      <c r="G32" s="230"/>
      <c r="H32" s="464"/>
      <c r="I32" s="231"/>
      <c r="J32" s="502"/>
    </row>
    <row r="33" spans="1:10" hidden="1" x14ac:dyDescent="0.2">
      <c r="B33" s="228"/>
      <c r="C33" s="465"/>
      <c r="D33" s="230"/>
      <c r="E33" s="230"/>
      <c r="F33" s="230"/>
      <c r="G33" s="230"/>
      <c r="H33" s="464"/>
      <c r="I33" s="231"/>
      <c r="J33" s="502"/>
    </row>
    <row r="34" spans="1:10" hidden="1" x14ac:dyDescent="0.2">
      <c r="B34" s="228"/>
      <c r="C34" s="465"/>
      <c r="D34" s="230"/>
      <c r="E34" s="230"/>
      <c r="F34" s="230"/>
      <c r="G34" s="230"/>
      <c r="H34" s="464"/>
      <c r="I34" s="231"/>
      <c r="J34" s="502"/>
    </row>
    <row r="35" spans="1:10" hidden="1" x14ac:dyDescent="0.2">
      <c r="B35" s="228"/>
      <c r="C35" s="465"/>
      <c r="E35" s="463" t="str">
        <f>[5]RESUMEN!D38</f>
        <v>Atentamente</v>
      </c>
      <c r="F35" s="230"/>
      <c r="G35" s="230"/>
      <c r="H35" s="464"/>
      <c r="I35" s="231"/>
      <c r="J35" s="502"/>
    </row>
    <row r="36" spans="1:10" hidden="1" x14ac:dyDescent="0.2">
      <c r="B36" s="228"/>
      <c r="C36" s="465"/>
      <c r="D36" s="466"/>
      <c r="E36" s="467" t="str">
        <f>[5]RESUMEN!D39</f>
        <v>HORUS CONSTRUCTORES Cia. Ltda.</v>
      </c>
      <c r="F36" s="468"/>
      <c r="G36" s="230"/>
      <c r="H36" s="464"/>
      <c r="I36" s="231"/>
      <c r="J36" s="502"/>
    </row>
    <row r="37" spans="1:10" hidden="1" x14ac:dyDescent="0.2">
      <c r="B37" s="228"/>
      <c r="C37" s="469"/>
      <c r="F37" s="230"/>
      <c r="G37" s="230"/>
      <c r="H37" s="464"/>
      <c r="I37" s="231"/>
      <c r="J37" s="502"/>
    </row>
    <row r="38" spans="1:10" hidden="1" x14ac:dyDescent="0.2">
      <c r="B38" s="228"/>
      <c r="C38" s="469"/>
      <c r="F38" s="230"/>
      <c r="G38" s="230"/>
      <c r="H38" s="464"/>
      <c r="I38" s="231"/>
      <c r="J38" s="502"/>
    </row>
    <row r="39" spans="1:10" hidden="1" x14ac:dyDescent="0.2">
      <c r="B39" s="228"/>
      <c r="C39" s="469"/>
      <c r="F39" s="230"/>
      <c r="G39" s="230"/>
      <c r="H39" s="464"/>
      <c r="I39" s="231"/>
      <c r="J39" s="502"/>
    </row>
    <row r="40" spans="1:10" hidden="1" x14ac:dyDescent="0.2">
      <c r="B40" s="228"/>
      <c r="C40" s="470"/>
      <c r="F40" s="230"/>
      <c r="G40" s="230"/>
      <c r="H40" s="464"/>
      <c r="I40" s="231"/>
      <c r="J40" s="502"/>
    </row>
    <row r="41" spans="1:10" hidden="1" x14ac:dyDescent="0.2">
      <c r="B41" s="228"/>
      <c r="C41" s="470"/>
      <c r="F41" s="230"/>
      <c r="G41" s="230"/>
      <c r="H41" s="464"/>
      <c r="I41" s="231"/>
      <c r="J41" s="502"/>
    </row>
    <row r="42" spans="1:10" hidden="1" x14ac:dyDescent="0.2">
      <c r="B42" s="228"/>
      <c r="C42" s="471"/>
      <c r="D42" s="472"/>
      <c r="E42" s="473" t="str">
        <f>[5]RESUMEN!D43</f>
        <v>Arq. Cesar López Naranjo</v>
      </c>
      <c r="F42" s="472"/>
      <c r="G42" s="230"/>
      <c r="H42" s="464"/>
      <c r="I42" s="231"/>
      <c r="J42" s="502"/>
    </row>
    <row r="43" spans="1:10" hidden="1" x14ac:dyDescent="0.2">
      <c r="B43" s="228"/>
      <c r="C43" s="471"/>
      <c r="D43" s="230"/>
      <c r="E43" s="474" t="s">
        <v>1392</v>
      </c>
      <c r="F43" s="230"/>
      <c r="G43" s="230"/>
      <c r="H43" s="464"/>
      <c r="I43" s="231"/>
      <c r="J43" s="502"/>
    </row>
    <row r="44" spans="1:10" ht="13.5" hidden="1" thickBot="1" x14ac:dyDescent="0.25">
      <c r="B44" s="228"/>
      <c r="C44" s="475"/>
      <c r="D44" s="476"/>
      <c r="E44" s="476"/>
      <c r="F44" s="476"/>
      <c r="G44" s="476"/>
      <c r="H44" s="477"/>
      <c r="I44" s="231"/>
      <c r="J44" s="502"/>
    </row>
    <row r="45" spans="1:10" ht="5.25" hidden="1" customHeight="1" thickBot="1" x14ac:dyDescent="0.25">
      <c r="B45" s="478"/>
      <c r="C45" s="479"/>
      <c r="D45" s="479"/>
      <c r="E45" s="479"/>
      <c r="F45" s="479"/>
      <c r="G45" s="479"/>
      <c r="H45" s="479"/>
      <c r="I45" s="480"/>
      <c r="J45" s="502"/>
    </row>
    <row r="46" spans="1:10" ht="15.75" hidden="1" thickTop="1" x14ac:dyDescent="0.25">
      <c r="A46" s="481"/>
      <c r="B46" s="300" t="str">
        <f>[5]RESUMEN!B46</f>
        <v>Av. Gaspar de Villarroel E 12 - 123 y Abascal</v>
      </c>
      <c r="C46" s="481"/>
      <c r="D46" s="481"/>
      <c r="H46" s="482"/>
    </row>
    <row r="47" spans="1:10" ht="15" hidden="1" x14ac:dyDescent="0.25">
      <c r="A47" s="481"/>
      <c r="B47" s="300" t="str">
        <f>[5]RESUMEN!B47</f>
        <v xml:space="preserve"> (593 9) 99035242 / skype: jvelawitt</v>
      </c>
      <c r="C47" s="481"/>
      <c r="D47" s="481"/>
      <c r="H47" s="482"/>
    </row>
    <row r="48" spans="1:10" hidden="1" x14ac:dyDescent="0.2">
      <c r="A48" s="481"/>
      <c r="B48" s="300" t="str">
        <f>[5]RESUMEN!B48</f>
        <v>e-mail:  jvelawitt@gmail.com</v>
      </c>
      <c r="C48" s="481"/>
      <c r="D48" s="481"/>
    </row>
    <row r="49" spans="1:4" hidden="1" x14ac:dyDescent="0.2">
      <c r="A49" s="481"/>
      <c r="B49" s="300" t="str">
        <f>[5]RESUMEN!B49</f>
        <v>www.jvw-si.com</v>
      </c>
      <c r="C49" s="481"/>
      <c r="D49" s="481"/>
    </row>
    <row r="50" spans="1:4" hidden="1" x14ac:dyDescent="0.2">
      <c r="A50" s="481"/>
      <c r="B50" s="300" t="str">
        <f>[5]RESUMEN!B50</f>
        <v>Quito - Ecuador</v>
      </c>
      <c r="C50" s="481"/>
      <c r="D50" s="481"/>
    </row>
    <row r="51" spans="1:4" x14ac:dyDescent="0.2">
      <c r="A51" s="481"/>
      <c r="B51" s="481"/>
      <c r="C51" s="481"/>
      <c r="D51" s="481"/>
    </row>
  </sheetData>
  <mergeCells count="8">
    <mergeCell ref="C12:D12"/>
    <mergeCell ref="D31:H31"/>
    <mergeCell ref="C11:K11"/>
    <mergeCell ref="C4:C8"/>
    <mergeCell ref="D4:G4"/>
    <mergeCell ref="E5:G5"/>
    <mergeCell ref="E7:G7"/>
    <mergeCell ref="E9:F9"/>
  </mergeCells>
  <printOptions horizontalCentered="1" verticalCentered="1"/>
  <pageMargins left="0" right="0" top="0" bottom="0" header="0.31496062992125984" footer="0.31496062992125984"/>
  <pageSetup paperSize="9" scale="8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3:E9"/>
  <sheetViews>
    <sheetView tabSelected="1" workbookViewId="0">
      <selection activeCell="A33" sqref="A33:G57"/>
    </sheetView>
  </sheetViews>
  <sheetFormatPr baseColWidth="10" defaultRowHeight="15" x14ac:dyDescent="0.25"/>
  <cols>
    <col min="1" max="1" width="14.140625" bestFit="1" customWidth="1"/>
    <col min="2" max="2" width="25.28515625" bestFit="1" customWidth="1"/>
    <col min="3" max="3" width="12" bestFit="1" customWidth="1"/>
    <col min="4" max="4" width="11.42578125" hidden="1" customWidth="1"/>
  </cols>
  <sheetData>
    <row r="3" spans="1:5" x14ac:dyDescent="0.25">
      <c r="B3" s="1355" t="s">
        <v>1627</v>
      </c>
      <c r="C3" s="1355"/>
      <c r="D3" s="1355"/>
      <c r="E3" s="1355"/>
    </row>
    <row r="4" spans="1:5" x14ac:dyDescent="0.25">
      <c r="B4" s="25" t="s">
        <v>497</v>
      </c>
      <c r="C4" s="25" t="s">
        <v>519</v>
      </c>
      <c r="D4" s="25"/>
      <c r="E4" s="25" t="s">
        <v>504</v>
      </c>
    </row>
    <row r="5" spans="1:5" x14ac:dyDescent="0.25">
      <c r="A5" t="s">
        <v>1623</v>
      </c>
      <c r="B5" t="s">
        <v>1439</v>
      </c>
      <c r="C5" s="698">
        <f>+'Indirectos Consultorias'!$K$11</f>
        <v>37859.699999999997</v>
      </c>
      <c r="D5" s="371">
        <v>37859.699999999997</v>
      </c>
      <c r="E5" s="700">
        <f>+D5/$D$9</f>
        <v>9.5245604928843916E-2</v>
      </c>
    </row>
    <row r="6" spans="1:5" x14ac:dyDescent="0.25">
      <c r="A6" t="s">
        <v>1624</v>
      </c>
      <c r="B6" t="s">
        <v>1440</v>
      </c>
      <c r="C6" s="698">
        <f>+'Indirectos Administra'!X11</f>
        <v>80367</v>
      </c>
      <c r="D6" s="371">
        <v>80367</v>
      </c>
      <c r="E6" s="700">
        <f t="shared" ref="E6:E7" si="0">+D6/$D$9</f>
        <v>0.20218341749449678</v>
      </c>
    </row>
    <row r="7" spans="1:5" x14ac:dyDescent="0.25">
      <c r="A7" t="s">
        <v>1625</v>
      </c>
      <c r="B7" t="s">
        <v>1441</v>
      </c>
      <c r="C7" s="698">
        <f>+'Indirectos Obras'!$V$22</f>
        <v>236270.26678253576</v>
      </c>
      <c r="D7" s="371">
        <v>236270.26678253576</v>
      </c>
      <c r="E7" s="700">
        <f t="shared" si="0"/>
        <v>0.59439732714210514</v>
      </c>
    </row>
    <row r="8" spans="1:5" x14ac:dyDescent="0.25">
      <c r="A8" t="s">
        <v>1626</v>
      </c>
      <c r="B8" t="s">
        <v>1622</v>
      </c>
      <c r="C8" s="698">
        <v>42998.54</v>
      </c>
      <c r="D8" s="371">
        <v>42998.54</v>
      </c>
      <c r="E8" s="700">
        <f>+D8/$D$9</f>
        <v>0.10817365043455422</v>
      </c>
    </row>
    <row r="9" spans="1:5" x14ac:dyDescent="0.25">
      <c r="B9" s="372" t="s">
        <v>1438</v>
      </c>
      <c r="C9" s="699">
        <f>SUM(C5:C8)</f>
        <v>397495.50678253575</v>
      </c>
      <c r="D9" s="373">
        <f>SUM(D5:D8)</f>
        <v>397495.50678253575</v>
      </c>
      <c r="E9" s="701">
        <f t="shared" ref="E9" si="1">+D9/$D$9</f>
        <v>1</v>
      </c>
    </row>
  </sheetData>
  <mergeCells count="1">
    <mergeCell ref="B3:E3"/>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S29"/>
  <sheetViews>
    <sheetView topLeftCell="A13" zoomScale="93" zoomScaleNormal="93" workbookViewId="0">
      <selection activeCell="A33" sqref="A33:G57"/>
    </sheetView>
  </sheetViews>
  <sheetFormatPr baseColWidth="10" defaultRowHeight="15" x14ac:dyDescent="0.25"/>
  <cols>
    <col min="2" max="2" width="5.28515625" customWidth="1"/>
    <col min="3" max="3" width="48.28515625" customWidth="1"/>
    <col min="4" max="19" width="4.7109375" customWidth="1"/>
  </cols>
  <sheetData>
    <row r="2" spans="2:19" x14ac:dyDescent="0.25">
      <c r="B2" s="1359" t="s">
        <v>1840</v>
      </c>
      <c r="C2" s="1360"/>
      <c r="D2" s="1360"/>
      <c r="E2" s="1360"/>
      <c r="F2" s="1360"/>
      <c r="G2" s="1360"/>
      <c r="H2" s="1360"/>
      <c r="I2" s="1360"/>
      <c r="J2" s="1360"/>
      <c r="K2" s="1360"/>
      <c r="L2" s="1360"/>
      <c r="M2" s="1360"/>
      <c r="N2" s="1360"/>
      <c r="O2" s="1360"/>
      <c r="P2" s="1360"/>
      <c r="Q2" s="1360"/>
      <c r="R2" s="1360"/>
      <c r="S2" s="1361"/>
    </row>
    <row r="3" spans="2:19" ht="52.5" customHeight="1" x14ac:dyDescent="0.25">
      <c r="B3" s="730" t="s">
        <v>1651</v>
      </c>
      <c r="C3" s="734" t="s">
        <v>1652</v>
      </c>
      <c r="D3" s="730" t="s">
        <v>1841</v>
      </c>
      <c r="E3" s="730" t="s">
        <v>1654</v>
      </c>
      <c r="F3" s="730" t="s">
        <v>1655</v>
      </c>
      <c r="G3" s="730" t="s">
        <v>1656</v>
      </c>
      <c r="H3" s="730" t="s">
        <v>1657</v>
      </c>
      <c r="I3" s="730" t="s">
        <v>1658</v>
      </c>
      <c r="J3" s="730" t="s">
        <v>1659</v>
      </c>
      <c r="K3" s="730" t="s">
        <v>1660</v>
      </c>
      <c r="L3" s="730" t="s">
        <v>1661</v>
      </c>
      <c r="M3" s="730" t="s">
        <v>1662</v>
      </c>
      <c r="N3" s="730" t="s">
        <v>1663</v>
      </c>
      <c r="O3" s="730" t="s">
        <v>1664</v>
      </c>
      <c r="P3" s="730" t="s">
        <v>1665</v>
      </c>
      <c r="Q3" s="730" t="s">
        <v>1666</v>
      </c>
      <c r="R3" s="730" t="s">
        <v>1667</v>
      </c>
      <c r="S3" s="730" t="s">
        <v>1668</v>
      </c>
    </row>
    <row r="4" spans="2:19" s="390" customFormat="1" ht="20.100000000000001" customHeight="1" x14ac:dyDescent="0.25">
      <c r="B4" s="1356"/>
      <c r="C4" s="728" t="s">
        <v>1669</v>
      </c>
      <c r="D4" s="726"/>
      <c r="E4" s="726"/>
      <c r="F4" s="768"/>
      <c r="G4" s="768"/>
      <c r="H4" s="770"/>
      <c r="I4" s="770"/>
      <c r="J4" s="725"/>
      <c r="K4" s="725"/>
      <c r="L4" s="725"/>
      <c r="M4" s="725"/>
      <c r="N4" s="725"/>
      <c r="O4" s="725"/>
      <c r="P4" s="725"/>
      <c r="Q4" s="725"/>
      <c r="R4" s="725"/>
      <c r="S4" s="727"/>
    </row>
    <row r="5" spans="2:19" s="390" customFormat="1" ht="20.100000000000001" customHeight="1" x14ac:dyDescent="0.25">
      <c r="B5" s="1357"/>
      <c r="C5" s="729" t="s">
        <v>1690</v>
      </c>
      <c r="D5" s="726"/>
      <c r="E5" s="726"/>
      <c r="F5" s="726"/>
      <c r="G5" s="768"/>
      <c r="H5" s="769"/>
      <c r="I5" s="770"/>
      <c r="J5" s="770"/>
      <c r="K5" s="725"/>
      <c r="L5" s="725"/>
      <c r="M5" s="725"/>
      <c r="N5" s="725"/>
      <c r="O5" s="725"/>
      <c r="P5" s="725"/>
      <c r="Q5" s="725"/>
      <c r="R5" s="725"/>
      <c r="S5" s="727"/>
    </row>
    <row r="6" spans="2:19" s="390" customFormat="1" ht="20.100000000000001" customHeight="1" x14ac:dyDescent="0.25">
      <c r="B6" s="1357"/>
      <c r="C6" s="729" t="s">
        <v>1703</v>
      </c>
      <c r="D6" s="726"/>
      <c r="E6" s="726"/>
      <c r="F6" s="726"/>
      <c r="G6" s="726"/>
      <c r="H6" s="769"/>
      <c r="I6" s="769"/>
      <c r="J6" s="769"/>
      <c r="K6" s="769"/>
      <c r="L6" s="769"/>
      <c r="M6" s="769"/>
      <c r="N6" s="769"/>
      <c r="O6" s="770"/>
      <c r="P6" s="770"/>
      <c r="Q6" s="725"/>
      <c r="R6" s="725"/>
      <c r="S6" s="727"/>
    </row>
    <row r="7" spans="2:19" s="390" customFormat="1" ht="20.100000000000001" customHeight="1" x14ac:dyDescent="0.25">
      <c r="B7" s="1357"/>
      <c r="C7" s="729" t="s">
        <v>1730</v>
      </c>
      <c r="D7" s="726"/>
      <c r="E7" s="726"/>
      <c r="F7" s="726"/>
      <c r="G7" s="726"/>
      <c r="H7" s="725"/>
      <c r="I7" s="725"/>
      <c r="J7" s="769"/>
      <c r="K7" s="769"/>
      <c r="L7" s="769"/>
      <c r="M7" s="769"/>
      <c r="N7" s="769"/>
      <c r="O7" s="770"/>
      <c r="P7" s="770"/>
      <c r="Q7" s="725"/>
      <c r="R7" s="725"/>
      <c r="S7" s="727"/>
    </row>
    <row r="8" spans="2:19" s="390" customFormat="1" ht="20.100000000000001" customHeight="1" x14ac:dyDescent="0.25">
      <c r="B8" s="1357"/>
      <c r="C8" s="729" t="s">
        <v>1024</v>
      </c>
      <c r="D8" s="726"/>
      <c r="E8" s="726"/>
      <c r="F8" s="726"/>
      <c r="G8" s="726"/>
      <c r="H8" s="725"/>
      <c r="I8" s="725"/>
      <c r="J8" s="769"/>
      <c r="K8" s="769"/>
      <c r="L8" s="769"/>
      <c r="M8" s="769"/>
      <c r="N8" s="769"/>
      <c r="O8" s="769"/>
      <c r="P8" s="770"/>
      <c r="Q8" s="770"/>
      <c r="R8" s="725"/>
      <c r="S8" s="727"/>
    </row>
    <row r="9" spans="2:19" s="390" customFormat="1" ht="20.100000000000001" customHeight="1" x14ac:dyDescent="0.25">
      <c r="B9" s="1357"/>
      <c r="C9" s="729" t="s">
        <v>1026</v>
      </c>
      <c r="D9" s="726"/>
      <c r="E9" s="726"/>
      <c r="F9" s="726"/>
      <c r="G9" s="726"/>
      <c r="H9" s="725"/>
      <c r="I9" s="725"/>
      <c r="J9" s="725"/>
      <c r="K9" s="769"/>
      <c r="L9" s="769"/>
      <c r="M9" s="769"/>
      <c r="N9" s="769"/>
      <c r="O9" s="769"/>
      <c r="P9" s="769"/>
      <c r="Q9" s="770"/>
      <c r="R9" s="770"/>
      <c r="S9" s="727"/>
    </row>
    <row r="10" spans="2:19" s="390" customFormat="1" ht="20.100000000000001" customHeight="1" x14ac:dyDescent="0.25">
      <c r="B10" s="1357"/>
      <c r="C10" s="729" t="s">
        <v>1046</v>
      </c>
      <c r="D10" s="726"/>
      <c r="E10" s="726"/>
      <c r="F10" s="726"/>
      <c r="G10" s="726"/>
      <c r="H10" s="725"/>
      <c r="I10" s="725"/>
      <c r="J10" s="725"/>
      <c r="K10" s="725"/>
      <c r="L10" s="769"/>
      <c r="M10" s="769"/>
      <c r="N10" s="769"/>
      <c r="O10" s="769"/>
      <c r="P10" s="769"/>
      <c r="Q10" s="769"/>
      <c r="R10" s="769"/>
      <c r="S10" s="771"/>
    </row>
    <row r="11" spans="2:19" s="390" customFormat="1" ht="20.100000000000001" customHeight="1" x14ac:dyDescent="0.25">
      <c r="B11" s="1357"/>
      <c r="C11" s="729" t="s">
        <v>1064</v>
      </c>
      <c r="D11" s="726"/>
      <c r="E11" s="726"/>
      <c r="F11" s="726"/>
      <c r="G11" s="726"/>
      <c r="H11" s="725"/>
      <c r="I11" s="725"/>
      <c r="J11" s="725"/>
      <c r="K11" s="725"/>
      <c r="L11" s="725"/>
      <c r="M11" s="725"/>
      <c r="N11" s="769"/>
      <c r="O11" s="769"/>
      <c r="P11" s="769"/>
      <c r="Q11" s="769"/>
      <c r="R11" s="769"/>
      <c r="S11" s="771"/>
    </row>
    <row r="12" spans="2:19" s="390" customFormat="1" ht="20.100000000000001" customHeight="1" x14ac:dyDescent="0.25">
      <c r="B12" s="1357"/>
      <c r="C12" s="729" t="s">
        <v>1072</v>
      </c>
      <c r="D12" s="726"/>
      <c r="E12" s="726"/>
      <c r="F12" s="726"/>
      <c r="G12" s="726"/>
      <c r="H12" s="725"/>
      <c r="I12" s="725"/>
      <c r="J12" s="725"/>
      <c r="K12" s="725"/>
      <c r="L12" s="725"/>
      <c r="M12" s="725"/>
      <c r="N12" s="769"/>
      <c r="O12" s="769"/>
      <c r="P12" s="769"/>
      <c r="Q12" s="769"/>
      <c r="R12" s="769"/>
      <c r="S12" s="771"/>
    </row>
    <row r="13" spans="2:19" s="390" customFormat="1" ht="20.100000000000001" customHeight="1" x14ac:dyDescent="0.25">
      <c r="B13" s="1357"/>
      <c r="C13" s="729" t="s">
        <v>1077</v>
      </c>
      <c r="D13" s="726"/>
      <c r="E13" s="726"/>
      <c r="F13" s="726"/>
      <c r="G13" s="726"/>
      <c r="H13" s="725"/>
      <c r="I13" s="725"/>
      <c r="J13" s="725"/>
      <c r="K13" s="725"/>
      <c r="L13" s="725"/>
      <c r="M13" s="725"/>
      <c r="N13" s="769"/>
      <c r="O13" s="769"/>
      <c r="P13" s="769"/>
      <c r="Q13" s="769"/>
      <c r="R13" s="769"/>
      <c r="S13" s="771"/>
    </row>
    <row r="14" spans="2:19" s="390" customFormat="1" ht="20.100000000000001" customHeight="1" x14ac:dyDescent="0.25">
      <c r="B14" s="1357"/>
      <c r="C14" s="729" t="s">
        <v>1085</v>
      </c>
      <c r="D14" s="726"/>
      <c r="E14" s="726"/>
      <c r="F14" s="726"/>
      <c r="G14" s="726"/>
      <c r="H14" s="725"/>
      <c r="I14" s="725"/>
      <c r="J14" s="725"/>
      <c r="K14" s="725"/>
      <c r="L14" s="725"/>
      <c r="M14" s="725"/>
      <c r="N14" s="769"/>
      <c r="O14" s="769"/>
      <c r="P14" s="769"/>
      <c r="Q14" s="769"/>
      <c r="R14" s="769"/>
      <c r="S14" s="771"/>
    </row>
    <row r="15" spans="2:19" s="390" customFormat="1" ht="20.100000000000001" customHeight="1" x14ac:dyDescent="0.25">
      <c r="B15" s="1357"/>
      <c r="C15" s="729" t="s">
        <v>1106</v>
      </c>
      <c r="D15" s="726"/>
      <c r="E15" s="726"/>
      <c r="F15" s="726"/>
      <c r="G15" s="726"/>
      <c r="H15" s="725"/>
      <c r="I15" s="725"/>
      <c r="J15" s="725"/>
      <c r="K15" s="725"/>
      <c r="L15" s="725"/>
      <c r="M15" s="725"/>
      <c r="N15" s="725"/>
      <c r="O15" s="725"/>
      <c r="P15" s="725"/>
      <c r="Q15" s="725"/>
      <c r="R15" s="725"/>
      <c r="S15" s="771"/>
    </row>
    <row r="16" spans="2:19" s="390" customFormat="1" ht="20.100000000000001" customHeight="1" x14ac:dyDescent="0.25">
      <c r="B16" s="1357"/>
      <c r="C16" s="729" t="s">
        <v>1114</v>
      </c>
      <c r="D16" s="726"/>
      <c r="E16" s="726"/>
      <c r="F16" s="726"/>
      <c r="G16" s="726"/>
      <c r="H16" s="725"/>
      <c r="I16" s="725"/>
      <c r="J16" s="769"/>
      <c r="K16" s="769"/>
      <c r="L16" s="769"/>
      <c r="M16" s="769"/>
      <c r="N16" s="769"/>
      <c r="O16" s="769"/>
      <c r="P16" s="769"/>
      <c r="Q16" s="769"/>
      <c r="R16" s="769"/>
      <c r="S16" s="771"/>
    </row>
    <row r="17" spans="2:19" s="390" customFormat="1" ht="20.100000000000001" customHeight="1" x14ac:dyDescent="0.25">
      <c r="B17" s="1357"/>
      <c r="C17" s="729" t="s">
        <v>872</v>
      </c>
      <c r="D17" s="726"/>
      <c r="E17" s="726"/>
      <c r="F17" s="726"/>
      <c r="G17" s="726"/>
      <c r="H17" s="725"/>
      <c r="I17" s="725"/>
      <c r="J17" s="725"/>
      <c r="K17" s="769"/>
      <c r="L17" s="769"/>
      <c r="M17" s="769"/>
      <c r="N17" s="769"/>
      <c r="O17" s="769"/>
      <c r="P17" s="769"/>
      <c r="Q17" s="769"/>
      <c r="R17" s="769"/>
      <c r="S17" s="771"/>
    </row>
    <row r="18" spans="2:19" s="390" customFormat="1" ht="20.100000000000001" customHeight="1" x14ac:dyDescent="0.25">
      <c r="B18" s="1357"/>
      <c r="C18" s="729" t="s">
        <v>1764</v>
      </c>
      <c r="D18" s="726"/>
      <c r="E18" s="726"/>
      <c r="F18" s="726"/>
      <c r="G18" s="726"/>
      <c r="H18" s="725"/>
      <c r="I18" s="725"/>
      <c r="J18" s="725"/>
      <c r="K18" s="725"/>
      <c r="L18" s="725"/>
      <c r="M18" s="725"/>
      <c r="N18" s="725"/>
      <c r="O18" s="769"/>
      <c r="P18" s="769"/>
      <c r="Q18" s="769"/>
      <c r="R18" s="769"/>
      <c r="S18" s="771"/>
    </row>
    <row r="19" spans="2:19" s="390" customFormat="1" ht="20.100000000000001" customHeight="1" x14ac:dyDescent="0.25">
      <c r="B19" s="1357"/>
      <c r="C19" s="729" t="s">
        <v>1001</v>
      </c>
      <c r="D19" s="726"/>
      <c r="E19" s="726"/>
      <c r="F19" s="726"/>
      <c r="G19" s="726"/>
      <c r="H19" s="725"/>
      <c r="I19" s="725"/>
      <c r="J19" s="725"/>
      <c r="K19" s="725"/>
      <c r="L19" s="725"/>
      <c r="M19" s="769"/>
      <c r="N19" s="769"/>
      <c r="O19" s="769"/>
      <c r="P19" s="769"/>
      <c r="Q19" s="769"/>
      <c r="R19" s="769"/>
      <c r="S19" s="771"/>
    </row>
    <row r="20" spans="2:19" s="390" customFormat="1" ht="20.100000000000001" customHeight="1" x14ac:dyDescent="0.25">
      <c r="B20" s="1357"/>
      <c r="C20" s="729" t="s">
        <v>968</v>
      </c>
      <c r="D20" s="726"/>
      <c r="E20" s="726"/>
      <c r="F20" s="726"/>
      <c r="G20" s="726"/>
      <c r="H20" s="725"/>
      <c r="I20" s="725"/>
      <c r="J20" s="725"/>
      <c r="K20" s="725"/>
      <c r="L20" s="725"/>
      <c r="M20" s="769"/>
      <c r="N20" s="769"/>
      <c r="O20" s="769"/>
      <c r="P20" s="769"/>
      <c r="Q20" s="769"/>
      <c r="R20" s="769"/>
      <c r="S20" s="771"/>
    </row>
    <row r="21" spans="2:19" s="390" customFormat="1" ht="20.100000000000001" customHeight="1" x14ac:dyDescent="0.25">
      <c r="B21" s="1357"/>
      <c r="C21" s="729" t="s">
        <v>1234</v>
      </c>
      <c r="D21" s="726"/>
      <c r="E21" s="726"/>
      <c r="F21" s="726"/>
      <c r="G21" s="726"/>
      <c r="H21" s="725"/>
      <c r="I21" s="725"/>
      <c r="J21" s="725"/>
      <c r="K21" s="725"/>
      <c r="L21" s="725"/>
      <c r="M21" s="769"/>
      <c r="N21" s="769"/>
      <c r="O21" s="769"/>
      <c r="P21" s="769"/>
      <c r="Q21" s="769"/>
      <c r="R21" s="769"/>
      <c r="S21" s="771"/>
    </row>
    <row r="22" spans="2:19" s="390" customFormat="1" ht="20.100000000000001" customHeight="1" x14ac:dyDescent="0.25">
      <c r="B22" s="1357"/>
      <c r="C22" s="729" t="s">
        <v>1782</v>
      </c>
      <c r="D22" s="726"/>
      <c r="E22" s="726"/>
      <c r="F22" s="726"/>
      <c r="G22" s="726"/>
      <c r="H22" s="725"/>
      <c r="I22" s="725"/>
      <c r="J22" s="725"/>
      <c r="K22" s="725"/>
      <c r="L22" s="725"/>
      <c r="M22" s="725"/>
      <c r="N22" s="769"/>
      <c r="O22" s="769"/>
      <c r="P22" s="725"/>
      <c r="Q22" s="725"/>
      <c r="R22" s="725"/>
      <c r="S22" s="727"/>
    </row>
    <row r="23" spans="2:19" s="390" customFormat="1" ht="20.100000000000001" customHeight="1" x14ac:dyDescent="0.25">
      <c r="B23" s="1357"/>
      <c r="C23" s="729" t="s">
        <v>1118</v>
      </c>
      <c r="D23" s="726"/>
      <c r="E23" s="726"/>
      <c r="F23" s="726"/>
      <c r="G23" s="726"/>
      <c r="H23" s="725"/>
      <c r="I23" s="725"/>
      <c r="J23" s="725"/>
      <c r="K23" s="769"/>
      <c r="L23" s="769"/>
      <c r="M23" s="769"/>
      <c r="N23" s="769"/>
      <c r="O23" s="769"/>
      <c r="P23" s="769"/>
      <c r="Q23" s="769"/>
      <c r="R23" s="769"/>
      <c r="S23" s="771"/>
    </row>
    <row r="24" spans="2:19" s="390" customFormat="1" ht="20.100000000000001" customHeight="1" x14ac:dyDescent="0.25">
      <c r="B24" s="1357"/>
      <c r="C24" s="729" t="s">
        <v>1123</v>
      </c>
      <c r="D24" s="726"/>
      <c r="E24" s="726"/>
      <c r="F24" s="726"/>
      <c r="G24" s="726"/>
      <c r="H24" s="725"/>
      <c r="I24" s="725"/>
      <c r="J24" s="769"/>
      <c r="K24" s="769"/>
      <c r="L24" s="769"/>
      <c r="M24" s="769"/>
      <c r="N24" s="769"/>
      <c r="O24" s="769"/>
      <c r="P24" s="769"/>
      <c r="Q24" s="769"/>
      <c r="R24" s="769"/>
      <c r="S24" s="771"/>
    </row>
    <row r="25" spans="2:19" s="390" customFormat="1" ht="20.100000000000001" customHeight="1" x14ac:dyDescent="0.25">
      <c r="B25" s="1358"/>
      <c r="C25" s="729" t="s">
        <v>1124</v>
      </c>
      <c r="D25" s="726"/>
      <c r="E25" s="726"/>
      <c r="F25" s="726"/>
      <c r="G25" s="726"/>
      <c r="H25" s="725"/>
      <c r="I25" s="725"/>
      <c r="J25" s="725"/>
      <c r="K25" s="769"/>
      <c r="L25" s="769"/>
      <c r="M25" s="769"/>
      <c r="N25" s="769"/>
      <c r="O25" s="769"/>
      <c r="P25" s="769"/>
      <c r="Q25" s="769"/>
      <c r="R25" s="769"/>
      <c r="S25" s="771"/>
    </row>
    <row r="26" spans="2:19" s="390" customFormat="1" ht="20.100000000000001" customHeight="1" x14ac:dyDescent="0.25">
      <c r="B26" s="1362"/>
      <c r="C26" s="729" t="s">
        <v>1844</v>
      </c>
      <c r="D26" s="766"/>
      <c r="E26" s="735"/>
      <c r="F26" s="735"/>
      <c r="G26" s="735"/>
      <c r="H26" s="736"/>
      <c r="I26" s="736"/>
      <c r="J26" s="736"/>
      <c r="K26" s="736"/>
      <c r="L26" s="736"/>
      <c r="M26" s="736"/>
      <c r="N26" s="736"/>
      <c r="O26" s="736"/>
      <c r="P26" s="736"/>
      <c r="Q26" s="736"/>
      <c r="R26" s="736"/>
      <c r="S26" s="737"/>
    </row>
    <row r="27" spans="2:19" s="390" customFormat="1" ht="20.100000000000001" customHeight="1" x14ac:dyDescent="0.25">
      <c r="B27" s="1363"/>
      <c r="C27" s="729" t="s">
        <v>1842</v>
      </c>
      <c r="D27" s="766"/>
      <c r="E27" s="766"/>
      <c r="F27" s="766"/>
      <c r="G27" s="766"/>
      <c r="H27" s="736"/>
      <c r="I27" s="736"/>
      <c r="J27" s="736"/>
      <c r="K27" s="736"/>
      <c r="L27" s="736"/>
      <c r="M27" s="736"/>
      <c r="N27" s="736"/>
      <c r="O27" s="736"/>
      <c r="P27" s="736"/>
      <c r="Q27" s="736"/>
      <c r="R27" s="736"/>
      <c r="S27" s="737"/>
    </row>
    <row r="28" spans="2:19" s="390" customFormat="1" ht="20.100000000000001" customHeight="1" x14ac:dyDescent="0.25">
      <c r="B28" s="1363"/>
      <c r="C28" s="729" t="s">
        <v>1843</v>
      </c>
      <c r="D28" s="736"/>
      <c r="E28" s="736"/>
      <c r="F28" s="766"/>
      <c r="G28" s="766"/>
      <c r="H28" s="766"/>
      <c r="I28" s="766"/>
      <c r="J28" s="766"/>
      <c r="K28" s="766"/>
      <c r="L28" s="766"/>
      <c r="M28" s="766"/>
      <c r="N28" s="766"/>
      <c r="O28" s="766"/>
      <c r="P28" s="766"/>
      <c r="Q28" s="766"/>
      <c r="R28" s="766"/>
      <c r="S28" s="772"/>
    </row>
    <row r="29" spans="2:19" x14ac:dyDescent="0.25">
      <c r="B29" s="1364"/>
      <c r="C29" s="755" t="s">
        <v>1848</v>
      </c>
      <c r="D29" s="767"/>
      <c r="E29" s="756"/>
      <c r="F29" s="756"/>
      <c r="G29" s="756"/>
      <c r="H29" s="756"/>
      <c r="I29" s="756"/>
      <c r="J29" s="756"/>
      <c r="K29" s="756"/>
      <c r="L29" s="756"/>
      <c r="M29" s="756"/>
      <c r="N29" s="756"/>
      <c r="O29" s="756"/>
      <c r="P29" s="756"/>
      <c r="Q29" s="756"/>
      <c r="R29" s="756"/>
      <c r="S29" s="757"/>
    </row>
  </sheetData>
  <mergeCells count="3">
    <mergeCell ref="B4:B25"/>
    <mergeCell ref="B2:S2"/>
    <mergeCell ref="B26:B29"/>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X920"/>
  <sheetViews>
    <sheetView topLeftCell="A824" zoomScale="55" zoomScaleNormal="55" workbookViewId="0">
      <selection activeCell="A853" sqref="A853:V909"/>
    </sheetView>
  </sheetViews>
  <sheetFormatPr baseColWidth="10" defaultRowHeight="15" x14ac:dyDescent="0.25"/>
  <cols>
    <col min="1" max="1" width="9.42578125" style="558" customWidth="1"/>
    <col min="2" max="2" width="30.7109375" customWidth="1"/>
    <col min="3" max="3" width="6.5703125" customWidth="1"/>
    <col min="4" max="5" width="11.5703125" bestFit="1" customWidth="1"/>
    <col min="6" max="6" width="11.7109375" bestFit="1" customWidth="1"/>
    <col min="7" max="7" width="11.7109375" customWidth="1"/>
    <col min="8" max="8" width="10.85546875" bestFit="1" customWidth="1"/>
    <col min="9" max="22" width="12.28515625" bestFit="1" customWidth="1"/>
    <col min="23" max="23" width="12" bestFit="1" customWidth="1"/>
  </cols>
  <sheetData>
    <row r="1" spans="1:22" ht="10.5" customHeight="1" x14ac:dyDescent="0.25">
      <c r="A1" s="1365" t="s">
        <v>1649</v>
      </c>
      <c r="B1" s="1365"/>
      <c r="C1" s="1365"/>
      <c r="D1" s="1365"/>
      <c r="E1" s="1365"/>
      <c r="F1" s="1365"/>
      <c r="G1" s="1365"/>
      <c r="H1" s="1365"/>
      <c r="I1" s="1365"/>
      <c r="J1" s="1365"/>
      <c r="K1" s="1365"/>
      <c r="L1" s="1365"/>
      <c r="M1" s="1365"/>
      <c r="N1" s="1365"/>
      <c r="O1" s="1365"/>
      <c r="P1" s="1365"/>
      <c r="Q1" s="1365"/>
      <c r="R1" s="1365"/>
      <c r="S1" s="1365"/>
      <c r="T1" s="1365"/>
      <c r="U1" s="1365"/>
      <c r="V1" s="1365"/>
    </row>
    <row r="2" spans="1:22" ht="10.5" customHeight="1" x14ac:dyDescent="0.25">
      <c r="A2" s="1365" t="s">
        <v>1650</v>
      </c>
      <c r="B2" s="1365"/>
      <c r="C2" s="1365"/>
      <c r="D2" s="1365"/>
      <c r="E2" s="1365"/>
      <c r="F2" s="1365"/>
      <c r="G2" s="1365"/>
      <c r="H2" s="1365"/>
      <c r="I2" s="1365"/>
      <c r="J2" s="1365"/>
      <c r="K2" s="1365"/>
      <c r="L2" s="1365"/>
      <c r="M2" s="1365"/>
      <c r="N2" s="1365"/>
      <c r="O2" s="1365"/>
      <c r="P2" s="1365"/>
      <c r="Q2" s="1365"/>
      <c r="R2" s="1365"/>
      <c r="S2" s="1365"/>
      <c r="T2" s="1365"/>
      <c r="U2" s="1365"/>
      <c r="V2" s="1365"/>
    </row>
    <row r="3" spans="1:22" ht="60.75" customHeight="1" x14ac:dyDescent="0.25">
      <c r="A3" s="702" t="s">
        <v>1651</v>
      </c>
      <c r="B3" s="702" t="s">
        <v>1652</v>
      </c>
      <c r="C3" s="702" t="s">
        <v>1020</v>
      </c>
      <c r="D3" s="702" t="s">
        <v>1021</v>
      </c>
      <c r="E3" s="702" t="s">
        <v>1653</v>
      </c>
      <c r="F3" s="702" t="s">
        <v>1267</v>
      </c>
      <c r="G3" s="703" t="s">
        <v>1841</v>
      </c>
      <c r="H3" s="703" t="s">
        <v>1654</v>
      </c>
      <c r="I3" s="703" t="s">
        <v>1655</v>
      </c>
      <c r="J3" s="703" t="s">
        <v>1656</v>
      </c>
      <c r="K3" s="703" t="s">
        <v>1657</v>
      </c>
      <c r="L3" s="703" t="s">
        <v>1658</v>
      </c>
      <c r="M3" s="703" t="s">
        <v>1659</v>
      </c>
      <c r="N3" s="703" t="s">
        <v>1660</v>
      </c>
      <c r="O3" s="703" t="s">
        <v>1661</v>
      </c>
      <c r="P3" s="703" t="s">
        <v>1662</v>
      </c>
      <c r="Q3" s="703" t="s">
        <v>1663</v>
      </c>
      <c r="R3" s="703" t="s">
        <v>1664</v>
      </c>
      <c r="S3" s="703" t="s">
        <v>1665</v>
      </c>
      <c r="T3" s="703" t="s">
        <v>1666</v>
      </c>
      <c r="U3" s="703" t="s">
        <v>1667</v>
      </c>
      <c r="V3" s="703" t="s">
        <v>1668</v>
      </c>
    </row>
    <row r="4" spans="1:22" s="105" customFormat="1" ht="10.5" customHeight="1" x14ac:dyDescent="0.25">
      <c r="A4" s="704"/>
      <c r="B4" s="705" t="s">
        <v>1669</v>
      </c>
      <c r="C4" s="704"/>
      <c r="D4" s="705"/>
      <c r="E4" s="706">
        <v>0</v>
      </c>
      <c r="F4" s="706">
        <v>57492.290000000008</v>
      </c>
      <c r="G4" s="706"/>
      <c r="H4" s="705"/>
      <c r="I4" s="705"/>
      <c r="J4" s="705"/>
      <c r="K4" s="705"/>
      <c r="L4" s="705"/>
      <c r="M4" s="705"/>
      <c r="N4" s="705"/>
      <c r="O4" s="705"/>
      <c r="P4" s="705"/>
      <c r="Q4" s="705"/>
      <c r="R4" s="705"/>
      <c r="S4" s="705"/>
      <c r="T4" s="705"/>
      <c r="U4" s="705"/>
      <c r="V4" s="705"/>
    </row>
    <row r="5" spans="1:22" ht="10.5" customHeight="1" x14ac:dyDescent="0.25">
      <c r="A5" s="707">
        <v>515540</v>
      </c>
      <c r="B5" s="708" t="s">
        <v>1670</v>
      </c>
      <c r="C5" s="707" t="s">
        <v>1038</v>
      </c>
      <c r="D5" s="709">
        <v>85</v>
      </c>
      <c r="E5" s="709">
        <v>11.96</v>
      </c>
      <c r="F5" s="709">
        <v>1016.6</v>
      </c>
      <c r="G5" s="709"/>
      <c r="H5" s="710">
        <v>508.3</v>
      </c>
      <c r="I5" s="710">
        <v>508.3</v>
      </c>
      <c r="J5" s="711"/>
      <c r="K5" s="711"/>
      <c r="L5" s="711"/>
      <c r="M5" s="711"/>
      <c r="N5" s="711"/>
      <c r="O5" s="711"/>
      <c r="P5" s="711"/>
      <c r="Q5" s="711"/>
      <c r="R5" s="711"/>
      <c r="S5" s="711"/>
      <c r="T5" s="711"/>
      <c r="U5" s="711"/>
      <c r="V5" s="711"/>
    </row>
    <row r="6" spans="1:22" ht="10.5" customHeight="1" x14ac:dyDescent="0.25">
      <c r="A6" s="712"/>
      <c r="B6" s="713"/>
      <c r="C6" s="714"/>
      <c r="D6" s="714"/>
      <c r="E6" s="714"/>
      <c r="F6" s="714"/>
      <c r="G6" s="714"/>
      <c r="H6" s="715">
        <v>42.5</v>
      </c>
      <c r="I6" s="715">
        <v>42.5</v>
      </c>
      <c r="J6" s="714"/>
      <c r="K6" s="714"/>
      <c r="L6" s="714"/>
      <c r="M6" s="714"/>
      <c r="N6" s="714"/>
      <c r="O6" s="714"/>
      <c r="P6" s="714"/>
      <c r="Q6" s="714"/>
      <c r="R6" s="714"/>
      <c r="S6" s="714"/>
      <c r="T6" s="714"/>
      <c r="U6" s="714"/>
      <c r="V6" s="714"/>
    </row>
    <row r="7" spans="1:22" ht="10.5" customHeight="1" x14ac:dyDescent="0.25">
      <c r="A7" s="716"/>
      <c r="B7" s="717"/>
      <c r="C7" s="718"/>
      <c r="D7" s="718"/>
      <c r="E7" s="718"/>
      <c r="F7" s="718"/>
      <c r="G7" s="718"/>
      <c r="H7" s="718"/>
      <c r="I7" s="718"/>
      <c r="J7" s="718"/>
      <c r="K7" s="718"/>
      <c r="L7" s="718"/>
      <c r="M7" s="718"/>
      <c r="N7" s="718"/>
      <c r="O7" s="718"/>
      <c r="P7" s="718"/>
      <c r="Q7" s="718"/>
      <c r="R7" s="718"/>
      <c r="S7" s="718"/>
      <c r="T7" s="718"/>
      <c r="U7" s="718"/>
      <c r="V7" s="718"/>
    </row>
    <row r="8" spans="1:22" ht="10.5" customHeight="1" x14ac:dyDescent="0.25">
      <c r="A8" s="707">
        <v>514220</v>
      </c>
      <c r="B8" s="708" t="s">
        <v>1671</v>
      </c>
      <c r="C8" s="707" t="s">
        <v>571</v>
      </c>
      <c r="D8" s="709">
        <v>0</v>
      </c>
      <c r="E8" s="709">
        <v>102.23</v>
      </c>
      <c r="F8" s="709">
        <v>0</v>
      </c>
      <c r="G8" s="709"/>
      <c r="H8" s="711"/>
      <c r="I8" s="711"/>
      <c r="J8" s="711"/>
      <c r="K8" s="711"/>
      <c r="L8" s="711"/>
      <c r="M8" s="711"/>
      <c r="N8" s="711"/>
      <c r="O8" s="711"/>
      <c r="P8" s="711"/>
      <c r="Q8" s="711"/>
      <c r="R8" s="711"/>
      <c r="S8" s="711"/>
      <c r="T8" s="711"/>
      <c r="U8" s="711"/>
      <c r="V8" s="711"/>
    </row>
    <row r="9" spans="1:22" ht="10.5" customHeight="1" x14ac:dyDescent="0.25">
      <c r="A9" s="712"/>
      <c r="B9" s="713"/>
      <c r="C9" s="714"/>
      <c r="D9" s="714"/>
      <c r="E9" s="714"/>
      <c r="F9" s="714"/>
      <c r="G9" s="714"/>
      <c r="H9" s="714"/>
      <c r="I9" s="714"/>
      <c r="J9" s="714"/>
      <c r="K9" s="714"/>
      <c r="L9" s="714"/>
      <c r="M9" s="714"/>
      <c r="N9" s="714"/>
      <c r="O9" s="714"/>
      <c r="P9" s="714"/>
      <c r="Q9" s="714"/>
      <c r="R9" s="714"/>
      <c r="S9" s="714"/>
      <c r="T9" s="714"/>
      <c r="U9" s="714"/>
      <c r="V9" s="714"/>
    </row>
    <row r="10" spans="1:22" ht="10.5" customHeight="1" x14ac:dyDescent="0.25">
      <c r="A10" s="716"/>
      <c r="B10" s="717"/>
      <c r="C10" s="718"/>
      <c r="D10" s="718"/>
      <c r="E10" s="718"/>
      <c r="F10" s="718"/>
      <c r="G10" s="718"/>
      <c r="H10" s="718"/>
      <c r="I10" s="718"/>
      <c r="J10" s="718"/>
      <c r="K10" s="718"/>
      <c r="L10" s="718"/>
      <c r="M10" s="718"/>
      <c r="N10" s="718"/>
      <c r="O10" s="718"/>
      <c r="P10" s="718"/>
      <c r="Q10" s="718"/>
      <c r="R10" s="718"/>
      <c r="S10" s="718"/>
      <c r="T10" s="718"/>
      <c r="U10" s="718"/>
      <c r="V10" s="718"/>
    </row>
    <row r="11" spans="1:22" ht="10.5" customHeight="1" x14ac:dyDescent="0.25">
      <c r="A11" s="707">
        <v>514220</v>
      </c>
      <c r="B11" s="708" t="s">
        <v>1672</v>
      </c>
      <c r="C11" s="707" t="s">
        <v>571</v>
      </c>
      <c r="D11" s="709">
        <v>0</v>
      </c>
      <c r="E11" s="709">
        <v>102.23</v>
      </c>
      <c r="F11" s="709">
        <v>0</v>
      </c>
      <c r="G11" s="709"/>
      <c r="H11" s="711"/>
      <c r="I11" s="711"/>
      <c r="J11" s="711"/>
      <c r="K11" s="711"/>
      <c r="L11" s="711"/>
      <c r="M11" s="711"/>
      <c r="N11" s="711"/>
      <c r="O11" s="711"/>
      <c r="P11" s="711"/>
      <c r="Q11" s="711"/>
      <c r="R11" s="711"/>
      <c r="S11" s="711"/>
      <c r="T11" s="711"/>
      <c r="U11" s="711"/>
      <c r="V11" s="711"/>
    </row>
    <row r="12" spans="1:22" ht="10.5" customHeight="1" x14ac:dyDescent="0.25">
      <c r="A12" s="712"/>
      <c r="B12" s="713"/>
      <c r="C12" s="714"/>
      <c r="D12" s="714"/>
      <c r="E12" s="714"/>
      <c r="F12" s="714"/>
      <c r="G12" s="714"/>
      <c r="H12" s="714"/>
      <c r="I12" s="714"/>
      <c r="J12" s="714"/>
      <c r="K12" s="714"/>
      <c r="L12" s="714"/>
      <c r="M12" s="714"/>
      <c r="N12" s="714"/>
      <c r="O12" s="714"/>
      <c r="P12" s="714"/>
      <c r="Q12" s="714"/>
      <c r="R12" s="714"/>
      <c r="S12" s="714"/>
      <c r="T12" s="714"/>
      <c r="U12" s="714"/>
      <c r="V12" s="714"/>
    </row>
    <row r="13" spans="1:22" ht="10.5" customHeight="1" x14ac:dyDescent="0.25">
      <c r="A13" s="716"/>
      <c r="B13" s="717"/>
      <c r="C13" s="718"/>
      <c r="D13" s="718"/>
      <c r="E13" s="718"/>
      <c r="F13" s="718"/>
      <c r="G13" s="718"/>
      <c r="H13" s="718"/>
      <c r="I13" s="718"/>
      <c r="J13" s="718"/>
      <c r="K13" s="718"/>
      <c r="L13" s="718"/>
      <c r="M13" s="718"/>
      <c r="N13" s="718"/>
      <c r="O13" s="718"/>
      <c r="P13" s="718"/>
      <c r="Q13" s="718"/>
      <c r="R13" s="718"/>
      <c r="S13" s="718"/>
      <c r="T13" s="718"/>
      <c r="U13" s="718"/>
      <c r="V13" s="718"/>
    </row>
    <row r="14" spans="1:22" ht="10.5" customHeight="1" x14ac:dyDescent="0.25">
      <c r="A14" s="707">
        <v>503046</v>
      </c>
      <c r="B14" s="708" t="s">
        <v>1673</v>
      </c>
      <c r="C14" s="707" t="s">
        <v>571</v>
      </c>
      <c r="D14" s="709">
        <v>0</v>
      </c>
      <c r="E14" s="709">
        <v>42.37</v>
      </c>
      <c r="F14" s="709">
        <v>0</v>
      </c>
      <c r="G14" s="709"/>
      <c r="H14" s="711"/>
      <c r="I14" s="711"/>
      <c r="J14" s="711"/>
      <c r="K14" s="711"/>
      <c r="L14" s="711"/>
      <c r="M14" s="711"/>
      <c r="N14" s="711"/>
      <c r="O14" s="711"/>
      <c r="P14" s="711"/>
      <c r="Q14" s="711"/>
      <c r="R14" s="711"/>
      <c r="S14" s="711"/>
      <c r="T14" s="711"/>
      <c r="U14" s="711"/>
      <c r="V14" s="711"/>
    </row>
    <row r="15" spans="1:22" ht="10.5" customHeight="1" x14ac:dyDescent="0.25">
      <c r="A15" s="712"/>
      <c r="B15" s="713"/>
      <c r="C15" s="714"/>
      <c r="D15" s="714"/>
      <c r="E15" s="714"/>
      <c r="F15" s="714"/>
      <c r="G15" s="714"/>
      <c r="H15" s="714"/>
      <c r="I15" s="714"/>
      <c r="J15" s="714"/>
      <c r="K15" s="714"/>
      <c r="L15" s="714"/>
      <c r="M15" s="714"/>
      <c r="N15" s="714"/>
      <c r="O15" s="714"/>
      <c r="P15" s="714"/>
      <c r="Q15" s="714"/>
      <c r="R15" s="714"/>
      <c r="S15" s="714"/>
      <c r="T15" s="714"/>
      <c r="U15" s="714"/>
      <c r="V15" s="714"/>
    </row>
    <row r="16" spans="1:22" ht="10.5" customHeight="1" x14ac:dyDescent="0.25">
      <c r="A16" s="716"/>
      <c r="B16" s="717"/>
      <c r="C16" s="718"/>
      <c r="D16" s="718"/>
      <c r="E16" s="718"/>
      <c r="F16" s="718"/>
      <c r="G16" s="718"/>
      <c r="H16" s="718"/>
      <c r="I16" s="718"/>
      <c r="J16" s="718"/>
      <c r="K16" s="718"/>
      <c r="L16" s="718"/>
      <c r="M16" s="718"/>
      <c r="N16" s="718"/>
      <c r="O16" s="718"/>
      <c r="P16" s="718"/>
      <c r="Q16" s="718"/>
      <c r="R16" s="718"/>
      <c r="S16" s="718"/>
      <c r="T16" s="718"/>
      <c r="U16" s="718"/>
      <c r="V16" s="718"/>
    </row>
    <row r="17" spans="1:22" ht="10.5" customHeight="1" x14ac:dyDescent="0.25">
      <c r="A17" s="707">
        <v>515494</v>
      </c>
      <c r="B17" s="708" t="s">
        <v>1674</v>
      </c>
      <c r="C17" s="707" t="s">
        <v>571</v>
      </c>
      <c r="D17" s="709">
        <v>45</v>
      </c>
      <c r="E17" s="709">
        <v>28.56</v>
      </c>
      <c r="F17" s="709">
        <v>1285.2</v>
      </c>
      <c r="G17" s="709"/>
      <c r="H17" s="710">
        <v>642.6</v>
      </c>
      <c r="I17" s="710">
        <v>642.6</v>
      </c>
      <c r="J17" s="711"/>
      <c r="K17" s="711"/>
      <c r="L17" s="711"/>
      <c r="M17" s="711"/>
      <c r="N17" s="711"/>
      <c r="O17" s="711"/>
      <c r="P17" s="711"/>
      <c r="Q17" s="711"/>
      <c r="R17" s="711"/>
      <c r="S17" s="711"/>
      <c r="T17" s="711"/>
      <c r="U17" s="711"/>
      <c r="V17" s="711"/>
    </row>
    <row r="18" spans="1:22" ht="10.5" customHeight="1" x14ac:dyDescent="0.25">
      <c r="A18" s="712"/>
      <c r="B18" s="713"/>
      <c r="C18" s="714"/>
      <c r="D18" s="714"/>
      <c r="E18" s="714"/>
      <c r="F18" s="714"/>
      <c r="G18" s="714"/>
      <c r="H18" s="715">
        <v>22.5</v>
      </c>
      <c r="I18" s="715">
        <v>22.5</v>
      </c>
      <c r="J18" s="714"/>
      <c r="K18" s="714"/>
      <c r="L18" s="714"/>
      <c r="M18" s="714"/>
      <c r="N18" s="714"/>
      <c r="O18" s="714"/>
      <c r="P18" s="714"/>
      <c r="Q18" s="714"/>
      <c r="R18" s="714"/>
      <c r="S18" s="714"/>
      <c r="T18" s="714"/>
      <c r="U18" s="714"/>
      <c r="V18" s="714"/>
    </row>
    <row r="19" spans="1:22" ht="10.5" customHeight="1" x14ac:dyDescent="0.25">
      <c r="A19" s="716"/>
      <c r="B19" s="717"/>
      <c r="C19" s="718"/>
      <c r="D19" s="718"/>
      <c r="E19" s="718"/>
      <c r="F19" s="718"/>
      <c r="G19" s="718"/>
      <c r="H19" s="718"/>
      <c r="I19" s="718"/>
      <c r="J19" s="718"/>
      <c r="K19" s="718"/>
      <c r="L19" s="718"/>
      <c r="M19" s="718"/>
      <c r="N19" s="718"/>
      <c r="O19" s="718"/>
      <c r="P19" s="718"/>
      <c r="Q19" s="718"/>
      <c r="R19" s="718"/>
      <c r="S19" s="718"/>
      <c r="T19" s="718"/>
      <c r="U19" s="718"/>
      <c r="V19" s="718"/>
    </row>
    <row r="20" spans="1:22" ht="10.5" customHeight="1" x14ac:dyDescent="0.25">
      <c r="A20" s="707">
        <v>515541</v>
      </c>
      <c r="B20" s="708" t="s">
        <v>1675</v>
      </c>
      <c r="C20" s="707" t="s">
        <v>571</v>
      </c>
      <c r="D20" s="709">
        <v>0</v>
      </c>
      <c r="E20" s="709">
        <v>107.37</v>
      </c>
      <c r="F20" s="709">
        <v>0</v>
      </c>
      <c r="G20" s="709"/>
      <c r="H20" s="711"/>
      <c r="I20" s="711"/>
      <c r="J20" s="711"/>
      <c r="K20" s="711"/>
      <c r="L20" s="711"/>
      <c r="M20" s="711"/>
      <c r="N20" s="711"/>
      <c r="O20" s="711"/>
      <c r="P20" s="711"/>
      <c r="Q20" s="711"/>
      <c r="R20" s="711"/>
      <c r="S20" s="711"/>
      <c r="T20" s="711"/>
      <c r="U20" s="711"/>
      <c r="V20" s="711"/>
    </row>
    <row r="21" spans="1:22" ht="10.5" customHeight="1" x14ac:dyDescent="0.25">
      <c r="A21" s="712"/>
      <c r="B21" s="713"/>
      <c r="C21" s="714"/>
      <c r="D21" s="714"/>
      <c r="E21" s="714"/>
      <c r="F21" s="714"/>
      <c r="G21" s="714"/>
      <c r="H21" s="714"/>
      <c r="I21" s="714"/>
      <c r="J21" s="714"/>
      <c r="K21" s="714"/>
      <c r="L21" s="714"/>
      <c r="M21" s="714"/>
      <c r="N21" s="714"/>
      <c r="O21" s="714"/>
      <c r="P21" s="714"/>
      <c r="Q21" s="714"/>
      <c r="R21" s="714"/>
      <c r="S21" s="714"/>
      <c r="T21" s="714"/>
      <c r="U21" s="714"/>
      <c r="V21" s="714"/>
    </row>
    <row r="22" spans="1:22" ht="10.5" customHeight="1" x14ac:dyDescent="0.25">
      <c r="A22" s="716"/>
      <c r="B22" s="717"/>
      <c r="C22" s="718"/>
      <c r="D22" s="718"/>
      <c r="E22" s="718"/>
      <c r="F22" s="718"/>
      <c r="G22" s="718"/>
      <c r="H22" s="718"/>
      <c r="I22" s="718"/>
      <c r="J22" s="718"/>
      <c r="K22" s="718"/>
      <c r="L22" s="718"/>
      <c r="M22" s="718"/>
      <c r="N22" s="718"/>
      <c r="O22" s="718"/>
      <c r="P22" s="718"/>
      <c r="Q22" s="718"/>
      <c r="R22" s="718"/>
      <c r="S22" s="718"/>
      <c r="T22" s="718"/>
      <c r="U22" s="718"/>
      <c r="V22" s="718"/>
    </row>
    <row r="23" spans="1:22" ht="10.5" customHeight="1" x14ac:dyDescent="0.25">
      <c r="A23" s="707">
        <v>503388</v>
      </c>
      <c r="B23" s="708" t="s">
        <v>1676</v>
      </c>
      <c r="C23" s="707" t="s">
        <v>1116</v>
      </c>
      <c r="D23" s="709">
        <v>1</v>
      </c>
      <c r="E23" s="709">
        <v>2279.11</v>
      </c>
      <c r="F23" s="709">
        <v>2279.11</v>
      </c>
      <c r="G23" s="709"/>
      <c r="H23" s="710">
        <v>1139.5550000000001</v>
      </c>
      <c r="I23" s="710">
        <v>1139.5550000000001</v>
      </c>
      <c r="J23" s="711"/>
      <c r="K23" s="711"/>
      <c r="L23" s="711"/>
      <c r="M23" s="711"/>
      <c r="N23" s="711"/>
      <c r="O23" s="711"/>
      <c r="P23" s="711"/>
      <c r="Q23" s="711"/>
      <c r="R23" s="711"/>
      <c r="S23" s="711"/>
      <c r="T23" s="711"/>
      <c r="U23" s="711"/>
      <c r="V23" s="711"/>
    </row>
    <row r="24" spans="1:22" ht="10.5" customHeight="1" x14ac:dyDescent="0.25">
      <c r="A24" s="712"/>
      <c r="B24" s="713"/>
      <c r="C24" s="714"/>
      <c r="D24" s="714"/>
      <c r="E24" s="714"/>
      <c r="F24" s="714"/>
      <c r="G24" s="714"/>
      <c r="H24" s="715">
        <v>0.5</v>
      </c>
      <c r="I24" s="715">
        <v>0.5</v>
      </c>
      <c r="J24" s="714"/>
      <c r="K24" s="714"/>
      <c r="L24" s="714"/>
      <c r="M24" s="714"/>
      <c r="N24" s="714"/>
      <c r="O24" s="714"/>
      <c r="P24" s="714"/>
      <c r="Q24" s="714"/>
      <c r="R24" s="714"/>
      <c r="S24" s="714"/>
      <c r="T24" s="714"/>
      <c r="U24" s="714"/>
      <c r="V24" s="714"/>
    </row>
    <row r="25" spans="1:22" ht="10.5" customHeight="1" x14ac:dyDescent="0.25">
      <c r="A25" s="716"/>
      <c r="B25" s="717"/>
      <c r="C25" s="718"/>
      <c r="D25" s="718"/>
      <c r="E25" s="718"/>
      <c r="F25" s="718"/>
      <c r="G25" s="718"/>
      <c r="H25" s="718"/>
      <c r="I25" s="718"/>
      <c r="J25" s="718"/>
      <c r="K25" s="718"/>
      <c r="L25" s="718"/>
      <c r="M25" s="718"/>
      <c r="N25" s="718"/>
      <c r="O25" s="718"/>
      <c r="P25" s="718"/>
      <c r="Q25" s="718"/>
      <c r="R25" s="718"/>
      <c r="S25" s="718"/>
      <c r="T25" s="718"/>
      <c r="U25" s="718"/>
      <c r="V25" s="718"/>
    </row>
    <row r="26" spans="1:22" ht="10.5" customHeight="1" x14ac:dyDescent="0.25">
      <c r="A26" s="707">
        <v>515665</v>
      </c>
      <c r="B26" s="708" t="s">
        <v>1677</v>
      </c>
      <c r="C26" s="707" t="s">
        <v>1678</v>
      </c>
      <c r="D26" s="709">
        <v>13</v>
      </c>
      <c r="E26" s="709">
        <v>550.02</v>
      </c>
      <c r="F26" s="709">
        <v>7150.26</v>
      </c>
      <c r="G26" s="709"/>
      <c r="H26" s="710">
        <v>3575.13</v>
      </c>
      <c r="I26" s="710">
        <v>3575.13</v>
      </c>
      <c r="J26" s="711"/>
      <c r="K26" s="711"/>
      <c r="L26" s="711"/>
      <c r="M26" s="711"/>
      <c r="N26" s="711"/>
      <c r="O26" s="711"/>
      <c r="P26" s="711"/>
      <c r="Q26" s="711"/>
      <c r="R26" s="711"/>
      <c r="S26" s="711"/>
      <c r="T26" s="711"/>
      <c r="U26" s="711"/>
      <c r="V26" s="711"/>
    </row>
    <row r="27" spans="1:22" ht="10.5" customHeight="1" x14ac:dyDescent="0.25">
      <c r="A27" s="712"/>
      <c r="B27" s="713"/>
      <c r="C27" s="714"/>
      <c r="D27" s="714"/>
      <c r="E27" s="714"/>
      <c r="F27" s="714"/>
      <c r="G27" s="714"/>
      <c r="H27" s="715">
        <v>6.5</v>
      </c>
      <c r="I27" s="715">
        <v>6.5</v>
      </c>
      <c r="J27" s="714"/>
      <c r="K27" s="714"/>
      <c r="L27" s="714"/>
      <c r="M27" s="714"/>
      <c r="N27" s="714"/>
      <c r="O27" s="714"/>
      <c r="P27" s="714"/>
      <c r="Q27" s="714"/>
      <c r="R27" s="714"/>
      <c r="S27" s="714"/>
      <c r="T27" s="714"/>
      <c r="U27" s="714"/>
      <c r="V27" s="714"/>
    </row>
    <row r="28" spans="1:22" ht="10.5" customHeight="1" x14ac:dyDescent="0.25">
      <c r="A28" s="716"/>
      <c r="B28" s="717"/>
      <c r="C28" s="718"/>
      <c r="D28" s="718"/>
      <c r="E28" s="718"/>
      <c r="F28" s="718"/>
      <c r="G28" s="718"/>
      <c r="H28" s="718"/>
      <c r="I28" s="718"/>
      <c r="J28" s="718"/>
      <c r="K28" s="718"/>
      <c r="L28" s="718"/>
      <c r="M28" s="718"/>
      <c r="N28" s="718"/>
      <c r="O28" s="718"/>
      <c r="P28" s="718"/>
      <c r="Q28" s="718"/>
      <c r="R28" s="718"/>
      <c r="S28" s="718"/>
      <c r="T28" s="718"/>
      <c r="U28" s="718"/>
      <c r="V28" s="718"/>
    </row>
    <row r="29" spans="1:22" ht="10.5" customHeight="1" x14ac:dyDescent="0.25">
      <c r="A29" s="707">
        <v>515623</v>
      </c>
      <c r="B29" s="708" t="s">
        <v>1679</v>
      </c>
      <c r="C29" s="707" t="s">
        <v>1116</v>
      </c>
      <c r="D29" s="709">
        <v>1</v>
      </c>
      <c r="E29" s="709">
        <v>4481.4399999999996</v>
      </c>
      <c r="F29" s="709">
        <v>4481.4399999999996</v>
      </c>
      <c r="G29" s="709"/>
      <c r="H29" s="710">
        <v>2240.7199999999998</v>
      </c>
      <c r="I29" s="710">
        <v>2240.7199999999998</v>
      </c>
      <c r="J29" s="711"/>
      <c r="K29" s="711"/>
      <c r="L29" s="711"/>
      <c r="M29" s="711"/>
      <c r="N29" s="711"/>
      <c r="O29" s="711"/>
      <c r="P29" s="711"/>
      <c r="Q29" s="711"/>
      <c r="R29" s="711"/>
      <c r="S29" s="711"/>
      <c r="T29" s="711"/>
      <c r="U29" s="711"/>
      <c r="V29" s="711"/>
    </row>
    <row r="30" spans="1:22" ht="10.5" customHeight="1" x14ac:dyDescent="0.25">
      <c r="A30" s="712"/>
      <c r="B30" s="713"/>
      <c r="C30" s="714"/>
      <c r="D30" s="714"/>
      <c r="E30" s="714"/>
      <c r="F30" s="714"/>
      <c r="G30" s="714"/>
      <c r="H30" s="715">
        <v>0.5</v>
      </c>
      <c r="I30" s="715">
        <v>0.5</v>
      </c>
      <c r="J30" s="714"/>
      <c r="K30" s="714"/>
      <c r="L30" s="714"/>
      <c r="M30" s="714"/>
      <c r="N30" s="714"/>
      <c r="O30" s="714"/>
      <c r="P30" s="714"/>
      <c r="Q30" s="714"/>
      <c r="R30" s="714"/>
      <c r="S30" s="714"/>
      <c r="T30" s="714"/>
      <c r="U30" s="714"/>
      <c r="V30" s="714"/>
    </row>
    <row r="31" spans="1:22" ht="10.5" customHeight="1" x14ac:dyDescent="0.25">
      <c r="A31" s="716"/>
      <c r="B31" s="717"/>
      <c r="C31" s="718"/>
      <c r="D31" s="718"/>
      <c r="E31" s="718"/>
      <c r="F31" s="718"/>
      <c r="G31" s="718"/>
      <c r="H31" s="718"/>
      <c r="I31" s="718"/>
      <c r="J31" s="718"/>
      <c r="K31" s="718"/>
      <c r="L31" s="718"/>
      <c r="M31" s="718"/>
      <c r="N31" s="718"/>
      <c r="O31" s="718"/>
      <c r="P31" s="718"/>
      <c r="Q31" s="718"/>
      <c r="R31" s="718"/>
      <c r="S31" s="718"/>
      <c r="T31" s="718"/>
      <c r="U31" s="718"/>
      <c r="V31" s="718"/>
    </row>
    <row r="32" spans="1:22" ht="10.5" customHeight="1" x14ac:dyDescent="0.25">
      <c r="A32" s="707">
        <v>506276</v>
      </c>
      <c r="B32" s="708" t="s">
        <v>1680</v>
      </c>
      <c r="C32" s="707" t="s">
        <v>1116</v>
      </c>
      <c r="D32" s="709">
        <v>0</v>
      </c>
      <c r="E32" s="709">
        <v>702.12</v>
      </c>
      <c r="F32" s="709">
        <v>0</v>
      </c>
      <c r="G32" s="709"/>
      <c r="H32" s="711"/>
      <c r="I32" s="711"/>
      <c r="J32" s="711"/>
      <c r="K32" s="711"/>
      <c r="L32" s="711"/>
      <c r="M32" s="711"/>
      <c r="N32" s="711"/>
      <c r="O32" s="711"/>
      <c r="P32" s="711"/>
      <c r="Q32" s="711"/>
      <c r="R32" s="711"/>
      <c r="S32" s="711"/>
      <c r="T32" s="711"/>
      <c r="U32" s="711"/>
      <c r="V32" s="711"/>
    </row>
    <row r="33" spans="1:22" ht="10.5" customHeight="1" x14ac:dyDescent="0.25">
      <c r="A33" s="712"/>
      <c r="B33" s="713"/>
      <c r="C33" s="714"/>
      <c r="D33" s="714"/>
      <c r="E33" s="714"/>
      <c r="F33" s="714"/>
      <c r="G33" s="714"/>
      <c r="H33" s="714"/>
      <c r="I33" s="714"/>
      <c r="J33" s="714"/>
      <c r="K33" s="714"/>
      <c r="L33" s="714"/>
      <c r="M33" s="714"/>
      <c r="N33" s="714"/>
      <c r="O33" s="714"/>
      <c r="P33" s="714"/>
      <c r="Q33" s="714"/>
      <c r="R33" s="714"/>
      <c r="S33" s="714"/>
      <c r="T33" s="714"/>
      <c r="U33" s="714"/>
      <c r="V33" s="714"/>
    </row>
    <row r="34" spans="1:22" ht="10.5" customHeight="1" x14ac:dyDescent="0.25">
      <c r="A34" s="716"/>
      <c r="B34" s="717"/>
      <c r="C34" s="718"/>
      <c r="D34" s="718"/>
      <c r="E34" s="718"/>
      <c r="F34" s="718"/>
      <c r="G34" s="718"/>
      <c r="H34" s="718"/>
      <c r="I34" s="718"/>
      <c r="J34" s="718"/>
      <c r="K34" s="718"/>
      <c r="L34" s="718"/>
      <c r="M34" s="718"/>
      <c r="N34" s="718"/>
      <c r="O34" s="718"/>
      <c r="P34" s="718"/>
      <c r="Q34" s="718"/>
      <c r="R34" s="718"/>
      <c r="S34" s="718"/>
      <c r="T34" s="718"/>
      <c r="U34" s="718"/>
      <c r="V34" s="718"/>
    </row>
    <row r="35" spans="1:22" ht="10.5" customHeight="1" x14ac:dyDescent="0.25">
      <c r="A35" s="707">
        <v>515539</v>
      </c>
      <c r="B35" s="708" t="s">
        <v>1681</v>
      </c>
      <c r="C35" s="707" t="s">
        <v>1678</v>
      </c>
      <c r="D35" s="709">
        <v>0</v>
      </c>
      <c r="E35" s="709">
        <v>50.78</v>
      </c>
      <c r="F35" s="709">
        <v>0</v>
      </c>
      <c r="G35" s="709"/>
      <c r="H35" s="711"/>
      <c r="I35" s="711"/>
      <c r="J35" s="711"/>
      <c r="K35" s="711"/>
      <c r="L35" s="711"/>
      <c r="M35" s="711"/>
      <c r="N35" s="711"/>
      <c r="O35" s="711"/>
      <c r="P35" s="711"/>
      <c r="Q35" s="711"/>
      <c r="R35" s="711"/>
      <c r="S35" s="711"/>
      <c r="T35" s="711"/>
      <c r="U35" s="711"/>
      <c r="V35" s="711"/>
    </row>
    <row r="36" spans="1:22" ht="10.5" customHeight="1" x14ac:dyDescent="0.25">
      <c r="A36" s="712"/>
      <c r="B36" s="713"/>
      <c r="C36" s="714"/>
      <c r="D36" s="714"/>
      <c r="E36" s="714"/>
      <c r="F36" s="714"/>
      <c r="G36" s="714"/>
      <c r="H36" s="714"/>
      <c r="I36" s="714"/>
      <c r="J36" s="714"/>
      <c r="K36" s="714"/>
      <c r="L36" s="714"/>
      <c r="M36" s="714"/>
      <c r="N36" s="714"/>
      <c r="O36" s="714"/>
      <c r="P36" s="714"/>
      <c r="Q36" s="714"/>
      <c r="R36" s="714"/>
      <c r="S36" s="714"/>
      <c r="T36" s="714"/>
      <c r="U36" s="714"/>
      <c r="V36" s="714"/>
    </row>
    <row r="37" spans="1:22" ht="10.5" customHeight="1" x14ac:dyDescent="0.25">
      <c r="A37" s="716"/>
      <c r="B37" s="717"/>
      <c r="C37" s="718"/>
      <c r="D37" s="718"/>
      <c r="E37" s="718"/>
      <c r="F37" s="718"/>
      <c r="G37" s="718"/>
      <c r="H37" s="718"/>
      <c r="I37" s="718"/>
      <c r="J37" s="718"/>
      <c r="K37" s="718"/>
      <c r="L37" s="718"/>
      <c r="M37" s="718"/>
      <c r="N37" s="718"/>
      <c r="O37" s="718"/>
      <c r="P37" s="718"/>
      <c r="Q37" s="718"/>
      <c r="R37" s="718"/>
      <c r="S37" s="718"/>
      <c r="T37" s="718"/>
      <c r="U37" s="718"/>
      <c r="V37" s="718"/>
    </row>
    <row r="38" spans="1:22" ht="10.5" customHeight="1" x14ac:dyDescent="0.25">
      <c r="A38" s="707">
        <v>506114</v>
      </c>
      <c r="B38" s="708" t="s">
        <v>1682</v>
      </c>
      <c r="C38" s="707" t="s">
        <v>1678</v>
      </c>
      <c r="D38" s="709">
        <v>13</v>
      </c>
      <c r="E38" s="709">
        <v>168.51</v>
      </c>
      <c r="F38" s="709">
        <v>2190.63</v>
      </c>
      <c r="G38" s="709"/>
      <c r="H38" s="710">
        <v>1095.3150000000001</v>
      </c>
      <c r="I38" s="710">
        <v>1095.3150000000001</v>
      </c>
      <c r="J38" s="711"/>
      <c r="K38" s="711"/>
      <c r="L38" s="711"/>
      <c r="M38" s="711"/>
      <c r="N38" s="711"/>
      <c r="O38" s="711"/>
      <c r="P38" s="711"/>
      <c r="Q38" s="711"/>
      <c r="R38" s="711"/>
      <c r="S38" s="711"/>
      <c r="T38" s="711"/>
      <c r="U38" s="711"/>
      <c r="V38" s="711"/>
    </row>
    <row r="39" spans="1:22" ht="10.5" customHeight="1" x14ac:dyDescent="0.25">
      <c r="A39" s="712"/>
      <c r="B39" s="713"/>
      <c r="C39" s="714"/>
      <c r="D39" s="714"/>
      <c r="E39" s="714"/>
      <c r="F39" s="714"/>
      <c r="G39" s="714"/>
      <c r="H39" s="715">
        <v>6.5</v>
      </c>
      <c r="I39" s="715">
        <v>6.5</v>
      </c>
      <c r="J39" s="714"/>
      <c r="K39" s="714"/>
      <c r="L39" s="714"/>
      <c r="M39" s="714"/>
      <c r="N39" s="714"/>
      <c r="O39" s="714"/>
      <c r="P39" s="714"/>
      <c r="Q39" s="714"/>
      <c r="R39" s="714"/>
      <c r="S39" s="714"/>
      <c r="T39" s="714"/>
      <c r="U39" s="714"/>
      <c r="V39" s="714"/>
    </row>
    <row r="40" spans="1:22" ht="10.5" customHeight="1" x14ac:dyDescent="0.25">
      <c r="A40" s="716"/>
      <c r="B40" s="717"/>
      <c r="C40" s="718"/>
      <c r="D40" s="718"/>
      <c r="E40" s="718"/>
      <c r="F40" s="718"/>
      <c r="G40" s="718"/>
      <c r="H40" s="718"/>
      <c r="I40" s="718"/>
      <c r="J40" s="718"/>
      <c r="K40" s="718"/>
      <c r="L40" s="718"/>
      <c r="M40" s="718"/>
      <c r="N40" s="718"/>
      <c r="O40" s="718"/>
      <c r="P40" s="718"/>
      <c r="Q40" s="718"/>
      <c r="R40" s="718"/>
      <c r="S40" s="718"/>
      <c r="T40" s="718"/>
      <c r="U40" s="718"/>
      <c r="V40" s="718"/>
    </row>
    <row r="41" spans="1:22" ht="10.5" customHeight="1" x14ac:dyDescent="0.25">
      <c r="A41" s="707">
        <v>506301</v>
      </c>
      <c r="B41" s="708" t="s">
        <v>1683</v>
      </c>
      <c r="C41" s="707" t="s">
        <v>1678</v>
      </c>
      <c r="D41" s="709">
        <v>13</v>
      </c>
      <c r="E41" s="709">
        <v>95.49</v>
      </c>
      <c r="F41" s="709">
        <v>1241.3699999999999</v>
      </c>
      <c r="G41" s="709"/>
      <c r="H41" s="710">
        <v>620.68499999999995</v>
      </c>
      <c r="I41" s="710">
        <v>620.68499999999995</v>
      </c>
      <c r="J41" s="711"/>
      <c r="K41" s="711"/>
      <c r="L41" s="711"/>
      <c r="M41" s="711"/>
      <c r="N41" s="711"/>
      <c r="O41" s="711"/>
      <c r="P41" s="711"/>
      <c r="Q41" s="711"/>
      <c r="R41" s="711"/>
      <c r="S41" s="711"/>
      <c r="T41" s="711"/>
      <c r="U41" s="711"/>
      <c r="V41" s="711"/>
    </row>
    <row r="42" spans="1:22" ht="10.5" customHeight="1" x14ac:dyDescent="0.25">
      <c r="A42" s="712"/>
      <c r="B42" s="713"/>
      <c r="C42" s="714"/>
      <c r="D42" s="714"/>
      <c r="E42" s="714"/>
      <c r="F42" s="714"/>
      <c r="G42" s="714"/>
      <c r="H42" s="715">
        <v>6.5</v>
      </c>
      <c r="I42" s="715">
        <v>6.5</v>
      </c>
      <c r="J42" s="714"/>
      <c r="K42" s="714"/>
      <c r="L42" s="714"/>
      <c r="M42" s="714"/>
      <c r="N42" s="714"/>
      <c r="O42" s="714"/>
      <c r="P42" s="714"/>
      <c r="Q42" s="714"/>
      <c r="R42" s="714"/>
      <c r="S42" s="714"/>
      <c r="T42" s="714"/>
      <c r="U42" s="714"/>
      <c r="V42" s="714"/>
    </row>
    <row r="43" spans="1:22" ht="10.5" customHeight="1" x14ac:dyDescent="0.25">
      <c r="A43" s="716"/>
      <c r="B43" s="717"/>
      <c r="C43" s="718"/>
      <c r="D43" s="718"/>
      <c r="E43" s="718"/>
      <c r="F43" s="718"/>
      <c r="G43" s="718"/>
      <c r="H43" s="718"/>
      <c r="I43" s="718"/>
      <c r="J43" s="718"/>
      <c r="K43" s="718"/>
      <c r="L43" s="718"/>
      <c r="M43" s="718"/>
      <c r="N43" s="718"/>
      <c r="O43" s="718"/>
      <c r="P43" s="718"/>
      <c r="Q43" s="718"/>
      <c r="R43" s="718"/>
      <c r="S43" s="718"/>
      <c r="T43" s="718"/>
      <c r="U43" s="718"/>
      <c r="V43" s="718"/>
    </row>
    <row r="44" spans="1:22" ht="10.5" customHeight="1" x14ac:dyDescent="0.25">
      <c r="A44" s="707">
        <v>515542</v>
      </c>
      <c r="B44" s="708" t="s">
        <v>1684</v>
      </c>
      <c r="C44" s="707" t="s">
        <v>1050</v>
      </c>
      <c r="D44" s="709">
        <v>2</v>
      </c>
      <c r="E44" s="709">
        <v>3594.88</v>
      </c>
      <c r="F44" s="709">
        <v>7189.76</v>
      </c>
      <c r="G44" s="709"/>
      <c r="H44" s="710">
        <v>3594.88</v>
      </c>
      <c r="I44" s="710">
        <v>3594.88</v>
      </c>
      <c r="J44" s="711"/>
      <c r="K44" s="711"/>
      <c r="L44" s="711"/>
      <c r="M44" s="711"/>
      <c r="N44" s="711"/>
      <c r="O44" s="711"/>
      <c r="P44" s="711"/>
      <c r="Q44" s="711"/>
      <c r="R44" s="711"/>
      <c r="S44" s="711"/>
      <c r="T44" s="711"/>
      <c r="U44" s="711"/>
      <c r="V44" s="711"/>
    </row>
    <row r="45" spans="1:22" ht="10.5" customHeight="1" x14ac:dyDescent="0.25">
      <c r="A45" s="712"/>
      <c r="B45" s="713"/>
      <c r="C45" s="714"/>
      <c r="D45" s="714"/>
      <c r="E45" s="714"/>
      <c r="F45" s="714"/>
      <c r="G45" s="714"/>
      <c r="H45" s="715">
        <v>1</v>
      </c>
      <c r="I45" s="715">
        <v>1</v>
      </c>
      <c r="J45" s="714"/>
      <c r="K45" s="714"/>
      <c r="L45" s="714"/>
      <c r="M45" s="714"/>
      <c r="N45" s="714"/>
      <c r="O45" s="714"/>
      <c r="P45" s="714"/>
      <c r="Q45" s="714"/>
      <c r="R45" s="714"/>
      <c r="S45" s="714"/>
      <c r="T45" s="714"/>
      <c r="U45" s="714"/>
      <c r="V45" s="714"/>
    </row>
    <row r="46" spans="1:22" ht="10.5" customHeight="1" x14ac:dyDescent="0.25">
      <c r="A46" s="716"/>
      <c r="B46" s="717"/>
      <c r="C46" s="718"/>
      <c r="D46" s="718"/>
      <c r="E46" s="718"/>
      <c r="F46" s="718"/>
      <c r="G46" s="718"/>
      <c r="H46" s="718"/>
      <c r="I46" s="718"/>
      <c r="J46" s="718"/>
      <c r="K46" s="718"/>
      <c r="L46" s="718"/>
      <c r="M46" s="718"/>
      <c r="N46" s="718"/>
      <c r="O46" s="718"/>
      <c r="P46" s="718"/>
      <c r="Q46" s="718"/>
      <c r="R46" s="718"/>
      <c r="S46" s="718"/>
      <c r="T46" s="718"/>
      <c r="U46" s="718"/>
      <c r="V46" s="718"/>
    </row>
    <row r="47" spans="1:22" ht="10.5" customHeight="1" x14ac:dyDescent="0.25">
      <c r="A47" s="707">
        <v>515536</v>
      </c>
      <c r="B47" s="708" t="s">
        <v>1685</v>
      </c>
      <c r="C47" s="707" t="s">
        <v>1678</v>
      </c>
      <c r="D47" s="709">
        <v>8</v>
      </c>
      <c r="E47" s="709">
        <v>2671.8900000000003</v>
      </c>
      <c r="F47" s="709">
        <v>21375.119999999999</v>
      </c>
      <c r="G47" s="709"/>
      <c r="H47" s="710">
        <v>10687.56</v>
      </c>
      <c r="I47" s="710">
        <v>10687.56</v>
      </c>
      <c r="J47" s="711"/>
      <c r="K47" s="711"/>
      <c r="L47" s="711"/>
      <c r="M47" s="711"/>
      <c r="N47" s="711"/>
      <c r="O47" s="711"/>
      <c r="P47" s="711"/>
      <c r="Q47" s="711"/>
      <c r="R47" s="711"/>
      <c r="S47" s="711"/>
      <c r="T47" s="711"/>
      <c r="U47" s="711"/>
      <c r="V47" s="711"/>
    </row>
    <row r="48" spans="1:22" ht="10.5" customHeight="1" x14ac:dyDescent="0.25">
      <c r="A48" s="712"/>
      <c r="B48" s="713"/>
      <c r="C48" s="714"/>
      <c r="D48" s="714"/>
      <c r="E48" s="714"/>
      <c r="F48" s="714"/>
      <c r="G48" s="714"/>
      <c r="H48" s="715">
        <v>4</v>
      </c>
      <c r="I48" s="715">
        <v>4</v>
      </c>
      <c r="J48" s="714"/>
      <c r="K48" s="714"/>
      <c r="L48" s="714"/>
      <c r="M48" s="714"/>
      <c r="N48" s="714"/>
      <c r="O48" s="714"/>
      <c r="P48" s="714"/>
      <c r="Q48" s="714"/>
      <c r="R48" s="714"/>
      <c r="S48" s="714"/>
      <c r="T48" s="714"/>
      <c r="U48" s="714"/>
      <c r="V48" s="714"/>
    </row>
    <row r="49" spans="1:22" ht="10.5" customHeight="1" x14ac:dyDescent="0.25">
      <c r="A49" s="716"/>
      <c r="B49" s="717"/>
      <c r="C49" s="718"/>
      <c r="D49" s="718"/>
      <c r="E49" s="718"/>
      <c r="F49" s="718"/>
      <c r="G49" s="718"/>
      <c r="H49" s="718"/>
      <c r="I49" s="718"/>
      <c r="J49" s="718"/>
      <c r="K49" s="718"/>
      <c r="L49" s="718"/>
      <c r="M49" s="718"/>
      <c r="N49" s="718"/>
      <c r="O49" s="718"/>
      <c r="P49" s="718"/>
      <c r="Q49" s="718"/>
      <c r="R49" s="718"/>
      <c r="S49" s="718"/>
      <c r="T49" s="718"/>
      <c r="U49" s="718"/>
      <c r="V49" s="718"/>
    </row>
    <row r="50" spans="1:22" ht="10.5" customHeight="1" x14ac:dyDescent="0.25">
      <c r="A50" s="707">
        <v>500578</v>
      </c>
      <c r="B50" s="708" t="s">
        <v>1686</v>
      </c>
      <c r="C50" s="707" t="s">
        <v>571</v>
      </c>
      <c r="D50" s="709">
        <v>30</v>
      </c>
      <c r="E50" s="709">
        <v>66.73</v>
      </c>
      <c r="F50" s="709">
        <v>2001.9</v>
      </c>
      <c r="G50" s="709"/>
      <c r="H50" s="710">
        <v>1000.95</v>
      </c>
      <c r="I50" s="710">
        <v>1000.95</v>
      </c>
      <c r="J50" s="711"/>
      <c r="K50" s="711"/>
      <c r="L50" s="711"/>
      <c r="M50" s="711"/>
      <c r="N50" s="711"/>
      <c r="O50" s="711"/>
      <c r="P50" s="711"/>
      <c r="Q50" s="711"/>
      <c r="R50" s="711"/>
      <c r="S50" s="711"/>
      <c r="T50" s="711"/>
      <c r="U50" s="711"/>
      <c r="V50" s="711"/>
    </row>
    <row r="51" spans="1:22" ht="10.5" customHeight="1" x14ac:dyDescent="0.25">
      <c r="A51" s="712"/>
      <c r="B51" s="713"/>
      <c r="C51" s="714"/>
      <c r="D51" s="714"/>
      <c r="E51" s="714"/>
      <c r="F51" s="714"/>
      <c r="G51" s="714"/>
      <c r="H51" s="715">
        <v>15</v>
      </c>
      <c r="I51" s="715">
        <v>15</v>
      </c>
      <c r="J51" s="714"/>
      <c r="K51" s="714"/>
      <c r="L51" s="714"/>
      <c r="M51" s="714"/>
      <c r="N51" s="714"/>
      <c r="O51" s="714"/>
      <c r="P51" s="714"/>
      <c r="Q51" s="714"/>
      <c r="R51" s="714"/>
      <c r="S51" s="714"/>
      <c r="T51" s="714"/>
      <c r="U51" s="714"/>
      <c r="V51" s="714"/>
    </row>
    <row r="52" spans="1:22" ht="10.5" customHeight="1" x14ac:dyDescent="0.25">
      <c r="A52" s="716"/>
      <c r="B52" s="717"/>
      <c r="C52" s="718"/>
      <c r="D52" s="718"/>
      <c r="E52" s="718"/>
      <c r="F52" s="718"/>
      <c r="G52" s="718"/>
      <c r="H52" s="718"/>
      <c r="I52" s="718"/>
      <c r="J52" s="718"/>
      <c r="K52" s="718"/>
      <c r="L52" s="718"/>
      <c r="M52" s="718"/>
      <c r="N52" s="718"/>
      <c r="O52" s="718"/>
      <c r="P52" s="718"/>
      <c r="Q52" s="718"/>
      <c r="R52" s="718"/>
      <c r="S52" s="718"/>
      <c r="T52" s="718"/>
      <c r="U52" s="718"/>
      <c r="V52" s="718"/>
    </row>
    <row r="53" spans="1:22" ht="10.5" customHeight="1" x14ac:dyDescent="0.25">
      <c r="A53" s="707">
        <v>515130</v>
      </c>
      <c r="B53" s="708" t="s">
        <v>1687</v>
      </c>
      <c r="C53" s="707" t="s">
        <v>1678</v>
      </c>
      <c r="D53" s="709">
        <v>6</v>
      </c>
      <c r="E53" s="709">
        <v>963.43</v>
      </c>
      <c r="F53" s="709">
        <v>5780.58</v>
      </c>
      <c r="G53" s="709"/>
      <c r="H53" s="710">
        <v>2890.29</v>
      </c>
      <c r="I53" s="710">
        <v>2890.29</v>
      </c>
      <c r="J53" s="711"/>
      <c r="K53" s="711"/>
      <c r="L53" s="711"/>
      <c r="M53" s="711"/>
      <c r="N53" s="711"/>
      <c r="O53" s="711"/>
      <c r="P53" s="711"/>
      <c r="Q53" s="711"/>
      <c r="R53" s="711"/>
      <c r="S53" s="711"/>
      <c r="T53" s="711"/>
      <c r="U53" s="711"/>
      <c r="V53" s="711"/>
    </row>
    <row r="54" spans="1:22" ht="10.5" customHeight="1" x14ac:dyDescent="0.25">
      <c r="A54" s="712"/>
      <c r="B54" s="713"/>
      <c r="C54" s="714"/>
      <c r="D54" s="714"/>
      <c r="E54" s="714"/>
      <c r="F54" s="714"/>
      <c r="G54" s="714"/>
      <c r="H54" s="715">
        <v>3</v>
      </c>
      <c r="I54" s="715">
        <v>3</v>
      </c>
      <c r="J54" s="714"/>
      <c r="K54" s="714"/>
      <c r="L54" s="714"/>
      <c r="M54" s="714"/>
      <c r="N54" s="714"/>
      <c r="O54" s="714"/>
      <c r="P54" s="714"/>
      <c r="Q54" s="714"/>
      <c r="R54" s="714"/>
      <c r="S54" s="714"/>
      <c r="T54" s="714"/>
      <c r="U54" s="714"/>
      <c r="V54" s="714"/>
    </row>
    <row r="55" spans="1:22" ht="10.5" customHeight="1" x14ac:dyDescent="0.25">
      <c r="A55" s="716"/>
      <c r="B55" s="717"/>
      <c r="C55" s="718"/>
      <c r="D55" s="718"/>
      <c r="E55" s="718"/>
      <c r="F55" s="718"/>
      <c r="G55" s="718"/>
      <c r="H55" s="718"/>
      <c r="I55" s="718"/>
      <c r="J55" s="718"/>
      <c r="K55" s="718"/>
      <c r="L55" s="718"/>
      <c r="M55" s="718"/>
      <c r="N55" s="718"/>
      <c r="O55" s="718"/>
      <c r="P55" s="718"/>
      <c r="Q55" s="718"/>
      <c r="R55" s="718"/>
      <c r="S55" s="718"/>
      <c r="T55" s="718"/>
      <c r="U55" s="718"/>
      <c r="V55" s="718"/>
    </row>
    <row r="56" spans="1:22" ht="10.5" customHeight="1" x14ac:dyDescent="0.25">
      <c r="A56" s="707">
        <v>515668</v>
      </c>
      <c r="B56" s="708" t="s">
        <v>1688</v>
      </c>
      <c r="C56" s="707" t="s">
        <v>1678</v>
      </c>
      <c r="D56" s="709">
        <v>6</v>
      </c>
      <c r="E56" s="709">
        <v>213.45</v>
      </c>
      <c r="F56" s="709">
        <v>1280.7</v>
      </c>
      <c r="G56" s="709"/>
      <c r="H56" s="710">
        <v>640.35</v>
      </c>
      <c r="I56" s="710">
        <v>640.35</v>
      </c>
      <c r="J56" s="711"/>
      <c r="K56" s="711"/>
      <c r="L56" s="711"/>
      <c r="M56" s="711"/>
      <c r="N56" s="711"/>
      <c r="O56" s="711"/>
      <c r="P56" s="711"/>
      <c r="Q56" s="711"/>
      <c r="R56" s="711"/>
      <c r="S56" s="711"/>
      <c r="T56" s="711"/>
      <c r="U56" s="711"/>
      <c r="V56" s="711"/>
    </row>
    <row r="57" spans="1:22" ht="10.5" customHeight="1" x14ac:dyDescent="0.25">
      <c r="A57" s="712"/>
      <c r="B57" s="713"/>
      <c r="C57" s="714"/>
      <c r="D57" s="714"/>
      <c r="E57" s="714"/>
      <c r="F57" s="714"/>
      <c r="G57" s="714"/>
      <c r="H57" s="715">
        <v>3</v>
      </c>
      <c r="I57" s="715">
        <v>3</v>
      </c>
      <c r="J57" s="714"/>
      <c r="K57" s="714"/>
      <c r="L57" s="714"/>
      <c r="M57" s="714"/>
      <c r="N57" s="714"/>
      <c r="O57" s="714"/>
      <c r="P57" s="714"/>
      <c r="Q57" s="714"/>
      <c r="R57" s="714"/>
      <c r="S57" s="714"/>
      <c r="T57" s="714"/>
      <c r="U57" s="714"/>
      <c r="V57" s="714"/>
    </row>
    <row r="58" spans="1:22" ht="10.5" customHeight="1" x14ac:dyDescent="0.25">
      <c r="A58" s="716"/>
      <c r="B58" s="717"/>
      <c r="C58" s="718"/>
      <c r="D58" s="718"/>
      <c r="E58" s="718"/>
      <c r="F58" s="718"/>
      <c r="G58" s="718"/>
      <c r="H58" s="718"/>
      <c r="I58" s="718"/>
      <c r="J58" s="718"/>
      <c r="K58" s="718"/>
      <c r="L58" s="718"/>
      <c r="M58" s="718"/>
      <c r="N58" s="718"/>
      <c r="O58" s="718"/>
      <c r="P58" s="718"/>
      <c r="Q58" s="718"/>
      <c r="R58" s="718"/>
      <c r="S58" s="718"/>
      <c r="T58" s="718"/>
      <c r="U58" s="718"/>
      <c r="V58" s="718"/>
    </row>
    <row r="59" spans="1:22" ht="10.5" customHeight="1" x14ac:dyDescent="0.25">
      <c r="A59" s="707">
        <v>515654</v>
      </c>
      <c r="B59" s="708" t="s">
        <v>1689</v>
      </c>
      <c r="C59" s="707" t="s">
        <v>1066</v>
      </c>
      <c r="D59" s="709">
        <v>1</v>
      </c>
      <c r="E59" s="709">
        <v>219.62</v>
      </c>
      <c r="F59" s="709">
        <v>219.62</v>
      </c>
      <c r="G59" s="709"/>
      <c r="H59" s="710">
        <v>109.81</v>
      </c>
      <c r="I59" s="710">
        <v>109.81</v>
      </c>
      <c r="J59" s="711"/>
      <c r="K59" s="711"/>
      <c r="L59" s="711"/>
      <c r="M59" s="711"/>
      <c r="N59" s="711"/>
      <c r="O59" s="711"/>
      <c r="P59" s="711"/>
      <c r="Q59" s="711"/>
      <c r="R59" s="711"/>
      <c r="S59" s="711"/>
      <c r="T59" s="711"/>
      <c r="U59" s="711"/>
      <c r="V59" s="711"/>
    </row>
    <row r="60" spans="1:22" ht="10.5" customHeight="1" x14ac:dyDescent="0.25">
      <c r="A60" s="712"/>
      <c r="B60" s="713"/>
      <c r="C60" s="714"/>
      <c r="D60" s="714"/>
      <c r="E60" s="714"/>
      <c r="F60" s="714"/>
      <c r="G60" s="714"/>
      <c r="H60" s="715">
        <v>0.5</v>
      </c>
      <c r="I60" s="715">
        <v>0.5</v>
      </c>
      <c r="J60" s="714"/>
      <c r="K60" s="714"/>
      <c r="L60" s="714"/>
      <c r="M60" s="714"/>
      <c r="N60" s="714"/>
      <c r="O60" s="714"/>
      <c r="P60" s="714"/>
      <c r="Q60" s="714"/>
      <c r="R60" s="714"/>
      <c r="S60" s="714"/>
      <c r="T60" s="714"/>
      <c r="U60" s="714"/>
      <c r="V60" s="714"/>
    </row>
    <row r="61" spans="1:22" ht="10.5" customHeight="1" x14ac:dyDescent="0.25">
      <c r="A61" s="716"/>
      <c r="B61" s="717"/>
      <c r="C61" s="718"/>
      <c r="D61" s="718"/>
      <c r="E61" s="718"/>
      <c r="F61" s="718"/>
      <c r="G61" s="718"/>
      <c r="H61" s="718"/>
      <c r="I61" s="718"/>
      <c r="J61" s="718"/>
      <c r="K61" s="718"/>
      <c r="L61" s="718"/>
      <c r="M61" s="718"/>
      <c r="N61" s="718"/>
      <c r="O61" s="718"/>
      <c r="P61" s="718"/>
      <c r="Q61" s="718"/>
      <c r="R61" s="718"/>
      <c r="S61" s="718"/>
      <c r="T61" s="718"/>
      <c r="U61" s="718"/>
      <c r="V61" s="718"/>
    </row>
    <row r="62" spans="1:22" s="105" customFormat="1" ht="10.5" customHeight="1" x14ac:dyDescent="0.25">
      <c r="A62" s="704"/>
      <c r="B62" s="719" t="s">
        <v>1690</v>
      </c>
      <c r="C62" s="704"/>
      <c r="D62" s="705"/>
      <c r="E62" s="706">
        <v>0</v>
      </c>
      <c r="F62" s="706">
        <v>89725.9</v>
      </c>
      <c r="G62" s="706"/>
      <c r="H62" s="705"/>
      <c r="I62" s="705"/>
      <c r="J62" s="705"/>
      <c r="K62" s="705"/>
      <c r="L62" s="705"/>
      <c r="M62" s="705"/>
      <c r="N62" s="705"/>
      <c r="O62" s="705"/>
      <c r="P62" s="705"/>
      <c r="Q62" s="705"/>
      <c r="R62" s="705"/>
      <c r="S62" s="705"/>
      <c r="T62" s="705"/>
      <c r="U62" s="705"/>
      <c r="V62" s="705"/>
    </row>
    <row r="63" spans="1:22" ht="10.5" customHeight="1" x14ac:dyDescent="0.25">
      <c r="A63" s="707">
        <v>515491</v>
      </c>
      <c r="B63" s="708" t="s">
        <v>1691</v>
      </c>
      <c r="C63" s="707" t="s">
        <v>571</v>
      </c>
      <c r="D63" s="709">
        <v>798.78</v>
      </c>
      <c r="E63" s="709">
        <v>2.92</v>
      </c>
      <c r="F63" s="709">
        <v>2332.44</v>
      </c>
      <c r="G63" s="709"/>
      <c r="H63" s="711"/>
      <c r="I63" s="710">
        <v>1166.22</v>
      </c>
      <c r="J63" s="710">
        <v>1166.22</v>
      </c>
      <c r="K63" s="711"/>
      <c r="L63" s="711"/>
      <c r="M63" s="711"/>
      <c r="N63" s="711"/>
      <c r="O63" s="711"/>
      <c r="P63" s="711"/>
      <c r="Q63" s="711"/>
      <c r="R63" s="711"/>
      <c r="S63" s="711"/>
      <c r="T63" s="711"/>
      <c r="U63" s="711"/>
      <c r="V63" s="711"/>
    </row>
    <row r="64" spans="1:22" ht="10.5" customHeight="1" x14ac:dyDescent="0.25">
      <c r="A64" s="712"/>
      <c r="B64" s="713"/>
      <c r="C64" s="714"/>
      <c r="D64" s="714"/>
      <c r="E64" s="714"/>
      <c r="F64" s="714"/>
      <c r="G64" s="714"/>
      <c r="H64" s="714"/>
      <c r="I64" s="715">
        <v>399.39</v>
      </c>
      <c r="J64" s="715">
        <v>399.39</v>
      </c>
      <c r="K64" s="714"/>
      <c r="L64" s="714"/>
      <c r="M64" s="714"/>
      <c r="N64" s="714"/>
      <c r="O64" s="714"/>
      <c r="P64" s="714"/>
      <c r="Q64" s="714"/>
      <c r="R64" s="714"/>
      <c r="S64" s="714"/>
      <c r="T64" s="714"/>
      <c r="U64" s="714"/>
      <c r="V64" s="714"/>
    </row>
    <row r="65" spans="1:22" ht="10.5" customHeight="1" x14ac:dyDescent="0.25">
      <c r="A65" s="716"/>
      <c r="B65" s="717"/>
      <c r="C65" s="718"/>
      <c r="D65" s="718"/>
      <c r="E65" s="718"/>
      <c r="F65" s="718"/>
      <c r="G65" s="718"/>
      <c r="H65" s="718"/>
      <c r="I65" s="718"/>
      <c r="J65" s="718"/>
      <c r="K65" s="718"/>
      <c r="L65" s="718"/>
      <c r="M65" s="718"/>
      <c r="N65" s="718"/>
      <c r="O65" s="718"/>
      <c r="P65" s="718"/>
      <c r="Q65" s="718"/>
      <c r="R65" s="718"/>
      <c r="S65" s="718"/>
      <c r="T65" s="718"/>
      <c r="U65" s="718"/>
      <c r="V65" s="718"/>
    </row>
    <row r="66" spans="1:22" ht="10.5" customHeight="1" x14ac:dyDescent="0.25">
      <c r="A66" s="707">
        <v>515669</v>
      </c>
      <c r="B66" s="708" t="s">
        <v>1692</v>
      </c>
      <c r="C66" s="707" t="s">
        <v>571</v>
      </c>
      <c r="D66" s="709">
        <v>4531.0200000000004</v>
      </c>
      <c r="E66" s="709">
        <v>1.51</v>
      </c>
      <c r="F66" s="709">
        <v>6841.84</v>
      </c>
      <c r="G66" s="709"/>
      <c r="H66" s="711"/>
      <c r="I66" s="710">
        <v>3420.92</v>
      </c>
      <c r="J66" s="710">
        <v>3420.92</v>
      </c>
      <c r="K66" s="711"/>
      <c r="L66" s="711"/>
      <c r="M66" s="711"/>
      <c r="N66" s="711"/>
      <c r="O66" s="711"/>
      <c r="P66" s="711"/>
      <c r="Q66" s="711"/>
      <c r="R66" s="711"/>
      <c r="S66" s="711"/>
      <c r="T66" s="711"/>
      <c r="U66" s="711"/>
      <c r="V66" s="711"/>
    </row>
    <row r="67" spans="1:22" ht="10.5" customHeight="1" x14ac:dyDescent="0.25">
      <c r="A67" s="712"/>
      <c r="B67" s="713"/>
      <c r="C67" s="714"/>
      <c r="D67" s="714"/>
      <c r="E67" s="714"/>
      <c r="F67" s="714"/>
      <c r="G67" s="714"/>
      <c r="H67" s="714"/>
      <c r="I67" s="715">
        <v>2265.5100000000002</v>
      </c>
      <c r="J67" s="715">
        <v>2265.5100000000002</v>
      </c>
      <c r="K67" s="714"/>
      <c r="L67" s="714"/>
      <c r="M67" s="714"/>
      <c r="N67" s="714"/>
      <c r="O67" s="714"/>
      <c r="P67" s="714"/>
      <c r="Q67" s="714"/>
      <c r="R67" s="714"/>
      <c r="S67" s="714"/>
      <c r="T67" s="714"/>
      <c r="U67" s="714"/>
      <c r="V67" s="714"/>
    </row>
    <row r="68" spans="1:22" ht="10.5" customHeight="1" x14ac:dyDescent="0.25">
      <c r="A68" s="716"/>
      <c r="B68" s="717"/>
      <c r="C68" s="718"/>
      <c r="D68" s="718"/>
      <c r="E68" s="718"/>
      <c r="F68" s="718"/>
      <c r="G68" s="718"/>
      <c r="H68" s="718"/>
      <c r="I68" s="718"/>
      <c r="J68" s="718"/>
      <c r="K68" s="718"/>
      <c r="L68" s="718"/>
      <c r="M68" s="718"/>
      <c r="N68" s="718"/>
      <c r="O68" s="718"/>
      <c r="P68" s="718"/>
      <c r="Q68" s="718"/>
      <c r="R68" s="718"/>
      <c r="S68" s="718"/>
      <c r="T68" s="718"/>
      <c r="U68" s="718"/>
      <c r="V68" s="718"/>
    </row>
    <row r="69" spans="1:22" ht="10.5" customHeight="1" x14ac:dyDescent="0.25">
      <c r="A69" s="707">
        <v>515670</v>
      </c>
      <c r="B69" s="708" t="s">
        <v>1693</v>
      </c>
      <c r="C69" s="707" t="s">
        <v>1111</v>
      </c>
      <c r="D69" s="709">
        <v>11399.17</v>
      </c>
      <c r="E69" s="709">
        <v>1.19</v>
      </c>
      <c r="F69" s="709">
        <v>13565.01</v>
      </c>
      <c r="G69" s="709"/>
      <c r="H69" s="711"/>
      <c r="I69" s="710">
        <v>6782.5050000000001</v>
      </c>
      <c r="J69" s="710">
        <v>6782.5050000000001</v>
      </c>
      <c r="K69" s="711"/>
      <c r="L69" s="711"/>
      <c r="M69" s="711"/>
      <c r="N69" s="711"/>
      <c r="O69" s="711"/>
      <c r="P69" s="711"/>
      <c r="Q69" s="711"/>
      <c r="R69" s="711"/>
      <c r="S69" s="711"/>
      <c r="T69" s="711"/>
      <c r="U69" s="711"/>
      <c r="V69" s="711"/>
    </row>
    <row r="70" spans="1:22" ht="10.5" customHeight="1" x14ac:dyDescent="0.25">
      <c r="A70" s="712"/>
      <c r="B70" s="713"/>
      <c r="C70" s="714"/>
      <c r="D70" s="714"/>
      <c r="E70" s="714"/>
      <c r="F70" s="714"/>
      <c r="G70" s="714"/>
      <c r="H70" s="714"/>
      <c r="I70" s="715">
        <v>5699.585</v>
      </c>
      <c r="J70" s="715">
        <v>5699.585</v>
      </c>
      <c r="K70" s="714"/>
      <c r="L70" s="714"/>
      <c r="M70" s="714"/>
      <c r="N70" s="714"/>
      <c r="O70" s="714"/>
      <c r="P70" s="714"/>
      <c r="Q70" s="714"/>
      <c r="R70" s="714"/>
      <c r="S70" s="714"/>
      <c r="T70" s="714"/>
      <c r="U70" s="714"/>
      <c r="V70" s="714"/>
    </row>
    <row r="71" spans="1:22" ht="10.5" customHeight="1" x14ac:dyDescent="0.25">
      <c r="A71" s="716"/>
      <c r="B71" s="717"/>
      <c r="C71" s="718"/>
      <c r="D71" s="718"/>
      <c r="E71" s="718"/>
      <c r="F71" s="718"/>
      <c r="G71" s="718"/>
      <c r="H71" s="718"/>
      <c r="I71" s="718"/>
      <c r="J71" s="718"/>
      <c r="K71" s="718"/>
      <c r="L71" s="718"/>
      <c r="M71" s="718"/>
      <c r="N71" s="718"/>
      <c r="O71" s="718"/>
      <c r="P71" s="718"/>
      <c r="Q71" s="718"/>
      <c r="R71" s="718"/>
      <c r="S71" s="718"/>
      <c r="T71" s="718"/>
      <c r="U71" s="718"/>
      <c r="V71" s="718"/>
    </row>
    <row r="72" spans="1:22" ht="10.5" customHeight="1" x14ac:dyDescent="0.25">
      <c r="A72" s="707">
        <v>500676</v>
      </c>
      <c r="B72" s="708" t="s">
        <v>1694</v>
      </c>
      <c r="C72" s="707" t="s">
        <v>1695</v>
      </c>
      <c r="D72" s="709">
        <v>0</v>
      </c>
      <c r="E72" s="709">
        <v>5097.1799999999994</v>
      </c>
      <c r="F72" s="709">
        <v>0</v>
      </c>
      <c r="G72" s="709"/>
      <c r="H72" s="711"/>
      <c r="I72" s="711"/>
      <c r="J72" s="711"/>
      <c r="K72" s="711"/>
      <c r="L72" s="711"/>
      <c r="M72" s="711"/>
      <c r="N72" s="711"/>
      <c r="O72" s="711"/>
      <c r="P72" s="711"/>
      <c r="Q72" s="711"/>
      <c r="R72" s="711"/>
      <c r="S72" s="711"/>
      <c r="T72" s="711"/>
      <c r="U72" s="711"/>
      <c r="V72" s="711"/>
    </row>
    <row r="73" spans="1:22" ht="10.5" customHeight="1" x14ac:dyDescent="0.25">
      <c r="A73" s="712"/>
      <c r="B73" s="713"/>
      <c r="C73" s="714"/>
      <c r="D73" s="714"/>
      <c r="E73" s="714"/>
      <c r="F73" s="714"/>
      <c r="G73" s="714"/>
      <c r="H73" s="714"/>
      <c r="I73" s="714"/>
      <c r="J73" s="714"/>
      <c r="K73" s="714"/>
      <c r="L73" s="714"/>
      <c r="M73" s="714"/>
      <c r="N73" s="714"/>
      <c r="O73" s="714"/>
      <c r="P73" s="714"/>
      <c r="Q73" s="714"/>
      <c r="R73" s="714"/>
      <c r="S73" s="714"/>
      <c r="T73" s="714"/>
      <c r="U73" s="714"/>
      <c r="V73" s="714"/>
    </row>
    <row r="74" spans="1:22" ht="10.5" customHeight="1" x14ac:dyDescent="0.25">
      <c r="A74" s="716"/>
      <c r="B74" s="717"/>
      <c r="C74" s="718"/>
      <c r="D74" s="718"/>
      <c r="E74" s="718"/>
      <c r="F74" s="718"/>
      <c r="G74" s="718"/>
      <c r="H74" s="718"/>
      <c r="I74" s="718"/>
      <c r="J74" s="718"/>
      <c r="K74" s="718"/>
      <c r="L74" s="718"/>
      <c r="M74" s="718"/>
      <c r="N74" s="718"/>
      <c r="O74" s="718"/>
      <c r="P74" s="718"/>
      <c r="Q74" s="718"/>
      <c r="R74" s="718"/>
      <c r="S74" s="718"/>
      <c r="T74" s="718"/>
      <c r="U74" s="718"/>
      <c r="V74" s="718"/>
    </row>
    <row r="75" spans="1:22" ht="10.5" customHeight="1" x14ac:dyDescent="0.25">
      <c r="A75" s="707">
        <v>500675</v>
      </c>
      <c r="B75" s="708" t="s">
        <v>1696</v>
      </c>
      <c r="C75" s="707" t="s">
        <v>1111</v>
      </c>
      <c r="D75" s="709">
        <v>15</v>
      </c>
      <c r="E75" s="709">
        <v>87.48</v>
      </c>
      <c r="F75" s="709">
        <v>1312.2</v>
      </c>
      <c r="G75" s="709"/>
      <c r="H75" s="711"/>
      <c r="I75" s="710">
        <v>656.1</v>
      </c>
      <c r="J75" s="710">
        <v>656.1</v>
      </c>
      <c r="K75" s="711"/>
      <c r="L75" s="711"/>
      <c r="M75" s="711"/>
      <c r="N75" s="711"/>
      <c r="O75" s="711"/>
      <c r="P75" s="711"/>
      <c r="Q75" s="711"/>
      <c r="R75" s="711"/>
      <c r="S75" s="711"/>
      <c r="T75" s="711"/>
      <c r="U75" s="711"/>
      <c r="V75" s="711"/>
    </row>
    <row r="76" spans="1:22" ht="10.5" customHeight="1" x14ac:dyDescent="0.25">
      <c r="A76" s="712"/>
      <c r="B76" s="713"/>
      <c r="C76" s="714"/>
      <c r="D76" s="714"/>
      <c r="E76" s="714"/>
      <c r="F76" s="714"/>
      <c r="G76" s="714"/>
      <c r="H76" s="714"/>
      <c r="I76" s="715">
        <v>7.5</v>
      </c>
      <c r="J76" s="715">
        <v>7.5</v>
      </c>
      <c r="K76" s="714"/>
      <c r="L76" s="714"/>
      <c r="M76" s="714"/>
      <c r="N76" s="714"/>
      <c r="O76" s="714"/>
      <c r="P76" s="714"/>
      <c r="Q76" s="714"/>
      <c r="R76" s="714"/>
      <c r="S76" s="714"/>
      <c r="T76" s="714"/>
      <c r="U76" s="714"/>
      <c r="V76" s="714"/>
    </row>
    <row r="77" spans="1:22" ht="10.5" customHeight="1" x14ac:dyDescent="0.25">
      <c r="A77" s="716"/>
      <c r="B77" s="717"/>
      <c r="C77" s="718"/>
      <c r="D77" s="718"/>
      <c r="E77" s="718"/>
      <c r="F77" s="718"/>
      <c r="G77" s="718"/>
      <c r="H77" s="718"/>
      <c r="I77" s="718"/>
      <c r="J77" s="718"/>
      <c r="K77" s="718"/>
      <c r="L77" s="718"/>
      <c r="M77" s="718"/>
      <c r="N77" s="718"/>
      <c r="O77" s="718"/>
      <c r="P77" s="718"/>
      <c r="Q77" s="718"/>
      <c r="R77" s="718"/>
      <c r="S77" s="718"/>
      <c r="T77" s="718"/>
      <c r="U77" s="718"/>
      <c r="V77" s="718"/>
    </row>
    <row r="78" spans="1:22" ht="10.5" customHeight="1" x14ac:dyDescent="0.25">
      <c r="A78" s="707">
        <v>504981</v>
      </c>
      <c r="B78" s="708" t="s">
        <v>1697</v>
      </c>
      <c r="C78" s="707" t="s">
        <v>571</v>
      </c>
      <c r="D78" s="709">
        <v>798.78</v>
      </c>
      <c r="E78" s="709">
        <v>5.09</v>
      </c>
      <c r="F78" s="709">
        <v>4065.79</v>
      </c>
      <c r="G78" s="709"/>
      <c r="H78" s="711"/>
      <c r="I78" s="710">
        <v>2032.895</v>
      </c>
      <c r="J78" s="710">
        <v>2032.895</v>
      </c>
      <c r="K78" s="711"/>
      <c r="L78" s="711"/>
      <c r="M78" s="711"/>
      <c r="N78" s="711"/>
      <c r="O78" s="711"/>
      <c r="P78" s="711"/>
      <c r="Q78" s="711"/>
      <c r="R78" s="711"/>
      <c r="S78" s="711"/>
      <c r="T78" s="711"/>
      <c r="U78" s="711"/>
      <c r="V78" s="711"/>
    </row>
    <row r="79" spans="1:22" ht="10.5" customHeight="1" x14ac:dyDescent="0.25">
      <c r="A79" s="712"/>
      <c r="B79" s="713"/>
      <c r="C79" s="714"/>
      <c r="D79" s="714"/>
      <c r="E79" s="714"/>
      <c r="F79" s="714"/>
      <c r="G79" s="714"/>
      <c r="H79" s="714"/>
      <c r="I79" s="715">
        <v>399.39</v>
      </c>
      <c r="J79" s="715">
        <v>399.39</v>
      </c>
      <c r="K79" s="714"/>
      <c r="L79" s="714"/>
      <c r="M79" s="714"/>
      <c r="N79" s="714"/>
      <c r="O79" s="714"/>
      <c r="P79" s="714"/>
      <c r="Q79" s="714"/>
      <c r="R79" s="714"/>
      <c r="S79" s="714"/>
      <c r="T79" s="714"/>
      <c r="U79" s="714"/>
      <c r="V79" s="714"/>
    </row>
    <row r="80" spans="1:22" ht="10.5" customHeight="1" x14ac:dyDescent="0.25">
      <c r="A80" s="716"/>
      <c r="B80" s="717"/>
      <c r="C80" s="718"/>
      <c r="D80" s="718"/>
      <c r="E80" s="718"/>
      <c r="F80" s="718"/>
      <c r="G80" s="718"/>
      <c r="H80" s="718"/>
      <c r="I80" s="718"/>
      <c r="J80" s="718"/>
      <c r="K80" s="718"/>
      <c r="L80" s="718"/>
      <c r="M80" s="718"/>
      <c r="N80" s="718"/>
      <c r="O80" s="718"/>
      <c r="P80" s="718"/>
      <c r="Q80" s="718"/>
      <c r="R80" s="718"/>
      <c r="S80" s="718"/>
      <c r="T80" s="718"/>
      <c r="U80" s="718"/>
      <c r="V80" s="718"/>
    </row>
    <row r="81" spans="1:22" ht="10.5" customHeight="1" x14ac:dyDescent="0.25">
      <c r="A81" s="707">
        <v>505001</v>
      </c>
      <c r="B81" s="708" t="s">
        <v>1698</v>
      </c>
      <c r="C81" s="707" t="s">
        <v>1111</v>
      </c>
      <c r="D81" s="709">
        <v>138.91999999999999</v>
      </c>
      <c r="E81" s="709">
        <v>41.36</v>
      </c>
      <c r="F81" s="709">
        <v>5745.73</v>
      </c>
      <c r="G81" s="709"/>
      <c r="H81" s="711"/>
      <c r="I81" s="710">
        <v>2872.8649999999998</v>
      </c>
      <c r="J81" s="710">
        <v>2872.8649999999998</v>
      </c>
      <c r="K81" s="711"/>
      <c r="L81" s="711"/>
      <c r="M81" s="711"/>
      <c r="N81" s="711"/>
      <c r="O81" s="711"/>
      <c r="P81" s="711"/>
      <c r="Q81" s="711"/>
      <c r="R81" s="711"/>
      <c r="S81" s="711"/>
      <c r="T81" s="711"/>
      <c r="U81" s="711"/>
      <c r="V81" s="711"/>
    </row>
    <row r="82" spans="1:22" ht="10.5" customHeight="1" x14ac:dyDescent="0.25">
      <c r="A82" s="712"/>
      <c r="B82" s="713"/>
      <c r="C82" s="714"/>
      <c r="D82" s="714"/>
      <c r="E82" s="714"/>
      <c r="F82" s="714"/>
      <c r="G82" s="714"/>
      <c r="H82" s="714"/>
      <c r="I82" s="715">
        <v>69.459999999999994</v>
      </c>
      <c r="J82" s="715">
        <v>69.459999999999994</v>
      </c>
      <c r="K82" s="714"/>
      <c r="L82" s="714"/>
      <c r="M82" s="714"/>
      <c r="N82" s="714"/>
      <c r="O82" s="714"/>
      <c r="P82" s="714"/>
      <c r="Q82" s="714"/>
      <c r="R82" s="714"/>
      <c r="S82" s="714"/>
      <c r="T82" s="714"/>
      <c r="U82" s="714"/>
      <c r="V82" s="714"/>
    </row>
    <row r="83" spans="1:22" ht="10.5" customHeight="1" x14ac:dyDescent="0.25">
      <c r="A83" s="716"/>
      <c r="B83" s="717"/>
      <c r="C83" s="718"/>
      <c r="D83" s="718"/>
      <c r="E83" s="718"/>
      <c r="F83" s="718"/>
      <c r="G83" s="718"/>
      <c r="H83" s="718"/>
      <c r="I83" s="718"/>
      <c r="J83" s="718"/>
      <c r="K83" s="718"/>
      <c r="L83" s="718"/>
      <c r="M83" s="718"/>
      <c r="N83" s="718"/>
      <c r="O83" s="718"/>
      <c r="P83" s="718"/>
      <c r="Q83" s="718"/>
      <c r="R83" s="718"/>
      <c r="S83" s="718"/>
      <c r="T83" s="718"/>
      <c r="U83" s="718"/>
      <c r="V83" s="718"/>
    </row>
    <row r="84" spans="1:22" ht="10.5" customHeight="1" x14ac:dyDescent="0.25">
      <c r="A84" s="707">
        <v>504242</v>
      </c>
      <c r="B84" s="708" t="s">
        <v>1699</v>
      </c>
      <c r="C84" s="707" t="s">
        <v>1111</v>
      </c>
      <c r="D84" s="709">
        <v>31.41</v>
      </c>
      <c r="E84" s="709">
        <v>15.82</v>
      </c>
      <c r="F84" s="709">
        <v>496.91</v>
      </c>
      <c r="G84" s="709"/>
      <c r="H84" s="711"/>
      <c r="I84" s="710">
        <v>248.45500000000001</v>
      </c>
      <c r="J84" s="710">
        <v>248.45500000000001</v>
      </c>
      <c r="K84" s="711"/>
      <c r="L84" s="711"/>
      <c r="M84" s="711"/>
      <c r="N84" s="711"/>
      <c r="O84" s="711"/>
      <c r="P84" s="711"/>
      <c r="Q84" s="711"/>
      <c r="R84" s="711"/>
      <c r="S84" s="711"/>
      <c r="T84" s="711"/>
      <c r="U84" s="711"/>
      <c r="V84" s="711"/>
    </row>
    <row r="85" spans="1:22" ht="10.5" customHeight="1" x14ac:dyDescent="0.25">
      <c r="A85" s="712"/>
      <c r="B85" s="713"/>
      <c r="C85" s="714"/>
      <c r="D85" s="714"/>
      <c r="E85" s="714"/>
      <c r="F85" s="714"/>
      <c r="G85" s="714"/>
      <c r="H85" s="714"/>
      <c r="I85" s="715">
        <v>15.705</v>
      </c>
      <c r="J85" s="715">
        <v>15.705</v>
      </c>
      <c r="K85" s="714"/>
      <c r="L85" s="714"/>
      <c r="M85" s="714"/>
      <c r="N85" s="714"/>
      <c r="O85" s="714"/>
      <c r="P85" s="714"/>
      <c r="Q85" s="714"/>
      <c r="R85" s="714"/>
      <c r="S85" s="714"/>
      <c r="T85" s="714"/>
      <c r="U85" s="714"/>
      <c r="V85" s="714"/>
    </row>
    <row r="86" spans="1:22" ht="10.5" customHeight="1" x14ac:dyDescent="0.25">
      <c r="A86" s="716"/>
      <c r="B86" s="717"/>
      <c r="C86" s="718"/>
      <c r="D86" s="718"/>
      <c r="E86" s="718"/>
      <c r="F86" s="718"/>
      <c r="G86" s="718"/>
      <c r="H86" s="718"/>
      <c r="I86" s="718"/>
      <c r="J86" s="718"/>
      <c r="K86" s="718"/>
      <c r="L86" s="718"/>
      <c r="M86" s="718"/>
      <c r="N86" s="718"/>
      <c r="O86" s="718"/>
      <c r="P86" s="718"/>
      <c r="Q86" s="718"/>
      <c r="R86" s="718"/>
      <c r="S86" s="718"/>
      <c r="T86" s="718"/>
      <c r="U86" s="718"/>
      <c r="V86" s="718"/>
    </row>
    <row r="87" spans="1:22" ht="10.5" customHeight="1" x14ac:dyDescent="0.25">
      <c r="A87" s="707">
        <v>515543</v>
      </c>
      <c r="B87" s="708" t="s">
        <v>1700</v>
      </c>
      <c r="C87" s="707" t="s">
        <v>571</v>
      </c>
      <c r="D87" s="709">
        <v>874.02</v>
      </c>
      <c r="E87" s="709">
        <v>7.18</v>
      </c>
      <c r="F87" s="709">
        <v>6275.46</v>
      </c>
      <c r="G87" s="709"/>
      <c r="H87" s="711"/>
      <c r="I87" s="710">
        <v>3137.73</v>
      </c>
      <c r="J87" s="710">
        <v>3137.73</v>
      </c>
      <c r="K87" s="711"/>
      <c r="L87" s="711"/>
      <c r="M87" s="711"/>
      <c r="N87" s="711"/>
      <c r="O87" s="711"/>
      <c r="P87" s="711"/>
      <c r="Q87" s="711"/>
      <c r="R87" s="711"/>
      <c r="S87" s="711"/>
      <c r="T87" s="711"/>
      <c r="U87" s="711"/>
      <c r="V87" s="711"/>
    </row>
    <row r="88" spans="1:22" ht="10.5" customHeight="1" x14ac:dyDescent="0.25">
      <c r="A88" s="712"/>
      <c r="B88" s="713"/>
      <c r="C88" s="714"/>
      <c r="D88" s="714"/>
      <c r="E88" s="714"/>
      <c r="F88" s="714"/>
      <c r="G88" s="714"/>
      <c r="H88" s="714"/>
      <c r="I88" s="715">
        <v>437.01</v>
      </c>
      <c r="J88" s="715">
        <v>437.01</v>
      </c>
      <c r="K88" s="714"/>
      <c r="L88" s="714"/>
      <c r="M88" s="714"/>
      <c r="N88" s="714"/>
      <c r="O88" s="714"/>
      <c r="P88" s="714"/>
      <c r="Q88" s="714"/>
      <c r="R88" s="714"/>
      <c r="S88" s="714"/>
      <c r="T88" s="714"/>
      <c r="U88" s="714"/>
      <c r="V88" s="714"/>
    </row>
    <row r="89" spans="1:22" ht="10.5" customHeight="1" x14ac:dyDescent="0.25">
      <c r="A89" s="716"/>
      <c r="B89" s="717"/>
      <c r="C89" s="718"/>
      <c r="D89" s="718"/>
      <c r="E89" s="718"/>
      <c r="F89" s="718"/>
      <c r="G89" s="718"/>
      <c r="H89" s="718"/>
      <c r="I89" s="718"/>
      <c r="J89" s="718"/>
      <c r="K89" s="718"/>
      <c r="L89" s="718"/>
      <c r="M89" s="718"/>
      <c r="N89" s="718"/>
      <c r="O89" s="718"/>
      <c r="P89" s="718"/>
      <c r="Q89" s="718"/>
      <c r="R89" s="718"/>
      <c r="S89" s="718"/>
      <c r="T89" s="718"/>
      <c r="U89" s="718"/>
      <c r="V89" s="718"/>
    </row>
    <row r="90" spans="1:22" ht="10.5" customHeight="1" x14ac:dyDescent="0.25">
      <c r="A90" s="707">
        <v>515671</v>
      </c>
      <c r="B90" s="708" t="s">
        <v>1701</v>
      </c>
      <c r="C90" s="707" t="s">
        <v>1111</v>
      </c>
      <c r="D90" s="709">
        <v>11399.17</v>
      </c>
      <c r="E90" s="709">
        <v>4.26</v>
      </c>
      <c r="F90" s="709">
        <v>48560.46</v>
      </c>
      <c r="G90" s="709"/>
      <c r="H90" s="711"/>
      <c r="I90" s="710">
        <v>24280.23</v>
      </c>
      <c r="J90" s="710">
        <v>24280.23</v>
      </c>
      <c r="K90" s="711"/>
      <c r="L90" s="711"/>
      <c r="M90" s="711"/>
      <c r="N90" s="711"/>
      <c r="O90" s="711"/>
      <c r="P90" s="711"/>
      <c r="Q90" s="711"/>
      <c r="R90" s="711"/>
      <c r="S90" s="711"/>
      <c r="T90" s="711"/>
      <c r="U90" s="711"/>
      <c r="V90" s="711"/>
    </row>
    <row r="91" spans="1:22" ht="10.5" customHeight="1" x14ac:dyDescent="0.25">
      <c r="A91" s="712"/>
      <c r="B91" s="713"/>
      <c r="C91" s="714"/>
      <c r="D91" s="714"/>
      <c r="E91" s="714"/>
      <c r="F91" s="714"/>
      <c r="G91" s="714"/>
      <c r="H91" s="714"/>
      <c r="I91" s="715">
        <v>5699.585</v>
      </c>
      <c r="J91" s="715">
        <v>5699.585</v>
      </c>
      <c r="K91" s="714"/>
      <c r="L91" s="714"/>
      <c r="M91" s="714"/>
      <c r="N91" s="714"/>
      <c r="O91" s="714"/>
      <c r="P91" s="714"/>
      <c r="Q91" s="714"/>
      <c r="R91" s="714"/>
      <c r="S91" s="714"/>
      <c r="T91" s="714"/>
      <c r="U91" s="714"/>
      <c r="V91" s="714"/>
    </row>
    <row r="92" spans="1:22" ht="10.5" customHeight="1" x14ac:dyDescent="0.25">
      <c r="A92" s="716"/>
      <c r="B92" s="717"/>
      <c r="C92" s="718"/>
      <c r="D92" s="718"/>
      <c r="E92" s="718"/>
      <c r="F92" s="718"/>
      <c r="G92" s="718"/>
      <c r="H92" s="718"/>
      <c r="I92" s="718"/>
      <c r="J92" s="718"/>
      <c r="K92" s="718"/>
      <c r="L92" s="718"/>
      <c r="M92" s="718"/>
      <c r="N92" s="718"/>
      <c r="O92" s="718"/>
      <c r="P92" s="718"/>
      <c r="Q92" s="718"/>
      <c r="R92" s="718"/>
      <c r="S92" s="718"/>
      <c r="T92" s="718"/>
      <c r="U92" s="718"/>
      <c r="V92" s="718"/>
    </row>
    <row r="93" spans="1:22" ht="10.5" customHeight="1" x14ac:dyDescent="0.25">
      <c r="A93" s="707">
        <v>515534</v>
      </c>
      <c r="B93" s="708" t="s">
        <v>1702</v>
      </c>
      <c r="C93" s="707" t="s">
        <v>667</v>
      </c>
      <c r="D93" s="709">
        <v>43.2</v>
      </c>
      <c r="E93" s="709">
        <v>12.27</v>
      </c>
      <c r="F93" s="709">
        <v>530.05999999999995</v>
      </c>
      <c r="G93" s="709"/>
      <c r="H93" s="711"/>
      <c r="I93" s="710">
        <v>265.02999999999997</v>
      </c>
      <c r="J93" s="710">
        <v>265.02999999999997</v>
      </c>
      <c r="K93" s="711"/>
      <c r="L93" s="711"/>
      <c r="M93" s="711"/>
      <c r="N93" s="711"/>
      <c r="O93" s="711"/>
      <c r="P93" s="711"/>
      <c r="Q93" s="711"/>
      <c r="R93" s="711"/>
      <c r="S93" s="711"/>
      <c r="T93" s="711"/>
      <c r="U93" s="711"/>
      <c r="V93" s="711"/>
    </row>
    <row r="94" spans="1:22" ht="10.5" customHeight="1" x14ac:dyDescent="0.25">
      <c r="A94" s="712"/>
      <c r="B94" s="713"/>
      <c r="C94" s="714"/>
      <c r="D94" s="714"/>
      <c r="E94" s="714"/>
      <c r="F94" s="714"/>
      <c r="G94" s="714"/>
      <c r="H94" s="714"/>
      <c r="I94" s="715">
        <v>21.6</v>
      </c>
      <c r="J94" s="715">
        <v>21.6</v>
      </c>
      <c r="K94" s="714"/>
      <c r="L94" s="714"/>
      <c r="M94" s="714"/>
      <c r="N94" s="714"/>
      <c r="O94" s="714"/>
      <c r="P94" s="714"/>
      <c r="Q94" s="714"/>
      <c r="R94" s="714"/>
      <c r="S94" s="714"/>
      <c r="T94" s="714"/>
      <c r="U94" s="714"/>
      <c r="V94" s="714"/>
    </row>
    <row r="95" spans="1:22" ht="10.5" customHeight="1" x14ac:dyDescent="0.25">
      <c r="A95" s="716"/>
      <c r="B95" s="717"/>
      <c r="C95" s="718"/>
      <c r="D95" s="718"/>
      <c r="E95" s="718"/>
      <c r="F95" s="718"/>
      <c r="G95" s="718"/>
      <c r="H95" s="718"/>
      <c r="I95" s="718"/>
      <c r="J95" s="718"/>
      <c r="K95" s="718"/>
      <c r="L95" s="718"/>
      <c r="M95" s="718"/>
      <c r="N95" s="718"/>
      <c r="O95" s="718"/>
      <c r="P95" s="718"/>
      <c r="Q95" s="718"/>
      <c r="R95" s="718"/>
      <c r="S95" s="718"/>
      <c r="T95" s="718"/>
      <c r="U95" s="718"/>
      <c r="V95" s="718"/>
    </row>
    <row r="96" spans="1:22" s="105" customFormat="1" ht="10.5" customHeight="1" x14ac:dyDescent="0.25">
      <c r="A96" s="704"/>
      <c r="B96" s="719" t="s">
        <v>1703</v>
      </c>
      <c r="C96" s="704"/>
      <c r="D96" s="705"/>
      <c r="E96" s="706">
        <v>0</v>
      </c>
      <c r="F96" s="706">
        <v>823420.53999999992</v>
      </c>
      <c r="G96" s="706"/>
      <c r="H96" s="705"/>
      <c r="I96" s="705"/>
      <c r="J96" s="705"/>
      <c r="K96" s="705"/>
      <c r="L96" s="705"/>
      <c r="M96" s="705"/>
      <c r="N96" s="705"/>
      <c r="O96" s="705"/>
      <c r="P96" s="705"/>
      <c r="Q96" s="705"/>
      <c r="R96" s="705"/>
      <c r="S96" s="705"/>
      <c r="T96" s="705"/>
      <c r="U96" s="705"/>
      <c r="V96" s="705"/>
    </row>
    <row r="97" spans="1:22" ht="10.5" customHeight="1" x14ac:dyDescent="0.25">
      <c r="A97" s="707">
        <v>500239</v>
      </c>
      <c r="B97" s="708" t="s">
        <v>1704</v>
      </c>
      <c r="C97" s="707" t="s">
        <v>1111</v>
      </c>
      <c r="D97" s="709">
        <v>8.0299999999999994</v>
      </c>
      <c r="E97" s="709">
        <v>129.6</v>
      </c>
      <c r="F97" s="709">
        <v>1040.69</v>
      </c>
      <c r="G97" s="709"/>
      <c r="H97" s="711"/>
      <c r="I97" s="711"/>
      <c r="J97" s="710">
        <v>148.61053200000001</v>
      </c>
      <c r="K97" s="710">
        <v>148.61053200000001</v>
      </c>
      <c r="L97" s="710">
        <v>148.71460100000002</v>
      </c>
      <c r="M97" s="710">
        <v>148.71460100000002</v>
      </c>
      <c r="N97" s="710">
        <v>148.71460100000002</v>
      </c>
      <c r="O97" s="710">
        <v>148.71460100000002</v>
      </c>
      <c r="P97" s="710">
        <v>148.61053200000001</v>
      </c>
      <c r="Q97" s="711"/>
      <c r="R97" s="711"/>
      <c r="S97" s="711"/>
      <c r="T97" s="711"/>
      <c r="U97" s="711"/>
      <c r="V97" s="711"/>
    </row>
    <row r="98" spans="1:22" ht="10.5" customHeight="1" x14ac:dyDescent="0.25">
      <c r="A98" s="712"/>
      <c r="B98" s="713"/>
      <c r="C98" s="714"/>
      <c r="D98" s="714"/>
      <c r="E98" s="714"/>
      <c r="F98" s="714"/>
      <c r="G98" s="714"/>
      <c r="H98" s="714"/>
      <c r="I98" s="714"/>
      <c r="J98" s="715">
        <v>1.1466839999999998</v>
      </c>
      <c r="K98" s="715">
        <v>1.1466839999999998</v>
      </c>
      <c r="L98" s="715">
        <v>1.1474869999999999</v>
      </c>
      <c r="M98" s="715">
        <v>1.1474869999999999</v>
      </c>
      <c r="N98" s="715">
        <v>1.1474869999999999</v>
      </c>
      <c r="O98" s="715">
        <v>1.1474869999999999</v>
      </c>
      <c r="P98" s="715">
        <v>1.1466839999999998</v>
      </c>
      <c r="Q98" s="714"/>
      <c r="R98" s="714"/>
      <c r="S98" s="714"/>
      <c r="T98" s="714"/>
      <c r="U98" s="714"/>
      <c r="V98" s="714"/>
    </row>
    <row r="99" spans="1:22" ht="10.5" customHeight="1" x14ac:dyDescent="0.25">
      <c r="A99" s="716"/>
      <c r="B99" s="717"/>
      <c r="C99" s="718"/>
      <c r="D99" s="718"/>
      <c r="E99" s="718"/>
      <c r="F99" s="718"/>
      <c r="G99" s="718"/>
      <c r="H99" s="718"/>
      <c r="I99" s="718"/>
      <c r="J99" s="718"/>
      <c r="K99" s="718"/>
      <c r="L99" s="718"/>
      <c r="M99" s="718"/>
      <c r="N99" s="718"/>
      <c r="O99" s="718"/>
      <c r="P99" s="718"/>
      <c r="Q99" s="718"/>
      <c r="R99" s="718"/>
      <c r="S99" s="718"/>
      <c r="T99" s="718"/>
      <c r="U99" s="718"/>
      <c r="V99" s="718"/>
    </row>
    <row r="100" spans="1:22" ht="10.5" customHeight="1" x14ac:dyDescent="0.25">
      <c r="A100" s="707">
        <v>515537</v>
      </c>
      <c r="B100" s="708" t="s">
        <v>1705</v>
      </c>
      <c r="C100" s="707" t="s">
        <v>571</v>
      </c>
      <c r="D100" s="709">
        <v>1501.69</v>
      </c>
      <c r="E100" s="709">
        <v>1.44</v>
      </c>
      <c r="F100" s="709">
        <v>2162.4299999999998</v>
      </c>
      <c r="G100" s="709"/>
      <c r="H100" s="711"/>
      <c r="I100" s="711"/>
      <c r="J100" s="710">
        <v>308.79500399999995</v>
      </c>
      <c r="K100" s="710">
        <v>308.79500399999995</v>
      </c>
      <c r="L100" s="710">
        <v>309.01124699999997</v>
      </c>
      <c r="M100" s="710">
        <v>309.01124699999997</v>
      </c>
      <c r="N100" s="710">
        <v>309.01124699999997</v>
      </c>
      <c r="O100" s="710">
        <v>309.01124699999997</v>
      </c>
      <c r="P100" s="710">
        <v>308.79500399999995</v>
      </c>
      <c r="Q100" s="711"/>
      <c r="R100" s="711"/>
      <c r="S100" s="711"/>
      <c r="T100" s="711"/>
      <c r="U100" s="711"/>
      <c r="V100" s="711"/>
    </row>
    <row r="101" spans="1:22" ht="10.5" customHeight="1" x14ac:dyDescent="0.25">
      <c r="A101" s="712"/>
      <c r="B101" s="713"/>
      <c r="C101" s="714"/>
      <c r="D101" s="714"/>
      <c r="E101" s="714"/>
      <c r="F101" s="714"/>
      <c r="G101" s="714"/>
      <c r="H101" s="714"/>
      <c r="I101" s="714"/>
      <c r="J101" s="715">
        <v>214.44133199999999</v>
      </c>
      <c r="K101" s="715">
        <v>214.44133199999999</v>
      </c>
      <c r="L101" s="715">
        <v>214.59150099999999</v>
      </c>
      <c r="M101" s="715">
        <v>214.59150099999999</v>
      </c>
      <c r="N101" s="715">
        <v>214.59150099999999</v>
      </c>
      <c r="O101" s="715">
        <v>214.59150099999999</v>
      </c>
      <c r="P101" s="715">
        <v>214.44133199999999</v>
      </c>
      <c r="Q101" s="714"/>
      <c r="R101" s="714"/>
      <c r="S101" s="714"/>
      <c r="T101" s="714"/>
      <c r="U101" s="714"/>
      <c r="V101" s="714"/>
    </row>
    <row r="102" spans="1:22" ht="10.5" customHeight="1" x14ac:dyDescent="0.25">
      <c r="A102" s="716"/>
      <c r="B102" s="717"/>
      <c r="C102" s="718"/>
      <c r="D102" s="718"/>
      <c r="E102" s="718"/>
      <c r="F102" s="718"/>
      <c r="G102" s="718"/>
      <c r="H102" s="718"/>
      <c r="I102" s="718"/>
      <c r="J102" s="718"/>
      <c r="K102" s="718"/>
      <c r="L102" s="718"/>
      <c r="M102" s="718"/>
      <c r="N102" s="718"/>
      <c r="O102" s="718"/>
      <c r="P102" s="718"/>
      <c r="Q102" s="718"/>
      <c r="R102" s="718"/>
      <c r="S102" s="718"/>
      <c r="T102" s="718"/>
      <c r="U102" s="718"/>
      <c r="V102" s="718"/>
    </row>
    <row r="103" spans="1:22" ht="10.5" customHeight="1" x14ac:dyDescent="0.25">
      <c r="A103" s="707">
        <v>500060</v>
      </c>
      <c r="B103" s="708" t="s">
        <v>1706</v>
      </c>
      <c r="C103" s="707" t="s">
        <v>1111</v>
      </c>
      <c r="D103" s="709">
        <v>146.08000000000001</v>
      </c>
      <c r="E103" s="709">
        <v>5.91</v>
      </c>
      <c r="F103" s="709">
        <v>863.33</v>
      </c>
      <c r="G103" s="709"/>
      <c r="H103" s="711"/>
      <c r="I103" s="711"/>
      <c r="J103" s="710">
        <v>123.283524</v>
      </c>
      <c r="K103" s="710">
        <v>123.283524</v>
      </c>
      <c r="L103" s="710">
        <v>123.369857</v>
      </c>
      <c r="M103" s="710">
        <v>123.369857</v>
      </c>
      <c r="N103" s="710">
        <v>123.369857</v>
      </c>
      <c r="O103" s="710">
        <v>123.369857</v>
      </c>
      <c r="P103" s="710">
        <v>123.283524</v>
      </c>
      <c r="Q103" s="711"/>
      <c r="R103" s="711"/>
      <c r="S103" s="711"/>
      <c r="T103" s="711"/>
      <c r="U103" s="711"/>
      <c r="V103" s="711"/>
    </row>
    <row r="104" spans="1:22" ht="10.5" customHeight="1" x14ac:dyDescent="0.25">
      <c r="A104" s="712"/>
      <c r="B104" s="713"/>
      <c r="C104" s="714"/>
      <c r="D104" s="714"/>
      <c r="E104" s="714"/>
      <c r="F104" s="714"/>
      <c r="G104" s="714"/>
      <c r="H104" s="714"/>
      <c r="I104" s="714"/>
      <c r="J104" s="715">
        <v>20.860224000000002</v>
      </c>
      <c r="K104" s="715">
        <v>20.860224000000002</v>
      </c>
      <c r="L104" s="715">
        <v>20.874832000000001</v>
      </c>
      <c r="M104" s="715">
        <v>20.874832000000001</v>
      </c>
      <c r="N104" s="715">
        <v>20.874832000000001</v>
      </c>
      <c r="O104" s="715">
        <v>20.874832000000001</v>
      </c>
      <c r="P104" s="715">
        <v>20.860224000000002</v>
      </c>
      <c r="Q104" s="714"/>
      <c r="R104" s="714"/>
      <c r="S104" s="714"/>
      <c r="T104" s="714"/>
      <c r="U104" s="714"/>
      <c r="V104" s="714"/>
    </row>
    <row r="105" spans="1:22" ht="10.5" customHeight="1" x14ac:dyDescent="0.25">
      <c r="A105" s="716"/>
      <c r="B105" s="717"/>
      <c r="C105" s="718"/>
      <c r="D105" s="718"/>
      <c r="E105" s="718"/>
      <c r="F105" s="718"/>
      <c r="G105" s="718"/>
      <c r="H105" s="718"/>
      <c r="I105" s="718"/>
      <c r="J105" s="718"/>
      <c r="K105" s="718"/>
      <c r="L105" s="718"/>
      <c r="M105" s="718"/>
      <c r="N105" s="718"/>
      <c r="O105" s="718"/>
      <c r="P105" s="718"/>
      <c r="Q105" s="718"/>
      <c r="R105" s="718"/>
      <c r="S105" s="718"/>
      <c r="T105" s="718"/>
      <c r="U105" s="718"/>
      <c r="V105" s="718"/>
    </row>
    <row r="106" spans="1:22" ht="10.5" customHeight="1" x14ac:dyDescent="0.25">
      <c r="A106" s="707">
        <v>500262</v>
      </c>
      <c r="B106" s="708" t="s">
        <v>1707</v>
      </c>
      <c r="C106" s="707" t="s">
        <v>1111</v>
      </c>
      <c r="D106" s="709">
        <v>308.5</v>
      </c>
      <c r="E106" s="709">
        <v>185.32</v>
      </c>
      <c r="F106" s="709">
        <v>57171.22</v>
      </c>
      <c r="G106" s="709"/>
      <c r="H106" s="711"/>
      <c r="I106" s="711"/>
      <c r="J106" s="710">
        <v>8164.0502159999996</v>
      </c>
      <c r="K106" s="710">
        <v>8164.0502159999996</v>
      </c>
      <c r="L106" s="710">
        <v>8169.7673379999997</v>
      </c>
      <c r="M106" s="710">
        <v>8169.7673379999997</v>
      </c>
      <c r="N106" s="710">
        <v>8169.7673379999997</v>
      </c>
      <c r="O106" s="710">
        <v>8169.7673379999997</v>
      </c>
      <c r="P106" s="710">
        <v>8164.0502159999996</v>
      </c>
      <c r="Q106" s="711"/>
      <c r="R106" s="711"/>
      <c r="S106" s="711"/>
      <c r="T106" s="711"/>
      <c r="U106" s="711"/>
      <c r="V106" s="711"/>
    </row>
    <row r="107" spans="1:22" ht="10.5" customHeight="1" x14ac:dyDescent="0.25">
      <c r="A107" s="712"/>
      <c r="B107" s="713"/>
      <c r="C107" s="714"/>
      <c r="D107" s="714"/>
      <c r="E107" s="714"/>
      <c r="F107" s="714"/>
      <c r="G107" s="714"/>
      <c r="H107" s="714"/>
      <c r="I107" s="714"/>
      <c r="J107" s="715">
        <v>44.053800000000003</v>
      </c>
      <c r="K107" s="715">
        <v>44.053800000000003</v>
      </c>
      <c r="L107" s="715">
        <v>44.084650000000003</v>
      </c>
      <c r="M107" s="715">
        <v>44.084650000000003</v>
      </c>
      <c r="N107" s="715">
        <v>44.084650000000003</v>
      </c>
      <c r="O107" s="715">
        <v>44.084650000000003</v>
      </c>
      <c r="P107" s="715">
        <v>44.053800000000003</v>
      </c>
      <c r="Q107" s="714"/>
      <c r="R107" s="714"/>
      <c r="S107" s="714"/>
      <c r="T107" s="714"/>
      <c r="U107" s="714"/>
      <c r="V107" s="714"/>
    </row>
    <row r="108" spans="1:22" ht="10.5" customHeight="1" x14ac:dyDescent="0.25">
      <c r="A108" s="716"/>
      <c r="B108" s="717"/>
      <c r="C108" s="718"/>
      <c r="D108" s="718"/>
      <c r="E108" s="718"/>
      <c r="F108" s="718"/>
      <c r="G108" s="718"/>
      <c r="H108" s="718"/>
      <c r="I108" s="718"/>
      <c r="J108" s="718"/>
      <c r="K108" s="718"/>
      <c r="L108" s="718"/>
      <c r="M108" s="718"/>
      <c r="N108" s="718"/>
      <c r="O108" s="718"/>
      <c r="P108" s="718"/>
      <c r="Q108" s="718"/>
      <c r="R108" s="718"/>
      <c r="S108" s="718"/>
      <c r="T108" s="718"/>
      <c r="U108" s="718"/>
      <c r="V108" s="718"/>
    </row>
    <row r="109" spans="1:22" ht="10.5" customHeight="1" x14ac:dyDescent="0.25">
      <c r="A109" s="707">
        <v>504495</v>
      </c>
      <c r="B109" s="708" t="s">
        <v>1708</v>
      </c>
      <c r="C109" s="707" t="s">
        <v>1709</v>
      </c>
      <c r="D109" s="709">
        <v>23813.360000000001</v>
      </c>
      <c r="E109" s="709">
        <v>1.45</v>
      </c>
      <c r="F109" s="709">
        <v>34529.370000000003</v>
      </c>
      <c r="G109" s="709"/>
      <c r="H109" s="711"/>
      <c r="I109" s="711"/>
      <c r="J109" s="710">
        <v>4930.7940360000002</v>
      </c>
      <c r="K109" s="710">
        <v>4930.7940360000002</v>
      </c>
      <c r="L109" s="710">
        <v>4934.2469730000003</v>
      </c>
      <c r="M109" s="710">
        <v>4934.2469730000003</v>
      </c>
      <c r="N109" s="710">
        <v>4934.2469730000003</v>
      </c>
      <c r="O109" s="710">
        <v>4934.2469730000003</v>
      </c>
      <c r="P109" s="710">
        <v>4930.7940360000002</v>
      </c>
      <c r="Q109" s="711"/>
      <c r="R109" s="711"/>
      <c r="S109" s="711"/>
      <c r="T109" s="711"/>
      <c r="U109" s="711"/>
      <c r="V109" s="711"/>
    </row>
    <row r="110" spans="1:22" ht="10.5" customHeight="1" x14ac:dyDescent="0.25">
      <c r="A110" s="712"/>
      <c r="B110" s="713"/>
      <c r="C110" s="714"/>
      <c r="D110" s="714"/>
      <c r="E110" s="714"/>
      <c r="F110" s="714"/>
      <c r="G110" s="714"/>
      <c r="H110" s="714"/>
      <c r="I110" s="714"/>
      <c r="J110" s="715">
        <v>3400.5478080000003</v>
      </c>
      <c r="K110" s="715">
        <v>3400.5478080000003</v>
      </c>
      <c r="L110" s="715">
        <v>3402.9291440000002</v>
      </c>
      <c r="M110" s="715">
        <v>3402.9291440000002</v>
      </c>
      <c r="N110" s="715">
        <v>3402.9291440000002</v>
      </c>
      <c r="O110" s="715">
        <v>3402.9291440000002</v>
      </c>
      <c r="P110" s="715">
        <v>3400.5478080000003</v>
      </c>
      <c r="Q110" s="714"/>
      <c r="R110" s="714"/>
      <c r="S110" s="714"/>
      <c r="T110" s="714"/>
      <c r="U110" s="714"/>
      <c r="V110" s="714"/>
    </row>
    <row r="111" spans="1:22" ht="10.5" customHeight="1" x14ac:dyDescent="0.25">
      <c r="A111" s="716"/>
      <c r="B111" s="717"/>
      <c r="C111" s="718"/>
      <c r="D111" s="718"/>
      <c r="E111" s="718"/>
      <c r="F111" s="718"/>
      <c r="G111" s="718"/>
      <c r="H111" s="718"/>
      <c r="I111" s="718"/>
      <c r="J111" s="718"/>
      <c r="K111" s="718"/>
      <c r="L111" s="718"/>
      <c r="M111" s="718"/>
      <c r="N111" s="718"/>
      <c r="O111" s="718"/>
      <c r="P111" s="718"/>
      <c r="Q111" s="718"/>
      <c r="R111" s="718"/>
      <c r="S111" s="718"/>
      <c r="T111" s="718"/>
      <c r="U111" s="718"/>
      <c r="V111" s="718"/>
    </row>
    <row r="112" spans="1:22" ht="10.5" customHeight="1" x14ac:dyDescent="0.25">
      <c r="A112" s="707">
        <v>515579</v>
      </c>
      <c r="B112" s="708" t="s">
        <v>1710</v>
      </c>
      <c r="C112" s="707" t="s">
        <v>683</v>
      </c>
      <c r="D112" s="709">
        <v>819.6</v>
      </c>
      <c r="E112" s="709">
        <v>27.01</v>
      </c>
      <c r="F112" s="709">
        <v>22137.4</v>
      </c>
      <c r="G112" s="709"/>
      <c r="H112" s="711"/>
      <c r="I112" s="711"/>
      <c r="J112" s="710">
        <v>3161.2207199999998</v>
      </c>
      <c r="K112" s="710">
        <v>3161.2207199999998</v>
      </c>
      <c r="L112" s="710">
        <v>3163.4344599999999</v>
      </c>
      <c r="M112" s="710">
        <v>3163.4344599999999</v>
      </c>
      <c r="N112" s="710">
        <v>3163.4344599999999</v>
      </c>
      <c r="O112" s="710">
        <v>3163.4344599999999</v>
      </c>
      <c r="P112" s="710">
        <v>3161.2207199999998</v>
      </c>
      <c r="Q112" s="711"/>
      <c r="R112" s="711"/>
      <c r="S112" s="711"/>
      <c r="T112" s="711"/>
      <c r="U112" s="711"/>
      <c r="V112" s="711"/>
    </row>
    <row r="113" spans="1:22" ht="10.5" customHeight="1" x14ac:dyDescent="0.25">
      <c r="A113" s="712"/>
      <c r="B113" s="713"/>
      <c r="C113" s="714"/>
      <c r="D113" s="714"/>
      <c r="E113" s="714"/>
      <c r="F113" s="714"/>
      <c r="G113" s="714"/>
      <c r="H113" s="714"/>
      <c r="I113" s="714"/>
      <c r="J113" s="715">
        <v>117.03887999999999</v>
      </c>
      <c r="K113" s="715">
        <v>117.03887999999999</v>
      </c>
      <c r="L113" s="715">
        <v>117.12083999999999</v>
      </c>
      <c r="M113" s="715">
        <v>117.12083999999999</v>
      </c>
      <c r="N113" s="715">
        <v>117.12083999999999</v>
      </c>
      <c r="O113" s="715">
        <v>117.12083999999999</v>
      </c>
      <c r="P113" s="715">
        <v>117.03887999999999</v>
      </c>
      <c r="Q113" s="714"/>
      <c r="R113" s="714"/>
      <c r="S113" s="714"/>
      <c r="T113" s="714"/>
      <c r="U113" s="714"/>
      <c r="V113" s="714"/>
    </row>
    <row r="114" spans="1:22" ht="10.5" customHeight="1" x14ac:dyDescent="0.25">
      <c r="A114" s="716"/>
      <c r="B114" s="717"/>
      <c r="C114" s="718"/>
      <c r="D114" s="718"/>
      <c r="E114" s="718"/>
      <c r="F114" s="718"/>
      <c r="G114" s="718"/>
      <c r="H114" s="718"/>
      <c r="I114" s="718"/>
      <c r="J114" s="718"/>
      <c r="K114" s="718"/>
      <c r="L114" s="718"/>
      <c r="M114" s="718"/>
      <c r="N114" s="718"/>
      <c r="O114" s="718"/>
      <c r="P114" s="718"/>
      <c r="Q114" s="718"/>
      <c r="R114" s="718"/>
      <c r="S114" s="718"/>
      <c r="T114" s="718"/>
      <c r="U114" s="718"/>
      <c r="V114" s="718"/>
    </row>
    <row r="115" spans="1:22" ht="10.5" customHeight="1" x14ac:dyDescent="0.25">
      <c r="A115" s="707">
        <v>515545</v>
      </c>
      <c r="B115" s="708" t="s">
        <v>1711</v>
      </c>
      <c r="C115" s="707" t="s">
        <v>571</v>
      </c>
      <c r="D115" s="709">
        <v>459.63</v>
      </c>
      <c r="E115" s="709">
        <v>10.63</v>
      </c>
      <c r="F115" s="709">
        <v>4885.87</v>
      </c>
      <c r="G115" s="709"/>
      <c r="H115" s="711"/>
      <c r="I115" s="711"/>
      <c r="J115" s="710">
        <v>697.70223599999997</v>
      </c>
      <c r="K115" s="710">
        <v>697.70223599999997</v>
      </c>
      <c r="L115" s="710">
        <v>698.19082299999991</v>
      </c>
      <c r="M115" s="710">
        <v>698.19082299999991</v>
      </c>
      <c r="N115" s="710">
        <v>698.19082299999991</v>
      </c>
      <c r="O115" s="710">
        <v>698.19082299999991</v>
      </c>
      <c r="P115" s="710">
        <v>697.70223599999997</v>
      </c>
      <c r="Q115" s="711"/>
      <c r="R115" s="711"/>
      <c r="S115" s="711"/>
      <c r="T115" s="711"/>
      <c r="U115" s="711"/>
      <c r="V115" s="711"/>
    </row>
    <row r="116" spans="1:22" ht="10.5" customHeight="1" x14ac:dyDescent="0.25">
      <c r="A116" s="712"/>
      <c r="B116" s="713"/>
      <c r="C116" s="714"/>
      <c r="D116" s="714"/>
      <c r="E116" s="714"/>
      <c r="F116" s="714"/>
      <c r="G116" s="714"/>
      <c r="H116" s="714"/>
      <c r="I116" s="714"/>
      <c r="J116" s="715">
        <v>65.635163999999989</v>
      </c>
      <c r="K116" s="715">
        <v>65.635163999999989</v>
      </c>
      <c r="L116" s="715">
        <v>65.681127000000004</v>
      </c>
      <c r="M116" s="715">
        <v>65.681127000000004</v>
      </c>
      <c r="N116" s="715">
        <v>65.681127000000004</v>
      </c>
      <c r="O116" s="715">
        <v>65.681127000000004</v>
      </c>
      <c r="P116" s="715">
        <v>65.635163999999989</v>
      </c>
      <c r="Q116" s="714"/>
      <c r="R116" s="714"/>
      <c r="S116" s="714"/>
      <c r="T116" s="714"/>
      <c r="U116" s="714"/>
      <c r="V116" s="714"/>
    </row>
    <row r="117" spans="1:22" ht="10.5" customHeight="1" x14ac:dyDescent="0.25">
      <c r="A117" s="716"/>
      <c r="B117" s="717"/>
      <c r="C117" s="718"/>
      <c r="D117" s="718"/>
      <c r="E117" s="718"/>
      <c r="F117" s="718"/>
      <c r="G117" s="718"/>
      <c r="H117" s="718"/>
      <c r="I117" s="718"/>
      <c r="J117" s="718"/>
      <c r="K117" s="718"/>
      <c r="L117" s="718"/>
      <c r="M117" s="718"/>
      <c r="N117" s="718"/>
      <c r="O117" s="718"/>
      <c r="P117" s="718"/>
      <c r="Q117" s="718"/>
      <c r="R117" s="718"/>
      <c r="S117" s="718"/>
      <c r="T117" s="718"/>
      <c r="U117" s="718"/>
      <c r="V117" s="718"/>
    </row>
    <row r="118" spans="1:22" ht="10.5" customHeight="1" x14ac:dyDescent="0.25">
      <c r="A118" s="707">
        <v>504495</v>
      </c>
      <c r="B118" s="708" t="s">
        <v>1712</v>
      </c>
      <c r="C118" s="707"/>
      <c r="D118" s="709">
        <v>40939.32</v>
      </c>
      <c r="E118" s="709">
        <v>1.45</v>
      </c>
      <c r="F118" s="709">
        <v>59362.01</v>
      </c>
      <c r="G118" s="709"/>
      <c r="H118" s="711"/>
      <c r="I118" s="711"/>
      <c r="J118" s="710">
        <v>8476.8950280000008</v>
      </c>
      <c r="K118" s="710">
        <v>8476.8950280000008</v>
      </c>
      <c r="L118" s="710">
        <v>8482.8312289999994</v>
      </c>
      <c r="M118" s="710">
        <v>8482.8312289999994</v>
      </c>
      <c r="N118" s="710">
        <v>8482.8312289999994</v>
      </c>
      <c r="O118" s="710">
        <v>8482.8312289999994</v>
      </c>
      <c r="P118" s="710">
        <v>8476.8950280000008</v>
      </c>
      <c r="Q118" s="711"/>
      <c r="R118" s="711"/>
      <c r="S118" s="711"/>
      <c r="T118" s="711"/>
      <c r="U118" s="711"/>
      <c r="V118" s="711"/>
    </row>
    <row r="119" spans="1:22" ht="10.5" customHeight="1" x14ac:dyDescent="0.25">
      <c r="A119" s="712"/>
      <c r="B119" s="713"/>
      <c r="C119" s="714"/>
      <c r="D119" s="714"/>
      <c r="E119" s="714"/>
      <c r="F119" s="714"/>
      <c r="G119" s="714"/>
      <c r="H119" s="714"/>
      <c r="I119" s="714"/>
      <c r="J119" s="715">
        <v>5846.1348959999996</v>
      </c>
      <c r="K119" s="715">
        <v>5846.1348959999996</v>
      </c>
      <c r="L119" s="715">
        <v>5850.2288279999993</v>
      </c>
      <c r="M119" s="715">
        <v>5850.2288279999993</v>
      </c>
      <c r="N119" s="715">
        <v>5850.2288279999993</v>
      </c>
      <c r="O119" s="715">
        <v>5850.2288279999993</v>
      </c>
      <c r="P119" s="715">
        <v>5846.1348959999996</v>
      </c>
      <c r="Q119" s="714"/>
      <c r="R119" s="714"/>
      <c r="S119" s="714"/>
      <c r="T119" s="714"/>
      <c r="U119" s="714"/>
      <c r="V119" s="714"/>
    </row>
    <row r="120" spans="1:22" ht="10.5" customHeight="1" x14ac:dyDescent="0.25">
      <c r="A120" s="716"/>
      <c r="B120" s="717"/>
      <c r="C120" s="718"/>
      <c r="D120" s="718"/>
      <c r="E120" s="718"/>
      <c r="F120" s="718"/>
      <c r="G120" s="718"/>
      <c r="H120" s="718"/>
      <c r="I120" s="718"/>
      <c r="J120" s="718"/>
      <c r="K120" s="718"/>
      <c r="L120" s="718"/>
      <c r="M120" s="718"/>
      <c r="N120" s="718"/>
      <c r="O120" s="718"/>
      <c r="P120" s="718"/>
      <c r="Q120" s="718"/>
      <c r="R120" s="718"/>
      <c r="S120" s="718"/>
      <c r="T120" s="718"/>
      <c r="U120" s="718"/>
      <c r="V120" s="718"/>
    </row>
    <row r="121" spans="1:22" ht="10.5" customHeight="1" x14ac:dyDescent="0.25">
      <c r="A121" s="707">
        <v>506293</v>
      </c>
      <c r="B121" s="708" t="s">
        <v>1713</v>
      </c>
      <c r="C121" s="707" t="s">
        <v>1111</v>
      </c>
      <c r="D121" s="709">
        <v>249.09</v>
      </c>
      <c r="E121" s="709">
        <v>133.44</v>
      </c>
      <c r="F121" s="709">
        <v>33238.57</v>
      </c>
      <c r="G121" s="709"/>
      <c r="H121" s="711"/>
      <c r="I121" s="711"/>
      <c r="J121" s="710">
        <v>4746.4677959999999</v>
      </c>
      <c r="K121" s="710">
        <v>4746.4677959999999</v>
      </c>
      <c r="L121" s="710">
        <v>4749.7916530000002</v>
      </c>
      <c r="M121" s="710">
        <v>4749.7916530000002</v>
      </c>
      <c r="N121" s="710">
        <v>4749.7916530000002</v>
      </c>
      <c r="O121" s="710">
        <v>4749.7916530000002</v>
      </c>
      <c r="P121" s="710">
        <v>4746.4677959999999</v>
      </c>
      <c r="Q121" s="711"/>
      <c r="R121" s="711"/>
      <c r="S121" s="711"/>
      <c r="T121" s="711"/>
      <c r="U121" s="711"/>
      <c r="V121" s="711"/>
    </row>
    <row r="122" spans="1:22" ht="10.5" customHeight="1" x14ac:dyDescent="0.25">
      <c r="A122" s="712"/>
      <c r="B122" s="713"/>
      <c r="C122" s="714"/>
      <c r="D122" s="714"/>
      <c r="E122" s="714"/>
      <c r="F122" s="714"/>
      <c r="G122" s="714"/>
      <c r="H122" s="714"/>
      <c r="I122" s="714"/>
      <c r="J122" s="715">
        <v>35.570052000000004</v>
      </c>
      <c r="K122" s="715">
        <v>35.570052000000004</v>
      </c>
      <c r="L122" s="715">
        <v>35.594960999999998</v>
      </c>
      <c r="M122" s="715">
        <v>35.594960999999998</v>
      </c>
      <c r="N122" s="715">
        <v>35.594960999999998</v>
      </c>
      <c r="O122" s="715">
        <v>35.594960999999998</v>
      </c>
      <c r="P122" s="715">
        <v>35.570052000000004</v>
      </c>
      <c r="Q122" s="714"/>
      <c r="R122" s="714"/>
      <c r="S122" s="714"/>
      <c r="T122" s="714"/>
      <c r="U122" s="714"/>
      <c r="V122" s="714"/>
    </row>
    <row r="123" spans="1:22" ht="10.5" customHeight="1" x14ac:dyDescent="0.25">
      <c r="A123" s="716"/>
      <c r="B123" s="717"/>
      <c r="C123" s="718"/>
      <c r="D123" s="718"/>
      <c r="E123" s="718"/>
      <c r="F123" s="718"/>
      <c r="G123" s="718"/>
      <c r="H123" s="718"/>
      <c r="I123" s="718"/>
      <c r="J123" s="718"/>
      <c r="K123" s="718"/>
      <c r="L123" s="718"/>
      <c r="M123" s="718"/>
      <c r="N123" s="718"/>
      <c r="O123" s="718"/>
      <c r="P123" s="718"/>
      <c r="Q123" s="718"/>
      <c r="R123" s="718"/>
      <c r="S123" s="718"/>
      <c r="T123" s="718"/>
      <c r="U123" s="718"/>
      <c r="V123" s="718"/>
    </row>
    <row r="124" spans="1:22" ht="10.5" customHeight="1" x14ac:dyDescent="0.25">
      <c r="A124" s="707">
        <v>504495</v>
      </c>
      <c r="B124" s="708" t="s">
        <v>1714</v>
      </c>
      <c r="C124" s="707"/>
      <c r="D124" s="709">
        <v>36401.97</v>
      </c>
      <c r="E124" s="709">
        <v>1.45</v>
      </c>
      <c r="F124" s="709">
        <v>52782.86</v>
      </c>
      <c r="G124" s="709"/>
      <c r="H124" s="711"/>
      <c r="I124" s="711"/>
      <c r="J124" s="710">
        <v>7537.3924080000006</v>
      </c>
      <c r="K124" s="710">
        <v>7537.3924080000006</v>
      </c>
      <c r="L124" s="710">
        <v>7542.6706939999995</v>
      </c>
      <c r="M124" s="710">
        <v>7542.6706939999995</v>
      </c>
      <c r="N124" s="710">
        <v>7542.6706939999995</v>
      </c>
      <c r="O124" s="710">
        <v>7542.6706939999995</v>
      </c>
      <c r="P124" s="710">
        <v>7537.3924080000006</v>
      </c>
      <c r="Q124" s="711"/>
      <c r="R124" s="711"/>
      <c r="S124" s="711"/>
      <c r="T124" s="711"/>
      <c r="U124" s="711"/>
      <c r="V124" s="711"/>
    </row>
    <row r="125" spans="1:22" ht="10.5" customHeight="1" x14ac:dyDescent="0.25">
      <c r="A125" s="712"/>
      <c r="B125" s="713"/>
      <c r="C125" s="714"/>
      <c r="D125" s="714"/>
      <c r="E125" s="714"/>
      <c r="F125" s="714"/>
      <c r="G125" s="714"/>
      <c r="H125" s="714"/>
      <c r="I125" s="714"/>
      <c r="J125" s="715">
        <v>5198.2013160000006</v>
      </c>
      <c r="K125" s="715">
        <v>5198.2013160000006</v>
      </c>
      <c r="L125" s="715">
        <v>5201.8415129999994</v>
      </c>
      <c r="M125" s="715">
        <v>5201.8415129999994</v>
      </c>
      <c r="N125" s="715">
        <v>5201.8415129999994</v>
      </c>
      <c r="O125" s="715">
        <v>5201.8415129999994</v>
      </c>
      <c r="P125" s="715">
        <v>5198.2013160000006</v>
      </c>
      <c r="Q125" s="714"/>
      <c r="R125" s="714"/>
      <c r="S125" s="714"/>
      <c r="T125" s="714"/>
      <c r="U125" s="714"/>
      <c r="V125" s="714"/>
    </row>
    <row r="126" spans="1:22" ht="10.5" customHeight="1" x14ac:dyDescent="0.25">
      <c r="A126" s="716"/>
      <c r="B126" s="717"/>
      <c r="C126" s="718"/>
      <c r="D126" s="718"/>
      <c r="E126" s="718"/>
      <c r="F126" s="718"/>
      <c r="G126" s="718"/>
      <c r="H126" s="718"/>
      <c r="I126" s="718"/>
      <c r="J126" s="718"/>
      <c r="K126" s="718"/>
      <c r="L126" s="718"/>
      <c r="M126" s="718"/>
      <c r="N126" s="718"/>
      <c r="O126" s="718"/>
      <c r="P126" s="718"/>
      <c r="Q126" s="718"/>
      <c r="R126" s="718"/>
      <c r="S126" s="718"/>
      <c r="T126" s="718"/>
      <c r="U126" s="718"/>
      <c r="V126" s="718"/>
    </row>
    <row r="127" spans="1:22" ht="10.5" customHeight="1" x14ac:dyDescent="0.25">
      <c r="A127" s="707">
        <v>515544</v>
      </c>
      <c r="B127" s="708" t="s">
        <v>1715</v>
      </c>
      <c r="C127" s="707" t="s">
        <v>571</v>
      </c>
      <c r="D127" s="709">
        <v>438.78</v>
      </c>
      <c r="E127" s="709">
        <v>14.03</v>
      </c>
      <c r="F127" s="709">
        <v>6156.08</v>
      </c>
      <c r="G127" s="709"/>
      <c r="H127" s="711"/>
      <c r="I127" s="711"/>
      <c r="J127" s="710">
        <v>879.08822399999985</v>
      </c>
      <c r="K127" s="710">
        <v>879.08822399999985</v>
      </c>
      <c r="L127" s="710">
        <v>879.70383199999992</v>
      </c>
      <c r="M127" s="710">
        <v>879.70383199999992</v>
      </c>
      <c r="N127" s="710">
        <v>879.70383199999992</v>
      </c>
      <c r="O127" s="710">
        <v>879.70383199999992</v>
      </c>
      <c r="P127" s="710">
        <v>879.08822399999985</v>
      </c>
      <c r="Q127" s="711"/>
      <c r="R127" s="711"/>
      <c r="S127" s="711"/>
      <c r="T127" s="711"/>
      <c r="U127" s="711"/>
      <c r="V127" s="711"/>
    </row>
    <row r="128" spans="1:22" ht="10.5" customHeight="1" x14ac:dyDescent="0.25">
      <c r="A128" s="712"/>
      <c r="B128" s="713"/>
      <c r="C128" s="714"/>
      <c r="D128" s="714"/>
      <c r="E128" s="714"/>
      <c r="F128" s="714"/>
      <c r="G128" s="714"/>
      <c r="H128" s="714"/>
      <c r="I128" s="714"/>
      <c r="J128" s="715">
        <v>62.657783999999992</v>
      </c>
      <c r="K128" s="715">
        <v>62.657783999999992</v>
      </c>
      <c r="L128" s="715">
        <v>62.701661999999999</v>
      </c>
      <c r="M128" s="715">
        <v>62.701661999999999</v>
      </c>
      <c r="N128" s="715">
        <v>62.701661999999999</v>
      </c>
      <c r="O128" s="715">
        <v>62.701661999999999</v>
      </c>
      <c r="P128" s="715">
        <v>62.657783999999992</v>
      </c>
      <c r="Q128" s="714"/>
      <c r="R128" s="714"/>
      <c r="S128" s="714"/>
      <c r="T128" s="714"/>
      <c r="U128" s="714"/>
      <c r="V128" s="714"/>
    </row>
    <row r="129" spans="1:22" ht="10.5" customHeight="1" x14ac:dyDescent="0.25">
      <c r="A129" s="716"/>
      <c r="B129" s="717"/>
      <c r="C129" s="718"/>
      <c r="D129" s="718"/>
      <c r="E129" s="718"/>
      <c r="F129" s="718"/>
      <c r="G129" s="718"/>
      <c r="H129" s="718"/>
      <c r="I129" s="718"/>
      <c r="J129" s="718"/>
      <c r="K129" s="718"/>
      <c r="L129" s="718"/>
      <c r="M129" s="718"/>
      <c r="N129" s="718"/>
      <c r="O129" s="718"/>
      <c r="P129" s="718"/>
      <c r="Q129" s="718"/>
      <c r="R129" s="718"/>
      <c r="S129" s="718"/>
      <c r="T129" s="718"/>
      <c r="U129" s="718"/>
      <c r="V129" s="718"/>
    </row>
    <row r="130" spans="1:22" ht="10.5" customHeight="1" x14ac:dyDescent="0.25">
      <c r="A130" s="707">
        <v>506177</v>
      </c>
      <c r="B130" s="708" t="s">
        <v>1716</v>
      </c>
      <c r="C130" s="707" t="s">
        <v>1111</v>
      </c>
      <c r="D130" s="709">
        <v>206.03</v>
      </c>
      <c r="E130" s="709">
        <v>151.89000000000001</v>
      </c>
      <c r="F130" s="709">
        <v>31293.9</v>
      </c>
      <c r="G130" s="709"/>
      <c r="H130" s="711"/>
      <c r="I130" s="711"/>
      <c r="J130" s="710">
        <v>4468.7689199999995</v>
      </c>
      <c r="K130" s="710">
        <v>4468.7689199999995</v>
      </c>
      <c r="L130" s="710">
        <v>4471.8983100000005</v>
      </c>
      <c r="M130" s="710">
        <v>4471.8983100000005</v>
      </c>
      <c r="N130" s="710">
        <v>4471.8983100000005</v>
      </c>
      <c r="O130" s="710">
        <v>4471.8983100000005</v>
      </c>
      <c r="P130" s="710">
        <v>4468.7689199999995</v>
      </c>
      <c r="Q130" s="711"/>
      <c r="R130" s="711"/>
      <c r="S130" s="711"/>
      <c r="T130" s="711"/>
      <c r="U130" s="711"/>
      <c r="V130" s="711"/>
    </row>
    <row r="131" spans="1:22" ht="10.5" customHeight="1" x14ac:dyDescent="0.25">
      <c r="A131" s="712"/>
      <c r="B131" s="713"/>
      <c r="C131" s="714"/>
      <c r="D131" s="714"/>
      <c r="E131" s="714"/>
      <c r="F131" s="714"/>
      <c r="G131" s="714"/>
      <c r="H131" s="714"/>
      <c r="I131" s="714"/>
      <c r="J131" s="715">
        <v>29.421084</v>
      </c>
      <c r="K131" s="715">
        <v>29.421084</v>
      </c>
      <c r="L131" s="715">
        <v>29.441686999999998</v>
      </c>
      <c r="M131" s="715">
        <v>29.441686999999998</v>
      </c>
      <c r="N131" s="715">
        <v>29.441686999999998</v>
      </c>
      <c r="O131" s="715">
        <v>29.441686999999998</v>
      </c>
      <c r="P131" s="715">
        <v>29.421084</v>
      </c>
      <c r="Q131" s="714"/>
      <c r="R131" s="714"/>
      <c r="S131" s="714"/>
      <c r="T131" s="714"/>
      <c r="U131" s="714"/>
      <c r="V131" s="714"/>
    </row>
    <row r="132" spans="1:22" ht="10.5" customHeight="1" x14ac:dyDescent="0.25">
      <c r="A132" s="716"/>
      <c r="B132" s="717"/>
      <c r="C132" s="718"/>
      <c r="D132" s="718"/>
      <c r="E132" s="718"/>
      <c r="F132" s="718"/>
      <c r="G132" s="718"/>
      <c r="H132" s="718"/>
      <c r="I132" s="718"/>
      <c r="J132" s="718"/>
      <c r="K132" s="718"/>
      <c r="L132" s="718"/>
      <c r="M132" s="718"/>
      <c r="N132" s="718"/>
      <c r="O132" s="718"/>
      <c r="P132" s="718"/>
      <c r="Q132" s="718"/>
      <c r="R132" s="718"/>
      <c r="S132" s="718"/>
      <c r="T132" s="718"/>
      <c r="U132" s="718"/>
      <c r="V132" s="718"/>
    </row>
    <row r="133" spans="1:22" ht="10.5" customHeight="1" x14ac:dyDescent="0.25">
      <c r="A133" s="707">
        <v>515546</v>
      </c>
      <c r="B133" s="708" t="s">
        <v>1717</v>
      </c>
      <c r="C133" s="707" t="s">
        <v>571</v>
      </c>
      <c r="D133" s="709">
        <v>5659.15</v>
      </c>
      <c r="E133" s="709">
        <v>13.440000000000001</v>
      </c>
      <c r="F133" s="709">
        <v>76058.98</v>
      </c>
      <c r="G133" s="709"/>
      <c r="H133" s="711"/>
      <c r="I133" s="711"/>
      <c r="J133" s="710">
        <v>10861.222344</v>
      </c>
      <c r="K133" s="710">
        <v>10861.222344</v>
      </c>
      <c r="L133" s="710">
        <v>10868.828242</v>
      </c>
      <c r="M133" s="710">
        <v>10868.828242</v>
      </c>
      <c r="N133" s="710">
        <v>10868.828242</v>
      </c>
      <c r="O133" s="710">
        <v>10868.828242</v>
      </c>
      <c r="P133" s="710">
        <v>10861.222344</v>
      </c>
      <c r="Q133" s="711"/>
      <c r="R133" s="711"/>
      <c r="S133" s="711"/>
      <c r="T133" s="711"/>
      <c r="U133" s="711"/>
      <c r="V133" s="711"/>
    </row>
    <row r="134" spans="1:22" ht="10.5" customHeight="1" x14ac:dyDescent="0.25">
      <c r="A134" s="712"/>
      <c r="B134" s="713"/>
      <c r="C134" s="714"/>
      <c r="D134" s="714"/>
      <c r="E134" s="714"/>
      <c r="F134" s="714"/>
      <c r="G134" s="714"/>
      <c r="H134" s="714"/>
      <c r="I134" s="714"/>
      <c r="J134" s="715">
        <v>808.12662</v>
      </c>
      <c r="K134" s="715">
        <v>808.12662</v>
      </c>
      <c r="L134" s="715">
        <v>808.69253499999991</v>
      </c>
      <c r="M134" s="715">
        <v>808.69253499999991</v>
      </c>
      <c r="N134" s="715">
        <v>808.69253499999991</v>
      </c>
      <c r="O134" s="715">
        <v>808.69253499999991</v>
      </c>
      <c r="P134" s="715">
        <v>808.12662</v>
      </c>
      <c r="Q134" s="714"/>
      <c r="R134" s="714"/>
      <c r="S134" s="714"/>
      <c r="T134" s="714"/>
      <c r="U134" s="714"/>
      <c r="V134" s="714"/>
    </row>
    <row r="135" spans="1:22" ht="10.5" customHeight="1" x14ac:dyDescent="0.25">
      <c r="A135" s="716"/>
      <c r="B135" s="717"/>
      <c r="C135" s="718"/>
      <c r="D135" s="718"/>
      <c r="E135" s="718"/>
      <c r="F135" s="718"/>
      <c r="G135" s="718"/>
      <c r="H135" s="718"/>
      <c r="I135" s="718"/>
      <c r="J135" s="718"/>
      <c r="K135" s="718"/>
      <c r="L135" s="718"/>
      <c r="M135" s="718"/>
      <c r="N135" s="718"/>
      <c r="O135" s="718"/>
      <c r="P135" s="718"/>
      <c r="Q135" s="718"/>
      <c r="R135" s="718"/>
      <c r="S135" s="718"/>
      <c r="T135" s="718"/>
      <c r="U135" s="718"/>
      <c r="V135" s="718"/>
    </row>
    <row r="136" spans="1:22" ht="10.5" customHeight="1" x14ac:dyDescent="0.25">
      <c r="A136" s="707">
        <v>504495</v>
      </c>
      <c r="B136" s="708" t="s">
        <v>1718</v>
      </c>
      <c r="C136" s="707" t="s">
        <v>1709</v>
      </c>
      <c r="D136" s="709">
        <v>74465.95</v>
      </c>
      <c r="E136" s="709">
        <v>1.45</v>
      </c>
      <c r="F136" s="709">
        <v>107975.63</v>
      </c>
      <c r="G136" s="709"/>
      <c r="H136" s="711"/>
      <c r="I136" s="711"/>
      <c r="J136" s="710">
        <v>15418.919964000001</v>
      </c>
      <c r="K136" s="710">
        <v>15418.919964000001</v>
      </c>
      <c r="L136" s="710">
        <v>15429.717527000001</v>
      </c>
      <c r="M136" s="710">
        <v>15429.717527000001</v>
      </c>
      <c r="N136" s="710">
        <v>15429.717527000001</v>
      </c>
      <c r="O136" s="710">
        <v>15429.717527000001</v>
      </c>
      <c r="P136" s="710">
        <v>15418.919964000001</v>
      </c>
      <c r="Q136" s="711"/>
      <c r="R136" s="711"/>
      <c r="S136" s="711"/>
      <c r="T136" s="711"/>
      <c r="U136" s="711"/>
      <c r="V136" s="711"/>
    </row>
    <row r="137" spans="1:22" ht="10.5" customHeight="1" x14ac:dyDescent="0.25">
      <c r="A137" s="712"/>
      <c r="B137" s="713"/>
      <c r="C137" s="714"/>
      <c r="D137" s="714"/>
      <c r="E137" s="714"/>
      <c r="F137" s="714"/>
      <c r="G137" s="714"/>
      <c r="H137" s="714"/>
      <c r="I137" s="714"/>
      <c r="J137" s="715">
        <v>10633.737659999999</v>
      </c>
      <c r="K137" s="715">
        <v>10633.737659999999</v>
      </c>
      <c r="L137" s="715">
        <v>10641.184254999998</v>
      </c>
      <c r="M137" s="715">
        <v>10641.184254999998</v>
      </c>
      <c r="N137" s="715">
        <v>10641.184254999998</v>
      </c>
      <c r="O137" s="715">
        <v>10641.184254999998</v>
      </c>
      <c r="P137" s="715">
        <v>10633.737659999999</v>
      </c>
      <c r="Q137" s="714"/>
      <c r="R137" s="714"/>
      <c r="S137" s="714"/>
      <c r="T137" s="714"/>
      <c r="U137" s="714"/>
      <c r="V137" s="714"/>
    </row>
    <row r="138" spans="1:22" ht="10.5" customHeight="1" x14ac:dyDescent="0.25">
      <c r="A138" s="716"/>
      <c r="B138" s="717"/>
      <c r="C138" s="718"/>
      <c r="D138" s="718"/>
      <c r="E138" s="718"/>
      <c r="F138" s="718"/>
      <c r="G138" s="718"/>
      <c r="H138" s="718"/>
      <c r="I138" s="718"/>
      <c r="J138" s="718"/>
      <c r="K138" s="718"/>
      <c r="L138" s="718"/>
      <c r="M138" s="718"/>
      <c r="N138" s="718"/>
      <c r="O138" s="718"/>
      <c r="P138" s="718"/>
      <c r="Q138" s="718"/>
      <c r="R138" s="718"/>
      <c r="S138" s="718"/>
      <c r="T138" s="718"/>
      <c r="U138" s="718"/>
      <c r="V138" s="718"/>
    </row>
    <row r="139" spans="1:22" ht="10.5" customHeight="1" x14ac:dyDescent="0.25">
      <c r="A139" s="707">
        <v>515548</v>
      </c>
      <c r="B139" s="708" t="s">
        <v>1719</v>
      </c>
      <c r="C139" s="707" t="s">
        <v>1111</v>
      </c>
      <c r="D139" s="709">
        <v>607.82000000000005</v>
      </c>
      <c r="E139" s="709">
        <v>132.94</v>
      </c>
      <c r="F139" s="709">
        <v>80803.59</v>
      </c>
      <c r="G139" s="709"/>
      <c r="H139" s="711"/>
      <c r="I139" s="711"/>
      <c r="J139" s="710">
        <v>11538.752651999997</v>
      </c>
      <c r="K139" s="710">
        <v>11538.752651999997</v>
      </c>
      <c r="L139" s="710">
        <v>11546.833010999999</v>
      </c>
      <c r="M139" s="710">
        <v>11546.833010999999</v>
      </c>
      <c r="N139" s="710">
        <v>11546.833010999999</v>
      </c>
      <c r="O139" s="710">
        <v>11546.833010999999</v>
      </c>
      <c r="P139" s="710">
        <v>11538.752651999997</v>
      </c>
      <c r="Q139" s="711"/>
      <c r="R139" s="711"/>
      <c r="S139" s="711"/>
      <c r="T139" s="711"/>
      <c r="U139" s="711"/>
      <c r="V139" s="711"/>
    </row>
    <row r="140" spans="1:22" ht="10.5" customHeight="1" x14ac:dyDescent="0.25">
      <c r="A140" s="712"/>
      <c r="B140" s="713"/>
      <c r="C140" s="714"/>
      <c r="D140" s="714"/>
      <c r="E140" s="714"/>
      <c r="F140" s="714"/>
      <c r="G140" s="714"/>
      <c r="H140" s="714"/>
      <c r="I140" s="714"/>
      <c r="J140" s="715">
        <v>86.796696000000011</v>
      </c>
      <c r="K140" s="715">
        <v>86.796696000000011</v>
      </c>
      <c r="L140" s="715">
        <v>86.857478000000015</v>
      </c>
      <c r="M140" s="715">
        <v>86.857478000000015</v>
      </c>
      <c r="N140" s="715">
        <v>86.857478000000015</v>
      </c>
      <c r="O140" s="715">
        <v>86.857478000000015</v>
      </c>
      <c r="P140" s="715">
        <v>86.796696000000011</v>
      </c>
      <c r="Q140" s="714"/>
      <c r="R140" s="714"/>
      <c r="S140" s="714"/>
      <c r="T140" s="714"/>
      <c r="U140" s="714"/>
      <c r="V140" s="714"/>
    </row>
    <row r="141" spans="1:22" ht="10.5" customHeight="1" x14ac:dyDescent="0.25">
      <c r="A141" s="716"/>
      <c r="B141" s="717"/>
      <c r="C141" s="718"/>
      <c r="D141" s="718"/>
      <c r="E141" s="718"/>
      <c r="F141" s="718"/>
      <c r="G141" s="718"/>
      <c r="H141" s="718"/>
      <c r="I141" s="718"/>
      <c r="J141" s="718"/>
      <c r="K141" s="718"/>
      <c r="L141" s="718"/>
      <c r="M141" s="718"/>
      <c r="N141" s="718"/>
      <c r="O141" s="718"/>
      <c r="P141" s="718"/>
      <c r="Q141" s="718"/>
      <c r="R141" s="718"/>
      <c r="S141" s="718"/>
      <c r="T141" s="718"/>
      <c r="U141" s="718"/>
      <c r="V141" s="718"/>
    </row>
    <row r="142" spans="1:22" ht="10.5" customHeight="1" x14ac:dyDescent="0.25">
      <c r="A142" s="707">
        <v>515673</v>
      </c>
      <c r="B142" s="708" t="s">
        <v>1720</v>
      </c>
      <c r="C142" s="707" t="s">
        <v>1721</v>
      </c>
      <c r="D142" s="709">
        <v>24623.200000000001</v>
      </c>
      <c r="E142" s="709">
        <v>2.44</v>
      </c>
      <c r="F142" s="709">
        <v>60080.61</v>
      </c>
      <c r="G142" s="709"/>
      <c r="H142" s="711"/>
      <c r="I142" s="711"/>
      <c r="J142" s="710">
        <v>8579.5111080000006</v>
      </c>
      <c r="K142" s="710">
        <v>8579.5111080000006</v>
      </c>
      <c r="L142" s="710">
        <v>8585.5191689999992</v>
      </c>
      <c r="M142" s="710">
        <v>8585.5191689999992</v>
      </c>
      <c r="N142" s="710">
        <v>8585.5191689999992</v>
      </c>
      <c r="O142" s="710">
        <v>8585.5191689999992</v>
      </c>
      <c r="P142" s="710">
        <v>8579.5111080000006</v>
      </c>
      <c r="Q142" s="711"/>
      <c r="R142" s="711"/>
      <c r="S142" s="711"/>
      <c r="T142" s="711"/>
      <c r="U142" s="711"/>
      <c r="V142" s="711"/>
    </row>
    <row r="143" spans="1:22" ht="10.5" customHeight="1" x14ac:dyDescent="0.25">
      <c r="A143" s="712"/>
      <c r="B143" s="713"/>
      <c r="C143" s="714"/>
      <c r="D143" s="714"/>
      <c r="E143" s="714"/>
      <c r="F143" s="714"/>
      <c r="G143" s="714"/>
      <c r="H143" s="714"/>
      <c r="I143" s="714"/>
      <c r="J143" s="715">
        <v>3516.1929599999999</v>
      </c>
      <c r="K143" s="715">
        <v>3516.1929599999999</v>
      </c>
      <c r="L143" s="715">
        <v>3518.6552799999999</v>
      </c>
      <c r="M143" s="715">
        <v>3518.6552799999999</v>
      </c>
      <c r="N143" s="715">
        <v>3518.6552799999999</v>
      </c>
      <c r="O143" s="715">
        <v>3518.6552799999999</v>
      </c>
      <c r="P143" s="715">
        <v>3516.1929599999999</v>
      </c>
      <c r="Q143" s="714"/>
      <c r="R143" s="714"/>
      <c r="S143" s="714"/>
      <c r="T143" s="714"/>
      <c r="U143" s="714"/>
      <c r="V143" s="714"/>
    </row>
    <row r="144" spans="1:22" ht="10.5" customHeight="1" x14ac:dyDescent="0.25">
      <c r="A144" s="716"/>
      <c r="B144" s="717"/>
      <c r="C144" s="718"/>
      <c r="D144" s="718"/>
      <c r="E144" s="718"/>
      <c r="F144" s="718"/>
      <c r="G144" s="718"/>
      <c r="H144" s="718"/>
      <c r="I144" s="718"/>
      <c r="J144" s="718"/>
      <c r="K144" s="718"/>
      <c r="L144" s="718"/>
      <c r="M144" s="718"/>
      <c r="N144" s="718"/>
      <c r="O144" s="718"/>
      <c r="P144" s="718"/>
      <c r="Q144" s="718"/>
      <c r="R144" s="718"/>
      <c r="S144" s="718"/>
      <c r="T144" s="718"/>
      <c r="U144" s="718"/>
      <c r="V144" s="718"/>
    </row>
    <row r="145" spans="1:22" ht="10.5" customHeight="1" x14ac:dyDescent="0.25">
      <c r="A145" s="707">
        <v>514247</v>
      </c>
      <c r="B145" s="708" t="s">
        <v>1722</v>
      </c>
      <c r="C145" s="707" t="s">
        <v>1721</v>
      </c>
      <c r="D145" s="709">
        <v>12719.58</v>
      </c>
      <c r="E145" s="709">
        <v>2.44</v>
      </c>
      <c r="F145" s="709">
        <v>31035.78</v>
      </c>
      <c r="G145" s="709"/>
      <c r="H145" s="711"/>
      <c r="I145" s="711"/>
      <c r="J145" s="710">
        <v>4431.9093839999996</v>
      </c>
      <c r="K145" s="710">
        <v>4431.9093839999996</v>
      </c>
      <c r="L145" s="710">
        <v>4435.0129619999998</v>
      </c>
      <c r="M145" s="710">
        <v>4435.0129619999998</v>
      </c>
      <c r="N145" s="710">
        <v>4435.0129619999998</v>
      </c>
      <c r="O145" s="710">
        <v>4435.0129619999998</v>
      </c>
      <c r="P145" s="710">
        <v>4431.9093839999996</v>
      </c>
      <c r="Q145" s="711"/>
      <c r="R145" s="711"/>
      <c r="S145" s="711"/>
      <c r="T145" s="711"/>
      <c r="U145" s="711"/>
      <c r="V145" s="711"/>
    </row>
    <row r="146" spans="1:22" ht="10.5" customHeight="1" x14ac:dyDescent="0.25">
      <c r="A146" s="712"/>
      <c r="B146" s="713"/>
      <c r="C146" s="714"/>
      <c r="D146" s="714"/>
      <c r="E146" s="714"/>
      <c r="F146" s="714"/>
      <c r="G146" s="714"/>
      <c r="H146" s="714"/>
      <c r="I146" s="714"/>
      <c r="J146" s="715">
        <v>1816.3560239999999</v>
      </c>
      <c r="K146" s="715">
        <v>1816.3560239999999</v>
      </c>
      <c r="L146" s="715">
        <v>1817.627982</v>
      </c>
      <c r="M146" s="715">
        <v>1817.627982</v>
      </c>
      <c r="N146" s="715">
        <v>1817.627982</v>
      </c>
      <c r="O146" s="715">
        <v>1817.627982</v>
      </c>
      <c r="P146" s="715">
        <v>1816.3560239999999</v>
      </c>
      <c r="Q146" s="714"/>
      <c r="R146" s="714"/>
      <c r="S146" s="714"/>
      <c r="T146" s="714"/>
      <c r="U146" s="714"/>
      <c r="V146" s="714"/>
    </row>
    <row r="147" spans="1:22" ht="10.5" customHeight="1" x14ac:dyDescent="0.25">
      <c r="A147" s="716"/>
      <c r="B147" s="717"/>
      <c r="C147" s="718"/>
      <c r="D147" s="718"/>
      <c r="E147" s="718"/>
      <c r="F147" s="718"/>
      <c r="G147" s="718"/>
      <c r="H147" s="718"/>
      <c r="I147" s="718"/>
      <c r="J147" s="718"/>
      <c r="K147" s="718"/>
      <c r="L147" s="718"/>
      <c r="M147" s="718"/>
      <c r="N147" s="718"/>
      <c r="O147" s="718"/>
      <c r="P147" s="718"/>
      <c r="Q147" s="718"/>
      <c r="R147" s="718"/>
      <c r="S147" s="718"/>
      <c r="T147" s="718"/>
      <c r="U147" s="718"/>
      <c r="V147" s="718"/>
    </row>
    <row r="148" spans="1:22" ht="10.5" customHeight="1" x14ac:dyDescent="0.25">
      <c r="A148" s="707">
        <v>515538</v>
      </c>
      <c r="B148" s="708" t="s">
        <v>1723</v>
      </c>
      <c r="C148" s="707" t="s">
        <v>1066</v>
      </c>
      <c r="D148" s="709">
        <v>4924</v>
      </c>
      <c r="E148" s="709">
        <v>0.17</v>
      </c>
      <c r="F148" s="709">
        <v>837.08</v>
      </c>
      <c r="G148" s="709"/>
      <c r="H148" s="711"/>
      <c r="I148" s="711"/>
      <c r="J148" s="710">
        <v>119.53502399999999</v>
      </c>
      <c r="K148" s="710">
        <v>119.53502399999999</v>
      </c>
      <c r="L148" s="710">
        <v>119.61873199999999</v>
      </c>
      <c r="M148" s="710">
        <v>119.61873199999999</v>
      </c>
      <c r="N148" s="710">
        <v>119.61873199999999</v>
      </c>
      <c r="O148" s="710">
        <v>119.61873199999999</v>
      </c>
      <c r="P148" s="710">
        <v>119.53502399999999</v>
      </c>
      <c r="Q148" s="711"/>
      <c r="R148" s="711"/>
      <c r="S148" s="711"/>
      <c r="T148" s="711"/>
      <c r="U148" s="711"/>
      <c r="V148" s="711"/>
    </row>
    <row r="149" spans="1:22" ht="10.5" customHeight="1" x14ac:dyDescent="0.25">
      <c r="A149" s="712"/>
      <c r="B149" s="713"/>
      <c r="C149" s="714"/>
      <c r="D149" s="714"/>
      <c r="E149" s="714"/>
      <c r="F149" s="714"/>
      <c r="G149" s="714"/>
      <c r="H149" s="714"/>
      <c r="I149" s="714"/>
      <c r="J149" s="715">
        <v>703.1472</v>
      </c>
      <c r="K149" s="715">
        <v>703.1472</v>
      </c>
      <c r="L149" s="715">
        <v>703.63959999999997</v>
      </c>
      <c r="M149" s="715">
        <v>703.63959999999997</v>
      </c>
      <c r="N149" s="715">
        <v>703.63959999999997</v>
      </c>
      <c r="O149" s="715">
        <v>703.63959999999997</v>
      </c>
      <c r="P149" s="715">
        <v>703.1472</v>
      </c>
      <c r="Q149" s="714"/>
      <c r="R149" s="714"/>
      <c r="S149" s="714"/>
      <c r="T149" s="714"/>
      <c r="U149" s="714"/>
      <c r="V149" s="714"/>
    </row>
    <row r="150" spans="1:22" ht="10.5" customHeight="1" x14ac:dyDescent="0.25">
      <c r="A150" s="716"/>
      <c r="B150" s="717"/>
      <c r="C150" s="718"/>
      <c r="D150" s="718"/>
      <c r="E150" s="718"/>
      <c r="F150" s="718"/>
      <c r="G150" s="718"/>
      <c r="H150" s="718"/>
      <c r="I150" s="718"/>
      <c r="J150" s="718"/>
      <c r="K150" s="718"/>
      <c r="L150" s="718"/>
      <c r="M150" s="718"/>
      <c r="N150" s="718"/>
      <c r="O150" s="718"/>
      <c r="P150" s="718"/>
      <c r="Q150" s="718"/>
      <c r="R150" s="718"/>
      <c r="S150" s="718"/>
      <c r="T150" s="718"/>
      <c r="U150" s="718"/>
      <c r="V150" s="718"/>
    </row>
    <row r="151" spans="1:22" ht="10.5" customHeight="1" x14ac:dyDescent="0.25">
      <c r="A151" s="707">
        <v>514247</v>
      </c>
      <c r="B151" s="708" t="s">
        <v>1724</v>
      </c>
      <c r="C151" s="707" t="s">
        <v>1721</v>
      </c>
      <c r="D151" s="709">
        <v>9627.81</v>
      </c>
      <c r="E151" s="709">
        <v>2.44</v>
      </c>
      <c r="F151" s="709">
        <v>23491.86</v>
      </c>
      <c r="G151" s="709"/>
      <c r="H151" s="711"/>
      <c r="I151" s="711"/>
      <c r="J151" s="710">
        <v>3354.637608</v>
      </c>
      <c r="K151" s="710">
        <v>3354.637608</v>
      </c>
      <c r="L151" s="710">
        <v>3356.9867939999995</v>
      </c>
      <c r="M151" s="710">
        <v>3356.9867939999995</v>
      </c>
      <c r="N151" s="710">
        <v>3356.9867939999995</v>
      </c>
      <c r="O151" s="710">
        <v>3356.9867939999995</v>
      </c>
      <c r="P151" s="710">
        <v>3354.637608</v>
      </c>
      <c r="Q151" s="711"/>
      <c r="R151" s="711"/>
      <c r="S151" s="711"/>
      <c r="T151" s="711"/>
      <c r="U151" s="711"/>
      <c r="V151" s="711"/>
    </row>
    <row r="152" spans="1:22" ht="10.5" customHeight="1" x14ac:dyDescent="0.25">
      <c r="A152" s="712"/>
      <c r="B152" s="713"/>
      <c r="C152" s="714"/>
      <c r="D152" s="714"/>
      <c r="E152" s="714"/>
      <c r="F152" s="714"/>
      <c r="G152" s="714"/>
      <c r="H152" s="714"/>
      <c r="I152" s="714"/>
      <c r="J152" s="715">
        <v>1374.8512679999999</v>
      </c>
      <c r="K152" s="715">
        <v>1374.8512679999999</v>
      </c>
      <c r="L152" s="715">
        <v>1375.8140489999998</v>
      </c>
      <c r="M152" s="715">
        <v>1375.8140489999998</v>
      </c>
      <c r="N152" s="715">
        <v>1375.8140489999998</v>
      </c>
      <c r="O152" s="715">
        <v>1375.8140489999998</v>
      </c>
      <c r="P152" s="715">
        <v>1374.8512679999999</v>
      </c>
      <c r="Q152" s="714"/>
      <c r="R152" s="714"/>
      <c r="S152" s="714"/>
      <c r="T152" s="714"/>
      <c r="U152" s="714"/>
      <c r="V152" s="714"/>
    </row>
    <row r="153" spans="1:22" ht="10.5" customHeight="1" x14ac:dyDescent="0.25">
      <c r="A153" s="716"/>
      <c r="B153" s="717"/>
      <c r="C153" s="718"/>
      <c r="D153" s="718"/>
      <c r="E153" s="718"/>
      <c r="F153" s="718"/>
      <c r="G153" s="718"/>
      <c r="H153" s="718"/>
      <c r="I153" s="718"/>
      <c r="J153" s="718"/>
      <c r="K153" s="718"/>
      <c r="L153" s="718"/>
      <c r="M153" s="718"/>
      <c r="N153" s="718"/>
      <c r="O153" s="718"/>
      <c r="P153" s="718"/>
      <c r="Q153" s="718"/>
      <c r="R153" s="718"/>
      <c r="S153" s="718"/>
      <c r="T153" s="718"/>
      <c r="U153" s="718"/>
      <c r="V153" s="718"/>
    </row>
    <row r="154" spans="1:22" ht="10.5" customHeight="1" x14ac:dyDescent="0.25">
      <c r="A154" s="707">
        <v>504495</v>
      </c>
      <c r="B154" s="708" t="s">
        <v>1725</v>
      </c>
      <c r="C154" s="707" t="s">
        <v>1721</v>
      </c>
      <c r="D154" s="709">
        <v>12769.68</v>
      </c>
      <c r="E154" s="709">
        <v>1.45</v>
      </c>
      <c r="F154" s="709">
        <v>18516.04</v>
      </c>
      <c r="G154" s="709"/>
      <c r="H154" s="711"/>
      <c r="I154" s="711"/>
      <c r="J154" s="710">
        <v>2644.0905119999998</v>
      </c>
      <c r="K154" s="710">
        <v>2644.0905119999998</v>
      </c>
      <c r="L154" s="710">
        <v>2645.9421159999997</v>
      </c>
      <c r="M154" s="710">
        <v>2645.9421159999997</v>
      </c>
      <c r="N154" s="710">
        <v>2645.9421159999997</v>
      </c>
      <c r="O154" s="710">
        <v>2645.9421159999997</v>
      </c>
      <c r="P154" s="710">
        <v>2644.0905119999998</v>
      </c>
      <c r="Q154" s="711"/>
      <c r="R154" s="711"/>
      <c r="S154" s="711"/>
      <c r="T154" s="711"/>
      <c r="U154" s="711"/>
      <c r="V154" s="711"/>
    </row>
    <row r="155" spans="1:22" ht="10.5" customHeight="1" x14ac:dyDescent="0.25">
      <c r="A155" s="712"/>
      <c r="B155" s="713"/>
      <c r="C155" s="714"/>
      <c r="D155" s="714"/>
      <c r="E155" s="714"/>
      <c r="F155" s="714"/>
      <c r="G155" s="714"/>
      <c r="H155" s="714"/>
      <c r="I155" s="714"/>
      <c r="J155" s="715">
        <v>1823.5103039999999</v>
      </c>
      <c r="K155" s="715">
        <v>1823.5103039999999</v>
      </c>
      <c r="L155" s="715">
        <v>1824.787272</v>
      </c>
      <c r="M155" s="715">
        <v>1824.787272</v>
      </c>
      <c r="N155" s="715">
        <v>1824.787272</v>
      </c>
      <c r="O155" s="715">
        <v>1824.787272</v>
      </c>
      <c r="P155" s="715">
        <v>1823.5103039999999</v>
      </c>
      <c r="Q155" s="714"/>
      <c r="R155" s="714"/>
      <c r="S155" s="714"/>
      <c r="T155" s="714"/>
      <c r="U155" s="714"/>
      <c r="V155" s="714"/>
    </row>
    <row r="156" spans="1:22" ht="10.5" customHeight="1" x14ac:dyDescent="0.25">
      <c r="A156" s="716"/>
      <c r="B156" s="717"/>
      <c r="C156" s="718"/>
      <c r="D156" s="718"/>
      <c r="E156" s="718"/>
      <c r="F156" s="718"/>
      <c r="G156" s="718"/>
      <c r="H156" s="718"/>
      <c r="I156" s="718"/>
      <c r="J156" s="718"/>
      <c r="K156" s="718"/>
      <c r="L156" s="718"/>
      <c r="M156" s="718"/>
      <c r="N156" s="718"/>
      <c r="O156" s="718"/>
      <c r="P156" s="718"/>
      <c r="Q156" s="718"/>
      <c r="R156" s="718"/>
      <c r="S156" s="718"/>
      <c r="T156" s="718"/>
      <c r="U156" s="718"/>
      <c r="V156" s="718"/>
    </row>
    <row r="157" spans="1:22" ht="10.5" customHeight="1" x14ac:dyDescent="0.25">
      <c r="A157" s="707">
        <v>515625</v>
      </c>
      <c r="B157" s="708" t="s">
        <v>1726</v>
      </c>
      <c r="C157" s="707" t="s">
        <v>571</v>
      </c>
      <c r="D157" s="709">
        <v>5608.35</v>
      </c>
      <c r="E157" s="709">
        <v>11.760000000000002</v>
      </c>
      <c r="F157" s="709">
        <v>65954.2</v>
      </c>
      <c r="G157" s="709"/>
      <c r="H157" s="711"/>
      <c r="I157" s="711"/>
      <c r="J157" s="710">
        <v>9418.259759999999</v>
      </c>
      <c r="K157" s="710">
        <v>9418.259759999999</v>
      </c>
      <c r="L157" s="710">
        <v>9424.8551799999987</v>
      </c>
      <c r="M157" s="710">
        <v>9424.8551799999987</v>
      </c>
      <c r="N157" s="710">
        <v>9424.8551799999987</v>
      </c>
      <c r="O157" s="710">
        <v>9424.8551799999987</v>
      </c>
      <c r="P157" s="710">
        <v>9418.259759999999</v>
      </c>
      <c r="Q157" s="711"/>
      <c r="R157" s="711"/>
      <c r="S157" s="711"/>
      <c r="T157" s="711"/>
      <c r="U157" s="711"/>
      <c r="V157" s="711"/>
    </row>
    <row r="158" spans="1:22" ht="10.5" customHeight="1" x14ac:dyDescent="0.25">
      <c r="A158" s="712"/>
      <c r="B158" s="713"/>
      <c r="C158" s="714"/>
      <c r="D158" s="714"/>
      <c r="E158" s="714"/>
      <c r="F158" s="714"/>
      <c r="G158" s="714"/>
      <c r="H158" s="714"/>
      <c r="I158" s="714"/>
      <c r="J158" s="715">
        <v>800.87238000000002</v>
      </c>
      <c r="K158" s="715">
        <v>800.87238000000002</v>
      </c>
      <c r="L158" s="715">
        <v>801.43321500000002</v>
      </c>
      <c r="M158" s="715">
        <v>801.43321500000002</v>
      </c>
      <c r="N158" s="715">
        <v>801.43321500000002</v>
      </c>
      <c r="O158" s="715">
        <v>801.43321500000002</v>
      </c>
      <c r="P158" s="715">
        <v>800.87238000000002</v>
      </c>
      <c r="Q158" s="714"/>
      <c r="R158" s="714"/>
      <c r="S158" s="714"/>
      <c r="T158" s="714"/>
      <c r="U158" s="714"/>
      <c r="V158" s="714"/>
    </row>
    <row r="159" spans="1:22" ht="10.5" customHeight="1" x14ac:dyDescent="0.25">
      <c r="A159" s="716"/>
      <c r="B159" s="717"/>
      <c r="C159" s="718"/>
      <c r="D159" s="718"/>
      <c r="E159" s="718"/>
      <c r="F159" s="718"/>
      <c r="G159" s="718"/>
      <c r="H159" s="718"/>
      <c r="I159" s="718"/>
      <c r="J159" s="718"/>
      <c r="K159" s="718"/>
      <c r="L159" s="718"/>
      <c r="M159" s="718"/>
      <c r="N159" s="718"/>
      <c r="O159" s="718"/>
      <c r="P159" s="718"/>
      <c r="Q159" s="718"/>
      <c r="R159" s="718"/>
      <c r="S159" s="718"/>
      <c r="T159" s="718"/>
      <c r="U159" s="718"/>
      <c r="V159" s="718"/>
    </row>
    <row r="160" spans="1:22" ht="10.5" customHeight="1" x14ac:dyDescent="0.25">
      <c r="A160" s="707">
        <v>515627</v>
      </c>
      <c r="B160" s="708" t="s">
        <v>1727</v>
      </c>
      <c r="C160" s="707" t="s">
        <v>1111</v>
      </c>
      <c r="D160" s="709">
        <v>246.36</v>
      </c>
      <c r="E160" s="709">
        <v>139.97999999999999</v>
      </c>
      <c r="F160" s="709">
        <v>34485.47</v>
      </c>
      <c r="G160" s="709"/>
      <c r="H160" s="711"/>
      <c r="I160" s="711"/>
      <c r="J160" s="710">
        <v>4924.5251159999998</v>
      </c>
      <c r="K160" s="710">
        <v>4924.5251159999998</v>
      </c>
      <c r="L160" s="710">
        <v>4927.9736629999998</v>
      </c>
      <c r="M160" s="710">
        <v>4927.9736629999998</v>
      </c>
      <c r="N160" s="710">
        <v>4927.9736629999998</v>
      </c>
      <c r="O160" s="710">
        <v>4927.9736629999998</v>
      </c>
      <c r="P160" s="710">
        <v>4924.5251159999998</v>
      </c>
      <c r="Q160" s="711"/>
      <c r="R160" s="711"/>
      <c r="S160" s="711"/>
      <c r="T160" s="711"/>
      <c r="U160" s="711"/>
      <c r="V160" s="711"/>
    </row>
    <row r="161" spans="1:22" ht="10.5" customHeight="1" x14ac:dyDescent="0.25">
      <c r="A161" s="712"/>
      <c r="B161" s="713"/>
      <c r="C161" s="714"/>
      <c r="D161" s="714"/>
      <c r="E161" s="714"/>
      <c r="F161" s="714"/>
      <c r="G161" s="714"/>
      <c r="H161" s="714"/>
      <c r="I161" s="714"/>
      <c r="J161" s="715">
        <v>35.180208</v>
      </c>
      <c r="K161" s="715">
        <v>35.180208</v>
      </c>
      <c r="L161" s="715">
        <v>35.204844000000001</v>
      </c>
      <c r="M161" s="715">
        <v>35.204844000000001</v>
      </c>
      <c r="N161" s="715">
        <v>35.204844000000001</v>
      </c>
      <c r="O161" s="715">
        <v>35.204844000000001</v>
      </c>
      <c r="P161" s="715">
        <v>35.180208</v>
      </c>
      <c r="Q161" s="714"/>
      <c r="R161" s="714"/>
      <c r="S161" s="714"/>
      <c r="T161" s="714"/>
      <c r="U161" s="714"/>
      <c r="V161" s="714"/>
    </row>
    <row r="162" spans="1:22" ht="10.5" customHeight="1" x14ac:dyDescent="0.25">
      <c r="A162" s="716"/>
      <c r="B162" s="717"/>
      <c r="C162" s="718"/>
      <c r="D162" s="718"/>
      <c r="E162" s="718"/>
      <c r="F162" s="718"/>
      <c r="G162" s="718"/>
      <c r="H162" s="718"/>
      <c r="I162" s="718"/>
      <c r="J162" s="718"/>
      <c r="K162" s="718"/>
      <c r="L162" s="718"/>
      <c r="M162" s="718"/>
      <c r="N162" s="718"/>
      <c r="O162" s="718"/>
      <c r="P162" s="718"/>
      <c r="Q162" s="718"/>
      <c r="R162" s="718"/>
      <c r="S162" s="718"/>
      <c r="T162" s="718"/>
      <c r="U162" s="718"/>
      <c r="V162" s="718"/>
    </row>
    <row r="163" spans="1:22" ht="10.5" customHeight="1" x14ac:dyDescent="0.25">
      <c r="A163" s="707">
        <v>515672</v>
      </c>
      <c r="B163" s="708" t="s">
        <v>1728</v>
      </c>
      <c r="C163" s="707" t="s">
        <v>1111</v>
      </c>
      <c r="D163" s="709">
        <v>95.85</v>
      </c>
      <c r="E163" s="709">
        <v>135.15</v>
      </c>
      <c r="F163" s="709">
        <v>12954.13</v>
      </c>
      <c r="G163" s="709"/>
      <c r="H163" s="711"/>
      <c r="I163" s="711"/>
      <c r="J163" s="710">
        <v>1849.8497639999998</v>
      </c>
      <c r="K163" s="710">
        <v>1849.8497639999998</v>
      </c>
      <c r="L163" s="710">
        <v>1851.1451769999996</v>
      </c>
      <c r="M163" s="710">
        <v>1851.1451769999996</v>
      </c>
      <c r="N163" s="710">
        <v>1851.1451769999996</v>
      </c>
      <c r="O163" s="710">
        <v>1851.1451769999996</v>
      </c>
      <c r="P163" s="710">
        <v>1849.8497639999998</v>
      </c>
      <c r="Q163" s="711"/>
      <c r="R163" s="711"/>
      <c r="S163" s="711"/>
      <c r="T163" s="711"/>
      <c r="U163" s="711"/>
      <c r="V163" s="711"/>
    </row>
    <row r="164" spans="1:22" ht="10.5" customHeight="1" x14ac:dyDescent="0.25">
      <c r="A164" s="712"/>
      <c r="B164" s="713"/>
      <c r="C164" s="714"/>
      <c r="D164" s="714"/>
      <c r="E164" s="714"/>
      <c r="F164" s="714"/>
      <c r="G164" s="714"/>
      <c r="H164" s="714"/>
      <c r="I164" s="714"/>
      <c r="J164" s="715">
        <v>13.687379999999997</v>
      </c>
      <c r="K164" s="715">
        <v>13.687379999999997</v>
      </c>
      <c r="L164" s="715">
        <v>13.696964999999999</v>
      </c>
      <c r="M164" s="715">
        <v>13.696964999999999</v>
      </c>
      <c r="N164" s="715">
        <v>13.696964999999999</v>
      </c>
      <c r="O164" s="715">
        <v>13.696964999999999</v>
      </c>
      <c r="P164" s="715">
        <v>13.687379999999997</v>
      </c>
      <c r="Q164" s="714"/>
      <c r="R164" s="714"/>
      <c r="S164" s="714"/>
      <c r="T164" s="714"/>
      <c r="U164" s="714"/>
      <c r="V164" s="714"/>
    </row>
    <row r="165" spans="1:22" ht="10.5" customHeight="1" x14ac:dyDescent="0.25">
      <c r="A165" s="716"/>
      <c r="B165" s="717"/>
      <c r="C165" s="718"/>
      <c r="D165" s="718"/>
      <c r="E165" s="718"/>
      <c r="F165" s="718"/>
      <c r="G165" s="718"/>
      <c r="H165" s="718"/>
      <c r="I165" s="718"/>
      <c r="J165" s="718"/>
      <c r="K165" s="718"/>
      <c r="L165" s="718"/>
      <c r="M165" s="718"/>
      <c r="N165" s="718"/>
      <c r="O165" s="718"/>
      <c r="P165" s="718"/>
      <c r="Q165" s="718"/>
      <c r="R165" s="718"/>
      <c r="S165" s="718"/>
      <c r="T165" s="718"/>
      <c r="U165" s="718"/>
      <c r="V165" s="718"/>
    </row>
    <row r="166" spans="1:22" ht="10.5" customHeight="1" x14ac:dyDescent="0.25">
      <c r="A166" s="707">
        <v>514247</v>
      </c>
      <c r="B166" s="708" t="s">
        <v>1729</v>
      </c>
      <c r="C166" s="707" t="s">
        <v>1721</v>
      </c>
      <c r="D166" s="709">
        <v>2296.4899999999998</v>
      </c>
      <c r="E166" s="709">
        <v>2.44</v>
      </c>
      <c r="F166" s="709">
        <v>5603.44</v>
      </c>
      <c r="G166" s="709"/>
      <c r="H166" s="711"/>
      <c r="I166" s="711"/>
      <c r="J166" s="710">
        <v>800.17123199999992</v>
      </c>
      <c r="K166" s="710">
        <v>800.17123199999992</v>
      </c>
      <c r="L166" s="710">
        <v>800.7315759999999</v>
      </c>
      <c r="M166" s="710">
        <v>800.7315759999999</v>
      </c>
      <c r="N166" s="710">
        <v>800.7315759999999</v>
      </c>
      <c r="O166" s="710">
        <v>800.7315759999999</v>
      </c>
      <c r="P166" s="710">
        <v>800.17123199999992</v>
      </c>
      <c r="Q166" s="711"/>
      <c r="R166" s="711"/>
      <c r="S166" s="711"/>
      <c r="T166" s="711"/>
      <c r="U166" s="711"/>
      <c r="V166" s="711"/>
    </row>
    <row r="167" spans="1:22" ht="10.5" customHeight="1" x14ac:dyDescent="0.25">
      <c r="A167" s="712"/>
      <c r="B167" s="713"/>
      <c r="C167" s="714"/>
      <c r="D167" s="714"/>
      <c r="E167" s="714"/>
      <c r="F167" s="714"/>
      <c r="G167" s="714"/>
      <c r="H167" s="714"/>
      <c r="I167" s="714"/>
      <c r="J167" s="715">
        <v>327.93877199999997</v>
      </c>
      <c r="K167" s="715">
        <v>327.93877199999997</v>
      </c>
      <c r="L167" s="715">
        <v>328.16842099999997</v>
      </c>
      <c r="M167" s="715">
        <v>328.16842099999997</v>
      </c>
      <c r="N167" s="715">
        <v>328.16842099999997</v>
      </c>
      <c r="O167" s="715">
        <v>328.16842099999997</v>
      </c>
      <c r="P167" s="715">
        <v>327.93877199999997</v>
      </c>
      <c r="Q167" s="714"/>
      <c r="R167" s="714"/>
      <c r="S167" s="714"/>
      <c r="T167" s="714"/>
      <c r="U167" s="714"/>
      <c r="V167" s="714"/>
    </row>
    <row r="168" spans="1:22" ht="10.5" customHeight="1" x14ac:dyDescent="0.25">
      <c r="A168" s="716"/>
      <c r="B168" s="717"/>
      <c r="C168" s="718"/>
      <c r="D168" s="718"/>
      <c r="E168" s="718"/>
      <c r="F168" s="718"/>
      <c r="G168" s="718"/>
      <c r="H168" s="718"/>
      <c r="I168" s="718"/>
      <c r="J168" s="718"/>
      <c r="K168" s="718"/>
      <c r="L168" s="718"/>
      <c r="M168" s="718"/>
      <c r="N168" s="718"/>
      <c r="O168" s="718"/>
      <c r="P168" s="718"/>
      <c r="Q168" s="718"/>
      <c r="R168" s="718"/>
      <c r="S168" s="718"/>
      <c r="T168" s="718"/>
      <c r="U168" s="718"/>
      <c r="V168" s="718"/>
    </row>
    <row r="169" spans="1:22" s="105" customFormat="1" ht="10.5" customHeight="1" x14ac:dyDescent="0.25">
      <c r="A169" s="704"/>
      <c r="B169" s="719" t="s">
        <v>1730</v>
      </c>
      <c r="C169" s="704"/>
      <c r="D169" s="705"/>
      <c r="E169" s="706">
        <v>0</v>
      </c>
      <c r="F169" s="706">
        <v>12566.29</v>
      </c>
      <c r="G169" s="706"/>
      <c r="H169" s="705"/>
      <c r="I169" s="705"/>
      <c r="J169" s="705"/>
      <c r="K169" s="705"/>
      <c r="L169" s="705"/>
      <c r="M169" s="705"/>
      <c r="N169" s="705"/>
      <c r="O169" s="705"/>
      <c r="P169" s="705"/>
      <c r="Q169" s="705"/>
      <c r="R169" s="705"/>
      <c r="S169" s="705"/>
      <c r="T169" s="705"/>
      <c r="U169" s="705"/>
      <c r="V169" s="705"/>
    </row>
    <row r="170" spans="1:22" ht="10.5" customHeight="1" x14ac:dyDescent="0.25">
      <c r="A170" s="707">
        <v>502653</v>
      </c>
      <c r="B170" s="708" t="s">
        <v>1731</v>
      </c>
      <c r="C170" s="707" t="s">
        <v>571</v>
      </c>
      <c r="D170" s="709">
        <v>2083.77</v>
      </c>
      <c r="E170" s="709">
        <v>1.25</v>
      </c>
      <c r="F170" s="709">
        <v>2604.71</v>
      </c>
      <c r="G170" s="709"/>
      <c r="H170" s="711"/>
      <c r="I170" s="711"/>
      <c r="J170" s="711"/>
      <c r="K170" s="711"/>
      <c r="L170" s="710">
        <v>520.94200000000001</v>
      </c>
      <c r="M170" s="710">
        <v>520.94200000000001</v>
      </c>
      <c r="N170" s="710">
        <v>520.94200000000001</v>
      </c>
      <c r="O170" s="710">
        <v>520.94200000000001</v>
      </c>
      <c r="P170" s="710">
        <v>520.94200000000001</v>
      </c>
      <c r="Q170" s="711"/>
      <c r="R170" s="711"/>
      <c r="S170" s="711"/>
      <c r="T170" s="711"/>
      <c r="U170" s="711"/>
      <c r="V170" s="711"/>
    </row>
    <row r="171" spans="1:22" ht="10.5" customHeight="1" x14ac:dyDescent="0.25">
      <c r="A171" s="712"/>
      <c r="B171" s="713"/>
      <c r="C171" s="714"/>
      <c r="D171" s="714"/>
      <c r="E171" s="714"/>
      <c r="F171" s="714"/>
      <c r="G171" s="714"/>
      <c r="H171" s="714"/>
      <c r="I171" s="714"/>
      <c r="J171" s="714"/>
      <c r="K171" s="714"/>
      <c r="L171" s="715">
        <v>416.75400000000002</v>
      </c>
      <c r="M171" s="715">
        <v>416.75400000000002</v>
      </c>
      <c r="N171" s="715">
        <v>416.75400000000002</v>
      </c>
      <c r="O171" s="715">
        <v>416.75400000000002</v>
      </c>
      <c r="P171" s="715">
        <v>416.75400000000002</v>
      </c>
      <c r="Q171" s="714"/>
      <c r="R171" s="714"/>
      <c r="S171" s="714"/>
      <c r="T171" s="714"/>
      <c r="U171" s="714"/>
      <c r="V171" s="714"/>
    </row>
    <row r="172" spans="1:22" ht="10.5" customHeight="1" x14ac:dyDescent="0.25">
      <c r="A172" s="716"/>
      <c r="B172" s="717"/>
      <c r="C172" s="718"/>
      <c r="D172" s="718"/>
      <c r="E172" s="718"/>
      <c r="F172" s="718"/>
      <c r="G172" s="718"/>
      <c r="H172" s="718"/>
      <c r="I172" s="718"/>
      <c r="J172" s="718"/>
      <c r="K172" s="718"/>
      <c r="L172" s="718"/>
      <c r="M172" s="718"/>
      <c r="N172" s="718"/>
      <c r="O172" s="718"/>
      <c r="P172" s="718"/>
      <c r="Q172" s="718"/>
      <c r="R172" s="718"/>
      <c r="S172" s="718"/>
      <c r="T172" s="718"/>
      <c r="U172" s="718"/>
      <c r="V172" s="718"/>
    </row>
    <row r="173" spans="1:22" ht="10.5" customHeight="1" x14ac:dyDescent="0.25">
      <c r="A173" s="707">
        <v>504413</v>
      </c>
      <c r="B173" s="708" t="s">
        <v>1732</v>
      </c>
      <c r="C173" s="707" t="s">
        <v>571</v>
      </c>
      <c r="D173" s="709">
        <v>449.45</v>
      </c>
      <c r="E173" s="709">
        <v>7.91</v>
      </c>
      <c r="F173" s="709">
        <v>3555.15</v>
      </c>
      <c r="G173" s="709"/>
      <c r="H173" s="711"/>
      <c r="I173" s="711"/>
      <c r="J173" s="711"/>
      <c r="K173" s="711"/>
      <c r="L173" s="710">
        <v>711.03</v>
      </c>
      <c r="M173" s="710">
        <v>711.03</v>
      </c>
      <c r="N173" s="710">
        <v>711.03</v>
      </c>
      <c r="O173" s="710">
        <v>711.03</v>
      </c>
      <c r="P173" s="710">
        <v>711.03</v>
      </c>
      <c r="Q173" s="711"/>
      <c r="R173" s="711"/>
      <c r="S173" s="711"/>
      <c r="T173" s="711"/>
      <c r="U173" s="711"/>
      <c r="V173" s="711"/>
    </row>
    <row r="174" spans="1:22" ht="10.5" customHeight="1" x14ac:dyDescent="0.25">
      <c r="A174" s="712"/>
      <c r="B174" s="713"/>
      <c r="C174" s="714"/>
      <c r="D174" s="714"/>
      <c r="E174" s="714"/>
      <c r="F174" s="714"/>
      <c r="G174" s="714"/>
      <c r="H174" s="714"/>
      <c r="I174" s="714"/>
      <c r="J174" s="714"/>
      <c r="K174" s="714"/>
      <c r="L174" s="715">
        <v>89.89</v>
      </c>
      <c r="M174" s="715">
        <v>89.89</v>
      </c>
      <c r="N174" s="715">
        <v>89.89</v>
      </c>
      <c r="O174" s="715">
        <v>89.89</v>
      </c>
      <c r="P174" s="715">
        <v>89.89</v>
      </c>
      <c r="Q174" s="714"/>
      <c r="R174" s="714"/>
      <c r="S174" s="714"/>
      <c r="T174" s="714"/>
      <c r="U174" s="714"/>
      <c r="V174" s="714"/>
    </row>
    <row r="175" spans="1:22" ht="10.5" customHeight="1" x14ac:dyDescent="0.25">
      <c r="A175" s="716"/>
      <c r="B175" s="717"/>
      <c r="C175" s="718"/>
      <c r="D175" s="718"/>
      <c r="E175" s="718"/>
      <c r="F175" s="718"/>
      <c r="G175" s="718"/>
      <c r="H175" s="718"/>
      <c r="I175" s="718"/>
      <c r="J175" s="718"/>
      <c r="K175" s="718"/>
      <c r="L175" s="718"/>
      <c r="M175" s="718"/>
      <c r="N175" s="718"/>
      <c r="O175" s="718"/>
      <c r="P175" s="718"/>
      <c r="Q175" s="718"/>
      <c r="R175" s="718"/>
      <c r="S175" s="718"/>
      <c r="T175" s="718"/>
      <c r="U175" s="718"/>
      <c r="V175" s="718"/>
    </row>
    <row r="176" spans="1:22" ht="10.5" customHeight="1" x14ac:dyDescent="0.25">
      <c r="A176" s="707">
        <v>502655</v>
      </c>
      <c r="B176" s="708" t="s">
        <v>1733</v>
      </c>
      <c r="C176" s="707" t="s">
        <v>571</v>
      </c>
      <c r="D176" s="709">
        <v>685.23</v>
      </c>
      <c r="E176" s="709">
        <v>9.0299999999999994</v>
      </c>
      <c r="F176" s="709">
        <v>6187.63</v>
      </c>
      <c r="G176" s="709"/>
      <c r="H176" s="711"/>
      <c r="I176" s="711"/>
      <c r="J176" s="711"/>
      <c r="K176" s="711"/>
      <c r="L176" s="710">
        <v>1237.5260000000001</v>
      </c>
      <c r="M176" s="710">
        <v>1237.5260000000001</v>
      </c>
      <c r="N176" s="710">
        <v>1237.5260000000001</v>
      </c>
      <c r="O176" s="710">
        <v>1237.5260000000001</v>
      </c>
      <c r="P176" s="710">
        <v>1237.5260000000001</v>
      </c>
      <c r="Q176" s="711"/>
      <c r="R176" s="711"/>
      <c r="S176" s="711"/>
      <c r="T176" s="711"/>
      <c r="U176" s="711"/>
      <c r="V176" s="711"/>
    </row>
    <row r="177" spans="1:22" ht="10.5" customHeight="1" x14ac:dyDescent="0.25">
      <c r="A177" s="712"/>
      <c r="B177" s="713"/>
      <c r="C177" s="714"/>
      <c r="D177" s="714"/>
      <c r="E177" s="714"/>
      <c r="F177" s="714"/>
      <c r="G177" s="714"/>
      <c r="H177" s="714"/>
      <c r="I177" s="714"/>
      <c r="J177" s="714"/>
      <c r="K177" s="714"/>
      <c r="L177" s="715">
        <v>137.04599999999999</v>
      </c>
      <c r="M177" s="715">
        <v>137.04599999999999</v>
      </c>
      <c r="N177" s="715">
        <v>137.04599999999999</v>
      </c>
      <c r="O177" s="715">
        <v>137.04599999999999</v>
      </c>
      <c r="P177" s="715">
        <v>137.04599999999999</v>
      </c>
      <c r="Q177" s="714"/>
      <c r="R177" s="714"/>
      <c r="S177" s="714"/>
      <c r="T177" s="714"/>
      <c r="U177" s="714"/>
      <c r="V177" s="714"/>
    </row>
    <row r="178" spans="1:22" ht="10.5" customHeight="1" x14ac:dyDescent="0.25">
      <c r="A178" s="716"/>
      <c r="B178" s="717"/>
      <c r="C178" s="718"/>
      <c r="D178" s="718"/>
      <c r="E178" s="718"/>
      <c r="F178" s="718"/>
      <c r="G178" s="718"/>
      <c r="H178" s="718"/>
      <c r="I178" s="718"/>
      <c r="J178" s="718"/>
      <c r="K178" s="718"/>
      <c r="L178" s="718"/>
      <c r="M178" s="718"/>
      <c r="N178" s="718"/>
      <c r="O178" s="718"/>
      <c r="P178" s="718"/>
      <c r="Q178" s="718"/>
      <c r="R178" s="718"/>
      <c r="S178" s="718"/>
      <c r="T178" s="718"/>
      <c r="U178" s="718"/>
      <c r="V178" s="718"/>
    </row>
    <row r="179" spans="1:22" ht="10.5" customHeight="1" x14ac:dyDescent="0.25">
      <c r="A179" s="707">
        <v>505357</v>
      </c>
      <c r="B179" s="708" t="s">
        <v>593</v>
      </c>
      <c r="C179" s="707" t="s">
        <v>683</v>
      </c>
      <c r="D179" s="709">
        <v>69.459999999999994</v>
      </c>
      <c r="E179" s="709">
        <v>3.15</v>
      </c>
      <c r="F179" s="709">
        <v>218.8</v>
      </c>
      <c r="G179" s="709"/>
      <c r="H179" s="711"/>
      <c r="I179" s="711"/>
      <c r="J179" s="711"/>
      <c r="K179" s="711"/>
      <c r="L179" s="710">
        <v>43.76</v>
      </c>
      <c r="M179" s="710">
        <v>43.76</v>
      </c>
      <c r="N179" s="710">
        <v>43.76</v>
      </c>
      <c r="O179" s="710">
        <v>43.76</v>
      </c>
      <c r="P179" s="710">
        <v>43.76</v>
      </c>
      <c r="Q179" s="711"/>
      <c r="R179" s="711"/>
      <c r="S179" s="711"/>
      <c r="T179" s="711"/>
      <c r="U179" s="711"/>
      <c r="V179" s="711"/>
    </row>
    <row r="180" spans="1:22" ht="10.5" customHeight="1" x14ac:dyDescent="0.25">
      <c r="A180" s="712"/>
      <c r="B180" s="713"/>
      <c r="C180" s="714"/>
      <c r="D180" s="714"/>
      <c r="E180" s="714"/>
      <c r="F180" s="714"/>
      <c r="G180" s="714"/>
      <c r="H180" s="714"/>
      <c r="I180" s="714"/>
      <c r="J180" s="714"/>
      <c r="K180" s="714"/>
      <c r="L180" s="715">
        <v>13.891999999999998</v>
      </c>
      <c r="M180" s="715">
        <v>13.891999999999998</v>
      </c>
      <c r="N180" s="715">
        <v>13.891999999999998</v>
      </c>
      <c r="O180" s="715">
        <v>13.891999999999998</v>
      </c>
      <c r="P180" s="715">
        <v>13.891999999999998</v>
      </c>
      <c r="Q180" s="714"/>
      <c r="R180" s="714"/>
      <c r="S180" s="714"/>
      <c r="T180" s="714"/>
      <c r="U180" s="714"/>
      <c r="V180" s="714"/>
    </row>
    <row r="181" spans="1:22" ht="10.5" customHeight="1" x14ac:dyDescent="0.25">
      <c r="A181" s="716"/>
      <c r="B181" s="717"/>
      <c r="C181" s="718"/>
      <c r="D181" s="718"/>
      <c r="E181" s="718"/>
      <c r="F181" s="718"/>
      <c r="G181" s="718"/>
      <c r="H181" s="718"/>
      <c r="I181" s="718"/>
      <c r="J181" s="718"/>
      <c r="K181" s="718"/>
      <c r="L181" s="718"/>
      <c r="M181" s="718"/>
      <c r="N181" s="718"/>
      <c r="O181" s="718"/>
      <c r="P181" s="718"/>
      <c r="Q181" s="718"/>
      <c r="R181" s="718"/>
      <c r="S181" s="718"/>
      <c r="T181" s="718"/>
      <c r="U181" s="718"/>
      <c r="V181" s="718"/>
    </row>
    <row r="182" spans="1:22" s="105" customFormat="1" ht="10.5" customHeight="1" x14ac:dyDescent="0.25">
      <c r="A182" s="704"/>
      <c r="B182" s="719" t="s">
        <v>1024</v>
      </c>
      <c r="C182" s="704"/>
      <c r="D182" s="705"/>
      <c r="E182" s="706">
        <v>0</v>
      </c>
      <c r="F182" s="706">
        <v>85549.329999999987</v>
      </c>
      <c r="G182" s="706"/>
      <c r="H182" s="705"/>
      <c r="I182" s="705"/>
      <c r="J182" s="705"/>
      <c r="K182" s="705"/>
      <c r="L182" s="705"/>
      <c r="M182" s="705"/>
      <c r="N182" s="705"/>
      <c r="O182" s="705"/>
      <c r="P182" s="705"/>
      <c r="Q182" s="705"/>
      <c r="R182" s="705"/>
      <c r="S182" s="705"/>
      <c r="T182" s="705"/>
      <c r="U182" s="705"/>
      <c r="V182" s="705"/>
    </row>
    <row r="183" spans="1:22" ht="10.5" customHeight="1" x14ac:dyDescent="0.25">
      <c r="A183" s="707">
        <v>500311</v>
      </c>
      <c r="B183" s="708" t="s">
        <v>1734</v>
      </c>
      <c r="C183" s="707" t="s">
        <v>571</v>
      </c>
      <c r="D183" s="709">
        <v>2547</v>
      </c>
      <c r="E183" s="709">
        <v>12.489999999999998</v>
      </c>
      <c r="F183" s="709">
        <v>31812.03</v>
      </c>
      <c r="G183" s="709"/>
      <c r="H183" s="711"/>
      <c r="I183" s="711"/>
      <c r="J183" s="711"/>
      <c r="K183" s="711"/>
      <c r="L183" s="710">
        <v>5299.8841980000007</v>
      </c>
      <c r="M183" s="710">
        <v>5299.8841980000007</v>
      </c>
      <c r="N183" s="710">
        <v>5303.0654009999998</v>
      </c>
      <c r="O183" s="710">
        <v>5303.0654009999998</v>
      </c>
      <c r="P183" s="710">
        <v>5303.0654009999998</v>
      </c>
      <c r="Q183" s="710">
        <v>5303.0654009999998</v>
      </c>
      <c r="R183" s="711"/>
      <c r="S183" s="711"/>
      <c r="T183" s="711"/>
      <c r="U183" s="711"/>
      <c r="V183" s="711"/>
    </row>
    <row r="184" spans="1:22" ht="10.5" customHeight="1" x14ac:dyDescent="0.25">
      <c r="A184" s="712"/>
      <c r="B184" s="713"/>
      <c r="C184" s="714"/>
      <c r="D184" s="714"/>
      <c r="E184" s="714"/>
      <c r="F184" s="714"/>
      <c r="G184" s="714"/>
      <c r="H184" s="714"/>
      <c r="I184" s="714"/>
      <c r="J184" s="714"/>
      <c r="K184" s="714"/>
      <c r="L184" s="715">
        <v>424.33019999999999</v>
      </c>
      <c r="M184" s="715">
        <v>424.33019999999999</v>
      </c>
      <c r="N184" s="715">
        <v>424.58490000000006</v>
      </c>
      <c r="O184" s="715">
        <v>424.58490000000006</v>
      </c>
      <c r="P184" s="715">
        <v>424.58490000000006</v>
      </c>
      <c r="Q184" s="715">
        <v>424.58490000000006</v>
      </c>
      <c r="R184" s="714"/>
      <c r="S184" s="714"/>
      <c r="T184" s="714"/>
      <c r="U184" s="714"/>
      <c r="V184" s="714"/>
    </row>
    <row r="185" spans="1:22" ht="10.5" customHeight="1" x14ac:dyDescent="0.25">
      <c r="A185" s="716"/>
      <c r="B185" s="717"/>
      <c r="C185" s="718"/>
      <c r="D185" s="718"/>
      <c r="E185" s="718"/>
      <c r="F185" s="718"/>
      <c r="G185" s="718"/>
      <c r="H185" s="718"/>
      <c r="I185" s="718"/>
      <c r="J185" s="718"/>
      <c r="K185" s="718"/>
      <c r="L185" s="718"/>
      <c r="M185" s="718"/>
      <c r="N185" s="718"/>
      <c r="O185" s="718"/>
      <c r="P185" s="718"/>
      <c r="Q185" s="718"/>
      <c r="R185" s="718"/>
      <c r="S185" s="718"/>
      <c r="T185" s="718"/>
      <c r="U185" s="718"/>
      <c r="V185" s="718"/>
    </row>
    <row r="186" spans="1:22" ht="10.5" customHeight="1" x14ac:dyDescent="0.25">
      <c r="A186" s="707">
        <v>500312</v>
      </c>
      <c r="B186" s="708" t="s">
        <v>1735</v>
      </c>
      <c r="C186" s="707" t="s">
        <v>571</v>
      </c>
      <c r="D186" s="709">
        <v>252.36</v>
      </c>
      <c r="E186" s="709">
        <v>17.46</v>
      </c>
      <c r="F186" s="709">
        <v>4406.21</v>
      </c>
      <c r="G186" s="709"/>
      <c r="H186" s="711"/>
      <c r="I186" s="711"/>
      <c r="J186" s="711"/>
      <c r="K186" s="711"/>
      <c r="L186" s="710">
        <v>734.07458599999995</v>
      </c>
      <c r="M186" s="710">
        <v>734.07458599999995</v>
      </c>
      <c r="N186" s="710">
        <v>734.51520700000003</v>
      </c>
      <c r="O186" s="710">
        <v>734.51520700000003</v>
      </c>
      <c r="P186" s="710">
        <v>734.51520700000003</v>
      </c>
      <c r="Q186" s="710">
        <v>734.51520700000003</v>
      </c>
      <c r="R186" s="711"/>
      <c r="S186" s="711"/>
      <c r="T186" s="711"/>
      <c r="U186" s="711"/>
      <c r="V186" s="711"/>
    </row>
    <row r="187" spans="1:22" ht="10.5" customHeight="1" x14ac:dyDescent="0.25">
      <c r="A187" s="712"/>
      <c r="B187" s="713"/>
      <c r="C187" s="714"/>
      <c r="D187" s="714"/>
      <c r="E187" s="714"/>
      <c r="F187" s="714"/>
      <c r="G187" s="714"/>
      <c r="H187" s="714"/>
      <c r="I187" s="714"/>
      <c r="J187" s="714"/>
      <c r="K187" s="714"/>
      <c r="L187" s="715">
        <v>42.043176000000003</v>
      </c>
      <c r="M187" s="715">
        <v>42.043176000000003</v>
      </c>
      <c r="N187" s="715">
        <v>42.068412000000009</v>
      </c>
      <c r="O187" s="715">
        <v>42.068412000000009</v>
      </c>
      <c r="P187" s="715">
        <v>42.068412000000009</v>
      </c>
      <c r="Q187" s="715">
        <v>42.068412000000009</v>
      </c>
      <c r="R187" s="714"/>
      <c r="S187" s="714"/>
      <c r="T187" s="714"/>
      <c r="U187" s="714"/>
      <c r="V187" s="714"/>
    </row>
    <row r="188" spans="1:22" ht="10.5" customHeight="1" x14ac:dyDescent="0.25">
      <c r="A188" s="716"/>
      <c r="B188" s="717"/>
      <c r="C188" s="718"/>
      <c r="D188" s="718"/>
      <c r="E188" s="718"/>
      <c r="F188" s="718"/>
      <c r="G188" s="718"/>
      <c r="H188" s="718"/>
      <c r="I188" s="718"/>
      <c r="J188" s="718"/>
      <c r="K188" s="718"/>
      <c r="L188" s="718"/>
      <c r="M188" s="718"/>
      <c r="N188" s="718"/>
      <c r="O188" s="718"/>
      <c r="P188" s="718"/>
      <c r="Q188" s="718"/>
      <c r="R188" s="718"/>
      <c r="S188" s="718"/>
      <c r="T188" s="718"/>
      <c r="U188" s="718"/>
      <c r="V188" s="718"/>
    </row>
    <row r="189" spans="1:22" ht="10.5" customHeight="1" x14ac:dyDescent="0.25">
      <c r="A189" s="707">
        <v>500313</v>
      </c>
      <c r="B189" s="708" t="s">
        <v>1736</v>
      </c>
      <c r="C189" s="707" t="s">
        <v>571</v>
      </c>
      <c r="D189" s="709">
        <v>199.21</v>
      </c>
      <c r="E189" s="709">
        <v>19.66</v>
      </c>
      <c r="F189" s="709">
        <v>3916.47</v>
      </c>
      <c r="G189" s="709"/>
      <c r="H189" s="711"/>
      <c r="I189" s="711"/>
      <c r="J189" s="711"/>
      <c r="K189" s="711"/>
      <c r="L189" s="710">
        <v>652.48390199999994</v>
      </c>
      <c r="M189" s="710">
        <v>652.48390199999994</v>
      </c>
      <c r="N189" s="710">
        <v>652.87554899999998</v>
      </c>
      <c r="O189" s="710">
        <v>652.87554899999998</v>
      </c>
      <c r="P189" s="710">
        <v>652.87554899999998</v>
      </c>
      <c r="Q189" s="710">
        <v>652.87554899999998</v>
      </c>
      <c r="R189" s="711"/>
      <c r="S189" s="711"/>
      <c r="T189" s="711"/>
      <c r="U189" s="711"/>
      <c r="V189" s="711"/>
    </row>
    <row r="190" spans="1:22" ht="10.5" customHeight="1" x14ac:dyDescent="0.25">
      <c r="A190" s="712"/>
      <c r="B190" s="713"/>
      <c r="C190" s="714"/>
      <c r="D190" s="714"/>
      <c r="E190" s="714"/>
      <c r="F190" s="714"/>
      <c r="G190" s="714"/>
      <c r="H190" s="714"/>
      <c r="I190" s="714"/>
      <c r="J190" s="714"/>
      <c r="K190" s="714"/>
      <c r="L190" s="715">
        <v>33.188386000000001</v>
      </c>
      <c r="M190" s="715">
        <v>33.188386000000001</v>
      </c>
      <c r="N190" s="715">
        <v>33.208307000000005</v>
      </c>
      <c r="O190" s="715">
        <v>33.208307000000005</v>
      </c>
      <c r="P190" s="715">
        <v>33.208307000000005</v>
      </c>
      <c r="Q190" s="715">
        <v>33.208307000000005</v>
      </c>
      <c r="R190" s="714"/>
      <c r="S190" s="714"/>
      <c r="T190" s="714"/>
      <c r="U190" s="714"/>
      <c r="V190" s="714"/>
    </row>
    <row r="191" spans="1:22" ht="10.5" customHeight="1" x14ac:dyDescent="0.25">
      <c r="A191" s="716"/>
      <c r="B191" s="717"/>
      <c r="C191" s="718"/>
      <c r="D191" s="718"/>
      <c r="E191" s="718"/>
      <c r="F191" s="718"/>
      <c r="G191" s="718"/>
      <c r="H191" s="718"/>
      <c r="I191" s="718"/>
      <c r="J191" s="718"/>
      <c r="K191" s="718"/>
      <c r="L191" s="718"/>
      <c r="M191" s="718"/>
      <c r="N191" s="718"/>
      <c r="O191" s="718"/>
      <c r="P191" s="718"/>
      <c r="Q191" s="718"/>
      <c r="R191" s="718"/>
      <c r="S191" s="718"/>
      <c r="T191" s="718"/>
      <c r="U191" s="718"/>
      <c r="V191" s="718"/>
    </row>
    <row r="192" spans="1:22" ht="10.5" customHeight="1" x14ac:dyDescent="0.25">
      <c r="A192" s="707">
        <v>500604</v>
      </c>
      <c r="B192" s="708" t="s">
        <v>1737</v>
      </c>
      <c r="C192" s="707" t="s">
        <v>683</v>
      </c>
      <c r="D192" s="709">
        <v>178.24</v>
      </c>
      <c r="E192" s="709">
        <v>2.31</v>
      </c>
      <c r="F192" s="709">
        <v>411.73</v>
      </c>
      <c r="G192" s="709"/>
      <c r="H192" s="711"/>
      <c r="I192" s="711"/>
      <c r="J192" s="711"/>
      <c r="K192" s="711"/>
      <c r="L192" s="710">
        <v>68.594217999999998</v>
      </c>
      <c r="M192" s="710">
        <v>68.594217999999998</v>
      </c>
      <c r="N192" s="710">
        <v>68.635391000000013</v>
      </c>
      <c r="O192" s="710">
        <v>68.635391000000013</v>
      </c>
      <c r="P192" s="710">
        <v>68.635391000000013</v>
      </c>
      <c r="Q192" s="710">
        <v>68.635391000000013</v>
      </c>
      <c r="R192" s="711"/>
      <c r="S192" s="711"/>
      <c r="T192" s="711"/>
      <c r="U192" s="711"/>
      <c r="V192" s="711"/>
    </row>
    <row r="193" spans="1:22" ht="10.5" customHeight="1" x14ac:dyDescent="0.25">
      <c r="A193" s="712"/>
      <c r="B193" s="713"/>
      <c r="C193" s="714"/>
      <c r="D193" s="714"/>
      <c r="E193" s="714"/>
      <c r="F193" s="714"/>
      <c r="G193" s="714"/>
      <c r="H193" s="714"/>
      <c r="I193" s="714"/>
      <c r="J193" s="714"/>
      <c r="K193" s="714"/>
      <c r="L193" s="715">
        <v>29.694783999999999</v>
      </c>
      <c r="M193" s="715">
        <v>29.694783999999999</v>
      </c>
      <c r="N193" s="715">
        <v>29.712608000000003</v>
      </c>
      <c r="O193" s="715">
        <v>29.712608000000003</v>
      </c>
      <c r="P193" s="715">
        <v>29.712608000000003</v>
      </c>
      <c r="Q193" s="715">
        <v>29.712608000000003</v>
      </c>
      <c r="R193" s="714"/>
      <c r="S193" s="714"/>
      <c r="T193" s="714"/>
      <c r="U193" s="714"/>
      <c r="V193" s="714"/>
    </row>
    <row r="194" spans="1:22" ht="10.5" customHeight="1" x14ac:dyDescent="0.25">
      <c r="A194" s="716"/>
      <c r="B194" s="717"/>
      <c r="C194" s="718"/>
      <c r="D194" s="718"/>
      <c r="E194" s="718"/>
      <c r="F194" s="718"/>
      <c r="G194" s="718"/>
      <c r="H194" s="718"/>
      <c r="I194" s="718"/>
      <c r="J194" s="718"/>
      <c r="K194" s="718"/>
      <c r="L194" s="718"/>
      <c r="M194" s="718"/>
      <c r="N194" s="718"/>
      <c r="O194" s="718"/>
      <c r="P194" s="718"/>
      <c r="Q194" s="718"/>
      <c r="R194" s="718"/>
      <c r="S194" s="718"/>
      <c r="T194" s="718"/>
      <c r="U194" s="718"/>
      <c r="V194" s="718"/>
    </row>
    <row r="195" spans="1:22" ht="10.5" customHeight="1" x14ac:dyDescent="0.25">
      <c r="A195" s="707">
        <v>515478</v>
      </c>
      <c r="B195" s="708" t="s">
        <v>1738</v>
      </c>
      <c r="C195" s="707" t="s">
        <v>571</v>
      </c>
      <c r="D195" s="709">
        <v>594.13</v>
      </c>
      <c r="E195" s="709">
        <v>8.73</v>
      </c>
      <c r="F195" s="709">
        <v>5186.75</v>
      </c>
      <c r="G195" s="709"/>
      <c r="H195" s="711"/>
      <c r="I195" s="711"/>
      <c r="J195" s="711"/>
      <c r="K195" s="711"/>
      <c r="L195" s="710">
        <v>864.11255000000006</v>
      </c>
      <c r="M195" s="710">
        <v>864.11255000000006</v>
      </c>
      <c r="N195" s="710">
        <v>864.63122500000009</v>
      </c>
      <c r="O195" s="710">
        <v>864.63122500000009</v>
      </c>
      <c r="P195" s="710">
        <v>864.63122500000009</v>
      </c>
      <c r="Q195" s="710">
        <v>864.63122500000009</v>
      </c>
      <c r="R195" s="711"/>
      <c r="S195" s="711"/>
      <c r="T195" s="711"/>
      <c r="U195" s="711"/>
      <c r="V195" s="711"/>
    </row>
    <row r="196" spans="1:22" ht="10.5" customHeight="1" x14ac:dyDescent="0.25">
      <c r="A196" s="712"/>
      <c r="B196" s="713"/>
      <c r="C196" s="714"/>
      <c r="D196" s="714"/>
      <c r="E196" s="714"/>
      <c r="F196" s="714"/>
      <c r="G196" s="714"/>
      <c r="H196" s="714"/>
      <c r="I196" s="714"/>
      <c r="J196" s="714"/>
      <c r="K196" s="714"/>
      <c r="L196" s="715">
        <v>98.982057999999995</v>
      </c>
      <c r="M196" s="715">
        <v>98.982057999999995</v>
      </c>
      <c r="N196" s="715">
        <v>99.041471000000001</v>
      </c>
      <c r="O196" s="715">
        <v>99.041471000000001</v>
      </c>
      <c r="P196" s="715">
        <v>99.041471000000001</v>
      </c>
      <c r="Q196" s="715">
        <v>99.041471000000001</v>
      </c>
      <c r="R196" s="714"/>
      <c r="S196" s="714"/>
      <c r="T196" s="714"/>
      <c r="U196" s="714"/>
      <c r="V196" s="714"/>
    </row>
    <row r="197" spans="1:22" ht="10.5" customHeight="1" x14ac:dyDescent="0.25">
      <c r="A197" s="716"/>
      <c r="B197" s="717"/>
      <c r="C197" s="718"/>
      <c r="D197" s="718"/>
      <c r="E197" s="718"/>
      <c r="F197" s="718"/>
      <c r="G197" s="718"/>
      <c r="H197" s="718"/>
      <c r="I197" s="718"/>
      <c r="J197" s="718"/>
      <c r="K197" s="718"/>
      <c r="L197" s="718"/>
      <c r="M197" s="718"/>
      <c r="N197" s="718"/>
      <c r="O197" s="718"/>
      <c r="P197" s="718"/>
      <c r="Q197" s="718"/>
      <c r="R197" s="718"/>
      <c r="S197" s="718"/>
      <c r="T197" s="718"/>
      <c r="U197" s="718"/>
      <c r="V197" s="718"/>
    </row>
    <row r="198" spans="1:22" ht="10.5" customHeight="1" x14ac:dyDescent="0.25">
      <c r="A198" s="707">
        <v>515659</v>
      </c>
      <c r="B198" s="708" t="s">
        <v>1025</v>
      </c>
      <c r="C198" s="707" t="s">
        <v>571</v>
      </c>
      <c r="D198" s="709">
        <v>5997.14</v>
      </c>
      <c r="E198" s="709">
        <v>5.09</v>
      </c>
      <c r="F198" s="709">
        <v>30525.439999999999</v>
      </c>
      <c r="G198" s="709"/>
      <c r="H198" s="711"/>
      <c r="I198" s="711"/>
      <c r="J198" s="711"/>
      <c r="K198" s="711"/>
      <c r="L198" s="710">
        <v>5085.5383039999997</v>
      </c>
      <c r="M198" s="710">
        <v>5085.5383039999997</v>
      </c>
      <c r="N198" s="710">
        <v>5088.5908479999998</v>
      </c>
      <c r="O198" s="710">
        <v>5088.5908479999998</v>
      </c>
      <c r="P198" s="710">
        <v>5088.5908479999998</v>
      </c>
      <c r="Q198" s="710">
        <v>5088.5908479999998</v>
      </c>
      <c r="R198" s="711"/>
      <c r="S198" s="711"/>
      <c r="T198" s="711"/>
      <c r="U198" s="711"/>
      <c r="V198" s="711"/>
    </row>
    <row r="199" spans="1:22" ht="10.5" customHeight="1" x14ac:dyDescent="0.25">
      <c r="A199" s="712"/>
      <c r="B199" s="713"/>
      <c r="C199" s="714"/>
      <c r="D199" s="714"/>
      <c r="E199" s="714"/>
      <c r="F199" s="714"/>
      <c r="G199" s="714"/>
      <c r="H199" s="714"/>
      <c r="I199" s="714"/>
      <c r="J199" s="714"/>
      <c r="K199" s="714"/>
      <c r="L199" s="715">
        <v>999.12352400000009</v>
      </c>
      <c r="M199" s="715">
        <v>999.12352400000009</v>
      </c>
      <c r="N199" s="715">
        <v>999.72323800000015</v>
      </c>
      <c r="O199" s="715">
        <v>999.72323800000015</v>
      </c>
      <c r="P199" s="715">
        <v>999.72323800000015</v>
      </c>
      <c r="Q199" s="715">
        <v>999.72323800000015</v>
      </c>
      <c r="R199" s="714"/>
      <c r="S199" s="714"/>
      <c r="T199" s="714"/>
      <c r="U199" s="714"/>
      <c r="V199" s="714"/>
    </row>
    <row r="200" spans="1:22" ht="10.5" customHeight="1" x14ac:dyDescent="0.25">
      <c r="A200" s="716"/>
      <c r="B200" s="717"/>
      <c r="C200" s="718"/>
      <c r="D200" s="718"/>
      <c r="E200" s="718"/>
      <c r="F200" s="718"/>
      <c r="G200" s="718"/>
      <c r="H200" s="718"/>
      <c r="I200" s="718"/>
      <c r="J200" s="718"/>
      <c r="K200" s="718"/>
      <c r="L200" s="718"/>
      <c r="M200" s="718"/>
      <c r="N200" s="718"/>
      <c r="O200" s="718"/>
      <c r="P200" s="718"/>
      <c r="Q200" s="718"/>
      <c r="R200" s="718"/>
      <c r="S200" s="718"/>
      <c r="T200" s="718"/>
      <c r="U200" s="718"/>
      <c r="V200" s="718"/>
    </row>
    <row r="201" spans="1:22" ht="10.5" customHeight="1" x14ac:dyDescent="0.25">
      <c r="A201" s="707">
        <v>514263</v>
      </c>
      <c r="B201" s="708" t="s">
        <v>682</v>
      </c>
      <c r="C201" s="707" t="s">
        <v>683</v>
      </c>
      <c r="D201" s="709">
        <v>253.3</v>
      </c>
      <c r="E201" s="709">
        <v>11.68</v>
      </c>
      <c r="F201" s="709">
        <v>2958.54</v>
      </c>
      <c r="G201" s="709"/>
      <c r="H201" s="711"/>
      <c r="I201" s="711"/>
      <c r="J201" s="711"/>
      <c r="K201" s="711"/>
      <c r="L201" s="710">
        <v>492.892764</v>
      </c>
      <c r="M201" s="710">
        <v>492.892764</v>
      </c>
      <c r="N201" s="710">
        <v>493.18861800000008</v>
      </c>
      <c r="O201" s="710">
        <v>493.18861800000008</v>
      </c>
      <c r="P201" s="710">
        <v>493.18861800000008</v>
      </c>
      <c r="Q201" s="710">
        <v>493.18861800000008</v>
      </c>
      <c r="R201" s="711"/>
      <c r="S201" s="711"/>
      <c r="T201" s="711"/>
      <c r="U201" s="711"/>
      <c r="V201" s="711"/>
    </row>
    <row r="202" spans="1:22" ht="10.5" customHeight="1" x14ac:dyDescent="0.25">
      <c r="A202" s="712"/>
      <c r="B202" s="713"/>
      <c r="C202" s="714"/>
      <c r="D202" s="714"/>
      <c r="E202" s="714"/>
      <c r="F202" s="714"/>
      <c r="G202" s="714"/>
      <c r="H202" s="714"/>
      <c r="I202" s="714"/>
      <c r="J202" s="714"/>
      <c r="K202" s="714"/>
      <c r="L202" s="715">
        <v>42.199780000000004</v>
      </c>
      <c r="M202" s="715">
        <v>42.199780000000004</v>
      </c>
      <c r="N202" s="715">
        <v>42.225110000000001</v>
      </c>
      <c r="O202" s="715">
        <v>42.225110000000001</v>
      </c>
      <c r="P202" s="715">
        <v>42.225110000000001</v>
      </c>
      <c r="Q202" s="715">
        <v>42.225110000000001</v>
      </c>
      <c r="R202" s="714"/>
      <c r="S202" s="714"/>
      <c r="T202" s="714"/>
      <c r="U202" s="714"/>
      <c r="V202" s="714"/>
    </row>
    <row r="203" spans="1:22" ht="10.5" customHeight="1" x14ac:dyDescent="0.25">
      <c r="A203" s="716"/>
      <c r="B203" s="717"/>
      <c r="C203" s="718"/>
      <c r="D203" s="718"/>
      <c r="E203" s="718"/>
      <c r="F203" s="718"/>
      <c r="G203" s="718"/>
      <c r="H203" s="718"/>
      <c r="I203" s="718"/>
      <c r="J203" s="718"/>
      <c r="K203" s="718"/>
      <c r="L203" s="718"/>
      <c r="M203" s="718"/>
      <c r="N203" s="718"/>
      <c r="O203" s="718"/>
      <c r="P203" s="718"/>
      <c r="Q203" s="718"/>
      <c r="R203" s="718"/>
      <c r="S203" s="718"/>
      <c r="T203" s="718"/>
      <c r="U203" s="718"/>
      <c r="V203" s="718"/>
    </row>
    <row r="204" spans="1:22" ht="10.5" customHeight="1" x14ac:dyDescent="0.25">
      <c r="A204" s="707">
        <v>514274</v>
      </c>
      <c r="B204" s="708" t="s">
        <v>685</v>
      </c>
      <c r="C204" s="707" t="s">
        <v>683</v>
      </c>
      <c r="D204" s="709">
        <v>253.3</v>
      </c>
      <c r="E204" s="709">
        <v>13.78</v>
      </c>
      <c r="F204" s="709">
        <v>3490.47</v>
      </c>
      <c r="G204" s="709"/>
      <c r="H204" s="711"/>
      <c r="I204" s="711"/>
      <c r="J204" s="711"/>
      <c r="K204" s="711"/>
      <c r="L204" s="710">
        <v>581.51230199999998</v>
      </c>
      <c r="M204" s="710">
        <v>581.51230199999998</v>
      </c>
      <c r="N204" s="710">
        <v>581.86134900000002</v>
      </c>
      <c r="O204" s="710">
        <v>581.86134900000002</v>
      </c>
      <c r="P204" s="710">
        <v>581.86134900000002</v>
      </c>
      <c r="Q204" s="710">
        <v>581.86134900000002</v>
      </c>
      <c r="R204" s="711"/>
      <c r="S204" s="711"/>
      <c r="T204" s="711"/>
      <c r="U204" s="711"/>
      <c r="V204" s="711"/>
    </row>
    <row r="205" spans="1:22" ht="10.5" customHeight="1" x14ac:dyDescent="0.25">
      <c r="A205" s="712"/>
      <c r="B205" s="713"/>
      <c r="C205" s="714"/>
      <c r="D205" s="714"/>
      <c r="E205" s="714"/>
      <c r="F205" s="714"/>
      <c r="G205" s="714"/>
      <c r="H205" s="714"/>
      <c r="I205" s="714"/>
      <c r="J205" s="714"/>
      <c r="K205" s="714"/>
      <c r="L205" s="715">
        <v>42.199780000000004</v>
      </c>
      <c r="M205" s="715">
        <v>42.199780000000004</v>
      </c>
      <c r="N205" s="715">
        <v>42.225110000000001</v>
      </c>
      <c r="O205" s="715">
        <v>42.225110000000001</v>
      </c>
      <c r="P205" s="715">
        <v>42.225110000000001</v>
      </c>
      <c r="Q205" s="715">
        <v>42.225110000000001</v>
      </c>
      <c r="R205" s="714"/>
      <c r="S205" s="714"/>
      <c r="T205" s="714"/>
      <c r="U205" s="714"/>
      <c r="V205" s="714"/>
    </row>
    <row r="206" spans="1:22" ht="10.5" customHeight="1" x14ac:dyDescent="0.25">
      <c r="A206" s="716"/>
      <c r="B206" s="717"/>
      <c r="C206" s="718"/>
      <c r="D206" s="718"/>
      <c r="E206" s="718"/>
      <c r="F206" s="718"/>
      <c r="G206" s="718"/>
      <c r="H206" s="718"/>
      <c r="I206" s="718"/>
      <c r="J206" s="718"/>
      <c r="K206" s="718"/>
      <c r="L206" s="718"/>
      <c r="M206" s="718"/>
      <c r="N206" s="718"/>
      <c r="O206" s="718"/>
      <c r="P206" s="718"/>
      <c r="Q206" s="718"/>
      <c r="R206" s="718"/>
      <c r="S206" s="718"/>
      <c r="T206" s="718"/>
      <c r="U206" s="718"/>
      <c r="V206" s="718"/>
    </row>
    <row r="207" spans="1:22" ht="10.5" customHeight="1" x14ac:dyDescent="0.25">
      <c r="A207" s="707">
        <v>506160</v>
      </c>
      <c r="B207" s="708" t="s">
        <v>687</v>
      </c>
      <c r="C207" s="707" t="s">
        <v>683</v>
      </c>
      <c r="D207" s="709">
        <v>253.3</v>
      </c>
      <c r="E207" s="709">
        <v>5.1300000000000008</v>
      </c>
      <c r="F207" s="709">
        <v>1299.43</v>
      </c>
      <c r="G207" s="709"/>
      <c r="H207" s="711"/>
      <c r="I207" s="711"/>
      <c r="J207" s="711"/>
      <c r="K207" s="711"/>
      <c r="L207" s="710">
        <v>216.48503800000003</v>
      </c>
      <c r="M207" s="710">
        <v>216.48503800000003</v>
      </c>
      <c r="N207" s="710">
        <v>216.61498100000006</v>
      </c>
      <c r="O207" s="710">
        <v>216.61498100000006</v>
      </c>
      <c r="P207" s="710">
        <v>216.61498100000006</v>
      </c>
      <c r="Q207" s="710">
        <v>216.61498100000006</v>
      </c>
      <c r="R207" s="711"/>
      <c r="S207" s="711"/>
      <c r="T207" s="711"/>
      <c r="U207" s="711"/>
      <c r="V207" s="711"/>
    </row>
    <row r="208" spans="1:22" ht="10.5" customHeight="1" x14ac:dyDescent="0.25">
      <c r="A208" s="712"/>
      <c r="B208" s="713"/>
      <c r="C208" s="714"/>
      <c r="D208" s="714"/>
      <c r="E208" s="714"/>
      <c r="F208" s="714"/>
      <c r="G208" s="714"/>
      <c r="H208" s="714"/>
      <c r="I208" s="714"/>
      <c r="J208" s="714"/>
      <c r="K208" s="714"/>
      <c r="L208" s="715">
        <v>42.199780000000004</v>
      </c>
      <c r="M208" s="715">
        <v>42.199780000000004</v>
      </c>
      <c r="N208" s="715">
        <v>42.225110000000001</v>
      </c>
      <c r="O208" s="715">
        <v>42.225110000000001</v>
      </c>
      <c r="P208" s="715">
        <v>42.225110000000001</v>
      </c>
      <c r="Q208" s="715">
        <v>42.225110000000001</v>
      </c>
      <c r="R208" s="714"/>
      <c r="S208" s="714"/>
      <c r="T208" s="714"/>
      <c r="U208" s="714"/>
      <c r="V208" s="714"/>
    </row>
    <row r="209" spans="1:22" ht="10.5" customHeight="1" x14ac:dyDescent="0.25">
      <c r="A209" s="716"/>
      <c r="B209" s="717"/>
      <c r="C209" s="718"/>
      <c r="D209" s="718"/>
      <c r="E209" s="718"/>
      <c r="F209" s="718"/>
      <c r="G209" s="718"/>
      <c r="H209" s="718"/>
      <c r="I209" s="718"/>
      <c r="J209" s="718"/>
      <c r="K209" s="718"/>
      <c r="L209" s="718"/>
      <c r="M209" s="718"/>
      <c r="N209" s="718"/>
      <c r="O209" s="718"/>
      <c r="P209" s="718"/>
      <c r="Q209" s="718"/>
      <c r="R209" s="718"/>
      <c r="S209" s="718"/>
      <c r="T209" s="718"/>
      <c r="U209" s="718"/>
      <c r="V209" s="718"/>
    </row>
    <row r="210" spans="1:22" ht="10.5" customHeight="1" x14ac:dyDescent="0.25">
      <c r="A210" s="707">
        <v>514278</v>
      </c>
      <c r="B210" s="708" t="s">
        <v>689</v>
      </c>
      <c r="C210" s="707" t="s">
        <v>683</v>
      </c>
      <c r="D210" s="709">
        <v>158.18</v>
      </c>
      <c r="E210" s="709">
        <v>9.75</v>
      </c>
      <c r="F210" s="709">
        <v>1542.26</v>
      </c>
      <c r="G210" s="709"/>
      <c r="H210" s="711"/>
      <c r="I210" s="711"/>
      <c r="J210" s="711"/>
      <c r="K210" s="711"/>
      <c r="L210" s="710">
        <v>256.940516</v>
      </c>
      <c r="M210" s="710">
        <v>256.940516</v>
      </c>
      <c r="N210" s="710">
        <v>257.09474200000005</v>
      </c>
      <c r="O210" s="710">
        <v>257.09474200000005</v>
      </c>
      <c r="P210" s="710">
        <v>257.09474200000005</v>
      </c>
      <c r="Q210" s="710">
        <v>257.09474200000005</v>
      </c>
      <c r="R210" s="711"/>
      <c r="S210" s="711"/>
      <c r="T210" s="711"/>
      <c r="U210" s="711"/>
      <c r="V210" s="711"/>
    </row>
    <row r="211" spans="1:22" ht="10.5" customHeight="1" x14ac:dyDescent="0.25">
      <c r="A211" s="712"/>
      <c r="B211" s="713"/>
      <c r="C211" s="714"/>
      <c r="D211" s="714"/>
      <c r="E211" s="714"/>
      <c r="F211" s="714"/>
      <c r="G211" s="714"/>
      <c r="H211" s="714"/>
      <c r="I211" s="714"/>
      <c r="J211" s="714"/>
      <c r="K211" s="714"/>
      <c r="L211" s="715">
        <v>26.352788</v>
      </c>
      <c r="M211" s="715">
        <v>26.352788</v>
      </c>
      <c r="N211" s="715">
        <v>26.368606000000003</v>
      </c>
      <c r="O211" s="715">
        <v>26.368606000000003</v>
      </c>
      <c r="P211" s="715">
        <v>26.368606000000003</v>
      </c>
      <c r="Q211" s="715">
        <v>26.368606000000003</v>
      </c>
      <c r="R211" s="714"/>
      <c r="S211" s="714"/>
      <c r="T211" s="714"/>
      <c r="U211" s="714"/>
      <c r="V211" s="714"/>
    </row>
    <row r="212" spans="1:22" ht="10.5" customHeight="1" x14ac:dyDescent="0.25">
      <c r="A212" s="716"/>
      <c r="B212" s="717"/>
      <c r="C212" s="718"/>
      <c r="D212" s="718"/>
      <c r="E212" s="718"/>
      <c r="F212" s="718"/>
      <c r="G212" s="718"/>
      <c r="H212" s="718"/>
      <c r="I212" s="718"/>
      <c r="J212" s="718"/>
      <c r="K212" s="718"/>
      <c r="L212" s="718"/>
      <c r="M212" s="718"/>
      <c r="N212" s="718"/>
      <c r="O212" s="718"/>
      <c r="P212" s="718"/>
      <c r="Q212" s="718"/>
      <c r="R212" s="718"/>
      <c r="S212" s="718"/>
      <c r="T212" s="718"/>
      <c r="U212" s="718"/>
      <c r="V212" s="718"/>
    </row>
    <row r="213" spans="1:22" s="105" customFormat="1" ht="10.5" customHeight="1" x14ac:dyDescent="0.25">
      <c r="A213" s="704"/>
      <c r="B213" s="719" t="s">
        <v>1026</v>
      </c>
      <c r="C213" s="704"/>
      <c r="D213" s="705"/>
      <c r="E213" s="706">
        <v>0</v>
      </c>
      <c r="F213" s="706">
        <v>103880.70000000001</v>
      </c>
      <c r="G213" s="706"/>
      <c r="H213" s="705"/>
      <c r="I213" s="705"/>
      <c r="J213" s="705"/>
      <c r="K213" s="705"/>
      <c r="L213" s="705"/>
      <c r="M213" s="705"/>
      <c r="N213" s="705"/>
      <c r="O213" s="705"/>
      <c r="P213" s="705"/>
      <c r="Q213" s="705"/>
      <c r="R213" s="705"/>
      <c r="S213" s="705"/>
      <c r="T213" s="705"/>
      <c r="U213" s="705"/>
      <c r="V213" s="705"/>
    </row>
    <row r="214" spans="1:22" ht="10.5" customHeight="1" x14ac:dyDescent="0.25">
      <c r="A214" s="707">
        <v>502693</v>
      </c>
      <c r="B214" s="708" t="s">
        <v>1027</v>
      </c>
      <c r="C214" s="707" t="s">
        <v>571</v>
      </c>
      <c r="D214" s="709">
        <v>1141.01</v>
      </c>
      <c r="E214" s="709">
        <v>19.7</v>
      </c>
      <c r="F214" s="709">
        <v>22477.9</v>
      </c>
      <c r="G214" s="709"/>
      <c r="H214" s="711"/>
      <c r="I214" s="711"/>
      <c r="J214" s="711"/>
      <c r="K214" s="711"/>
      <c r="L214" s="711"/>
      <c r="M214" s="710">
        <v>3744.8181400000003</v>
      </c>
      <c r="N214" s="710">
        <v>3744.8181400000003</v>
      </c>
      <c r="O214" s="710">
        <v>3747.0659300000007</v>
      </c>
      <c r="P214" s="710">
        <v>3747.0659300000007</v>
      </c>
      <c r="Q214" s="710">
        <v>3747.0659300000007</v>
      </c>
      <c r="R214" s="710">
        <v>3747.0659300000007</v>
      </c>
      <c r="S214" s="711"/>
      <c r="T214" s="711"/>
      <c r="U214" s="711"/>
      <c r="V214" s="711"/>
    </row>
    <row r="215" spans="1:22" ht="10.5" customHeight="1" x14ac:dyDescent="0.25">
      <c r="A215" s="712"/>
      <c r="B215" s="713"/>
      <c r="C215" s="714"/>
      <c r="D215" s="714"/>
      <c r="E215" s="714"/>
      <c r="F215" s="714"/>
      <c r="G215" s="714"/>
      <c r="H215" s="714"/>
      <c r="I215" s="714"/>
      <c r="J215" s="714"/>
      <c r="K215" s="714"/>
      <c r="L215" s="714"/>
      <c r="M215" s="715">
        <v>190.09226600000002</v>
      </c>
      <c r="N215" s="715">
        <v>190.09226600000002</v>
      </c>
      <c r="O215" s="715">
        <v>190.20636700000003</v>
      </c>
      <c r="P215" s="715">
        <v>190.20636700000003</v>
      </c>
      <c r="Q215" s="715">
        <v>190.20636700000003</v>
      </c>
      <c r="R215" s="715">
        <v>190.20636700000003</v>
      </c>
      <c r="S215" s="714"/>
      <c r="T215" s="714"/>
      <c r="U215" s="714"/>
      <c r="V215" s="714"/>
    </row>
    <row r="216" spans="1:22" ht="10.5" customHeight="1" x14ac:dyDescent="0.25">
      <c r="A216" s="716"/>
      <c r="B216" s="717"/>
      <c r="C216" s="718"/>
      <c r="D216" s="718"/>
      <c r="E216" s="718"/>
      <c r="F216" s="718"/>
      <c r="G216" s="718"/>
      <c r="H216" s="718"/>
      <c r="I216" s="718"/>
      <c r="J216" s="718"/>
      <c r="K216" s="718"/>
      <c r="L216" s="718"/>
      <c r="M216" s="718"/>
      <c r="N216" s="718"/>
      <c r="O216" s="718"/>
      <c r="P216" s="718"/>
      <c r="Q216" s="718"/>
      <c r="R216" s="718"/>
      <c r="S216" s="718"/>
      <c r="T216" s="718"/>
      <c r="U216" s="718"/>
      <c r="V216" s="718"/>
    </row>
    <row r="217" spans="1:22" ht="10.5" customHeight="1" x14ac:dyDescent="0.25">
      <c r="A217" s="707">
        <v>506309</v>
      </c>
      <c r="B217" s="708" t="s">
        <v>1028</v>
      </c>
      <c r="C217" s="707" t="s">
        <v>571</v>
      </c>
      <c r="D217" s="709">
        <v>61.41</v>
      </c>
      <c r="E217" s="709">
        <v>21.9</v>
      </c>
      <c r="F217" s="709">
        <v>1344.88</v>
      </c>
      <c r="G217" s="709"/>
      <c r="H217" s="711"/>
      <c r="I217" s="711"/>
      <c r="J217" s="711"/>
      <c r="K217" s="711"/>
      <c r="L217" s="711"/>
      <c r="M217" s="710">
        <v>224.05700800000002</v>
      </c>
      <c r="N217" s="710">
        <v>224.05700800000002</v>
      </c>
      <c r="O217" s="710">
        <v>224.19149600000003</v>
      </c>
      <c r="P217" s="710">
        <v>224.19149600000003</v>
      </c>
      <c r="Q217" s="710">
        <v>224.19149600000003</v>
      </c>
      <c r="R217" s="710">
        <v>224.19149600000003</v>
      </c>
      <c r="S217" s="711"/>
      <c r="T217" s="711"/>
      <c r="U217" s="711"/>
      <c r="V217" s="711"/>
    </row>
    <row r="218" spans="1:22" ht="10.5" customHeight="1" x14ac:dyDescent="0.25">
      <c r="A218" s="712"/>
      <c r="B218" s="713"/>
      <c r="C218" s="714"/>
      <c r="D218" s="714"/>
      <c r="E218" s="714"/>
      <c r="F218" s="714"/>
      <c r="G218" s="714"/>
      <c r="H218" s="714"/>
      <c r="I218" s="714"/>
      <c r="J218" s="714"/>
      <c r="K218" s="714"/>
      <c r="L218" s="714"/>
      <c r="M218" s="715">
        <v>10.230905999999999</v>
      </c>
      <c r="N218" s="715">
        <v>10.230905999999999</v>
      </c>
      <c r="O218" s="715">
        <v>10.237047</v>
      </c>
      <c r="P218" s="715">
        <v>10.237047</v>
      </c>
      <c r="Q218" s="715">
        <v>10.237047</v>
      </c>
      <c r="R218" s="715">
        <v>10.237047</v>
      </c>
      <c r="S218" s="714"/>
      <c r="T218" s="714"/>
      <c r="U218" s="714"/>
      <c r="V218" s="714"/>
    </row>
    <row r="219" spans="1:22" ht="10.5" customHeight="1" x14ac:dyDescent="0.25">
      <c r="A219" s="716"/>
      <c r="B219" s="717"/>
      <c r="C219" s="718"/>
      <c r="D219" s="718"/>
      <c r="E219" s="718"/>
      <c r="F219" s="718"/>
      <c r="G219" s="718"/>
      <c r="H219" s="718"/>
      <c r="I219" s="718"/>
      <c r="J219" s="718"/>
      <c r="K219" s="718"/>
      <c r="L219" s="718"/>
      <c r="M219" s="718"/>
      <c r="N219" s="718"/>
      <c r="O219" s="718"/>
      <c r="P219" s="718"/>
      <c r="Q219" s="718"/>
      <c r="R219" s="718"/>
      <c r="S219" s="718"/>
      <c r="T219" s="718"/>
      <c r="U219" s="718"/>
      <c r="V219" s="718"/>
    </row>
    <row r="220" spans="1:22" ht="10.5" customHeight="1" x14ac:dyDescent="0.25">
      <c r="A220" s="707">
        <v>515676</v>
      </c>
      <c r="B220" s="708" t="s">
        <v>1029</v>
      </c>
      <c r="C220" s="707" t="s">
        <v>571</v>
      </c>
      <c r="D220" s="709">
        <v>694.59</v>
      </c>
      <c r="E220" s="709">
        <v>34.020000000000003</v>
      </c>
      <c r="F220" s="709">
        <v>23629.95</v>
      </c>
      <c r="G220" s="709"/>
      <c r="H220" s="711"/>
      <c r="I220" s="711"/>
      <c r="J220" s="711"/>
      <c r="K220" s="711"/>
      <c r="L220" s="711"/>
      <c r="M220" s="710">
        <v>3936.7496700000002</v>
      </c>
      <c r="N220" s="710">
        <v>3936.7496700000002</v>
      </c>
      <c r="O220" s="710">
        <v>3939.1126650000001</v>
      </c>
      <c r="P220" s="710">
        <v>3939.1126650000001</v>
      </c>
      <c r="Q220" s="710">
        <v>3939.1126650000001</v>
      </c>
      <c r="R220" s="710">
        <v>3939.1126650000001</v>
      </c>
      <c r="S220" s="711"/>
      <c r="T220" s="711"/>
      <c r="U220" s="711"/>
      <c r="V220" s="711"/>
    </row>
    <row r="221" spans="1:22" ht="10.5" customHeight="1" x14ac:dyDescent="0.25">
      <c r="A221" s="712"/>
      <c r="B221" s="713"/>
      <c r="C221" s="714"/>
      <c r="D221" s="714"/>
      <c r="E221" s="714"/>
      <c r="F221" s="714"/>
      <c r="G221" s="714"/>
      <c r="H221" s="714"/>
      <c r="I221" s="714"/>
      <c r="J221" s="714"/>
      <c r="K221" s="714"/>
      <c r="L221" s="714"/>
      <c r="M221" s="715">
        <v>115.71869400000001</v>
      </c>
      <c r="N221" s="715">
        <v>115.71869400000001</v>
      </c>
      <c r="O221" s="715">
        <v>115.78815300000002</v>
      </c>
      <c r="P221" s="715">
        <v>115.78815300000002</v>
      </c>
      <c r="Q221" s="715">
        <v>115.78815300000002</v>
      </c>
      <c r="R221" s="715">
        <v>115.78815300000002</v>
      </c>
      <c r="S221" s="714"/>
      <c r="T221" s="714"/>
      <c r="U221" s="714"/>
      <c r="V221" s="714"/>
    </row>
    <row r="222" spans="1:22" ht="10.5" customHeight="1" x14ac:dyDescent="0.25">
      <c r="A222" s="716"/>
      <c r="B222" s="717"/>
      <c r="C222" s="718"/>
      <c r="D222" s="718"/>
      <c r="E222" s="718"/>
      <c r="F222" s="718"/>
      <c r="G222" s="718"/>
      <c r="H222" s="718"/>
      <c r="I222" s="718"/>
      <c r="J222" s="718"/>
      <c r="K222" s="718"/>
      <c r="L222" s="718"/>
      <c r="M222" s="718"/>
      <c r="N222" s="718"/>
      <c r="O222" s="718"/>
      <c r="P222" s="718"/>
      <c r="Q222" s="718"/>
      <c r="R222" s="718"/>
      <c r="S222" s="718"/>
      <c r="T222" s="718"/>
      <c r="U222" s="718"/>
      <c r="V222" s="718"/>
    </row>
    <row r="223" spans="1:22" ht="10.5" customHeight="1" x14ac:dyDescent="0.25">
      <c r="A223" s="707">
        <v>506309</v>
      </c>
      <c r="B223" s="708" t="s">
        <v>1030</v>
      </c>
      <c r="C223" s="707" t="s">
        <v>571</v>
      </c>
      <c r="D223" s="709">
        <v>25.99</v>
      </c>
      <c r="E223" s="709">
        <v>21.9</v>
      </c>
      <c r="F223" s="709">
        <v>569.17999999999995</v>
      </c>
      <c r="G223" s="709"/>
      <c r="H223" s="711"/>
      <c r="I223" s="711"/>
      <c r="J223" s="711"/>
      <c r="K223" s="711"/>
      <c r="L223" s="711"/>
      <c r="M223" s="710">
        <v>94.82538799999999</v>
      </c>
      <c r="N223" s="710">
        <v>94.82538799999999</v>
      </c>
      <c r="O223" s="710">
        <v>94.882306000000014</v>
      </c>
      <c r="P223" s="710">
        <v>94.882306000000014</v>
      </c>
      <c r="Q223" s="710">
        <v>94.882306000000014</v>
      </c>
      <c r="R223" s="710">
        <v>94.882306000000014</v>
      </c>
      <c r="S223" s="711"/>
      <c r="T223" s="711"/>
      <c r="U223" s="711"/>
      <c r="V223" s="711"/>
    </row>
    <row r="224" spans="1:22" ht="10.5" customHeight="1" x14ac:dyDescent="0.25">
      <c r="A224" s="712"/>
      <c r="B224" s="713"/>
      <c r="C224" s="714"/>
      <c r="D224" s="714"/>
      <c r="E224" s="714"/>
      <c r="F224" s="714"/>
      <c r="G224" s="714"/>
      <c r="H224" s="714"/>
      <c r="I224" s="714"/>
      <c r="J224" s="714"/>
      <c r="K224" s="714"/>
      <c r="L224" s="714"/>
      <c r="M224" s="715">
        <v>4.3299339999999997</v>
      </c>
      <c r="N224" s="715">
        <v>4.3299339999999997</v>
      </c>
      <c r="O224" s="715">
        <v>4.3325330000000006</v>
      </c>
      <c r="P224" s="715">
        <v>4.3325330000000006</v>
      </c>
      <c r="Q224" s="715">
        <v>4.3325330000000006</v>
      </c>
      <c r="R224" s="715">
        <v>4.3325330000000006</v>
      </c>
      <c r="S224" s="714"/>
      <c r="T224" s="714"/>
      <c r="U224" s="714"/>
      <c r="V224" s="714"/>
    </row>
    <row r="225" spans="1:22" ht="10.5" customHeight="1" x14ac:dyDescent="0.25">
      <c r="A225" s="716"/>
      <c r="B225" s="717"/>
      <c r="C225" s="718"/>
      <c r="D225" s="718"/>
      <c r="E225" s="718"/>
      <c r="F225" s="718"/>
      <c r="G225" s="718"/>
      <c r="H225" s="718"/>
      <c r="I225" s="718"/>
      <c r="J225" s="718"/>
      <c r="K225" s="718"/>
      <c r="L225" s="718"/>
      <c r="M225" s="718"/>
      <c r="N225" s="718"/>
      <c r="O225" s="718"/>
      <c r="P225" s="718"/>
      <c r="Q225" s="718"/>
      <c r="R225" s="718"/>
      <c r="S225" s="718"/>
      <c r="T225" s="718"/>
      <c r="U225" s="718"/>
      <c r="V225" s="718"/>
    </row>
    <row r="226" spans="1:22" ht="10.5" customHeight="1" x14ac:dyDescent="0.25">
      <c r="A226" s="707">
        <v>502670</v>
      </c>
      <c r="B226" s="708" t="s">
        <v>1739</v>
      </c>
      <c r="C226" s="707" t="s">
        <v>571</v>
      </c>
      <c r="D226" s="709">
        <v>1727.36</v>
      </c>
      <c r="E226" s="709">
        <v>16.740000000000002</v>
      </c>
      <c r="F226" s="709">
        <v>28916.01</v>
      </c>
      <c r="G226" s="709"/>
      <c r="H226" s="711"/>
      <c r="I226" s="711"/>
      <c r="J226" s="711"/>
      <c r="K226" s="711"/>
      <c r="L226" s="711"/>
      <c r="M226" s="710">
        <v>4817.4072660000002</v>
      </c>
      <c r="N226" s="710">
        <v>4817.4072660000002</v>
      </c>
      <c r="O226" s="710">
        <v>4820.2988670000004</v>
      </c>
      <c r="P226" s="710">
        <v>4820.2988670000004</v>
      </c>
      <c r="Q226" s="710">
        <v>4820.2988670000004</v>
      </c>
      <c r="R226" s="710">
        <v>4820.2988670000004</v>
      </c>
      <c r="S226" s="711"/>
      <c r="T226" s="711"/>
      <c r="U226" s="711"/>
      <c r="V226" s="711"/>
    </row>
    <row r="227" spans="1:22" ht="10.5" customHeight="1" x14ac:dyDescent="0.25">
      <c r="A227" s="712"/>
      <c r="B227" s="713"/>
      <c r="C227" s="714"/>
      <c r="D227" s="714"/>
      <c r="E227" s="714"/>
      <c r="F227" s="714"/>
      <c r="G227" s="714"/>
      <c r="H227" s="714"/>
      <c r="I227" s="714"/>
      <c r="J227" s="714"/>
      <c r="K227" s="714"/>
      <c r="L227" s="714"/>
      <c r="M227" s="715">
        <v>287.77817599999997</v>
      </c>
      <c r="N227" s="715">
        <v>287.77817599999997</v>
      </c>
      <c r="O227" s="715">
        <v>287.95091200000002</v>
      </c>
      <c r="P227" s="715">
        <v>287.95091200000002</v>
      </c>
      <c r="Q227" s="715">
        <v>287.95091200000002</v>
      </c>
      <c r="R227" s="715">
        <v>287.95091200000002</v>
      </c>
      <c r="S227" s="714"/>
      <c r="T227" s="714"/>
      <c r="U227" s="714"/>
      <c r="V227" s="714"/>
    </row>
    <row r="228" spans="1:22" ht="10.5" customHeight="1" x14ac:dyDescent="0.25">
      <c r="A228" s="716"/>
      <c r="B228" s="717"/>
      <c r="C228" s="718"/>
      <c r="D228" s="718"/>
      <c r="E228" s="718"/>
      <c r="F228" s="718"/>
      <c r="G228" s="718"/>
      <c r="H228" s="718"/>
      <c r="I228" s="718"/>
      <c r="J228" s="718"/>
      <c r="K228" s="718"/>
      <c r="L228" s="718"/>
      <c r="M228" s="718"/>
      <c r="N228" s="718"/>
      <c r="O228" s="718"/>
      <c r="P228" s="718"/>
      <c r="Q228" s="718"/>
      <c r="R228" s="718"/>
      <c r="S228" s="718"/>
      <c r="T228" s="718"/>
      <c r="U228" s="718"/>
      <c r="V228" s="718"/>
    </row>
    <row r="229" spans="1:22" ht="10.5" customHeight="1" x14ac:dyDescent="0.25">
      <c r="A229" s="707">
        <v>515551</v>
      </c>
      <c r="B229" s="708" t="s">
        <v>1032</v>
      </c>
      <c r="C229" s="707" t="s">
        <v>683</v>
      </c>
      <c r="D229" s="709">
        <v>0</v>
      </c>
      <c r="E229" s="709">
        <v>3.98</v>
      </c>
      <c r="F229" s="709">
        <v>0</v>
      </c>
      <c r="G229" s="709"/>
      <c r="H229" s="711"/>
      <c r="I229" s="711"/>
      <c r="J229" s="711"/>
      <c r="K229" s="711"/>
      <c r="L229" s="711"/>
      <c r="M229" s="711"/>
      <c r="N229" s="711"/>
      <c r="O229" s="711"/>
      <c r="P229" s="711"/>
      <c r="Q229" s="711"/>
      <c r="R229" s="711"/>
      <c r="S229" s="711"/>
      <c r="T229" s="711"/>
      <c r="U229" s="711"/>
      <c r="V229" s="711"/>
    </row>
    <row r="230" spans="1:22" ht="10.5" customHeight="1" x14ac:dyDescent="0.25">
      <c r="A230" s="712"/>
      <c r="B230" s="713"/>
      <c r="C230" s="714"/>
      <c r="D230" s="714"/>
      <c r="E230" s="714"/>
      <c r="F230" s="714"/>
      <c r="G230" s="714"/>
      <c r="H230" s="714"/>
      <c r="I230" s="714"/>
      <c r="J230" s="714"/>
      <c r="K230" s="714"/>
      <c r="L230" s="714"/>
      <c r="M230" s="714"/>
      <c r="N230" s="714"/>
      <c r="O230" s="714"/>
      <c r="P230" s="714"/>
      <c r="Q230" s="714"/>
      <c r="R230" s="714"/>
      <c r="S230" s="714"/>
      <c r="T230" s="714"/>
      <c r="U230" s="714"/>
      <c r="V230" s="714"/>
    </row>
    <row r="231" spans="1:22" ht="10.5" customHeight="1" x14ac:dyDescent="0.25">
      <c r="A231" s="716"/>
      <c r="B231" s="717"/>
      <c r="C231" s="718"/>
      <c r="D231" s="718"/>
      <c r="E231" s="718"/>
      <c r="F231" s="718"/>
      <c r="G231" s="718"/>
      <c r="H231" s="718"/>
      <c r="I231" s="718"/>
      <c r="J231" s="718"/>
      <c r="K231" s="718"/>
      <c r="L231" s="718"/>
      <c r="M231" s="718"/>
      <c r="N231" s="718"/>
      <c r="O231" s="718"/>
      <c r="P231" s="718"/>
      <c r="Q231" s="718"/>
      <c r="R231" s="718"/>
      <c r="S231" s="718"/>
      <c r="T231" s="718"/>
      <c r="U231" s="718"/>
      <c r="V231" s="718"/>
    </row>
    <row r="232" spans="1:22" ht="10.5" customHeight="1" x14ac:dyDescent="0.25">
      <c r="A232" s="707">
        <v>514311</v>
      </c>
      <c r="B232" s="708" t="s">
        <v>1033</v>
      </c>
      <c r="C232" s="707" t="s">
        <v>683</v>
      </c>
      <c r="D232" s="709">
        <v>486.21</v>
      </c>
      <c r="E232" s="709">
        <v>6</v>
      </c>
      <c r="F232" s="709">
        <v>2917.26</v>
      </c>
      <c r="G232" s="709"/>
      <c r="H232" s="711"/>
      <c r="I232" s="711"/>
      <c r="J232" s="711"/>
      <c r="K232" s="711"/>
      <c r="L232" s="711"/>
      <c r="M232" s="710">
        <v>486.01551600000005</v>
      </c>
      <c r="N232" s="710">
        <v>486.01551600000005</v>
      </c>
      <c r="O232" s="710">
        <v>486.30724200000009</v>
      </c>
      <c r="P232" s="710">
        <v>486.30724200000009</v>
      </c>
      <c r="Q232" s="710">
        <v>486.30724200000009</v>
      </c>
      <c r="R232" s="710">
        <v>486.30724200000009</v>
      </c>
      <c r="S232" s="711"/>
      <c r="T232" s="711"/>
      <c r="U232" s="711"/>
      <c r="V232" s="711"/>
    </row>
    <row r="233" spans="1:22" ht="10.5" customHeight="1" x14ac:dyDescent="0.25">
      <c r="A233" s="712"/>
      <c r="B233" s="713"/>
      <c r="C233" s="714"/>
      <c r="D233" s="714"/>
      <c r="E233" s="714"/>
      <c r="F233" s="714"/>
      <c r="G233" s="714"/>
      <c r="H233" s="714"/>
      <c r="I233" s="714"/>
      <c r="J233" s="714"/>
      <c r="K233" s="714"/>
      <c r="L233" s="714"/>
      <c r="M233" s="715">
        <v>81.002586000000008</v>
      </c>
      <c r="N233" s="715">
        <v>81.002586000000008</v>
      </c>
      <c r="O233" s="715">
        <v>81.051207000000005</v>
      </c>
      <c r="P233" s="715">
        <v>81.051207000000005</v>
      </c>
      <c r="Q233" s="715">
        <v>81.051207000000005</v>
      </c>
      <c r="R233" s="715">
        <v>81.051207000000005</v>
      </c>
      <c r="S233" s="714"/>
      <c r="T233" s="714"/>
      <c r="U233" s="714"/>
      <c r="V233" s="714"/>
    </row>
    <row r="234" spans="1:22" ht="10.5" customHeight="1" x14ac:dyDescent="0.25">
      <c r="A234" s="716"/>
      <c r="B234" s="717"/>
      <c r="C234" s="718"/>
      <c r="D234" s="718"/>
      <c r="E234" s="718"/>
      <c r="F234" s="718"/>
      <c r="G234" s="718"/>
      <c r="H234" s="718"/>
      <c r="I234" s="718"/>
      <c r="J234" s="718"/>
      <c r="K234" s="718"/>
      <c r="L234" s="718"/>
      <c r="M234" s="718"/>
      <c r="N234" s="718"/>
      <c r="O234" s="718"/>
      <c r="P234" s="718"/>
      <c r="Q234" s="718"/>
      <c r="R234" s="718"/>
      <c r="S234" s="718"/>
      <c r="T234" s="718"/>
      <c r="U234" s="718"/>
      <c r="V234" s="718"/>
    </row>
    <row r="235" spans="1:22" ht="10.5" customHeight="1" x14ac:dyDescent="0.25">
      <c r="A235" s="707">
        <v>503961</v>
      </c>
      <c r="B235" s="708" t="s">
        <v>1740</v>
      </c>
      <c r="C235" s="707" t="s">
        <v>571</v>
      </c>
      <c r="D235" s="709">
        <v>356.48</v>
      </c>
      <c r="E235" s="709">
        <v>21.5</v>
      </c>
      <c r="F235" s="709">
        <v>7664.32</v>
      </c>
      <c r="G235" s="709"/>
      <c r="H235" s="711"/>
      <c r="I235" s="711"/>
      <c r="J235" s="711"/>
      <c r="K235" s="711"/>
      <c r="L235" s="711"/>
      <c r="M235" s="710">
        <v>1276.875712</v>
      </c>
      <c r="N235" s="710">
        <v>1276.875712</v>
      </c>
      <c r="O235" s="710">
        <v>1277.6421440000001</v>
      </c>
      <c r="P235" s="710">
        <v>1277.6421440000001</v>
      </c>
      <c r="Q235" s="710">
        <v>1277.6421440000001</v>
      </c>
      <c r="R235" s="710">
        <v>1277.6421440000001</v>
      </c>
      <c r="S235" s="711"/>
      <c r="T235" s="711"/>
      <c r="U235" s="711"/>
      <c r="V235" s="711"/>
    </row>
    <row r="236" spans="1:22" ht="10.5" customHeight="1" x14ac:dyDescent="0.25">
      <c r="A236" s="712"/>
      <c r="B236" s="713"/>
      <c r="C236" s="714"/>
      <c r="D236" s="714"/>
      <c r="E236" s="714"/>
      <c r="F236" s="714"/>
      <c r="G236" s="714"/>
      <c r="H236" s="714"/>
      <c r="I236" s="714"/>
      <c r="J236" s="714"/>
      <c r="K236" s="714"/>
      <c r="L236" s="714"/>
      <c r="M236" s="715">
        <v>59.389567999999997</v>
      </c>
      <c r="N236" s="715">
        <v>59.389567999999997</v>
      </c>
      <c r="O236" s="715">
        <v>59.425216000000006</v>
      </c>
      <c r="P236" s="715">
        <v>59.425216000000006</v>
      </c>
      <c r="Q236" s="715">
        <v>59.425216000000006</v>
      </c>
      <c r="R236" s="715">
        <v>59.425216000000006</v>
      </c>
      <c r="S236" s="714"/>
      <c r="T236" s="714"/>
      <c r="U236" s="714"/>
      <c r="V236" s="714"/>
    </row>
    <row r="237" spans="1:22" ht="10.5" customHeight="1" x14ac:dyDescent="0.25">
      <c r="A237" s="716"/>
      <c r="B237" s="717"/>
      <c r="C237" s="718"/>
      <c r="D237" s="718"/>
      <c r="E237" s="718"/>
      <c r="F237" s="718"/>
      <c r="G237" s="718"/>
      <c r="H237" s="718"/>
      <c r="I237" s="718"/>
      <c r="J237" s="718"/>
      <c r="K237" s="718"/>
      <c r="L237" s="718"/>
      <c r="M237" s="718"/>
      <c r="N237" s="718"/>
      <c r="O237" s="718"/>
      <c r="P237" s="718"/>
      <c r="Q237" s="718"/>
      <c r="R237" s="718"/>
      <c r="S237" s="718"/>
      <c r="T237" s="718"/>
      <c r="U237" s="718"/>
      <c r="V237" s="718"/>
    </row>
    <row r="238" spans="1:22" ht="10.5" customHeight="1" x14ac:dyDescent="0.25">
      <c r="A238" s="707">
        <v>515552</v>
      </c>
      <c r="B238" s="708" t="s">
        <v>1034</v>
      </c>
      <c r="C238" s="707" t="s">
        <v>571</v>
      </c>
      <c r="D238" s="709">
        <v>62.49</v>
      </c>
      <c r="E238" s="709">
        <v>82.73</v>
      </c>
      <c r="F238" s="709">
        <v>5169.8</v>
      </c>
      <c r="G238" s="709"/>
      <c r="H238" s="711"/>
      <c r="I238" s="711"/>
      <c r="J238" s="711"/>
      <c r="K238" s="711"/>
      <c r="L238" s="711"/>
      <c r="M238" s="710">
        <v>861.28868</v>
      </c>
      <c r="N238" s="710">
        <v>861.28868</v>
      </c>
      <c r="O238" s="710">
        <v>861.8056600000001</v>
      </c>
      <c r="P238" s="710">
        <v>861.8056600000001</v>
      </c>
      <c r="Q238" s="710">
        <v>861.8056600000001</v>
      </c>
      <c r="R238" s="710">
        <v>861.8056600000001</v>
      </c>
      <c r="S238" s="711"/>
      <c r="T238" s="711"/>
      <c r="U238" s="711"/>
      <c r="V238" s="711"/>
    </row>
    <row r="239" spans="1:22" ht="10.5" customHeight="1" x14ac:dyDescent="0.25">
      <c r="A239" s="712"/>
      <c r="B239" s="713"/>
      <c r="C239" s="714"/>
      <c r="D239" s="714"/>
      <c r="E239" s="714"/>
      <c r="F239" s="714"/>
      <c r="G239" s="714"/>
      <c r="H239" s="714"/>
      <c r="I239" s="714"/>
      <c r="J239" s="714"/>
      <c r="K239" s="714"/>
      <c r="L239" s="714"/>
      <c r="M239" s="715">
        <v>10.410833999999999</v>
      </c>
      <c r="N239" s="715">
        <v>10.410833999999999</v>
      </c>
      <c r="O239" s="715">
        <v>10.417083000000002</v>
      </c>
      <c r="P239" s="715">
        <v>10.417083000000002</v>
      </c>
      <c r="Q239" s="715">
        <v>10.417083000000002</v>
      </c>
      <c r="R239" s="715">
        <v>10.417083000000002</v>
      </c>
      <c r="S239" s="714"/>
      <c r="T239" s="714"/>
      <c r="U239" s="714"/>
      <c r="V239" s="714"/>
    </row>
    <row r="240" spans="1:22" ht="10.5" customHeight="1" x14ac:dyDescent="0.25">
      <c r="A240" s="716"/>
      <c r="B240" s="717"/>
      <c r="C240" s="718"/>
      <c r="D240" s="718"/>
      <c r="E240" s="718"/>
      <c r="F240" s="718"/>
      <c r="G240" s="718"/>
      <c r="H240" s="718"/>
      <c r="I240" s="718"/>
      <c r="J240" s="718"/>
      <c r="K240" s="718"/>
      <c r="L240" s="718"/>
      <c r="M240" s="718"/>
      <c r="N240" s="718"/>
      <c r="O240" s="718"/>
      <c r="P240" s="718"/>
      <c r="Q240" s="718"/>
      <c r="R240" s="718"/>
      <c r="S240" s="718"/>
      <c r="T240" s="718"/>
      <c r="U240" s="718"/>
      <c r="V240" s="718"/>
    </row>
    <row r="241" spans="1:22" ht="10.5" customHeight="1" x14ac:dyDescent="0.25">
      <c r="A241" s="707">
        <v>515553</v>
      </c>
      <c r="B241" s="708" t="s">
        <v>1035</v>
      </c>
      <c r="C241" s="707" t="s">
        <v>571</v>
      </c>
      <c r="D241" s="709">
        <v>82.72</v>
      </c>
      <c r="E241" s="709">
        <v>12.95</v>
      </c>
      <c r="F241" s="709">
        <v>1071.22</v>
      </c>
      <c r="G241" s="709"/>
      <c r="H241" s="711"/>
      <c r="I241" s="711"/>
      <c r="J241" s="711"/>
      <c r="K241" s="711"/>
      <c r="L241" s="711"/>
      <c r="M241" s="710">
        <v>178.46525199999999</v>
      </c>
      <c r="N241" s="710">
        <v>178.46525199999999</v>
      </c>
      <c r="O241" s="710">
        <v>178.57237400000002</v>
      </c>
      <c r="P241" s="710">
        <v>178.57237400000002</v>
      </c>
      <c r="Q241" s="710">
        <v>178.57237400000002</v>
      </c>
      <c r="R241" s="710">
        <v>178.57237400000002</v>
      </c>
      <c r="S241" s="711"/>
      <c r="T241" s="711"/>
      <c r="U241" s="711"/>
      <c r="V241" s="711"/>
    </row>
    <row r="242" spans="1:22" ht="10.5" customHeight="1" x14ac:dyDescent="0.25">
      <c r="A242" s="712"/>
      <c r="B242" s="713"/>
      <c r="C242" s="714"/>
      <c r="D242" s="714"/>
      <c r="E242" s="714"/>
      <c r="F242" s="714"/>
      <c r="G242" s="714"/>
      <c r="H242" s="714"/>
      <c r="I242" s="714"/>
      <c r="J242" s="714"/>
      <c r="K242" s="714"/>
      <c r="L242" s="714"/>
      <c r="M242" s="715">
        <v>13.781151999999999</v>
      </c>
      <c r="N242" s="715">
        <v>13.781151999999999</v>
      </c>
      <c r="O242" s="715">
        <v>13.789424000000002</v>
      </c>
      <c r="P242" s="715">
        <v>13.789424000000002</v>
      </c>
      <c r="Q242" s="715">
        <v>13.789424000000002</v>
      </c>
      <c r="R242" s="715">
        <v>13.789424000000002</v>
      </c>
      <c r="S242" s="714"/>
      <c r="T242" s="714"/>
      <c r="U242" s="714"/>
      <c r="V242" s="714"/>
    </row>
    <row r="243" spans="1:22" ht="10.5" customHeight="1" x14ac:dyDescent="0.25">
      <c r="A243" s="716"/>
      <c r="B243" s="717"/>
      <c r="C243" s="718"/>
      <c r="D243" s="718"/>
      <c r="E243" s="718"/>
      <c r="F243" s="718"/>
      <c r="G243" s="718"/>
      <c r="H243" s="718"/>
      <c r="I243" s="718"/>
      <c r="J243" s="718"/>
      <c r="K243" s="718"/>
      <c r="L243" s="718"/>
      <c r="M243" s="718"/>
      <c r="N243" s="718"/>
      <c r="O243" s="718"/>
      <c r="P243" s="718"/>
      <c r="Q243" s="718"/>
      <c r="R243" s="718"/>
      <c r="S243" s="718"/>
      <c r="T243" s="718"/>
      <c r="U243" s="718"/>
      <c r="V243" s="718"/>
    </row>
    <row r="244" spans="1:22" ht="10.5" customHeight="1" x14ac:dyDescent="0.25">
      <c r="A244" s="707">
        <v>505083</v>
      </c>
      <c r="B244" s="708" t="s">
        <v>1036</v>
      </c>
      <c r="C244" s="707" t="s">
        <v>571</v>
      </c>
      <c r="D244" s="709">
        <v>694.59</v>
      </c>
      <c r="E244" s="709">
        <v>14.57</v>
      </c>
      <c r="F244" s="709">
        <v>10120.18</v>
      </c>
      <c r="G244" s="709"/>
      <c r="H244" s="711"/>
      <c r="I244" s="711"/>
      <c r="J244" s="711"/>
      <c r="K244" s="711"/>
      <c r="L244" s="711"/>
      <c r="M244" s="710">
        <v>1686.0219880000002</v>
      </c>
      <c r="N244" s="710">
        <v>1686.0219880000002</v>
      </c>
      <c r="O244" s="710">
        <v>1687.0340060000003</v>
      </c>
      <c r="P244" s="710">
        <v>1687.0340060000003</v>
      </c>
      <c r="Q244" s="710">
        <v>1687.0340060000003</v>
      </c>
      <c r="R244" s="710">
        <v>1687.0340060000003</v>
      </c>
      <c r="S244" s="711"/>
      <c r="T244" s="711"/>
      <c r="U244" s="711"/>
      <c r="V244" s="711"/>
    </row>
    <row r="245" spans="1:22" ht="10.5" customHeight="1" x14ac:dyDescent="0.25">
      <c r="A245" s="712"/>
      <c r="B245" s="713"/>
      <c r="C245" s="714"/>
      <c r="D245" s="714"/>
      <c r="E245" s="714"/>
      <c r="F245" s="714"/>
      <c r="G245" s="714"/>
      <c r="H245" s="714"/>
      <c r="I245" s="714"/>
      <c r="J245" s="714"/>
      <c r="K245" s="714"/>
      <c r="L245" s="714"/>
      <c r="M245" s="715">
        <v>115.71869400000001</v>
      </c>
      <c r="N245" s="715">
        <v>115.71869400000001</v>
      </c>
      <c r="O245" s="715">
        <v>115.78815300000002</v>
      </c>
      <c r="P245" s="715">
        <v>115.78815300000002</v>
      </c>
      <c r="Q245" s="715">
        <v>115.78815300000002</v>
      </c>
      <c r="R245" s="715">
        <v>115.78815300000002</v>
      </c>
      <c r="S245" s="714"/>
      <c r="T245" s="714"/>
      <c r="U245" s="714"/>
      <c r="V245" s="714"/>
    </row>
    <row r="246" spans="1:22" ht="10.5" customHeight="1" x14ac:dyDescent="0.25">
      <c r="A246" s="716"/>
      <c r="B246" s="717"/>
      <c r="C246" s="718"/>
      <c r="D246" s="718"/>
      <c r="E246" s="718"/>
      <c r="F246" s="718"/>
      <c r="G246" s="718"/>
      <c r="H246" s="718"/>
      <c r="I246" s="718"/>
      <c r="J246" s="718"/>
      <c r="K246" s="718"/>
      <c r="L246" s="718"/>
      <c r="M246" s="718"/>
      <c r="N246" s="718"/>
      <c r="O246" s="718"/>
      <c r="P246" s="718"/>
      <c r="Q246" s="718"/>
      <c r="R246" s="718"/>
      <c r="S246" s="718"/>
      <c r="T246" s="718"/>
      <c r="U246" s="718"/>
      <c r="V246" s="718"/>
    </row>
    <row r="247" spans="1:22" ht="10.5" customHeight="1" x14ac:dyDescent="0.25">
      <c r="A247" s="707">
        <v>502737</v>
      </c>
      <c r="B247" s="708" t="s">
        <v>1037</v>
      </c>
      <c r="C247" s="707" t="s">
        <v>1038</v>
      </c>
      <c r="D247" s="709">
        <v>0</v>
      </c>
      <c r="E247" s="709">
        <v>29.13</v>
      </c>
      <c r="F247" s="709">
        <v>0</v>
      </c>
      <c r="G247" s="709"/>
      <c r="H247" s="711"/>
      <c r="I247" s="711"/>
      <c r="J247" s="711"/>
      <c r="K247" s="711"/>
      <c r="L247" s="711"/>
      <c r="M247" s="711"/>
      <c r="N247" s="711"/>
      <c r="O247" s="711"/>
      <c r="P247" s="711"/>
      <c r="Q247" s="711"/>
      <c r="R247" s="711"/>
      <c r="S247" s="711"/>
      <c r="T247" s="711"/>
      <c r="U247" s="711"/>
      <c r="V247" s="711"/>
    </row>
    <row r="248" spans="1:22" ht="10.5" customHeight="1" x14ac:dyDescent="0.25">
      <c r="A248" s="712"/>
      <c r="B248" s="713"/>
      <c r="C248" s="714"/>
      <c r="D248" s="714"/>
      <c r="E248" s="714"/>
      <c r="F248" s="714"/>
      <c r="G248" s="714"/>
      <c r="H248" s="714"/>
      <c r="I248" s="714"/>
      <c r="J248" s="714"/>
      <c r="K248" s="714"/>
      <c r="L248" s="714"/>
      <c r="M248" s="714"/>
      <c r="N248" s="714"/>
      <c r="O248" s="714"/>
      <c r="P248" s="714"/>
      <c r="Q248" s="714"/>
      <c r="R248" s="714"/>
      <c r="S248" s="714"/>
      <c r="T248" s="714"/>
      <c r="U248" s="714"/>
      <c r="V248" s="714"/>
    </row>
    <row r="249" spans="1:22" ht="10.5" customHeight="1" x14ac:dyDescent="0.25">
      <c r="A249" s="716"/>
      <c r="B249" s="717"/>
      <c r="C249" s="718"/>
      <c r="D249" s="718"/>
      <c r="E249" s="718"/>
      <c r="F249" s="718"/>
      <c r="G249" s="718"/>
      <c r="H249" s="718"/>
      <c r="I249" s="718"/>
      <c r="J249" s="718"/>
      <c r="K249" s="718"/>
      <c r="L249" s="718"/>
      <c r="M249" s="718"/>
      <c r="N249" s="718"/>
      <c r="O249" s="718"/>
      <c r="P249" s="718"/>
      <c r="Q249" s="718"/>
      <c r="R249" s="718"/>
      <c r="S249" s="718"/>
      <c r="T249" s="718"/>
      <c r="U249" s="718"/>
      <c r="V249" s="718"/>
    </row>
    <row r="250" spans="1:22" s="105" customFormat="1" ht="10.5" customHeight="1" x14ac:dyDescent="0.25">
      <c r="A250" s="704"/>
      <c r="B250" s="719" t="s">
        <v>1039</v>
      </c>
      <c r="C250" s="704"/>
      <c r="D250" s="705"/>
      <c r="E250" s="706">
        <v>0</v>
      </c>
      <c r="F250" s="706">
        <v>56207.350000000006</v>
      </c>
      <c r="G250" s="706"/>
      <c r="H250" s="705"/>
      <c r="I250" s="705"/>
      <c r="J250" s="705"/>
      <c r="K250" s="705"/>
      <c r="L250" s="705"/>
      <c r="M250" s="705"/>
      <c r="N250" s="705"/>
      <c r="O250" s="705"/>
      <c r="P250" s="705"/>
      <c r="Q250" s="705"/>
      <c r="R250" s="705"/>
      <c r="S250" s="705"/>
      <c r="T250" s="705"/>
      <c r="U250" s="705"/>
      <c r="V250" s="705"/>
    </row>
    <row r="251" spans="1:22" ht="10.5" customHeight="1" x14ac:dyDescent="0.25">
      <c r="A251" s="707">
        <v>500646</v>
      </c>
      <c r="B251" s="708" t="s">
        <v>1040</v>
      </c>
      <c r="C251" s="707" t="s">
        <v>1038</v>
      </c>
      <c r="D251" s="709">
        <v>255</v>
      </c>
      <c r="E251" s="709">
        <v>1.0699999999999998</v>
      </c>
      <c r="F251" s="709">
        <v>272.85000000000002</v>
      </c>
      <c r="G251" s="709"/>
      <c r="H251" s="711"/>
      <c r="I251" s="711"/>
      <c r="J251" s="711"/>
      <c r="K251" s="711"/>
      <c r="L251" s="711"/>
      <c r="M251" s="711"/>
      <c r="N251" s="710">
        <v>34.106250000000003</v>
      </c>
      <c r="O251" s="710">
        <v>34.106250000000003</v>
      </c>
      <c r="P251" s="710">
        <v>34.106250000000003</v>
      </c>
      <c r="Q251" s="710">
        <v>34.106250000000003</v>
      </c>
      <c r="R251" s="710">
        <v>34.106250000000003</v>
      </c>
      <c r="S251" s="710">
        <v>34.106250000000003</v>
      </c>
      <c r="T251" s="709">
        <v>34.106250000000003</v>
      </c>
      <c r="U251" s="709">
        <v>34.106250000000003</v>
      </c>
      <c r="V251" s="711"/>
    </row>
    <row r="252" spans="1:22" ht="10.5" customHeight="1" x14ac:dyDescent="0.25">
      <c r="A252" s="712"/>
      <c r="B252" s="713"/>
      <c r="C252" s="714"/>
      <c r="D252" s="714"/>
      <c r="E252" s="714"/>
      <c r="F252" s="714"/>
      <c r="G252" s="714"/>
      <c r="H252" s="714"/>
      <c r="I252" s="714"/>
      <c r="J252" s="714"/>
      <c r="K252" s="714"/>
      <c r="L252" s="714"/>
      <c r="M252" s="714"/>
      <c r="N252" s="715">
        <v>31.875</v>
      </c>
      <c r="O252" s="715">
        <v>31.875</v>
      </c>
      <c r="P252" s="715">
        <v>31.875</v>
      </c>
      <c r="Q252" s="715">
        <v>31.875</v>
      </c>
      <c r="R252" s="715">
        <v>31.875</v>
      </c>
      <c r="S252" s="715">
        <v>31.875</v>
      </c>
      <c r="T252" s="715">
        <v>31.875</v>
      </c>
      <c r="U252" s="715">
        <v>31.875</v>
      </c>
      <c r="V252" s="714"/>
    </row>
    <row r="253" spans="1:22" ht="10.5" customHeight="1" x14ac:dyDescent="0.25">
      <c r="A253" s="716"/>
      <c r="B253" s="717"/>
      <c r="C253" s="718"/>
      <c r="D253" s="718"/>
      <c r="E253" s="718"/>
      <c r="F253" s="718"/>
      <c r="G253" s="718"/>
      <c r="H253" s="718"/>
      <c r="I253" s="718"/>
      <c r="J253" s="718"/>
      <c r="K253" s="718"/>
      <c r="L253" s="718"/>
      <c r="M253" s="718"/>
      <c r="N253" s="718"/>
      <c r="O253" s="718"/>
      <c r="P253" s="718"/>
      <c r="Q253" s="718"/>
      <c r="R253" s="718"/>
      <c r="S253" s="718"/>
      <c r="T253" s="718"/>
      <c r="U253" s="718"/>
      <c r="V253" s="718"/>
    </row>
    <row r="254" spans="1:22" ht="10.5" customHeight="1" x14ac:dyDescent="0.25">
      <c r="A254" s="707">
        <v>500622</v>
      </c>
      <c r="B254" s="708" t="s">
        <v>1041</v>
      </c>
      <c r="C254" s="707" t="s">
        <v>571</v>
      </c>
      <c r="D254" s="709">
        <v>594.13</v>
      </c>
      <c r="E254" s="709">
        <v>7.0500000000000007</v>
      </c>
      <c r="F254" s="709">
        <v>4188.62</v>
      </c>
      <c r="G254" s="709"/>
      <c r="H254" s="711"/>
      <c r="I254" s="711"/>
      <c r="J254" s="711"/>
      <c r="K254" s="711"/>
      <c r="L254" s="711"/>
      <c r="M254" s="711"/>
      <c r="N254" s="710">
        <v>523.57749999999999</v>
      </c>
      <c r="O254" s="710">
        <v>523.57749999999999</v>
      </c>
      <c r="P254" s="710">
        <v>523.57749999999999</v>
      </c>
      <c r="Q254" s="710">
        <v>523.57749999999999</v>
      </c>
      <c r="R254" s="710">
        <v>523.57749999999999</v>
      </c>
      <c r="S254" s="710">
        <v>523.57749999999999</v>
      </c>
      <c r="T254" s="709">
        <v>523.57749999999999</v>
      </c>
      <c r="U254" s="709">
        <v>523.57749999999999</v>
      </c>
      <c r="V254" s="711"/>
    </row>
    <row r="255" spans="1:22" ht="10.5" customHeight="1" x14ac:dyDescent="0.25">
      <c r="A255" s="712"/>
      <c r="B255" s="713"/>
      <c r="C255" s="714"/>
      <c r="D255" s="714"/>
      <c r="E255" s="714"/>
      <c r="F255" s="714"/>
      <c r="G255" s="714"/>
      <c r="H255" s="714"/>
      <c r="I255" s="714"/>
      <c r="J255" s="714"/>
      <c r="K255" s="714"/>
      <c r="L255" s="714"/>
      <c r="M255" s="714"/>
      <c r="N255" s="715">
        <v>74.266249999999999</v>
      </c>
      <c r="O255" s="715">
        <v>74.266249999999999</v>
      </c>
      <c r="P255" s="715">
        <v>74.266249999999999</v>
      </c>
      <c r="Q255" s="715">
        <v>74.266249999999999</v>
      </c>
      <c r="R255" s="715">
        <v>74.266249999999999</v>
      </c>
      <c r="S255" s="715">
        <v>74.266249999999999</v>
      </c>
      <c r="T255" s="715">
        <v>74.266249999999999</v>
      </c>
      <c r="U255" s="715">
        <v>74.266249999999999</v>
      </c>
      <c r="V255" s="714"/>
    </row>
    <row r="256" spans="1:22" ht="10.5" customHeight="1" x14ac:dyDescent="0.25">
      <c r="A256" s="716"/>
      <c r="B256" s="717"/>
      <c r="C256" s="718"/>
      <c r="D256" s="718"/>
      <c r="E256" s="718"/>
      <c r="F256" s="718"/>
      <c r="G256" s="718"/>
      <c r="H256" s="718"/>
      <c r="I256" s="718"/>
      <c r="J256" s="718"/>
      <c r="K256" s="718"/>
      <c r="L256" s="718"/>
      <c r="M256" s="718"/>
      <c r="N256" s="718"/>
      <c r="O256" s="718"/>
      <c r="P256" s="718"/>
      <c r="Q256" s="718"/>
      <c r="R256" s="718"/>
      <c r="S256" s="718"/>
      <c r="T256" s="718"/>
      <c r="U256" s="718"/>
      <c r="V256" s="718"/>
    </row>
    <row r="257" spans="1:22" ht="10.5" customHeight="1" x14ac:dyDescent="0.25">
      <c r="A257" s="707">
        <v>500630</v>
      </c>
      <c r="B257" s="708" t="s">
        <v>1042</v>
      </c>
      <c r="C257" s="707" t="s">
        <v>571</v>
      </c>
      <c r="D257" s="709">
        <v>8724.5</v>
      </c>
      <c r="E257" s="709">
        <v>3.17</v>
      </c>
      <c r="F257" s="709">
        <v>27656.66</v>
      </c>
      <c r="G257" s="709"/>
      <c r="H257" s="711"/>
      <c r="I257" s="711"/>
      <c r="J257" s="711"/>
      <c r="K257" s="711"/>
      <c r="L257" s="711"/>
      <c r="M257" s="711"/>
      <c r="N257" s="710">
        <v>3457.0825</v>
      </c>
      <c r="O257" s="710">
        <v>3457.0825</v>
      </c>
      <c r="P257" s="710">
        <v>3457.0825</v>
      </c>
      <c r="Q257" s="710">
        <v>3457.0825</v>
      </c>
      <c r="R257" s="710">
        <v>3457.0825</v>
      </c>
      <c r="S257" s="710">
        <v>3457.0825</v>
      </c>
      <c r="T257" s="709">
        <v>3457.0825</v>
      </c>
      <c r="U257" s="709">
        <v>3457.0825</v>
      </c>
      <c r="V257" s="711"/>
    </row>
    <row r="258" spans="1:22" ht="10.5" customHeight="1" x14ac:dyDescent="0.25">
      <c r="A258" s="712"/>
      <c r="B258" s="713"/>
      <c r="C258" s="714"/>
      <c r="D258" s="714"/>
      <c r="E258" s="714"/>
      <c r="F258" s="714"/>
      <c r="G258" s="714"/>
      <c r="H258" s="714"/>
      <c r="I258" s="714"/>
      <c r="J258" s="714"/>
      <c r="K258" s="714"/>
      <c r="L258" s="714"/>
      <c r="M258" s="714"/>
      <c r="N258" s="715">
        <v>1090.5625</v>
      </c>
      <c r="O258" s="715">
        <v>1090.5625</v>
      </c>
      <c r="P258" s="715">
        <v>1090.5625</v>
      </c>
      <c r="Q258" s="715">
        <v>1090.5625</v>
      </c>
      <c r="R258" s="715">
        <v>1090.5625</v>
      </c>
      <c r="S258" s="715">
        <v>1090.5625</v>
      </c>
      <c r="T258" s="715">
        <v>1090.5625</v>
      </c>
      <c r="U258" s="715">
        <v>1090.5625</v>
      </c>
      <c r="V258" s="714"/>
    </row>
    <row r="259" spans="1:22" ht="10.5" customHeight="1" x14ac:dyDescent="0.25">
      <c r="A259" s="716"/>
      <c r="B259" s="717"/>
      <c r="C259" s="718"/>
      <c r="D259" s="718"/>
      <c r="E259" s="718"/>
      <c r="F259" s="718"/>
      <c r="G259" s="718"/>
      <c r="H259" s="718"/>
      <c r="I259" s="718"/>
      <c r="J259" s="718"/>
      <c r="K259" s="718"/>
      <c r="L259" s="718"/>
      <c r="M259" s="718"/>
      <c r="N259" s="718"/>
      <c r="O259" s="718"/>
      <c r="P259" s="718"/>
      <c r="Q259" s="718"/>
      <c r="R259" s="718"/>
      <c r="S259" s="718"/>
      <c r="T259" s="718"/>
      <c r="U259" s="718"/>
      <c r="V259" s="718"/>
    </row>
    <row r="260" spans="1:22" ht="10.5" customHeight="1" x14ac:dyDescent="0.25">
      <c r="A260" s="707">
        <v>514332</v>
      </c>
      <c r="B260" s="708" t="s">
        <v>1043</v>
      </c>
      <c r="C260" s="707" t="s">
        <v>571</v>
      </c>
      <c r="D260" s="709">
        <v>0</v>
      </c>
      <c r="E260" s="709">
        <v>5.2</v>
      </c>
      <c r="F260" s="709">
        <v>0</v>
      </c>
      <c r="G260" s="709"/>
      <c r="H260" s="711"/>
      <c r="I260" s="711"/>
      <c r="J260" s="711"/>
      <c r="K260" s="711"/>
      <c r="L260" s="711"/>
      <c r="M260" s="711"/>
      <c r="N260" s="711"/>
      <c r="O260" s="711"/>
      <c r="P260" s="711"/>
      <c r="Q260" s="711"/>
      <c r="R260" s="711"/>
      <c r="S260" s="711"/>
      <c r="T260" s="711"/>
      <c r="U260" s="711"/>
      <c r="V260" s="711"/>
    </row>
    <row r="261" spans="1:22" ht="10.5" customHeight="1" x14ac:dyDescent="0.25">
      <c r="A261" s="712"/>
      <c r="B261" s="713"/>
      <c r="C261" s="714"/>
      <c r="D261" s="714"/>
      <c r="E261" s="714"/>
      <c r="F261" s="714"/>
      <c r="G261" s="714"/>
      <c r="H261" s="714"/>
      <c r="I261" s="714"/>
      <c r="J261" s="714"/>
      <c r="K261" s="714"/>
      <c r="L261" s="714"/>
      <c r="M261" s="714"/>
      <c r="N261" s="714"/>
      <c r="O261" s="714"/>
      <c r="P261" s="714"/>
      <c r="Q261" s="714"/>
      <c r="R261" s="714"/>
      <c r="S261" s="714"/>
      <c r="T261" s="714"/>
      <c r="U261" s="714"/>
      <c r="V261" s="714"/>
    </row>
    <row r="262" spans="1:22" ht="10.5" customHeight="1" x14ac:dyDescent="0.25">
      <c r="A262" s="716"/>
      <c r="B262" s="717"/>
      <c r="C262" s="718"/>
      <c r="D262" s="718"/>
      <c r="E262" s="718"/>
      <c r="F262" s="718"/>
      <c r="G262" s="718"/>
      <c r="H262" s="718"/>
      <c r="I262" s="718"/>
      <c r="J262" s="718"/>
      <c r="K262" s="718"/>
      <c r="L262" s="718"/>
      <c r="M262" s="718"/>
      <c r="N262" s="718"/>
      <c r="O262" s="718"/>
      <c r="P262" s="718"/>
      <c r="Q262" s="718"/>
      <c r="R262" s="718"/>
      <c r="S262" s="718"/>
      <c r="T262" s="718"/>
      <c r="U262" s="718"/>
      <c r="V262" s="718"/>
    </row>
    <row r="263" spans="1:22" ht="10.5" customHeight="1" x14ac:dyDescent="0.25">
      <c r="A263" s="707">
        <v>500626</v>
      </c>
      <c r="B263" s="708" t="s">
        <v>1044</v>
      </c>
      <c r="C263" s="707" t="s">
        <v>571</v>
      </c>
      <c r="D263" s="709">
        <v>5500</v>
      </c>
      <c r="E263" s="709">
        <v>2.58</v>
      </c>
      <c r="F263" s="709">
        <v>14190</v>
      </c>
      <c r="G263" s="709"/>
      <c r="H263" s="711"/>
      <c r="I263" s="711"/>
      <c r="J263" s="711"/>
      <c r="K263" s="711"/>
      <c r="L263" s="711"/>
      <c r="M263" s="711"/>
      <c r="N263" s="710">
        <v>1773.75</v>
      </c>
      <c r="O263" s="710">
        <v>1773.75</v>
      </c>
      <c r="P263" s="710">
        <v>1773.75</v>
      </c>
      <c r="Q263" s="710">
        <v>1773.75</v>
      </c>
      <c r="R263" s="710">
        <v>1773.75</v>
      </c>
      <c r="S263" s="710">
        <v>1773.75</v>
      </c>
      <c r="T263" s="709">
        <v>1773.75</v>
      </c>
      <c r="U263" s="709">
        <v>1773.75</v>
      </c>
      <c r="V263" s="711"/>
    </row>
    <row r="264" spans="1:22" ht="10.5" customHeight="1" x14ac:dyDescent="0.25">
      <c r="A264" s="712"/>
      <c r="B264" s="713"/>
      <c r="C264" s="714"/>
      <c r="D264" s="714"/>
      <c r="E264" s="714"/>
      <c r="F264" s="714"/>
      <c r="G264" s="714"/>
      <c r="H264" s="714"/>
      <c r="I264" s="714"/>
      <c r="J264" s="714"/>
      <c r="K264" s="714"/>
      <c r="L264" s="714"/>
      <c r="M264" s="714"/>
      <c r="N264" s="715">
        <v>687.5</v>
      </c>
      <c r="O264" s="715">
        <v>687.5</v>
      </c>
      <c r="P264" s="715">
        <v>687.5</v>
      </c>
      <c r="Q264" s="715">
        <v>687.5</v>
      </c>
      <c r="R264" s="715">
        <v>687.5</v>
      </c>
      <c r="S264" s="715">
        <v>687.5</v>
      </c>
      <c r="T264" s="715">
        <v>687.5</v>
      </c>
      <c r="U264" s="715">
        <v>687.5</v>
      </c>
      <c r="V264" s="714"/>
    </row>
    <row r="265" spans="1:22" ht="10.5" customHeight="1" x14ac:dyDescent="0.25">
      <c r="A265" s="716"/>
      <c r="B265" s="717"/>
      <c r="C265" s="718"/>
      <c r="D265" s="718"/>
      <c r="E265" s="718"/>
      <c r="F265" s="718"/>
      <c r="G265" s="718"/>
      <c r="H265" s="718"/>
      <c r="I265" s="718"/>
      <c r="J265" s="718"/>
      <c r="K265" s="718"/>
      <c r="L265" s="718"/>
      <c r="M265" s="718"/>
      <c r="N265" s="718"/>
      <c r="O265" s="718"/>
      <c r="P265" s="718"/>
      <c r="Q265" s="718"/>
      <c r="R265" s="718"/>
      <c r="S265" s="718"/>
      <c r="T265" s="718"/>
      <c r="U265" s="718"/>
      <c r="V265" s="718"/>
    </row>
    <row r="266" spans="1:22" ht="10.5" customHeight="1" x14ac:dyDescent="0.25">
      <c r="A266" s="707">
        <v>515554</v>
      </c>
      <c r="B266" s="708" t="s">
        <v>1045</v>
      </c>
      <c r="C266" s="707" t="s">
        <v>571</v>
      </c>
      <c r="D266" s="709">
        <v>3224.5</v>
      </c>
      <c r="E266" s="709">
        <v>3.07</v>
      </c>
      <c r="F266" s="709">
        <v>9899.2199999999993</v>
      </c>
      <c r="G266" s="709"/>
      <c r="H266" s="711"/>
      <c r="I266" s="711"/>
      <c r="J266" s="711"/>
      <c r="K266" s="711"/>
      <c r="L266" s="711"/>
      <c r="M266" s="711"/>
      <c r="N266" s="710">
        <v>1237.4024999999999</v>
      </c>
      <c r="O266" s="710">
        <v>1237.4024999999999</v>
      </c>
      <c r="P266" s="710">
        <v>1237.4024999999999</v>
      </c>
      <c r="Q266" s="710">
        <v>1237.4024999999999</v>
      </c>
      <c r="R266" s="710">
        <v>1237.4024999999999</v>
      </c>
      <c r="S266" s="710">
        <v>1237.4024999999999</v>
      </c>
      <c r="T266" s="709">
        <v>1237.4024999999999</v>
      </c>
      <c r="U266" s="709">
        <v>1237.4024999999999</v>
      </c>
      <c r="V266" s="711"/>
    </row>
    <row r="267" spans="1:22" ht="10.5" customHeight="1" x14ac:dyDescent="0.25">
      <c r="A267" s="712"/>
      <c r="B267" s="713"/>
      <c r="C267" s="714"/>
      <c r="D267" s="714"/>
      <c r="E267" s="714"/>
      <c r="F267" s="714"/>
      <c r="G267" s="714"/>
      <c r="H267" s="714"/>
      <c r="I267" s="714"/>
      <c r="J267" s="714"/>
      <c r="K267" s="714"/>
      <c r="L267" s="714"/>
      <c r="M267" s="714"/>
      <c r="N267" s="715">
        <v>403.0625</v>
      </c>
      <c r="O267" s="715">
        <v>403.0625</v>
      </c>
      <c r="P267" s="715">
        <v>403.0625</v>
      </c>
      <c r="Q267" s="715">
        <v>403.0625</v>
      </c>
      <c r="R267" s="715">
        <v>403.0625</v>
      </c>
      <c r="S267" s="715">
        <v>403.0625</v>
      </c>
      <c r="T267" s="715">
        <v>403.0625</v>
      </c>
      <c r="U267" s="715">
        <v>403.0625</v>
      </c>
      <c r="V267" s="714"/>
    </row>
    <row r="268" spans="1:22" ht="10.5" customHeight="1" x14ac:dyDescent="0.25">
      <c r="A268" s="716"/>
      <c r="B268" s="717"/>
      <c r="C268" s="718"/>
      <c r="D268" s="718"/>
      <c r="E268" s="718"/>
      <c r="F268" s="718"/>
      <c r="G268" s="718"/>
      <c r="H268" s="718"/>
      <c r="I268" s="718"/>
      <c r="J268" s="718"/>
      <c r="K268" s="718"/>
      <c r="L268" s="718"/>
      <c r="M268" s="718"/>
      <c r="N268" s="718"/>
      <c r="O268" s="718"/>
      <c r="P268" s="718"/>
      <c r="Q268" s="718"/>
      <c r="R268" s="718"/>
      <c r="S268" s="718"/>
      <c r="T268" s="718"/>
      <c r="U268" s="718"/>
      <c r="V268" s="718"/>
    </row>
    <row r="269" spans="1:22" s="105" customFormat="1" ht="10.5" customHeight="1" x14ac:dyDescent="0.25">
      <c r="A269" s="704"/>
      <c r="B269" s="719" t="s">
        <v>1046</v>
      </c>
      <c r="C269" s="704"/>
      <c r="D269" s="705"/>
      <c r="E269" s="706">
        <v>0</v>
      </c>
      <c r="F269" s="706">
        <v>26677.88</v>
      </c>
      <c r="G269" s="706"/>
      <c r="H269" s="705"/>
      <c r="I269" s="705"/>
      <c r="J269" s="705"/>
      <c r="K269" s="705"/>
      <c r="L269" s="705"/>
      <c r="M269" s="705"/>
      <c r="N269" s="705"/>
      <c r="O269" s="705"/>
      <c r="P269" s="705"/>
      <c r="Q269" s="705"/>
      <c r="R269" s="705"/>
      <c r="S269" s="705"/>
      <c r="T269" s="705"/>
      <c r="U269" s="705"/>
      <c r="V269" s="705"/>
    </row>
    <row r="270" spans="1:22" ht="10.5" customHeight="1" x14ac:dyDescent="0.25">
      <c r="A270" s="707">
        <v>515674</v>
      </c>
      <c r="B270" s="708" t="s">
        <v>1047</v>
      </c>
      <c r="C270" s="707" t="s">
        <v>1038</v>
      </c>
      <c r="D270" s="709">
        <v>110</v>
      </c>
      <c r="E270" s="709">
        <v>84.26</v>
      </c>
      <c r="F270" s="709">
        <v>9268.6</v>
      </c>
      <c r="G270" s="709"/>
      <c r="H270" s="711"/>
      <c r="I270" s="711"/>
      <c r="J270" s="711"/>
      <c r="K270" s="711"/>
      <c r="L270" s="711"/>
      <c r="M270" s="711"/>
      <c r="N270" s="711"/>
      <c r="O270" s="710">
        <v>1158.575</v>
      </c>
      <c r="P270" s="710">
        <v>1158.575</v>
      </c>
      <c r="Q270" s="710">
        <v>1158.575</v>
      </c>
      <c r="R270" s="710">
        <v>1158.575</v>
      </c>
      <c r="S270" s="710">
        <v>1158.575</v>
      </c>
      <c r="T270" s="710">
        <v>1158.575</v>
      </c>
      <c r="U270" s="710">
        <v>1158.575</v>
      </c>
      <c r="V270" s="710">
        <v>1158.575</v>
      </c>
    </row>
    <row r="271" spans="1:22" ht="10.5" customHeight="1" x14ac:dyDescent="0.25">
      <c r="A271" s="712"/>
      <c r="B271" s="713"/>
      <c r="C271" s="714"/>
      <c r="D271" s="714"/>
      <c r="E271" s="714"/>
      <c r="F271" s="714"/>
      <c r="G271" s="714"/>
      <c r="H271" s="714"/>
      <c r="I271" s="714"/>
      <c r="J271" s="714"/>
      <c r="K271" s="714"/>
      <c r="L271" s="714"/>
      <c r="M271" s="714"/>
      <c r="N271" s="714"/>
      <c r="O271" s="715">
        <v>13.75</v>
      </c>
      <c r="P271" s="715">
        <v>13.75</v>
      </c>
      <c r="Q271" s="715">
        <v>13.75</v>
      </c>
      <c r="R271" s="715">
        <v>13.75</v>
      </c>
      <c r="S271" s="715">
        <v>13.75</v>
      </c>
      <c r="T271" s="715">
        <v>13.75</v>
      </c>
      <c r="U271" s="715">
        <v>13.75</v>
      </c>
      <c r="V271" s="715">
        <v>13.75</v>
      </c>
    </row>
    <row r="272" spans="1:22" ht="10.5" customHeight="1" x14ac:dyDescent="0.25">
      <c r="A272" s="716"/>
      <c r="B272" s="717"/>
      <c r="C272" s="718"/>
      <c r="D272" s="718"/>
      <c r="E272" s="718"/>
      <c r="F272" s="718"/>
      <c r="G272" s="718"/>
      <c r="H272" s="718"/>
      <c r="I272" s="718"/>
      <c r="J272" s="718"/>
      <c r="K272" s="718"/>
      <c r="L272" s="718"/>
      <c r="M272" s="718"/>
      <c r="N272" s="718"/>
      <c r="O272" s="718"/>
      <c r="P272" s="718"/>
      <c r="Q272" s="718"/>
      <c r="R272" s="718"/>
      <c r="S272" s="718"/>
      <c r="T272" s="718"/>
      <c r="U272" s="718"/>
      <c r="V272" s="718"/>
    </row>
    <row r="273" spans="1:22" ht="10.5" customHeight="1" x14ac:dyDescent="0.25">
      <c r="A273" s="707">
        <v>514375</v>
      </c>
      <c r="B273" s="708" t="s">
        <v>1048</v>
      </c>
      <c r="C273" s="707" t="s">
        <v>1038</v>
      </c>
      <c r="D273" s="709">
        <v>0</v>
      </c>
      <c r="E273" s="709">
        <v>95.53</v>
      </c>
      <c r="F273" s="709">
        <v>0</v>
      </c>
      <c r="G273" s="709"/>
      <c r="H273" s="711"/>
      <c r="I273" s="711"/>
      <c r="J273" s="711"/>
      <c r="K273" s="711"/>
      <c r="L273" s="711"/>
      <c r="M273" s="711"/>
      <c r="N273" s="711"/>
      <c r="O273" s="711"/>
      <c r="P273" s="711"/>
      <c r="Q273" s="711"/>
      <c r="R273" s="711"/>
      <c r="S273" s="711"/>
      <c r="T273" s="711"/>
      <c r="U273" s="711"/>
      <c r="V273" s="711"/>
    </row>
    <row r="274" spans="1:22" ht="10.5" customHeight="1" x14ac:dyDescent="0.25">
      <c r="A274" s="712"/>
      <c r="B274" s="713"/>
      <c r="C274" s="714"/>
      <c r="D274" s="714"/>
      <c r="E274" s="714"/>
      <c r="F274" s="714"/>
      <c r="G274" s="714"/>
      <c r="H274" s="714"/>
      <c r="I274" s="714"/>
      <c r="J274" s="714"/>
      <c r="K274" s="714"/>
      <c r="L274" s="714"/>
      <c r="M274" s="714"/>
      <c r="N274" s="714"/>
      <c r="O274" s="714"/>
      <c r="P274" s="714"/>
      <c r="Q274" s="714"/>
      <c r="R274" s="714"/>
      <c r="S274" s="714"/>
      <c r="T274" s="714"/>
      <c r="U274" s="714"/>
      <c r="V274" s="714"/>
    </row>
    <row r="275" spans="1:22" ht="10.5" customHeight="1" x14ac:dyDescent="0.25">
      <c r="A275" s="716"/>
      <c r="B275" s="717"/>
      <c r="C275" s="718"/>
      <c r="D275" s="718"/>
      <c r="E275" s="718"/>
      <c r="F275" s="718"/>
      <c r="G275" s="718"/>
      <c r="H275" s="718"/>
      <c r="I275" s="718"/>
      <c r="J275" s="718"/>
      <c r="K275" s="718"/>
      <c r="L275" s="718"/>
      <c r="M275" s="718"/>
      <c r="N275" s="718"/>
      <c r="O275" s="718"/>
      <c r="P275" s="718"/>
      <c r="Q275" s="718"/>
      <c r="R275" s="718"/>
      <c r="S275" s="718"/>
      <c r="T275" s="718"/>
      <c r="U275" s="718"/>
      <c r="V275" s="718"/>
    </row>
    <row r="276" spans="1:22" ht="10.5" customHeight="1" x14ac:dyDescent="0.25">
      <c r="A276" s="707">
        <v>515657</v>
      </c>
      <c r="B276" s="708" t="s">
        <v>1049</v>
      </c>
      <c r="C276" s="707" t="s">
        <v>1050</v>
      </c>
      <c r="D276" s="709">
        <v>9</v>
      </c>
      <c r="E276" s="709">
        <v>464.64000000000004</v>
      </c>
      <c r="F276" s="709">
        <v>4181.76</v>
      </c>
      <c r="G276" s="709"/>
      <c r="H276" s="711"/>
      <c r="I276" s="711"/>
      <c r="J276" s="711"/>
      <c r="K276" s="711"/>
      <c r="L276" s="711"/>
      <c r="M276" s="711"/>
      <c r="N276" s="711"/>
      <c r="O276" s="710">
        <v>522.72</v>
      </c>
      <c r="P276" s="710">
        <v>522.72</v>
      </c>
      <c r="Q276" s="710">
        <v>522.72</v>
      </c>
      <c r="R276" s="710">
        <v>522.72</v>
      </c>
      <c r="S276" s="710">
        <v>522.72</v>
      </c>
      <c r="T276" s="710">
        <v>522.72</v>
      </c>
      <c r="U276" s="710">
        <v>522.72</v>
      </c>
      <c r="V276" s="710">
        <v>522.72</v>
      </c>
    </row>
    <row r="277" spans="1:22" ht="10.5" customHeight="1" x14ac:dyDescent="0.25">
      <c r="A277" s="712"/>
      <c r="B277" s="713"/>
      <c r="C277" s="714"/>
      <c r="D277" s="714"/>
      <c r="E277" s="714"/>
      <c r="F277" s="714"/>
      <c r="G277" s="714"/>
      <c r="H277" s="714"/>
      <c r="I277" s="714"/>
      <c r="J277" s="714"/>
      <c r="K277" s="714"/>
      <c r="L277" s="714"/>
      <c r="M277" s="714"/>
      <c r="N277" s="714"/>
      <c r="O277" s="715">
        <v>1.125</v>
      </c>
      <c r="P277" s="715">
        <v>1.125</v>
      </c>
      <c r="Q277" s="715">
        <v>1.125</v>
      </c>
      <c r="R277" s="715">
        <v>1.125</v>
      </c>
      <c r="S277" s="715">
        <v>1.125</v>
      </c>
      <c r="T277" s="715">
        <v>1.125</v>
      </c>
      <c r="U277" s="715">
        <v>1.125</v>
      </c>
      <c r="V277" s="715">
        <v>1.125</v>
      </c>
    </row>
    <row r="278" spans="1:22" ht="10.5" customHeight="1" x14ac:dyDescent="0.25">
      <c r="A278" s="716"/>
      <c r="B278" s="717"/>
      <c r="C278" s="718"/>
      <c r="D278" s="718"/>
      <c r="E278" s="718"/>
      <c r="F278" s="718"/>
      <c r="G278" s="718"/>
      <c r="H278" s="718"/>
      <c r="I278" s="718"/>
      <c r="J278" s="718"/>
      <c r="K278" s="718"/>
      <c r="L278" s="718"/>
      <c r="M278" s="718"/>
      <c r="N278" s="718"/>
      <c r="O278" s="718"/>
      <c r="P278" s="718"/>
      <c r="Q278" s="718"/>
      <c r="R278" s="718"/>
      <c r="S278" s="718"/>
      <c r="T278" s="718"/>
      <c r="U278" s="718"/>
      <c r="V278" s="718"/>
    </row>
    <row r="279" spans="1:22" ht="10.5" customHeight="1" x14ac:dyDescent="0.25">
      <c r="A279" s="707">
        <v>505469</v>
      </c>
      <c r="B279" s="708" t="s">
        <v>1051</v>
      </c>
      <c r="C279" s="707" t="s">
        <v>1050</v>
      </c>
      <c r="D279" s="709">
        <v>16</v>
      </c>
      <c r="E279" s="709">
        <v>177.07</v>
      </c>
      <c r="F279" s="709">
        <v>2833.12</v>
      </c>
      <c r="G279" s="709"/>
      <c r="H279" s="711"/>
      <c r="I279" s="711"/>
      <c r="J279" s="711"/>
      <c r="K279" s="711"/>
      <c r="L279" s="711"/>
      <c r="M279" s="711"/>
      <c r="N279" s="711"/>
      <c r="O279" s="710">
        <v>354.14</v>
      </c>
      <c r="P279" s="710">
        <v>354.14</v>
      </c>
      <c r="Q279" s="710">
        <v>354.14</v>
      </c>
      <c r="R279" s="710">
        <v>354.14</v>
      </c>
      <c r="S279" s="710">
        <v>354.14</v>
      </c>
      <c r="T279" s="710">
        <v>354.14</v>
      </c>
      <c r="U279" s="710">
        <v>354.14</v>
      </c>
      <c r="V279" s="710">
        <v>354.14</v>
      </c>
    </row>
    <row r="280" spans="1:22" ht="10.5" customHeight="1" x14ac:dyDescent="0.25">
      <c r="A280" s="712"/>
      <c r="B280" s="713"/>
      <c r="C280" s="714"/>
      <c r="D280" s="714"/>
      <c r="E280" s="714"/>
      <c r="F280" s="714"/>
      <c r="G280" s="714"/>
      <c r="H280" s="714"/>
      <c r="I280" s="714"/>
      <c r="J280" s="714"/>
      <c r="K280" s="714"/>
      <c r="L280" s="714"/>
      <c r="M280" s="714"/>
      <c r="N280" s="714"/>
      <c r="O280" s="715">
        <v>2</v>
      </c>
      <c r="P280" s="715">
        <v>2</v>
      </c>
      <c r="Q280" s="715">
        <v>2</v>
      </c>
      <c r="R280" s="715">
        <v>2</v>
      </c>
      <c r="S280" s="715">
        <v>2</v>
      </c>
      <c r="T280" s="715">
        <v>2</v>
      </c>
      <c r="U280" s="715">
        <v>2</v>
      </c>
      <c r="V280" s="715">
        <v>2</v>
      </c>
    </row>
    <row r="281" spans="1:22" ht="10.5" customHeight="1" x14ac:dyDescent="0.25">
      <c r="A281" s="716"/>
      <c r="B281" s="717"/>
      <c r="C281" s="718"/>
      <c r="D281" s="718"/>
      <c r="E281" s="718"/>
      <c r="F281" s="718"/>
      <c r="G281" s="718"/>
      <c r="H281" s="718"/>
      <c r="I281" s="718"/>
      <c r="J281" s="718"/>
      <c r="K281" s="718"/>
      <c r="L281" s="718"/>
      <c r="M281" s="718"/>
      <c r="N281" s="718"/>
      <c r="O281" s="718"/>
      <c r="P281" s="718"/>
      <c r="Q281" s="718"/>
      <c r="R281" s="718"/>
      <c r="S281" s="718"/>
      <c r="T281" s="718"/>
      <c r="U281" s="718"/>
      <c r="V281" s="718"/>
    </row>
    <row r="282" spans="1:22" ht="10.5" customHeight="1" x14ac:dyDescent="0.25">
      <c r="A282" s="707">
        <v>515560</v>
      </c>
      <c r="B282" s="708" t="s">
        <v>1052</v>
      </c>
      <c r="C282" s="707" t="s">
        <v>1050</v>
      </c>
      <c r="D282" s="709">
        <v>1</v>
      </c>
      <c r="E282" s="709">
        <v>186.25</v>
      </c>
      <c r="F282" s="709">
        <v>186.25</v>
      </c>
      <c r="G282" s="709"/>
      <c r="H282" s="711"/>
      <c r="I282" s="711"/>
      <c r="J282" s="711"/>
      <c r="K282" s="711"/>
      <c r="L282" s="711"/>
      <c r="M282" s="711"/>
      <c r="N282" s="711"/>
      <c r="O282" s="710">
        <v>23.28125</v>
      </c>
      <c r="P282" s="710">
        <v>23.28125</v>
      </c>
      <c r="Q282" s="710">
        <v>23.28125</v>
      </c>
      <c r="R282" s="710">
        <v>23.28125</v>
      </c>
      <c r="S282" s="710">
        <v>23.28125</v>
      </c>
      <c r="T282" s="710">
        <v>23.28125</v>
      </c>
      <c r="U282" s="710">
        <v>23.28125</v>
      </c>
      <c r="V282" s="710">
        <v>23.28125</v>
      </c>
    </row>
    <row r="283" spans="1:22" ht="10.5" customHeight="1" x14ac:dyDescent="0.25">
      <c r="A283" s="712"/>
      <c r="B283" s="713"/>
      <c r="C283" s="714"/>
      <c r="D283" s="714"/>
      <c r="E283" s="714"/>
      <c r="F283" s="714"/>
      <c r="G283" s="714"/>
      <c r="H283" s="714"/>
      <c r="I283" s="714"/>
      <c r="J283" s="714"/>
      <c r="K283" s="714"/>
      <c r="L283" s="714"/>
      <c r="M283" s="714"/>
      <c r="N283" s="714"/>
      <c r="O283" s="715">
        <v>0.125</v>
      </c>
      <c r="P283" s="715">
        <v>0.125</v>
      </c>
      <c r="Q283" s="715">
        <v>0.125</v>
      </c>
      <c r="R283" s="715">
        <v>0.125</v>
      </c>
      <c r="S283" s="715">
        <v>0.125</v>
      </c>
      <c r="T283" s="715">
        <v>0.125</v>
      </c>
      <c r="U283" s="715">
        <v>0.125</v>
      </c>
      <c r="V283" s="715">
        <v>0.125</v>
      </c>
    </row>
    <row r="284" spans="1:22" ht="10.5" customHeight="1" x14ac:dyDescent="0.25">
      <c r="A284" s="716"/>
      <c r="B284" s="717"/>
      <c r="C284" s="718"/>
      <c r="D284" s="718"/>
      <c r="E284" s="718"/>
      <c r="F284" s="718"/>
      <c r="G284" s="718"/>
      <c r="H284" s="718"/>
      <c r="I284" s="718"/>
      <c r="J284" s="718"/>
      <c r="K284" s="718"/>
      <c r="L284" s="718"/>
      <c r="M284" s="718"/>
      <c r="N284" s="718"/>
      <c r="O284" s="718"/>
      <c r="P284" s="718"/>
      <c r="Q284" s="718"/>
      <c r="R284" s="718"/>
      <c r="S284" s="718"/>
      <c r="T284" s="718"/>
      <c r="U284" s="718"/>
      <c r="V284" s="718"/>
    </row>
    <row r="285" spans="1:22" ht="10.5" customHeight="1" x14ac:dyDescent="0.25">
      <c r="A285" s="707">
        <v>515559</v>
      </c>
      <c r="B285" s="708" t="s">
        <v>1053</v>
      </c>
      <c r="C285" s="707" t="s">
        <v>571</v>
      </c>
      <c r="D285" s="709">
        <v>2.7</v>
      </c>
      <c r="E285" s="709">
        <v>37.950000000000003</v>
      </c>
      <c r="F285" s="709">
        <v>102.47</v>
      </c>
      <c r="G285" s="709"/>
      <c r="H285" s="711"/>
      <c r="I285" s="711"/>
      <c r="J285" s="711"/>
      <c r="K285" s="711"/>
      <c r="L285" s="711"/>
      <c r="M285" s="711"/>
      <c r="N285" s="711"/>
      <c r="O285" s="710">
        <v>12.80875</v>
      </c>
      <c r="P285" s="710">
        <v>12.80875</v>
      </c>
      <c r="Q285" s="710">
        <v>12.80875</v>
      </c>
      <c r="R285" s="710">
        <v>12.80875</v>
      </c>
      <c r="S285" s="710">
        <v>12.80875</v>
      </c>
      <c r="T285" s="710">
        <v>12.80875</v>
      </c>
      <c r="U285" s="710">
        <v>12.80875</v>
      </c>
      <c r="V285" s="710">
        <v>12.80875</v>
      </c>
    </row>
    <row r="286" spans="1:22" ht="10.5" customHeight="1" x14ac:dyDescent="0.25">
      <c r="A286" s="712"/>
      <c r="B286" s="713"/>
      <c r="C286" s="714"/>
      <c r="D286" s="714"/>
      <c r="E286" s="714"/>
      <c r="F286" s="714"/>
      <c r="G286" s="714"/>
      <c r="H286" s="714"/>
      <c r="I286" s="714"/>
      <c r="J286" s="714"/>
      <c r="K286" s="714"/>
      <c r="L286" s="714"/>
      <c r="M286" s="714"/>
      <c r="N286" s="714"/>
      <c r="O286" s="715">
        <v>0.33750000000000002</v>
      </c>
      <c r="P286" s="715">
        <v>0.33750000000000002</v>
      </c>
      <c r="Q286" s="715">
        <v>0.33750000000000002</v>
      </c>
      <c r="R286" s="715">
        <v>0.33750000000000002</v>
      </c>
      <c r="S286" s="715">
        <v>0.33750000000000002</v>
      </c>
      <c r="T286" s="715">
        <v>0.33750000000000002</v>
      </c>
      <c r="U286" s="715">
        <v>0.33750000000000002</v>
      </c>
      <c r="V286" s="715">
        <v>0.33750000000000002</v>
      </c>
    </row>
    <row r="287" spans="1:22" ht="10.5" customHeight="1" x14ac:dyDescent="0.25">
      <c r="A287" s="716"/>
      <c r="B287" s="717"/>
      <c r="C287" s="718"/>
      <c r="D287" s="718"/>
      <c r="E287" s="718"/>
      <c r="F287" s="718"/>
      <c r="G287" s="718"/>
      <c r="H287" s="718"/>
      <c r="I287" s="718"/>
      <c r="J287" s="718"/>
      <c r="K287" s="718"/>
      <c r="L287" s="718"/>
      <c r="M287" s="718"/>
      <c r="N287" s="718"/>
      <c r="O287" s="718"/>
      <c r="P287" s="718"/>
      <c r="Q287" s="718"/>
      <c r="R287" s="718"/>
      <c r="S287" s="718"/>
      <c r="T287" s="718"/>
      <c r="U287" s="718"/>
      <c r="V287" s="718"/>
    </row>
    <row r="288" spans="1:22" ht="10.5" customHeight="1" x14ac:dyDescent="0.25">
      <c r="A288" s="707">
        <v>515560</v>
      </c>
      <c r="B288" s="708" t="s">
        <v>1054</v>
      </c>
      <c r="C288" s="707" t="s">
        <v>1050</v>
      </c>
      <c r="D288" s="709">
        <v>1</v>
      </c>
      <c r="E288" s="709">
        <v>186.25</v>
      </c>
      <c r="F288" s="709">
        <v>186.25</v>
      </c>
      <c r="G288" s="709"/>
      <c r="H288" s="711"/>
      <c r="I288" s="711"/>
      <c r="J288" s="711"/>
      <c r="K288" s="711"/>
      <c r="L288" s="711"/>
      <c r="M288" s="711"/>
      <c r="N288" s="711"/>
      <c r="O288" s="710">
        <v>23.28125</v>
      </c>
      <c r="P288" s="710">
        <v>23.28125</v>
      </c>
      <c r="Q288" s="710">
        <v>23.28125</v>
      </c>
      <c r="R288" s="710">
        <v>23.28125</v>
      </c>
      <c r="S288" s="710">
        <v>23.28125</v>
      </c>
      <c r="T288" s="710">
        <v>23.28125</v>
      </c>
      <c r="U288" s="710">
        <v>23.28125</v>
      </c>
      <c r="V288" s="710">
        <v>23.28125</v>
      </c>
    </row>
    <row r="289" spans="1:22" ht="10.5" customHeight="1" x14ac:dyDescent="0.25">
      <c r="A289" s="712"/>
      <c r="B289" s="713"/>
      <c r="C289" s="714"/>
      <c r="D289" s="714"/>
      <c r="E289" s="714"/>
      <c r="F289" s="714"/>
      <c r="G289" s="714"/>
      <c r="H289" s="714"/>
      <c r="I289" s="714"/>
      <c r="J289" s="714"/>
      <c r="K289" s="714"/>
      <c r="L289" s="714"/>
      <c r="M289" s="714"/>
      <c r="N289" s="714"/>
      <c r="O289" s="715">
        <v>0.125</v>
      </c>
      <c r="P289" s="715">
        <v>0.125</v>
      </c>
      <c r="Q289" s="715">
        <v>0.125</v>
      </c>
      <c r="R289" s="715">
        <v>0.125</v>
      </c>
      <c r="S289" s="715">
        <v>0.125</v>
      </c>
      <c r="T289" s="715">
        <v>0.125</v>
      </c>
      <c r="U289" s="715">
        <v>0.125</v>
      </c>
      <c r="V289" s="715">
        <v>0.125</v>
      </c>
    </row>
    <row r="290" spans="1:22" ht="10.5" customHeight="1" x14ac:dyDescent="0.25">
      <c r="A290" s="716"/>
      <c r="B290" s="717"/>
      <c r="C290" s="718"/>
      <c r="D290" s="718"/>
      <c r="E290" s="718"/>
      <c r="F290" s="718"/>
      <c r="G290" s="718"/>
      <c r="H290" s="718"/>
      <c r="I290" s="718"/>
      <c r="J290" s="718"/>
      <c r="K290" s="718"/>
      <c r="L290" s="718"/>
      <c r="M290" s="718"/>
      <c r="N290" s="718"/>
      <c r="O290" s="718"/>
      <c r="P290" s="718"/>
      <c r="Q290" s="718"/>
      <c r="R290" s="718"/>
      <c r="S290" s="718"/>
      <c r="T290" s="718"/>
      <c r="U290" s="718"/>
      <c r="V290" s="718"/>
    </row>
    <row r="291" spans="1:22" ht="10.5" customHeight="1" x14ac:dyDescent="0.25">
      <c r="A291" s="707">
        <v>515555</v>
      </c>
      <c r="B291" s="708" t="s">
        <v>1055</v>
      </c>
      <c r="C291" s="707" t="s">
        <v>1050</v>
      </c>
      <c r="D291" s="709">
        <v>28</v>
      </c>
      <c r="E291" s="709">
        <v>76.900000000000006</v>
      </c>
      <c r="F291" s="709">
        <v>2153.1999999999998</v>
      </c>
      <c r="G291" s="709"/>
      <c r="H291" s="711"/>
      <c r="I291" s="711"/>
      <c r="J291" s="711"/>
      <c r="K291" s="711"/>
      <c r="L291" s="711"/>
      <c r="M291" s="711"/>
      <c r="N291" s="711"/>
      <c r="O291" s="710">
        <v>269.14999999999998</v>
      </c>
      <c r="P291" s="710">
        <v>269.14999999999998</v>
      </c>
      <c r="Q291" s="710">
        <v>269.14999999999998</v>
      </c>
      <c r="R291" s="710">
        <v>269.14999999999998</v>
      </c>
      <c r="S291" s="710">
        <v>269.14999999999998</v>
      </c>
      <c r="T291" s="710">
        <v>269.14999999999998</v>
      </c>
      <c r="U291" s="710">
        <v>269.14999999999998</v>
      </c>
      <c r="V291" s="710">
        <v>269.14999999999998</v>
      </c>
    </row>
    <row r="292" spans="1:22" ht="10.5" customHeight="1" x14ac:dyDescent="0.25">
      <c r="A292" s="712"/>
      <c r="B292" s="713"/>
      <c r="C292" s="714"/>
      <c r="D292" s="714"/>
      <c r="E292" s="714"/>
      <c r="F292" s="714"/>
      <c r="G292" s="714"/>
      <c r="H292" s="714"/>
      <c r="I292" s="714"/>
      <c r="J292" s="714"/>
      <c r="K292" s="714"/>
      <c r="L292" s="714"/>
      <c r="M292" s="714"/>
      <c r="N292" s="714"/>
      <c r="O292" s="715">
        <v>3.5</v>
      </c>
      <c r="P292" s="715">
        <v>3.5</v>
      </c>
      <c r="Q292" s="715">
        <v>3.5</v>
      </c>
      <c r="R292" s="715">
        <v>3.5</v>
      </c>
      <c r="S292" s="715">
        <v>3.5</v>
      </c>
      <c r="T292" s="715">
        <v>3.5</v>
      </c>
      <c r="U292" s="715">
        <v>3.5</v>
      </c>
      <c r="V292" s="715">
        <v>3.5</v>
      </c>
    </row>
    <row r="293" spans="1:22" ht="10.5" customHeight="1" x14ac:dyDescent="0.25">
      <c r="A293" s="716"/>
      <c r="B293" s="717"/>
      <c r="C293" s="718"/>
      <c r="D293" s="718"/>
      <c r="E293" s="718"/>
      <c r="F293" s="718"/>
      <c r="G293" s="718"/>
      <c r="H293" s="718"/>
      <c r="I293" s="718"/>
      <c r="J293" s="718"/>
      <c r="K293" s="718"/>
      <c r="L293" s="718"/>
      <c r="M293" s="718"/>
      <c r="N293" s="718"/>
      <c r="O293" s="718"/>
      <c r="P293" s="718"/>
      <c r="Q293" s="718"/>
      <c r="R293" s="718"/>
      <c r="S293" s="718"/>
      <c r="T293" s="718"/>
      <c r="U293" s="718"/>
      <c r="V293" s="718"/>
    </row>
    <row r="294" spans="1:22" ht="10.5" customHeight="1" x14ac:dyDescent="0.25">
      <c r="A294" s="707">
        <v>515556</v>
      </c>
      <c r="B294" s="708" t="s">
        <v>1056</v>
      </c>
      <c r="C294" s="707" t="s">
        <v>571</v>
      </c>
      <c r="D294" s="709">
        <v>13.5</v>
      </c>
      <c r="E294" s="709">
        <v>261.97000000000003</v>
      </c>
      <c r="F294" s="709">
        <v>3536.6</v>
      </c>
      <c r="G294" s="709"/>
      <c r="H294" s="711"/>
      <c r="I294" s="711"/>
      <c r="J294" s="711"/>
      <c r="K294" s="711"/>
      <c r="L294" s="711"/>
      <c r="M294" s="711"/>
      <c r="N294" s="711"/>
      <c r="O294" s="710">
        <v>442.07499999999999</v>
      </c>
      <c r="P294" s="710">
        <v>442.07499999999999</v>
      </c>
      <c r="Q294" s="710">
        <v>442.07499999999999</v>
      </c>
      <c r="R294" s="710">
        <v>442.07499999999999</v>
      </c>
      <c r="S294" s="710">
        <v>442.07499999999999</v>
      </c>
      <c r="T294" s="710">
        <v>442.07499999999999</v>
      </c>
      <c r="U294" s="710">
        <v>442.07499999999999</v>
      </c>
      <c r="V294" s="710">
        <v>442.07499999999999</v>
      </c>
    </row>
    <row r="295" spans="1:22" ht="10.5" customHeight="1" x14ac:dyDescent="0.25">
      <c r="A295" s="712"/>
      <c r="B295" s="713"/>
      <c r="C295" s="714"/>
      <c r="D295" s="714"/>
      <c r="E295" s="714"/>
      <c r="F295" s="714"/>
      <c r="G295" s="714"/>
      <c r="H295" s="714"/>
      <c r="I295" s="714"/>
      <c r="J295" s="714"/>
      <c r="K295" s="714"/>
      <c r="L295" s="714"/>
      <c r="M295" s="714"/>
      <c r="N295" s="714"/>
      <c r="O295" s="715">
        <v>1.6875</v>
      </c>
      <c r="P295" s="715">
        <v>1.6875</v>
      </c>
      <c r="Q295" s="715">
        <v>1.6875</v>
      </c>
      <c r="R295" s="715">
        <v>1.6875</v>
      </c>
      <c r="S295" s="715">
        <v>1.6875</v>
      </c>
      <c r="T295" s="715">
        <v>1.6875</v>
      </c>
      <c r="U295" s="715">
        <v>1.6875</v>
      </c>
      <c r="V295" s="715">
        <v>1.6875</v>
      </c>
    </row>
    <row r="296" spans="1:22" ht="10.5" customHeight="1" x14ac:dyDescent="0.25">
      <c r="A296" s="716"/>
      <c r="B296" s="717"/>
      <c r="C296" s="718"/>
      <c r="D296" s="718"/>
      <c r="E296" s="718"/>
      <c r="F296" s="718"/>
      <c r="G296" s="718"/>
      <c r="H296" s="718"/>
      <c r="I296" s="718"/>
      <c r="J296" s="718"/>
      <c r="K296" s="718"/>
      <c r="L296" s="718"/>
      <c r="M296" s="718"/>
      <c r="N296" s="718"/>
      <c r="O296" s="718"/>
      <c r="P296" s="718"/>
      <c r="Q296" s="718"/>
      <c r="R296" s="718"/>
      <c r="S296" s="718"/>
      <c r="T296" s="718"/>
      <c r="U296" s="718"/>
      <c r="V296" s="718"/>
    </row>
    <row r="297" spans="1:22" ht="10.5" customHeight="1" x14ac:dyDescent="0.25">
      <c r="A297" s="707">
        <v>505469</v>
      </c>
      <c r="B297" s="708" t="s">
        <v>1057</v>
      </c>
      <c r="C297" s="707" t="s">
        <v>1050</v>
      </c>
      <c r="D297" s="709">
        <v>1</v>
      </c>
      <c r="E297" s="709">
        <v>177.07</v>
      </c>
      <c r="F297" s="709">
        <v>177.07</v>
      </c>
      <c r="G297" s="709"/>
      <c r="H297" s="711"/>
      <c r="I297" s="711"/>
      <c r="J297" s="711"/>
      <c r="K297" s="711"/>
      <c r="L297" s="711"/>
      <c r="M297" s="711"/>
      <c r="N297" s="711"/>
      <c r="O297" s="710">
        <v>22.133749999999999</v>
      </c>
      <c r="P297" s="710">
        <v>22.133749999999999</v>
      </c>
      <c r="Q297" s="710">
        <v>22.133749999999999</v>
      </c>
      <c r="R297" s="710">
        <v>22.133749999999999</v>
      </c>
      <c r="S297" s="710">
        <v>22.133749999999999</v>
      </c>
      <c r="T297" s="710">
        <v>22.133749999999999</v>
      </c>
      <c r="U297" s="710">
        <v>22.133749999999999</v>
      </c>
      <c r="V297" s="710">
        <v>22.133749999999999</v>
      </c>
    </row>
    <row r="298" spans="1:22" ht="10.5" customHeight="1" x14ac:dyDescent="0.25">
      <c r="A298" s="712"/>
      <c r="B298" s="713"/>
      <c r="C298" s="714"/>
      <c r="D298" s="714"/>
      <c r="E298" s="714"/>
      <c r="F298" s="714"/>
      <c r="G298" s="714"/>
      <c r="H298" s="714"/>
      <c r="I298" s="714"/>
      <c r="J298" s="714"/>
      <c r="K298" s="714"/>
      <c r="L298" s="714"/>
      <c r="M298" s="714"/>
      <c r="N298" s="714"/>
      <c r="O298" s="715">
        <v>0.125</v>
      </c>
      <c r="P298" s="715">
        <v>0.125</v>
      </c>
      <c r="Q298" s="715">
        <v>0.125</v>
      </c>
      <c r="R298" s="715">
        <v>0.125</v>
      </c>
      <c r="S298" s="715">
        <v>0.125</v>
      </c>
      <c r="T298" s="715">
        <v>0.125</v>
      </c>
      <c r="U298" s="715">
        <v>0.125</v>
      </c>
      <c r="V298" s="715">
        <v>0.125</v>
      </c>
    </row>
    <row r="299" spans="1:22" ht="10.5" customHeight="1" x14ac:dyDescent="0.25">
      <c r="A299" s="716"/>
      <c r="B299" s="717"/>
      <c r="C299" s="718"/>
      <c r="D299" s="718"/>
      <c r="E299" s="718"/>
      <c r="F299" s="718"/>
      <c r="G299" s="718"/>
      <c r="H299" s="718"/>
      <c r="I299" s="718"/>
      <c r="J299" s="718"/>
      <c r="K299" s="718"/>
      <c r="L299" s="718"/>
      <c r="M299" s="718"/>
      <c r="N299" s="718"/>
      <c r="O299" s="718"/>
      <c r="P299" s="718"/>
      <c r="Q299" s="718"/>
      <c r="R299" s="718"/>
      <c r="S299" s="718"/>
      <c r="T299" s="718"/>
      <c r="U299" s="718"/>
      <c r="V299" s="718"/>
    </row>
    <row r="300" spans="1:22" ht="10.5" customHeight="1" x14ac:dyDescent="0.25">
      <c r="A300" s="707">
        <v>505469</v>
      </c>
      <c r="B300" s="708" t="s">
        <v>1058</v>
      </c>
      <c r="C300" s="707" t="s">
        <v>1050</v>
      </c>
      <c r="D300" s="709">
        <v>1</v>
      </c>
      <c r="E300" s="709">
        <v>177.07</v>
      </c>
      <c r="F300" s="709">
        <v>177.07</v>
      </c>
      <c r="G300" s="709"/>
      <c r="H300" s="711"/>
      <c r="I300" s="711"/>
      <c r="J300" s="711"/>
      <c r="K300" s="711"/>
      <c r="L300" s="711"/>
      <c r="M300" s="711"/>
      <c r="N300" s="711"/>
      <c r="O300" s="710">
        <v>22.133749999999999</v>
      </c>
      <c r="P300" s="710">
        <v>22.133749999999999</v>
      </c>
      <c r="Q300" s="710">
        <v>22.133749999999999</v>
      </c>
      <c r="R300" s="710">
        <v>22.133749999999999</v>
      </c>
      <c r="S300" s="710">
        <v>22.133749999999999</v>
      </c>
      <c r="T300" s="710">
        <v>22.133749999999999</v>
      </c>
      <c r="U300" s="710">
        <v>22.133749999999999</v>
      </c>
      <c r="V300" s="710">
        <v>22.133749999999999</v>
      </c>
    </row>
    <row r="301" spans="1:22" ht="10.5" customHeight="1" x14ac:dyDescent="0.25">
      <c r="A301" s="712"/>
      <c r="B301" s="713"/>
      <c r="C301" s="714"/>
      <c r="D301" s="714"/>
      <c r="E301" s="714"/>
      <c r="F301" s="714"/>
      <c r="G301" s="714"/>
      <c r="H301" s="714"/>
      <c r="I301" s="714"/>
      <c r="J301" s="714"/>
      <c r="K301" s="714"/>
      <c r="L301" s="714"/>
      <c r="M301" s="714"/>
      <c r="N301" s="714"/>
      <c r="O301" s="715">
        <v>0.125</v>
      </c>
      <c r="P301" s="715">
        <v>0.125</v>
      </c>
      <c r="Q301" s="715">
        <v>0.125</v>
      </c>
      <c r="R301" s="715">
        <v>0.125</v>
      </c>
      <c r="S301" s="715">
        <v>0.125</v>
      </c>
      <c r="T301" s="715">
        <v>0.125</v>
      </c>
      <c r="U301" s="715">
        <v>0.125</v>
      </c>
      <c r="V301" s="715">
        <v>0.125</v>
      </c>
    </row>
    <row r="302" spans="1:22" ht="10.5" customHeight="1" x14ac:dyDescent="0.25">
      <c r="A302" s="716"/>
      <c r="B302" s="717"/>
      <c r="C302" s="718"/>
      <c r="D302" s="718"/>
      <c r="E302" s="718"/>
      <c r="F302" s="718"/>
      <c r="G302" s="718"/>
      <c r="H302" s="718"/>
      <c r="I302" s="718"/>
      <c r="J302" s="718"/>
      <c r="K302" s="718"/>
      <c r="L302" s="718"/>
      <c r="M302" s="718"/>
      <c r="N302" s="718"/>
      <c r="O302" s="718"/>
      <c r="P302" s="718"/>
      <c r="Q302" s="718"/>
      <c r="R302" s="718"/>
      <c r="S302" s="718"/>
      <c r="T302" s="718"/>
      <c r="U302" s="718"/>
      <c r="V302" s="718"/>
    </row>
    <row r="303" spans="1:22" ht="10.5" customHeight="1" x14ac:dyDescent="0.25">
      <c r="A303" s="707">
        <v>505469</v>
      </c>
      <c r="B303" s="708" t="s">
        <v>1059</v>
      </c>
      <c r="C303" s="707" t="s">
        <v>1050</v>
      </c>
      <c r="D303" s="709">
        <v>1</v>
      </c>
      <c r="E303" s="709">
        <v>177.07</v>
      </c>
      <c r="F303" s="709">
        <v>177.07</v>
      </c>
      <c r="G303" s="709"/>
      <c r="H303" s="711"/>
      <c r="I303" s="711"/>
      <c r="J303" s="711"/>
      <c r="K303" s="711"/>
      <c r="L303" s="711"/>
      <c r="M303" s="711"/>
      <c r="N303" s="711"/>
      <c r="O303" s="710">
        <v>22.133749999999999</v>
      </c>
      <c r="P303" s="710">
        <v>22.133749999999999</v>
      </c>
      <c r="Q303" s="710">
        <v>22.133749999999999</v>
      </c>
      <c r="R303" s="710">
        <v>22.133749999999999</v>
      </c>
      <c r="S303" s="710">
        <v>22.133749999999999</v>
      </c>
      <c r="T303" s="710">
        <v>22.133749999999999</v>
      </c>
      <c r="U303" s="710">
        <v>22.133749999999999</v>
      </c>
      <c r="V303" s="710">
        <v>22.133749999999999</v>
      </c>
    </row>
    <row r="304" spans="1:22" ht="10.5" customHeight="1" x14ac:dyDescent="0.25">
      <c r="A304" s="712"/>
      <c r="B304" s="713"/>
      <c r="C304" s="714"/>
      <c r="D304" s="714"/>
      <c r="E304" s="714"/>
      <c r="F304" s="714"/>
      <c r="G304" s="714"/>
      <c r="H304" s="714"/>
      <c r="I304" s="714"/>
      <c r="J304" s="714"/>
      <c r="K304" s="714"/>
      <c r="L304" s="714"/>
      <c r="M304" s="714"/>
      <c r="N304" s="714"/>
      <c r="O304" s="715">
        <v>0.125</v>
      </c>
      <c r="P304" s="715">
        <v>0.125</v>
      </c>
      <c r="Q304" s="715">
        <v>0.125</v>
      </c>
      <c r="R304" s="715">
        <v>0.125</v>
      </c>
      <c r="S304" s="715">
        <v>0.125</v>
      </c>
      <c r="T304" s="715">
        <v>0.125</v>
      </c>
      <c r="U304" s="715">
        <v>0.125</v>
      </c>
      <c r="V304" s="715">
        <v>0.125</v>
      </c>
    </row>
    <row r="305" spans="1:22" ht="10.5" customHeight="1" x14ac:dyDescent="0.25">
      <c r="A305" s="716"/>
      <c r="B305" s="717"/>
      <c r="C305" s="718"/>
      <c r="D305" s="718"/>
      <c r="E305" s="718"/>
      <c r="F305" s="718"/>
      <c r="G305" s="718"/>
      <c r="H305" s="718"/>
      <c r="I305" s="718"/>
      <c r="J305" s="718"/>
      <c r="K305" s="718"/>
      <c r="L305" s="718"/>
      <c r="M305" s="718"/>
      <c r="N305" s="718"/>
      <c r="O305" s="718"/>
      <c r="P305" s="718"/>
      <c r="Q305" s="718"/>
      <c r="R305" s="718"/>
      <c r="S305" s="718"/>
      <c r="T305" s="718"/>
      <c r="U305" s="718"/>
      <c r="V305" s="718"/>
    </row>
    <row r="306" spans="1:22" ht="10.5" customHeight="1" x14ac:dyDescent="0.25">
      <c r="A306" s="707">
        <v>515492</v>
      </c>
      <c r="B306" s="708" t="s">
        <v>1060</v>
      </c>
      <c r="C306" s="707" t="s">
        <v>1050</v>
      </c>
      <c r="D306" s="709">
        <v>2</v>
      </c>
      <c r="E306" s="709">
        <v>73.849999999999994</v>
      </c>
      <c r="F306" s="709">
        <v>147.69999999999999</v>
      </c>
      <c r="G306" s="709"/>
      <c r="H306" s="711"/>
      <c r="I306" s="711"/>
      <c r="J306" s="711"/>
      <c r="K306" s="711"/>
      <c r="L306" s="711"/>
      <c r="M306" s="711"/>
      <c r="N306" s="711"/>
      <c r="O306" s="710">
        <v>18.462499999999999</v>
      </c>
      <c r="P306" s="710">
        <v>18.462499999999999</v>
      </c>
      <c r="Q306" s="710">
        <v>18.462499999999999</v>
      </c>
      <c r="R306" s="710">
        <v>18.462499999999999</v>
      </c>
      <c r="S306" s="710">
        <v>18.462499999999999</v>
      </c>
      <c r="T306" s="710">
        <v>18.462499999999999</v>
      </c>
      <c r="U306" s="710">
        <v>18.462499999999999</v>
      </c>
      <c r="V306" s="710">
        <v>18.462499999999999</v>
      </c>
    </row>
    <row r="307" spans="1:22" ht="10.5" customHeight="1" x14ac:dyDescent="0.25">
      <c r="A307" s="712"/>
      <c r="B307" s="713"/>
      <c r="C307" s="714"/>
      <c r="D307" s="714"/>
      <c r="E307" s="714"/>
      <c r="F307" s="714"/>
      <c r="G307" s="714"/>
      <c r="H307" s="714"/>
      <c r="I307" s="714"/>
      <c r="J307" s="714"/>
      <c r="K307" s="714"/>
      <c r="L307" s="714"/>
      <c r="M307" s="714"/>
      <c r="N307" s="714"/>
      <c r="O307" s="715">
        <v>0.25</v>
      </c>
      <c r="P307" s="715">
        <v>0.25</v>
      </c>
      <c r="Q307" s="715">
        <v>0.25</v>
      </c>
      <c r="R307" s="715">
        <v>0.25</v>
      </c>
      <c r="S307" s="715">
        <v>0.25</v>
      </c>
      <c r="T307" s="715">
        <v>0.25</v>
      </c>
      <c r="U307" s="715">
        <v>0.25</v>
      </c>
      <c r="V307" s="715">
        <v>0.25</v>
      </c>
    </row>
    <row r="308" spans="1:22" ht="10.5" customHeight="1" x14ac:dyDescent="0.25">
      <c r="A308" s="716"/>
      <c r="B308" s="717"/>
      <c r="C308" s="718"/>
      <c r="D308" s="718"/>
      <c r="E308" s="718"/>
      <c r="F308" s="718"/>
      <c r="G308" s="718"/>
      <c r="H308" s="718"/>
      <c r="I308" s="718"/>
      <c r="J308" s="718"/>
      <c r="K308" s="718"/>
      <c r="L308" s="718"/>
      <c r="M308" s="718"/>
      <c r="N308" s="718"/>
      <c r="O308" s="718"/>
      <c r="P308" s="718"/>
      <c r="Q308" s="718"/>
      <c r="R308" s="718"/>
      <c r="S308" s="718"/>
      <c r="T308" s="718"/>
      <c r="U308" s="718"/>
      <c r="V308" s="718"/>
    </row>
    <row r="309" spans="1:22" ht="10.5" customHeight="1" x14ac:dyDescent="0.25">
      <c r="A309" s="707">
        <v>515558</v>
      </c>
      <c r="B309" s="708" t="s">
        <v>1061</v>
      </c>
      <c r="C309" s="707" t="s">
        <v>1050</v>
      </c>
      <c r="D309" s="709">
        <v>240</v>
      </c>
      <c r="E309" s="709">
        <v>10.25</v>
      </c>
      <c r="F309" s="709">
        <v>2460</v>
      </c>
      <c r="G309" s="709"/>
      <c r="H309" s="711"/>
      <c r="I309" s="711"/>
      <c r="J309" s="711"/>
      <c r="K309" s="711"/>
      <c r="L309" s="711"/>
      <c r="M309" s="711"/>
      <c r="N309" s="711"/>
      <c r="O309" s="710">
        <v>307.5</v>
      </c>
      <c r="P309" s="710">
        <v>307.5</v>
      </c>
      <c r="Q309" s="710">
        <v>307.5</v>
      </c>
      <c r="R309" s="710">
        <v>307.5</v>
      </c>
      <c r="S309" s="710">
        <v>307.5</v>
      </c>
      <c r="T309" s="710">
        <v>307.5</v>
      </c>
      <c r="U309" s="710">
        <v>307.5</v>
      </c>
      <c r="V309" s="710">
        <v>307.5</v>
      </c>
    </row>
    <row r="310" spans="1:22" ht="10.5" customHeight="1" x14ac:dyDescent="0.25">
      <c r="A310" s="712"/>
      <c r="B310" s="713"/>
      <c r="C310" s="714"/>
      <c r="D310" s="714"/>
      <c r="E310" s="714"/>
      <c r="F310" s="714"/>
      <c r="G310" s="714"/>
      <c r="H310" s="714"/>
      <c r="I310" s="714"/>
      <c r="J310" s="714"/>
      <c r="K310" s="714"/>
      <c r="L310" s="714"/>
      <c r="M310" s="714"/>
      <c r="N310" s="714"/>
      <c r="O310" s="715">
        <v>30</v>
      </c>
      <c r="P310" s="715">
        <v>30</v>
      </c>
      <c r="Q310" s="715">
        <v>30</v>
      </c>
      <c r="R310" s="715">
        <v>30</v>
      </c>
      <c r="S310" s="715">
        <v>30</v>
      </c>
      <c r="T310" s="715">
        <v>30</v>
      </c>
      <c r="U310" s="715">
        <v>30</v>
      </c>
      <c r="V310" s="715">
        <v>30</v>
      </c>
    </row>
    <row r="311" spans="1:22" ht="10.5" customHeight="1" x14ac:dyDescent="0.25">
      <c r="A311" s="716"/>
      <c r="B311" s="717"/>
      <c r="C311" s="718"/>
      <c r="D311" s="718"/>
      <c r="E311" s="718"/>
      <c r="F311" s="718"/>
      <c r="G311" s="718"/>
      <c r="H311" s="718"/>
      <c r="I311" s="718"/>
      <c r="J311" s="718"/>
      <c r="K311" s="718"/>
      <c r="L311" s="718"/>
      <c r="M311" s="718"/>
      <c r="N311" s="718"/>
      <c r="O311" s="718"/>
      <c r="P311" s="718"/>
      <c r="Q311" s="718"/>
      <c r="R311" s="718"/>
      <c r="S311" s="718"/>
      <c r="T311" s="718"/>
      <c r="U311" s="718"/>
      <c r="V311" s="718"/>
    </row>
    <row r="312" spans="1:22" ht="10.5" customHeight="1" x14ac:dyDescent="0.25">
      <c r="A312" s="707">
        <v>515557</v>
      </c>
      <c r="B312" s="708" t="s">
        <v>1062</v>
      </c>
      <c r="C312" s="707" t="s">
        <v>1063</v>
      </c>
      <c r="D312" s="709">
        <v>68</v>
      </c>
      <c r="E312" s="709">
        <v>16.04</v>
      </c>
      <c r="F312" s="709">
        <v>1090.72</v>
      </c>
      <c r="G312" s="709"/>
      <c r="H312" s="711"/>
      <c r="I312" s="711"/>
      <c r="J312" s="711"/>
      <c r="K312" s="711"/>
      <c r="L312" s="711"/>
      <c r="M312" s="711"/>
      <c r="N312" s="711"/>
      <c r="O312" s="710">
        <v>136.34</v>
      </c>
      <c r="P312" s="710">
        <v>136.34</v>
      </c>
      <c r="Q312" s="710">
        <v>136.34</v>
      </c>
      <c r="R312" s="710">
        <v>136.34</v>
      </c>
      <c r="S312" s="710">
        <v>136.34</v>
      </c>
      <c r="T312" s="710">
        <v>136.34</v>
      </c>
      <c r="U312" s="710">
        <v>136.34</v>
      </c>
      <c r="V312" s="710">
        <v>136.34</v>
      </c>
    </row>
    <row r="313" spans="1:22" ht="10.5" customHeight="1" x14ac:dyDescent="0.25">
      <c r="A313" s="712"/>
      <c r="B313" s="713"/>
      <c r="C313" s="714"/>
      <c r="D313" s="714"/>
      <c r="E313" s="714"/>
      <c r="F313" s="714"/>
      <c r="G313" s="714"/>
      <c r="H313" s="714"/>
      <c r="I313" s="714"/>
      <c r="J313" s="714"/>
      <c r="K313" s="714"/>
      <c r="L313" s="714"/>
      <c r="M313" s="714"/>
      <c r="N313" s="714"/>
      <c r="O313" s="715">
        <v>8.5</v>
      </c>
      <c r="P313" s="715">
        <v>8.5</v>
      </c>
      <c r="Q313" s="715">
        <v>8.5</v>
      </c>
      <c r="R313" s="715">
        <v>8.5</v>
      </c>
      <c r="S313" s="715">
        <v>8.5</v>
      </c>
      <c r="T313" s="715">
        <v>8.5</v>
      </c>
      <c r="U313" s="715">
        <v>8.5</v>
      </c>
      <c r="V313" s="715">
        <v>8.5</v>
      </c>
    </row>
    <row r="314" spans="1:22" ht="10.5" customHeight="1" x14ac:dyDescent="0.25">
      <c r="A314" s="716"/>
      <c r="B314" s="717"/>
      <c r="C314" s="718"/>
      <c r="D314" s="718"/>
      <c r="E314" s="718"/>
      <c r="F314" s="718"/>
      <c r="G314" s="718"/>
      <c r="H314" s="718"/>
      <c r="I314" s="718"/>
      <c r="J314" s="718"/>
      <c r="K314" s="718"/>
      <c r="L314" s="718"/>
      <c r="M314" s="718"/>
      <c r="N314" s="718"/>
      <c r="O314" s="718"/>
      <c r="P314" s="718"/>
      <c r="Q314" s="718"/>
      <c r="R314" s="718"/>
      <c r="S314" s="718"/>
      <c r="T314" s="718"/>
      <c r="U314" s="718"/>
      <c r="V314" s="718"/>
    </row>
    <row r="315" spans="1:22" s="105" customFormat="1" ht="10.5" customHeight="1" x14ac:dyDescent="0.25">
      <c r="A315" s="704"/>
      <c r="B315" s="719" t="s">
        <v>1064</v>
      </c>
      <c r="C315" s="704"/>
      <c r="D315" s="705"/>
      <c r="E315" s="706">
        <v>0</v>
      </c>
      <c r="F315" s="706">
        <v>40884.239999999998</v>
      </c>
      <c r="G315" s="706"/>
      <c r="H315" s="705"/>
      <c r="I315" s="705"/>
      <c r="J315" s="705"/>
      <c r="K315" s="705"/>
      <c r="L315" s="705"/>
      <c r="M315" s="705"/>
      <c r="N315" s="705"/>
      <c r="O315" s="705"/>
      <c r="P315" s="705"/>
      <c r="Q315" s="705"/>
      <c r="R315" s="705"/>
      <c r="S315" s="705"/>
      <c r="T315" s="705"/>
      <c r="U315" s="705"/>
      <c r="V315" s="705"/>
    </row>
    <row r="316" spans="1:22" ht="10.5" customHeight="1" x14ac:dyDescent="0.25">
      <c r="A316" s="707">
        <v>515677</v>
      </c>
      <c r="B316" s="708" t="s">
        <v>1741</v>
      </c>
      <c r="C316" s="707" t="s">
        <v>1066</v>
      </c>
      <c r="D316" s="709">
        <v>34</v>
      </c>
      <c r="E316" s="709">
        <v>174.13</v>
      </c>
      <c r="F316" s="709">
        <v>5920.42</v>
      </c>
      <c r="G316" s="709"/>
      <c r="H316" s="711"/>
      <c r="I316" s="711"/>
      <c r="J316" s="711"/>
      <c r="K316" s="711"/>
      <c r="L316" s="711"/>
      <c r="M316" s="711"/>
      <c r="N316" s="711"/>
      <c r="O316" s="711"/>
      <c r="P316" s="711"/>
      <c r="Q316" s="710">
        <v>986.34197199999994</v>
      </c>
      <c r="R316" s="710">
        <v>986.34197199999994</v>
      </c>
      <c r="S316" s="710">
        <v>986.93401400000016</v>
      </c>
      <c r="T316" s="710">
        <v>986.93401400000016</v>
      </c>
      <c r="U316" s="710">
        <v>986.93401400000016</v>
      </c>
      <c r="V316" s="710">
        <v>986.93401400000016</v>
      </c>
    </row>
    <row r="317" spans="1:22" ht="10.5" customHeight="1" x14ac:dyDescent="0.25">
      <c r="A317" s="712"/>
      <c r="B317" s="713"/>
      <c r="C317" s="714"/>
      <c r="D317" s="714"/>
      <c r="E317" s="714"/>
      <c r="F317" s="714"/>
      <c r="G317" s="714"/>
      <c r="H317" s="714"/>
      <c r="I317" s="714"/>
      <c r="J317" s="714"/>
      <c r="K317" s="714"/>
      <c r="L317" s="714"/>
      <c r="M317" s="714"/>
      <c r="N317" s="714"/>
      <c r="O317" s="714"/>
      <c r="P317" s="714"/>
      <c r="Q317" s="715">
        <v>5.6644000000000005</v>
      </c>
      <c r="R317" s="715">
        <v>5.6644000000000005</v>
      </c>
      <c r="S317" s="715">
        <v>5.6678000000000006</v>
      </c>
      <c r="T317" s="715">
        <v>5.6678000000000006</v>
      </c>
      <c r="U317" s="715">
        <v>5.6678000000000006</v>
      </c>
      <c r="V317" s="715">
        <v>5.6678000000000006</v>
      </c>
    </row>
    <row r="318" spans="1:22" ht="10.5" customHeight="1" x14ac:dyDescent="0.25">
      <c r="A318" s="716"/>
      <c r="B318" s="717"/>
      <c r="C318" s="718"/>
      <c r="D318" s="718"/>
      <c r="E318" s="718"/>
      <c r="F318" s="718"/>
      <c r="G318" s="718"/>
      <c r="H318" s="718"/>
      <c r="I318" s="718"/>
      <c r="J318" s="718"/>
      <c r="K318" s="718"/>
      <c r="L318" s="718"/>
      <c r="M318" s="718"/>
      <c r="N318" s="718"/>
      <c r="O318" s="718"/>
      <c r="P318" s="718"/>
      <c r="Q318" s="718"/>
      <c r="R318" s="718"/>
      <c r="S318" s="718"/>
      <c r="T318" s="718"/>
      <c r="U318" s="718"/>
      <c r="V318" s="718"/>
    </row>
    <row r="319" spans="1:22" ht="10.5" customHeight="1" x14ac:dyDescent="0.25">
      <c r="A319" s="707">
        <v>515570</v>
      </c>
      <c r="B319" s="708" t="s">
        <v>1742</v>
      </c>
      <c r="C319" s="707" t="s">
        <v>1066</v>
      </c>
      <c r="D319" s="709">
        <v>34</v>
      </c>
      <c r="E319" s="709">
        <v>149.81</v>
      </c>
      <c r="F319" s="709">
        <v>5093.54</v>
      </c>
      <c r="G319" s="709"/>
      <c r="H319" s="711"/>
      <c r="I319" s="711"/>
      <c r="J319" s="711"/>
      <c r="K319" s="711"/>
      <c r="L319" s="711"/>
      <c r="M319" s="711"/>
      <c r="N319" s="711"/>
      <c r="O319" s="711"/>
      <c r="P319" s="711"/>
      <c r="Q319" s="710">
        <v>848.58376399999997</v>
      </c>
      <c r="R319" s="710">
        <v>848.58376399999997</v>
      </c>
      <c r="S319" s="710">
        <v>849.09311800000012</v>
      </c>
      <c r="T319" s="710">
        <v>849.09311800000012</v>
      </c>
      <c r="U319" s="710">
        <v>849.09311800000012</v>
      </c>
      <c r="V319" s="710">
        <v>849.09311800000012</v>
      </c>
    </row>
    <row r="320" spans="1:22" ht="10.5" customHeight="1" x14ac:dyDescent="0.25">
      <c r="A320" s="712"/>
      <c r="B320" s="713"/>
      <c r="C320" s="714"/>
      <c r="D320" s="714"/>
      <c r="E320" s="714"/>
      <c r="F320" s="714"/>
      <c r="G320" s="714"/>
      <c r="H320" s="714"/>
      <c r="I320" s="714"/>
      <c r="J320" s="714"/>
      <c r="K320" s="714"/>
      <c r="L320" s="714"/>
      <c r="M320" s="714"/>
      <c r="N320" s="714"/>
      <c r="O320" s="714"/>
      <c r="P320" s="714"/>
      <c r="Q320" s="715">
        <v>5.6644000000000005</v>
      </c>
      <c r="R320" s="715">
        <v>5.6644000000000005</v>
      </c>
      <c r="S320" s="715">
        <v>5.6678000000000006</v>
      </c>
      <c r="T320" s="715">
        <v>5.6678000000000006</v>
      </c>
      <c r="U320" s="715">
        <v>5.6678000000000006</v>
      </c>
      <c r="V320" s="715">
        <v>5.6678000000000006</v>
      </c>
    </row>
    <row r="321" spans="1:22" ht="10.5" customHeight="1" x14ac:dyDescent="0.25">
      <c r="A321" s="716"/>
      <c r="B321" s="717"/>
      <c r="C321" s="718"/>
      <c r="D321" s="718"/>
      <c r="E321" s="718"/>
      <c r="F321" s="718"/>
      <c r="G321" s="718"/>
      <c r="H321" s="718"/>
      <c r="I321" s="718"/>
      <c r="J321" s="718"/>
      <c r="K321" s="718"/>
      <c r="L321" s="718"/>
      <c r="M321" s="718"/>
      <c r="N321" s="718"/>
      <c r="O321" s="718"/>
      <c r="P321" s="718"/>
      <c r="Q321" s="718"/>
      <c r="R321" s="718"/>
      <c r="S321" s="718"/>
      <c r="T321" s="718"/>
      <c r="U321" s="718"/>
      <c r="V321" s="718"/>
    </row>
    <row r="322" spans="1:22" ht="10.5" customHeight="1" x14ac:dyDescent="0.25">
      <c r="A322" s="707">
        <v>515678</v>
      </c>
      <c r="B322" s="708" t="s">
        <v>1065</v>
      </c>
      <c r="C322" s="707" t="s">
        <v>1066</v>
      </c>
      <c r="D322" s="709">
        <v>90</v>
      </c>
      <c r="E322" s="709">
        <v>174.13</v>
      </c>
      <c r="F322" s="709">
        <v>15671.7</v>
      </c>
      <c r="G322" s="709"/>
      <c r="H322" s="711"/>
      <c r="I322" s="711"/>
      <c r="J322" s="711"/>
      <c r="K322" s="711"/>
      <c r="L322" s="711"/>
      <c r="M322" s="711"/>
      <c r="N322" s="711"/>
      <c r="O322" s="711"/>
      <c r="P322" s="711"/>
      <c r="Q322" s="710">
        <v>2610.9052200000001</v>
      </c>
      <c r="R322" s="710">
        <v>2610.9052200000001</v>
      </c>
      <c r="S322" s="710">
        <v>2612.4723900000004</v>
      </c>
      <c r="T322" s="710">
        <v>2612.4723900000004</v>
      </c>
      <c r="U322" s="710">
        <v>2612.4723900000004</v>
      </c>
      <c r="V322" s="710">
        <v>2612.4723900000004</v>
      </c>
    </row>
    <row r="323" spans="1:22" ht="10.5" customHeight="1" x14ac:dyDescent="0.25">
      <c r="A323" s="712"/>
      <c r="B323" s="713"/>
      <c r="C323" s="714"/>
      <c r="D323" s="714"/>
      <c r="E323" s="714"/>
      <c r="F323" s="714"/>
      <c r="G323" s="714"/>
      <c r="H323" s="714"/>
      <c r="I323" s="714"/>
      <c r="J323" s="714"/>
      <c r="K323" s="714"/>
      <c r="L323" s="714"/>
      <c r="M323" s="714"/>
      <c r="N323" s="714"/>
      <c r="O323" s="714"/>
      <c r="P323" s="714"/>
      <c r="Q323" s="715">
        <v>14.994000000000002</v>
      </c>
      <c r="R323" s="715">
        <v>14.994000000000002</v>
      </c>
      <c r="S323" s="715">
        <v>15.003000000000002</v>
      </c>
      <c r="T323" s="715">
        <v>15.003000000000002</v>
      </c>
      <c r="U323" s="715">
        <v>15.003000000000002</v>
      </c>
      <c r="V323" s="715">
        <v>15.003000000000002</v>
      </c>
    </row>
    <row r="324" spans="1:22" ht="10.5" customHeight="1" x14ac:dyDescent="0.25">
      <c r="A324" s="716"/>
      <c r="B324" s="717"/>
      <c r="C324" s="718"/>
      <c r="D324" s="718"/>
      <c r="E324" s="718"/>
      <c r="F324" s="718"/>
      <c r="G324" s="718"/>
      <c r="H324" s="718"/>
      <c r="I324" s="718"/>
      <c r="J324" s="718"/>
      <c r="K324" s="718"/>
      <c r="L324" s="718"/>
      <c r="M324" s="718"/>
      <c r="N324" s="718"/>
      <c r="O324" s="718"/>
      <c r="P324" s="718"/>
      <c r="Q324" s="718"/>
      <c r="R324" s="718"/>
      <c r="S324" s="718"/>
      <c r="T324" s="718"/>
      <c r="U324" s="718"/>
      <c r="V324" s="718"/>
    </row>
    <row r="325" spans="1:22" ht="10.5" customHeight="1" x14ac:dyDescent="0.25">
      <c r="A325" s="707">
        <v>515679</v>
      </c>
      <c r="B325" s="708" t="s">
        <v>1067</v>
      </c>
      <c r="C325" s="707" t="s">
        <v>1066</v>
      </c>
      <c r="D325" s="709">
        <v>66</v>
      </c>
      <c r="E325" s="709">
        <v>174.13</v>
      </c>
      <c r="F325" s="709">
        <v>11492.58</v>
      </c>
      <c r="G325" s="709"/>
      <c r="H325" s="711"/>
      <c r="I325" s="711"/>
      <c r="J325" s="711"/>
      <c r="K325" s="711"/>
      <c r="L325" s="711"/>
      <c r="M325" s="711"/>
      <c r="N325" s="711"/>
      <c r="O325" s="711"/>
      <c r="P325" s="711"/>
      <c r="Q325" s="710">
        <v>1914.663828</v>
      </c>
      <c r="R325" s="710">
        <v>1914.663828</v>
      </c>
      <c r="S325" s="710">
        <v>1915.8130860000001</v>
      </c>
      <c r="T325" s="710">
        <v>1915.8130860000001</v>
      </c>
      <c r="U325" s="710">
        <v>1915.8130860000001</v>
      </c>
      <c r="V325" s="710">
        <v>1915.8130860000001</v>
      </c>
    </row>
    <row r="326" spans="1:22" ht="10.5" customHeight="1" x14ac:dyDescent="0.25">
      <c r="A326" s="712"/>
      <c r="B326" s="713"/>
      <c r="C326" s="714"/>
      <c r="D326" s="714"/>
      <c r="E326" s="714"/>
      <c r="F326" s="714"/>
      <c r="G326" s="714"/>
      <c r="H326" s="714"/>
      <c r="I326" s="714"/>
      <c r="J326" s="714"/>
      <c r="K326" s="714"/>
      <c r="L326" s="714"/>
      <c r="M326" s="714"/>
      <c r="N326" s="714"/>
      <c r="O326" s="714"/>
      <c r="P326" s="714"/>
      <c r="Q326" s="715">
        <v>10.9956</v>
      </c>
      <c r="R326" s="715">
        <v>10.9956</v>
      </c>
      <c r="S326" s="715">
        <v>11.0022</v>
      </c>
      <c r="T326" s="715">
        <v>11.0022</v>
      </c>
      <c r="U326" s="715">
        <v>11.0022</v>
      </c>
      <c r="V326" s="715">
        <v>11.0022</v>
      </c>
    </row>
    <row r="327" spans="1:22" ht="10.5" customHeight="1" x14ac:dyDescent="0.25">
      <c r="A327" s="716"/>
      <c r="B327" s="717"/>
      <c r="C327" s="718"/>
      <c r="D327" s="718"/>
      <c r="E327" s="718"/>
      <c r="F327" s="718"/>
      <c r="G327" s="718"/>
      <c r="H327" s="718"/>
      <c r="I327" s="718"/>
      <c r="J327" s="718"/>
      <c r="K327" s="718"/>
      <c r="L327" s="718"/>
      <c r="M327" s="718"/>
      <c r="N327" s="718"/>
      <c r="O327" s="718"/>
      <c r="P327" s="718"/>
      <c r="Q327" s="718"/>
      <c r="R327" s="718"/>
      <c r="S327" s="718"/>
      <c r="T327" s="718"/>
      <c r="U327" s="718"/>
      <c r="V327" s="718"/>
    </row>
    <row r="328" spans="1:22" ht="10.5" customHeight="1" x14ac:dyDescent="0.25">
      <c r="A328" s="707">
        <v>502807</v>
      </c>
      <c r="B328" s="708" t="s">
        <v>1068</v>
      </c>
      <c r="C328" s="707" t="s">
        <v>1066</v>
      </c>
      <c r="D328" s="709">
        <v>90</v>
      </c>
      <c r="E328" s="709">
        <v>16.5</v>
      </c>
      <c r="F328" s="709">
        <v>1485</v>
      </c>
      <c r="G328" s="709"/>
      <c r="H328" s="711"/>
      <c r="I328" s="711"/>
      <c r="J328" s="711"/>
      <c r="K328" s="711"/>
      <c r="L328" s="711"/>
      <c r="M328" s="711"/>
      <c r="N328" s="711"/>
      <c r="O328" s="711"/>
      <c r="P328" s="711"/>
      <c r="Q328" s="710">
        <v>247.40099999999998</v>
      </c>
      <c r="R328" s="710">
        <v>247.40099999999998</v>
      </c>
      <c r="S328" s="710">
        <v>247.54949999999999</v>
      </c>
      <c r="T328" s="710">
        <v>247.54949999999999</v>
      </c>
      <c r="U328" s="710">
        <v>247.54949999999999</v>
      </c>
      <c r="V328" s="710">
        <v>247.54949999999999</v>
      </c>
    </row>
    <row r="329" spans="1:22" ht="10.5" customHeight="1" x14ac:dyDescent="0.25">
      <c r="A329" s="712"/>
      <c r="B329" s="713"/>
      <c r="C329" s="714"/>
      <c r="D329" s="714"/>
      <c r="E329" s="714"/>
      <c r="F329" s="714"/>
      <c r="G329" s="714"/>
      <c r="H329" s="714"/>
      <c r="I329" s="714"/>
      <c r="J329" s="714"/>
      <c r="K329" s="714"/>
      <c r="L329" s="714"/>
      <c r="M329" s="714"/>
      <c r="N329" s="714"/>
      <c r="O329" s="714"/>
      <c r="P329" s="714"/>
      <c r="Q329" s="715">
        <v>14.994000000000002</v>
      </c>
      <c r="R329" s="715">
        <v>14.994000000000002</v>
      </c>
      <c r="S329" s="715">
        <v>15.003000000000002</v>
      </c>
      <c r="T329" s="715">
        <v>15.003000000000002</v>
      </c>
      <c r="U329" s="715">
        <v>15.003000000000002</v>
      </c>
      <c r="V329" s="715">
        <v>15.003000000000002</v>
      </c>
    </row>
    <row r="330" spans="1:22" ht="10.5" customHeight="1" x14ac:dyDescent="0.25">
      <c r="A330" s="716"/>
      <c r="B330" s="717"/>
      <c r="C330" s="718"/>
      <c r="D330" s="718"/>
      <c r="E330" s="718"/>
      <c r="F330" s="718"/>
      <c r="G330" s="718"/>
      <c r="H330" s="718"/>
      <c r="I330" s="718"/>
      <c r="J330" s="718"/>
      <c r="K330" s="718"/>
      <c r="L330" s="718"/>
      <c r="M330" s="718"/>
      <c r="N330" s="718"/>
      <c r="O330" s="718"/>
      <c r="P330" s="718"/>
      <c r="Q330" s="718"/>
      <c r="R330" s="718"/>
      <c r="S330" s="718"/>
      <c r="T330" s="718"/>
      <c r="U330" s="718"/>
      <c r="V330" s="718"/>
    </row>
    <row r="331" spans="1:22" ht="10.5" customHeight="1" x14ac:dyDescent="0.25">
      <c r="A331" s="707">
        <v>504447</v>
      </c>
      <c r="B331" s="708" t="s">
        <v>1069</v>
      </c>
      <c r="C331" s="707" t="s">
        <v>1066</v>
      </c>
      <c r="D331" s="709">
        <v>66</v>
      </c>
      <c r="E331" s="709">
        <v>18.5</v>
      </c>
      <c r="F331" s="709">
        <v>1221</v>
      </c>
      <c r="G331" s="709"/>
      <c r="H331" s="711"/>
      <c r="I331" s="711"/>
      <c r="J331" s="711"/>
      <c r="K331" s="711"/>
      <c r="L331" s="711"/>
      <c r="M331" s="711"/>
      <c r="N331" s="711"/>
      <c r="O331" s="711"/>
      <c r="P331" s="711"/>
      <c r="Q331" s="710">
        <v>203.4186</v>
      </c>
      <c r="R331" s="710">
        <v>203.4186</v>
      </c>
      <c r="S331" s="710">
        <v>203.54070000000004</v>
      </c>
      <c r="T331" s="710">
        <v>203.54070000000004</v>
      </c>
      <c r="U331" s="710">
        <v>203.54070000000004</v>
      </c>
      <c r="V331" s="710">
        <v>203.54070000000004</v>
      </c>
    </row>
    <row r="332" spans="1:22" ht="10.5" customHeight="1" x14ac:dyDescent="0.25">
      <c r="A332" s="712"/>
      <c r="B332" s="713"/>
      <c r="C332" s="714"/>
      <c r="D332" s="714"/>
      <c r="E332" s="714"/>
      <c r="F332" s="714"/>
      <c r="G332" s="714"/>
      <c r="H332" s="714"/>
      <c r="I332" s="714"/>
      <c r="J332" s="714"/>
      <c r="K332" s="714"/>
      <c r="L332" s="714"/>
      <c r="M332" s="714"/>
      <c r="N332" s="714"/>
      <c r="O332" s="714"/>
      <c r="P332" s="714"/>
      <c r="Q332" s="715">
        <v>10.9956</v>
      </c>
      <c r="R332" s="715">
        <v>10.9956</v>
      </c>
      <c r="S332" s="715">
        <v>11.0022</v>
      </c>
      <c r="T332" s="715">
        <v>11.0022</v>
      </c>
      <c r="U332" s="715">
        <v>11.0022</v>
      </c>
      <c r="V332" s="715">
        <v>11.0022</v>
      </c>
    </row>
    <row r="333" spans="1:22" ht="10.5" customHeight="1" x14ac:dyDescent="0.25">
      <c r="A333" s="716"/>
      <c r="B333" s="717"/>
      <c r="C333" s="718"/>
      <c r="D333" s="718"/>
      <c r="E333" s="718"/>
      <c r="F333" s="718"/>
      <c r="G333" s="718"/>
      <c r="H333" s="718"/>
      <c r="I333" s="718"/>
      <c r="J333" s="718"/>
      <c r="K333" s="718"/>
      <c r="L333" s="718"/>
      <c r="M333" s="718"/>
      <c r="N333" s="718"/>
      <c r="O333" s="718"/>
      <c r="P333" s="718"/>
      <c r="Q333" s="718"/>
      <c r="R333" s="718"/>
      <c r="S333" s="718"/>
      <c r="T333" s="718"/>
      <c r="U333" s="718"/>
      <c r="V333" s="718"/>
    </row>
    <row r="334" spans="1:22" s="105" customFormat="1" ht="10.5" customHeight="1" x14ac:dyDescent="0.25">
      <c r="A334" s="704"/>
      <c r="B334" s="719" t="s">
        <v>1072</v>
      </c>
      <c r="C334" s="704"/>
      <c r="D334" s="705"/>
      <c r="E334" s="706">
        <v>0</v>
      </c>
      <c r="F334" s="706">
        <v>68222.94</v>
      </c>
      <c r="G334" s="706"/>
      <c r="H334" s="705"/>
      <c r="I334" s="705"/>
      <c r="J334" s="705"/>
      <c r="K334" s="705"/>
      <c r="L334" s="705"/>
      <c r="M334" s="705"/>
      <c r="N334" s="705"/>
      <c r="O334" s="705"/>
      <c r="P334" s="705"/>
      <c r="Q334" s="705"/>
      <c r="R334" s="705"/>
      <c r="S334" s="705"/>
      <c r="T334" s="705"/>
      <c r="U334" s="705"/>
      <c r="V334" s="705"/>
    </row>
    <row r="335" spans="1:22" ht="10.5" customHeight="1" x14ac:dyDescent="0.25">
      <c r="A335" s="707">
        <v>515575</v>
      </c>
      <c r="B335" s="708" t="s">
        <v>1073</v>
      </c>
      <c r="C335" s="707" t="s">
        <v>1066</v>
      </c>
      <c r="D335" s="709">
        <v>2</v>
      </c>
      <c r="E335" s="709">
        <v>1341.81</v>
      </c>
      <c r="F335" s="709">
        <v>2683.62</v>
      </c>
      <c r="G335" s="709"/>
      <c r="H335" s="711"/>
      <c r="I335" s="711"/>
      <c r="J335" s="711"/>
      <c r="K335" s="711"/>
      <c r="L335" s="711"/>
      <c r="M335" s="711"/>
      <c r="N335" s="711"/>
      <c r="O335" s="710">
        <v>447.091092</v>
      </c>
      <c r="P335" s="710">
        <v>447.091092</v>
      </c>
      <c r="Q335" s="710">
        <v>447.35945400000003</v>
      </c>
      <c r="R335" s="710">
        <v>447.35945400000003</v>
      </c>
      <c r="S335" s="710">
        <v>447.35945400000003</v>
      </c>
      <c r="T335" s="710">
        <v>447.35945400000003</v>
      </c>
      <c r="U335" s="711"/>
      <c r="V335" s="711"/>
    </row>
    <row r="336" spans="1:22" ht="10.5" customHeight="1" x14ac:dyDescent="0.25">
      <c r="A336" s="712"/>
      <c r="B336" s="713"/>
      <c r="C336" s="714"/>
      <c r="D336" s="714"/>
      <c r="E336" s="714"/>
      <c r="F336" s="714"/>
      <c r="G336" s="714"/>
      <c r="H336" s="714"/>
      <c r="I336" s="714"/>
      <c r="J336" s="714"/>
      <c r="K336" s="714"/>
      <c r="L336" s="714"/>
      <c r="M336" s="714"/>
      <c r="N336" s="714"/>
      <c r="O336" s="715">
        <v>0.3332</v>
      </c>
      <c r="P336" s="715">
        <v>0.3332</v>
      </c>
      <c r="Q336" s="715">
        <v>0.33340000000000003</v>
      </c>
      <c r="R336" s="715">
        <v>0.33340000000000003</v>
      </c>
      <c r="S336" s="715">
        <v>0.33340000000000003</v>
      </c>
      <c r="T336" s="715">
        <v>0.33340000000000003</v>
      </c>
      <c r="U336" s="714"/>
      <c r="V336" s="714"/>
    </row>
    <row r="337" spans="1:22" ht="10.5" customHeight="1" x14ac:dyDescent="0.25">
      <c r="A337" s="716"/>
      <c r="B337" s="717"/>
      <c r="C337" s="718"/>
      <c r="D337" s="718"/>
      <c r="E337" s="718"/>
      <c r="F337" s="718"/>
      <c r="G337" s="718"/>
      <c r="H337" s="718"/>
      <c r="I337" s="718"/>
      <c r="J337" s="718"/>
      <c r="K337" s="718"/>
      <c r="L337" s="718"/>
      <c r="M337" s="718"/>
      <c r="N337" s="718"/>
      <c r="O337" s="718"/>
      <c r="P337" s="718"/>
      <c r="Q337" s="718"/>
      <c r="R337" s="718"/>
      <c r="S337" s="718"/>
      <c r="T337" s="718"/>
      <c r="U337" s="718"/>
      <c r="V337" s="718"/>
    </row>
    <row r="338" spans="1:22" ht="10.5" customHeight="1" x14ac:dyDescent="0.25">
      <c r="A338" s="707">
        <v>515656</v>
      </c>
      <c r="B338" s="708" t="s">
        <v>1074</v>
      </c>
      <c r="C338" s="707" t="s">
        <v>1066</v>
      </c>
      <c r="D338" s="709">
        <v>1</v>
      </c>
      <c r="E338" s="709">
        <v>377.37</v>
      </c>
      <c r="F338" s="709">
        <v>377.37</v>
      </c>
      <c r="G338" s="709"/>
      <c r="H338" s="711"/>
      <c r="I338" s="711"/>
      <c r="J338" s="711"/>
      <c r="K338" s="711"/>
      <c r="L338" s="711"/>
      <c r="M338" s="711"/>
      <c r="N338" s="711"/>
      <c r="O338" s="710">
        <v>62.869841999999998</v>
      </c>
      <c r="P338" s="710">
        <v>62.869841999999998</v>
      </c>
      <c r="Q338" s="710">
        <v>62.907579000000005</v>
      </c>
      <c r="R338" s="710">
        <v>62.907579000000005</v>
      </c>
      <c r="S338" s="710">
        <v>62.907579000000005</v>
      </c>
      <c r="T338" s="710">
        <v>62.907579000000005</v>
      </c>
      <c r="U338" s="711"/>
      <c r="V338" s="711"/>
    </row>
    <row r="339" spans="1:22" ht="10.5" customHeight="1" x14ac:dyDescent="0.25">
      <c r="A339" s="712"/>
      <c r="B339" s="713"/>
      <c r="C339" s="714"/>
      <c r="D339" s="714"/>
      <c r="E339" s="714"/>
      <c r="F339" s="714"/>
      <c r="G339" s="714"/>
      <c r="H339" s="714"/>
      <c r="I339" s="714"/>
      <c r="J339" s="714"/>
      <c r="K339" s="714"/>
      <c r="L339" s="714"/>
      <c r="M339" s="714"/>
      <c r="N339" s="714"/>
      <c r="O339" s="715">
        <v>0.1666</v>
      </c>
      <c r="P339" s="715">
        <v>0.1666</v>
      </c>
      <c r="Q339" s="715">
        <v>0.16670000000000001</v>
      </c>
      <c r="R339" s="715">
        <v>0.16670000000000001</v>
      </c>
      <c r="S339" s="715">
        <v>0.16670000000000001</v>
      </c>
      <c r="T339" s="715">
        <v>0.16670000000000001</v>
      </c>
      <c r="U339" s="714"/>
      <c r="V339" s="714"/>
    </row>
    <row r="340" spans="1:22" ht="10.5" customHeight="1" x14ac:dyDescent="0.25">
      <c r="A340" s="716"/>
      <c r="B340" s="717"/>
      <c r="C340" s="718"/>
      <c r="D340" s="718"/>
      <c r="E340" s="718"/>
      <c r="F340" s="718"/>
      <c r="G340" s="718"/>
      <c r="H340" s="718"/>
      <c r="I340" s="718"/>
      <c r="J340" s="718"/>
      <c r="K340" s="718"/>
      <c r="L340" s="718"/>
      <c r="M340" s="718"/>
      <c r="N340" s="718"/>
      <c r="O340" s="718"/>
      <c r="P340" s="718"/>
      <c r="Q340" s="718"/>
      <c r="R340" s="718"/>
      <c r="S340" s="718"/>
      <c r="T340" s="718"/>
      <c r="U340" s="718"/>
      <c r="V340" s="718"/>
    </row>
    <row r="341" spans="1:22" ht="10.5" customHeight="1" x14ac:dyDescent="0.25">
      <c r="A341" s="707">
        <v>515576</v>
      </c>
      <c r="B341" s="708" t="s">
        <v>1075</v>
      </c>
      <c r="C341" s="707" t="s">
        <v>571</v>
      </c>
      <c r="D341" s="709">
        <v>13.65</v>
      </c>
      <c r="E341" s="709">
        <v>231.42</v>
      </c>
      <c r="F341" s="709">
        <v>3158.88</v>
      </c>
      <c r="G341" s="709"/>
      <c r="H341" s="711"/>
      <c r="I341" s="711"/>
      <c r="J341" s="711"/>
      <c r="K341" s="711"/>
      <c r="L341" s="711"/>
      <c r="M341" s="711"/>
      <c r="N341" s="711"/>
      <c r="O341" s="710">
        <v>526.269408</v>
      </c>
      <c r="P341" s="710">
        <v>526.269408</v>
      </c>
      <c r="Q341" s="710">
        <v>526.58529600000008</v>
      </c>
      <c r="R341" s="710">
        <v>526.58529600000008</v>
      </c>
      <c r="S341" s="710">
        <v>526.58529600000008</v>
      </c>
      <c r="T341" s="710">
        <v>526.58529600000008</v>
      </c>
      <c r="U341" s="711"/>
      <c r="V341" s="711"/>
    </row>
    <row r="342" spans="1:22" ht="10.5" customHeight="1" x14ac:dyDescent="0.25">
      <c r="A342" s="712"/>
      <c r="B342" s="713"/>
      <c r="C342" s="714"/>
      <c r="D342" s="714"/>
      <c r="E342" s="714"/>
      <c r="F342" s="714"/>
      <c r="G342" s="714"/>
      <c r="H342" s="714"/>
      <c r="I342" s="714"/>
      <c r="J342" s="714"/>
      <c r="K342" s="714"/>
      <c r="L342" s="714"/>
      <c r="M342" s="714"/>
      <c r="N342" s="714"/>
      <c r="O342" s="715">
        <v>2.2740900000000002</v>
      </c>
      <c r="P342" s="715">
        <v>2.2740900000000002</v>
      </c>
      <c r="Q342" s="715">
        <v>2.2754550000000004</v>
      </c>
      <c r="R342" s="715">
        <v>2.2754550000000004</v>
      </c>
      <c r="S342" s="715">
        <v>2.2754550000000004</v>
      </c>
      <c r="T342" s="715">
        <v>2.2754550000000004</v>
      </c>
      <c r="U342" s="714"/>
      <c r="V342" s="714"/>
    </row>
    <row r="343" spans="1:22" ht="10.5" customHeight="1" x14ac:dyDescent="0.25">
      <c r="A343" s="716"/>
      <c r="B343" s="717"/>
      <c r="C343" s="718"/>
      <c r="D343" s="718"/>
      <c r="E343" s="718"/>
      <c r="F343" s="718"/>
      <c r="G343" s="718"/>
      <c r="H343" s="718"/>
      <c r="I343" s="718"/>
      <c r="J343" s="718"/>
      <c r="K343" s="718"/>
      <c r="L343" s="718"/>
      <c r="M343" s="718"/>
      <c r="N343" s="718"/>
      <c r="O343" s="718"/>
      <c r="P343" s="718"/>
      <c r="Q343" s="718"/>
      <c r="R343" s="718"/>
      <c r="S343" s="718"/>
      <c r="T343" s="718"/>
      <c r="U343" s="718"/>
      <c r="V343" s="718"/>
    </row>
    <row r="344" spans="1:22" ht="10.5" customHeight="1" x14ac:dyDescent="0.25">
      <c r="A344" s="707">
        <v>505311</v>
      </c>
      <c r="B344" s="708" t="s">
        <v>1743</v>
      </c>
      <c r="C344" s="707" t="s">
        <v>1066</v>
      </c>
      <c r="D344" s="709">
        <v>10</v>
      </c>
      <c r="E344" s="709">
        <v>244.14</v>
      </c>
      <c r="F344" s="709">
        <v>2441.4</v>
      </c>
      <c r="G344" s="709"/>
      <c r="H344" s="711"/>
      <c r="I344" s="711"/>
      <c r="J344" s="711"/>
      <c r="K344" s="711"/>
      <c r="L344" s="711"/>
      <c r="M344" s="711"/>
      <c r="N344" s="711"/>
      <c r="O344" s="710">
        <v>406.73724000000004</v>
      </c>
      <c r="P344" s="710">
        <v>406.73724000000004</v>
      </c>
      <c r="Q344" s="710">
        <v>406.98138000000006</v>
      </c>
      <c r="R344" s="710">
        <v>406.98138000000006</v>
      </c>
      <c r="S344" s="710">
        <v>406.98138000000006</v>
      </c>
      <c r="T344" s="710">
        <v>406.98138000000006</v>
      </c>
      <c r="U344" s="711"/>
      <c r="V344" s="711"/>
    </row>
    <row r="345" spans="1:22" ht="10.5" customHeight="1" x14ac:dyDescent="0.25">
      <c r="A345" s="712"/>
      <c r="B345" s="713"/>
      <c r="C345" s="714"/>
      <c r="D345" s="714"/>
      <c r="E345" s="714"/>
      <c r="F345" s="714"/>
      <c r="G345" s="714"/>
      <c r="H345" s="714"/>
      <c r="I345" s="714"/>
      <c r="J345" s="714"/>
      <c r="K345" s="714"/>
      <c r="L345" s="714"/>
      <c r="M345" s="714"/>
      <c r="N345" s="714"/>
      <c r="O345" s="715">
        <v>1.6659999999999999</v>
      </c>
      <c r="P345" s="715">
        <v>1.6659999999999999</v>
      </c>
      <c r="Q345" s="715">
        <v>1.6670000000000003</v>
      </c>
      <c r="R345" s="715">
        <v>1.6670000000000003</v>
      </c>
      <c r="S345" s="715">
        <v>1.6670000000000003</v>
      </c>
      <c r="T345" s="715">
        <v>1.6670000000000003</v>
      </c>
      <c r="U345" s="714"/>
      <c r="V345" s="714"/>
    </row>
    <row r="346" spans="1:22" ht="10.5" customHeight="1" x14ac:dyDescent="0.25">
      <c r="A346" s="716"/>
      <c r="B346" s="717"/>
      <c r="C346" s="718"/>
      <c r="D346" s="718"/>
      <c r="E346" s="718"/>
      <c r="F346" s="718"/>
      <c r="G346" s="718"/>
      <c r="H346" s="718"/>
      <c r="I346" s="718"/>
      <c r="J346" s="718"/>
      <c r="K346" s="718"/>
      <c r="L346" s="718"/>
      <c r="M346" s="718"/>
      <c r="N346" s="718"/>
      <c r="O346" s="718"/>
      <c r="P346" s="718"/>
      <c r="Q346" s="718"/>
      <c r="R346" s="718"/>
      <c r="S346" s="718"/>
      <c r="T346" s="718"/>
      <c r="U346" s="718"/>
      <c r="V346" s="718"/>
    </row>
    <row r="347" spans="1:22" ht="10.5" customHeight="1" x14ac:dyDescent="0.25">
      <c r="A347" s="707">
        <v>515577</v>
      </c>
      <c r="B347" s="708" t="s">
        <v>1744</v>
      </c>
      <c r="C347" s="707" t="s">
        <v>571</v>
      </c>
      <c r="D347" s="709">
        <v>194.4</v>
      </c>
      <c r="E347" s="709">
        <v>79.300000000000011</v>
      </c>
      <c r="F347" s="709">
        <v>15415.92</v>
      </c>
      <c r="G347" s="709"/>
      <c r="H347" s="711"/>
      <c r="I347" s="711"/>
      <c r="J347" s="711"/>
      <c r="K347" s="711"/>
      <c r="L347" s="711"/>
      <c r="M347" s="711"/>
      <c r="N347" s="711"/>
      <c r="O347" s="710">
        <v>2568.2922720000001</v>
      </c>
      <c r="P347" s="710">
        <v>2568.2922720000001</v>
      </c>
      <c r="Q347" s="710">
        <v>2569.8338640000002</v>
      </c>
      <c r="R347" s="710">
        <v>2569.8338640000002</v>
      </c>
      <c r="S347" s="710">
        <v>2569.8338640000002</v>
      </c>
      <c r="T347" s="710">
        <v>2569.8338640000002</v>
      </c>
      <c r="U347" s="711"/>
      <c r="V347" s="711"/>
    </row>
    <row r="348" spans="1:22" ht="10.5" customHeight="1" x14ac:dyDescent="0.25">
      <c r="A348" s="712"/>
      <c r="B348" s="713"/>
      <c r="C348" s="714"/>
      <c r="D348" s="714"/>
      <c r="E348" s="714"/>
      <c r="F348" s="714"/>
      <c r="G348" s="714"/>
      <c r="H348" s="714"/>
      <c r="I348" s="714"/>
      <c r="J348" s="714"/>
      <c r="K348" s="714"/>
      <c r="L348" s="714"/>
      <c r="M348" s="714"/>
      <c r="N348" s="714"/>
      <c r="O348" s="715">
        <v>32.387039999999999</v>
      </c>
      <c r="P348" s="715">
        <v>32.387039999999999</v>
      </c>
      <c r="Q348" s="715">
        <v>32.406480000000009</v>
      </c>
      <c r="R348" s="715">
        <v>32.406480000000009</v>
      </c>
      <c r="S348" s="715">
        <v>32.406480000000009</v>
      </c>
      <c r="T348" s="715">
        <v>32.406480000000009</v>
      </c>
      <c r="U348" s="714"/>
      <c r="V348" s="714"/>
    </row>
    <row r="349" spans="1:22" ht="10.5" customHeight="1" x14ac:dyDescent="0.25">
      <c r="A349" s="716"/>
      <c r="B349" s="717"/>
      <c r="C349" s="718"/>
      <c r="D349" s="718"/>
      <c r="E349" s="718"/>
      <c r="F349" s="718"/>
      <c r="G349" s="718"/>
      <c r="H349" s="718"/>
      <c r="I349" s="718"/>
      <c r="J349" s="718"/>
      <c r="K349" s="718"/>
      <c r="L349" s="718"/>
      <c r="M349" s="718"/>
      <c r="N349" s="718"/>
      <c r="O349" s="718"/>
      <c r="P349" s="718"/>
      <c r="Q349" s="718"/>
      <c r="R349" s="718"/>
      <c r="S349" s="718"/>
      <c r="T349" s="718"/>
      <c r="U349" s="718"/>
      <c r="V349" s="718"/>
    </row>
    <row r="350" spans="1:22" ht="10.5" customHeight="1" x14ac:dyDescent="0.25">
      <c r="A350" s="707">
        <v>515660</v>
      </c>
      <c r="B350" s="708" t="s">
        <v>1745</v>
      </c>
      <c r="C350" s="707" t="s">
        <v>571</v>
      </c>
      <c r="D350" s="709">
        <v>15</v>
      </c>
      <c r="E350" s="709">
        <v>56.08</v>
      </c>
      <c r="F350" s="709">
        <v>841.2</v>
      </c>
      <c r="G350" s="709"/>
      <c r="H350" s="711"/>
      <c r="I350" s="711"/>
      <c r="J350" s="711"/>
      <c r="K350" s="711"/>
      <c r="L350" s="711"/>
      <c r="M350" s="711"/>
      <c r="N350" s="711"/>
      <c r="O350" s="710">
        <v>140.14392000000001</v>
      </c>
      <c r="P350" s="710">
        <v>140.14392000000001</v>
      </c>
      <c r="Q350" s="710">
        <v>140.22804000000002</v>
      </c>
      <c r="R350" s="710">
        <v>140.22804000000002</v>
      </c>
      <c r="S350" s="710">
        <v>140.22804000000002</v>
      </c>
      <c r="T350" s="710">
        <v>140.22804000000002</v>
      </c>
      <c r="U350" s="711"/>
      <c r="V350" s="711"/>
    </row>
    <row r="351" spans="1:22" ht="10.5" customHeight="1" x14ac:dyDescent="0.25">
      <c r="A351" s="712"/>
      <c r="B351" s="713"/>
      <c r="C351" s="714"/>
      <c r="D351" s="714"/>
      <c r="E351" s="714"/>
      <c r="F351" s="714"/>
      <c r="G351" s="714"/>
      <c r="H351" s="714"/>
      <c r="I351" s="714"/>
      <c r="J351" s="714"/>
      <c r="K351" s="714"/>
      <c r="L351" s="714"/>
      <c r="M351" s="714"/>
      <c r="N351" s="714"/>
      <c r="O351" s="715">
        <v>2.4990000000000001</v>
      </c>
      <c r="P351" s="715">
        <v>2.4990000000000001</v>
      </c>
      <c r="Q351" s="715">
        <v>2.5005000000000002</v>
      </c>
      <c r="R351" s="715">
        <v>2.5005000000000002</v>
      </c>
      <c r="S351" s="715">
        <v>2.5005000000000002</v>
      </c>
      <c r="T351" s="715">
        <v>2.5005000000000002</v>
      </c>
      <c r="U351" s="714"/>
      <c r="V351" s="714"/>
    </row>
    <row r="352" spans="1:22" ht="10.5" customHeight="1" x14ac:dyDescent="0.25">
      <c r="A352" s="716"/>
      <c r="B352" s="717"/>
      <c r="C352" s="718"/>
      <c r="D352" s="718"/>
      <c r="E352" s="718"/>
      <c r="F352" s="718"/>
      <c r="G352" s="718"/>
      <c r="H352" s="718"/>
      <c r="I352" s="718"/>
      <c r="J352" s="718"/>
      <c r="K352" s="718"/>
      <c r="L352" s="718"/>
      <c r="M352" s="718"/>
      <c r="N352" s="718"/>
      <c r="O352" s="718"/>
      <c r="P352" s="718"/>
      <c r="Q352" s="718"/>
      <c r="R352" s="718"/>
      <c r="S352" s="718"/>
      <c r="T352" s="718"/>
      <c r="U352" s="718"/>
      <c r="V352" s="718"/>
    </row>
    <row r="353" spans="1:22" ht="10.5" customHeight="1" x14ac:dyDescent="0.25">
      <c r="A353" s="707">
        <v>515578</v>
      </c>
      <c r="B353" s="708" t="s">
        <v>1746</v>
      </c>
      <c r="C353" s="707" t="s">
        <v>571</v>
      </c>
      <c r="D353" s="709">
        <v>166.5</v>
      </c>
      <c r="E353" s="709">
        <v>91.62</v>
      </c>
      <c r="F353" s="709">
        <v>15254.73</v>
      </c>
      <c r="G353" s="709"/>
      <c r="H353" s="711"/>
      <c r="I353" s="711"/>
      <c r="J353" s="711"/>
      <c r="K353" s="711"/>
      <c r="L353" s="711"/>
      <c r="M353" s="711"/>
      <c r="N353" s="711"/>
      <c r="O353" s="710">
        <v>2541.4380179999998</v>
      </c>
      <c r="P353" s="710">
        <v>2541.4380179999998</v>
      </c>
      <c r="Q353" s="710">
        <v>2542.9634910000004</v>
      </c>
      <c r="R353" s="710">
        <v>2542.9634910000004</v>
      </c>
      <c r="S353" s="710">
        <v>2542.9634910000004</v>
      </c>
      <c r="T353" s="710">
        <v>2542.9634910000004</v>
      </c>
      <c r="U353" s="711"/>
      <c r="V353" s="711"/>
    </row>
    <row r="354" spans="1:22" ht="10.5" customHeight="1" x14ac:dyDescent="0.25">
      <c r="A354" s="712"/>
      <c r="B354" s="713"/>
      <c r="C354" s="714"/>
      <c r="D354" s="714"/>
      <c r="E354" s="714"/>
      <c r="F354" s="714"/>
      <c r="G354" s="714"/>
      <c r="H354" s="714"/>
      <c r="I354" s="714"/>
      <c r="J354" s="714"/>
      <c r="K354" s="714"/>
      <c r="L354" s="714"/>
      <c r="M354" s="714"/>
      <c r="N354" s="714"/>
      <c r="O354" s="715">
        <v>27.738899999999997</v>
      </c>
      <c r="P354" s="715">
        <v>27.738899999999997</v>
      </c>
      <c r="Q354" s="715">
        <v>27.755550000000003</v>
      </c>
      <c r="R354" s="715">
        <v>27.755550000000003</v>
      </c>
      <c r="S354" s="715">
        <v>27.755550000000003</v>
      </c>
      <c r="T354" s="715">
        <v>27.755550000000003</v>
      </c>
      <c r="U354" s="714"/>
      <c r="V354" s="714"/>
    </row>
    <row r="355" spans="1:22" ht="10.5" customHeight="1" x14ac:dyDescent="0.25">
      <c r="A355" s="716"/>
      <c r="B355" s="717"/>
      <c r="C355" s="718"/>
      <c r="D355" s="718"/>
      <c r="E355" s="718"/>
      <c r="F355" s="718"/>
      <c r="G355" s="718"/>
      <c r="H355" s="718"/>
      <c r="I355" s="718"/>
      <c r="J355" s="718"/>
      <c r="K355" s="718"/>
      <c r="L355" s="718"/>
      <c r="M355" s="718"/>
      <c r="N355" s="718"/>
      <c r="O355" s="718"/>
      <c r="P355" s="718"/>
      <c r="Q355" s="718"/>
      <c r="R355" s="718"/>
      <c r="S355" s="718"/>
      <c r="T355" s="718"/>
      <c r="U355" s="718"/>
      <c r="V355" s="718"/>
    </row>
    <row r="356" spans="1:22" ht="10.5" customHeight="1" x14ac:dyDescent="0.25">
      <c r="A356" s="707">
        <v>515661</v>
      </c>
      <c r="B356" s="708" t="s">
        <v>1747</v>
      </c>
      <c r="C356" s="707" t="s">
        <v>571</v>
      </c>
      <c r="D356" s="709">
        <v>37.799999999999997</v>
      </c>
      <c r="E356" s="709">
        <v>78.510000000000005</v>
      </c>
      <c r="F356" s="709">
        <v>2967.68</v>
      </c>
      <c r="G356" s="709"/>
      <c r="H356" s="711"/>
      <c r="I356" s="711"/>
      <c r="J356" s="711"/>
      <c r="K356" s="711"/>
      <c r="L356" s="711"/>
      <c r="M356" s="711"/>
      <c r="N356" s="711"/>
      <c r="O356" s="710">
        <v>494.41548799999998</v>
      </c>
      <c r="P356" s="710">
        <v>494.41548799999998</v>
      </c>
      <c r="Q356" s="710">
        <v>494.71225600000002</v>
      </c>
      <c r="R356" s="710">
        <v>494.71225600000002</v>
      </c>
      <c r="S356" s="710">
        <v>494.71225600000002</v>
      </c>
      <c r="T356" s="710">
        <v>494.71225600000002</v>
      </c>
      <c r="U356" s="711"/>
      <c r="V356" s="711"/>
    </row>
    <row r="357" spans="1:22" ht="10.5" customHeight="1" x14ac:dyDescent="0.25">
      <c r="A357" s="712"/>
      <c r="B357" s="713"/>
      <c r="C357" s="714"/>
      <c r="D357" s="714"/>
      <c r="E357" s="714"/>
      <c r="F357" s="714"/>
      <c r="G357" s="714"/>
      <c r="H357" s="714"/>
      <c r="I357" s="714"/>
      <c r="J357" s="714"/>
      <c r="K357" s="714"/>
      <c r="L357" s="714"/>
      <c r="M357" s="714"/>
      <c r="N357" s="714"/>
      <c r="O357" s="715">
        <v>6.2974799999999993</v>
      </c>
      <c r="P357" s="715">
        <v>6.2974799999999993</v>
      </c>
      <c r="Q357" s="715">
        <v>6.3012600000000001</v>
      </c>
      <c r="R357" s="715">
        <v>6.3012600000000001</v>
      </c>
      <c r="S357" s="715">
        <v>6.3012600000000001</v>
      </c>
      <c r="T357" s="715">
        <v>6.3012600000000001</v>
      </c>
      <c r="U357" s="714"/>
      <c r="V357" s="714"/>
    </row>
    <row r="358" spans="1:22" ht="10.5" customHeight="1" x14ac:dyDescent="0.25">
      <c r="A358" s="716"/>
      <c r="B358" s="717"/>
      <c r="C358" s="718"/>
      <c r="D358" s="718"/>
      <c r="E358" s="718"/>
      <c r="F358" s="718"/>
      <c r="G358" s="718"/>
      <c r="H358" s="718"/>
      <c r="I358" s="718"/>
      <c r="J358" s="718"/>
      <c r="K358" s="718"/>
      <c r="L358" s="718"/>
      <c r="M358" s="718"/>
      <c r="N358" s="718"/>
      <c r="O358" s="718"/>
      <c r="P358" s="718"/>
      <c r="Q358" s="718"/>
      <c r="R358" s="718"/>
      <c r="S358" s="718"/>
      <c r="T358" s="718"/>
      <c r="U358" s="718"/>
      <c r="V358" s="718"/>
    </row>
    <row r="359" spans="1:22" ht="10.5" customHeight="1" x14ac:dyDescent="0.25">
      <c r="A359" s="707">
        <v>515662</v>
      </c>
      <c r="B359" s="708" t="s">
        <v>1748</v>
      </c>
      <c r="C359" s="707" t="s">
        <v>571</v>
      </c>
      <c r="D359" s="709">
        <v>3.24</v>
      </c>
      <c r="E359" s="709">
        <v>112.16</v>
      </c>
      <c r="F359" s="709">
        <v>363.4</v>
      </c>
      <c r="G359" s="709"/>
      <c r="H359" s="711"/>
      <c r="I359" s="711"/>
      <c r="J359" s="711"/>
      <c r="K359" s="711"/>
      <c r="L359" s="711"/>
      <c r="M359" s="711"/>
      <c r="N359" s="711"/>
      <c r="O359" s="710">
        <v>60.542439999999999</v>
      </c>
      <c r="P359" s="710">
        <v>60.542439999999999</v>
      </c>
      <c r="Q359" s="710">
        <v>60.578780000000009</v>
      </c>
      <c r="R359" s="710">
        <v>60.578780000000009</v>
      </c>
      <c r="S359" s="710">
        <v>60.578780000000009</v>
      </c>
      <c r="T359" s="710">
        <v>60.578780000000009</v>
      </c>
      <c r="U359" s="711"/>
      <c r="V359" s="711"/>
    </row>
    <row r="360" spans="1:22" ht="10.5" customHeight="1" x14ac:dyDescent="0.25">
      <c r="A360" s="712"/>
      <c r="B360" s="713"/>
      <c r="C360" s="714"/>
      <c r="D360" s="714"/>
      <c r="E360" s="714"/>
      <c r="F360" s="714"/>
      <c r="G360" s="714"/>
      <c r="H360" s="714"/>
      <c r="I360" s="714"/>
      <c r="J360" s="714"/>
      <c r="K360" s="714"/>
      <c r="L360" s="714"/>
      <c r="M360" s="714"/>
      <c r="N360" s="714"/>
      <c r="O360" s="715">
        <v>0.53978400000000004</v>
      </c>
      <c r="P360" s="715">
        <v>0.53978400000000004</v>
      </c>
      <c r="Q360" s="715">
        <v>0.54010800000000014</v>
      </c>
      <c r="R360" s="715">
        <v>0.54010800000000014</v>
      </c>
      <c r="S360" s="715">
        <v>0.54010800000000014</v>
      </c>
      <c r="T360" s="715">
        <v>0.54010800000000014</v>
      </c>
      <c r="U360" s="714"/>
      <c r="V360" s="714"/>
    </row>
    <row r="361" spans="1:22" ht="10.5" customHeight="1" x14ac:dyDescent="0.25">
      <c r="A361" s="716"/>
      <c r="B361" s="717"/>
      <c r="C361" s="718"/>
      <c r="D361" s="718"/>
      <c r="E361" s="718"/>
      <c r="F361" s="718"/>
      <c r="G361" s="718"/>
      <c r="H361" s="718"/>
      <c r="I361" s="718"/>
      <c r="J361" s="718"/>
      <c r="K361" s="718"/>
      <c r="L361" s="718"/>
      <c r="M361" s="718"/>
      <c r="N361" s="718"/>
      <c r="O361" s="718"/>
      <c r="P361" s="718"/>
      <c r="Q361" s="718"/>
      <c r="R361" s="718"/>
      <c r="S361" s="718"/>
      <c r="T361" s="718"/>
      <c r="U361" s="718"/>
      <c r="V361" s="718"/>
    </row>
    <row r="362" spans="1:22" ht="10.5" customHeight="1" x14ac:dyDescent="0.25">
      <c r="A362" s="707">
        <v>515663</v>
      </c>
      <c r="B362" s="708" t="s">
        <v>1749</v>
      </c>
      <c r="C362" s="707" t="s">
        <v>571</v>
      </c>
      <c r="D362" s="709">
        <v>24.75</v>
      </c>
      <c r="E362" s="709">
        <v>104.96</v>
      </c>
      <c r="F362" s="709">
        <v>2597.7600000000002</v>
      </c>
      <c r="G362" s="709"/>
      <c r="H362" s="711"/>
      <c r="I362" s="711"/>
      <c r="J362" s="711"/>
      <c r="K362" s="711"/>
      <c r="L362" s="711"/>
      <c r="M362" s="711"/>
      <c r="N362" s="711"/>
      <c r="O362" s="710">
        <v>432.78681600000004</v>
      </c>
      <c r="P362" s="710">
        <v>432.78681600000004</v>
      </c>
      <c r="Q362" s="710">
        <v>433.04659200000009</v>
      </c>
      <c r="R362" s="710">
        <v>433.04659200000009</v>
      </c>
      <c r="S362" s="710">
        <v>433.04659200000009</v>
      </c>
      <c r="T362" s="710">
        <v>433.04659200000009</v>
      </c>
      <c r="U362" s="711"/>
      <c r="V362" s="711"/>
    </row>
    <row r="363" spans="1:22" ht="10.5" customHeight="1" x14ac:dyDescent="0.25">
      <c r="A363" s="712"/>
      <c r="B363" s="713"/>
      <c r="C363" s="714"/>
      <c r="D363" s="714"/>
      <c r="E363" s="714"/>
      <c r="F363" s="714"/>
      <c r="G363" s="714"/>
      <c r="H363" s="714"/>
      <c r="I363" s="714"/>
      <c r="J363" s="714"/>
      <c r="K363" s="714"/>
      <c r="L363" s="714"/>
      <c r="M363" s="714"/>
      <c r="N363" s="714"/>
      <c r="O363" s="715">
        <v>4.1233499999999994</v>
      </c>
      <c r="P363" s="715">
        <v>4.1233499999999994</v>
      </c>
      <c r="Q363" s="715">
        <v>4.1258250000000007</v>
      </c>
      <c r="R363" s="715">
        <v>4.1258250000000007</v>
      </c>
      <c r="S363" s="715">
        <v>4.1258250000000007</v>
      </c>
      <c r="T363" s="715">
        <v>4.1258250000000007</v>
      </c>
      <c r="U363" s="714"/>
      <c r="V363" s="714"/>
    </row>
    <row r="364" spans="1:22" ht="10.5" customHeight="1" x14ac:dyDescent="0.25">
      <c r="A364" s="716"/>
      <c r="B364" s="717"/>
      <c r="C364" s="718"/>
      <c r="D364" s="718"/>
      <c r="E364" s="718"/>
      <c r="F364" s="718"/>
      <c r="G364" s="718"/>
      <c r="H364" s="718"/>
      <c r="I364" s="718"/>
      <c r="J364" s="718"/>
      <c r="K364" s="718"/>
      <c r="L364" s="718"/>
      <c r="M364" s="718"/>
      <c r="N364" s="718"/>
      <c r="O364" s="718"/>
      <c r="P364" s="718"/>
      <c r="Q364" s="718"/>
      <c r="R364" s="718"/>
      <c r="S364" s="718"/>
      <c r="T364" s="718"/>
      <c r="U364" s="718"/>
      <c r="V364" s="718"/>
    </row>
    <row r="365" spans="1:22" ht="10.5" customHeight="1" x14ac:dyDescent="0.25">
      <c r="A365" s="707">
        <v>515664</v>
      </c>
      <c r="B365" s="708" t="s">
        <v>1750</v>
      </c>
      <c r="C365" s="707" t="s">
        <v>571</v>
      </c>
      <c r="D365" s="709">
        <v>6</v>
      </c>
      <c r="E365" s="709">
        <v>145.93</v>
      </c>
      <c r="F365" s="709">
        <v>875.58</v>
      </c>
      <c r="G365" s="709"/>
      <c r="H365" s="711"/>
      <c r="I365" s="711"/>
      <c r="J365" s="711"/>
      <c r="K365" s="711"/>
      <c r="L365" s="711"/>
      <c r="M365" s="711"/>
      <c r="N365" s="711"/>
      <c r="O365" s="710">
        <v>145.87162799999999</v>
      </c>
      <c r="P365" s="710">
        <v>145.87162799999999</v>
      </c>
      <c r="Q365" s="710">
        <v>145.95918600000002</v>
      </c>
      <c r="R365" s="710">
        <v>145.95918600000002</v>
      </c>
      <c r="S365" s="710">
        <v>145.95918600000002</v>
      </c>
      <c r="T365" s="710">
        <v>145.95918600000002</v>
      </c>
      <c r="U365" s="711"/>
      <c r="V365" s="711"/>
    </row>
    <row r="366" spans="1:22" ht="10.5" customHeight="1" x14ac:dyDescent="0.25">
      <c r="A366" s="712"/>
      <c r="B366" s="713"/>
      <c r="C366" s="714"/>
      <c r="D366" s="714"/>
      <c r="E366" s="714"/>
      <c r="F366" s="714"/>
      <c r="G366" s="714"/>
      <c r="H366" s="714"/>
      <c r="I366" s="714"/>
      <c r="J366" s="714"/>
      <c r="K366" s="714"/>
      <c r="L366" s="714"/>
      <c r="M366" s="714"/>
      <c r="N366" s="714"/>
      <c r="O366" s="715">
        <v>0.99960000000000004</v>
      </c>
      <c r="P366" s="715">
        <v>0.99960000000000004</v>
      </c>
      <c r="Q366" s="715">
        <v>1.0002000000000002</v>
      </c>
      <c r="R366" s="715">
        <v>1.0002000000000002</v>
      </c>
      <c r="S366" s="715">
        <v>1.0002000000000002</v>
      </c>
      <c r="T366" s="715">
        <v>1.0002000000000002</v>
      </c>
      <c r="U366" s="714"/>
      <c r="V366" s="714"/>
    </row>
    <row r="367" spans="1:22" ht="10.5" customHeight="1" x14ac:dyDescent="0.25">
      <c r="A367" s="716"/>
      <c r="B367" s="717"/>
      <c r="C367" s="718"/>
      <c r="D367" s="718"/>
      <c r="E367" s="718"/>
      <c r="F367" s="718"/>
      <c r="G367" s="718"/>
      <c r="H367" s="718"/>
      <c r="I367" s="718"/>
      <c r="J367" s="718"/>
      <c r="K367" s="718"/>
      <c r="L367" s="718"/>
      <c r="M367" s="718"/>
      <c r="N367" s="718"/>
      <c r="O367" s="718"/>
      <c r="P367" s="718"/>
      <c r="Q367" s="718"/>
      <c r="R367" s="718"/>
      <c r="S367" s="718"/>
      <c r="T367" s="718"/>
      <c r="U367" s="718"/>
      <c r="V367" s="718"/>
    </row>
    <row r="368" spans="1:22" ht="10.5" customHeight="1" x14ac:dyDescent="0.25">
      <c r="A368" s="707">
        <v>515574</v>
      </c>
      <c r="B368" s="708" t="s">
        <v>1076</v>
      </c>
      <c r="C368" s="707" t="s">
        <v>571</v>
      </c>
      <c r="D368" s="709">
        <v>247.5</v>
      </c>
      <c r="E368" s="709">
        <v>85.84</v>
      </c>
      <c r="F368" s="709">
        <v>21245.4</v>
      </c>
      <c r="G368" s="709"/>
      <c r="H368" s="711"/>
      <c r="I368" s="711"/>
      <c r="J368" s="711"/>
      <c r="K368" s="711"/>
      <c r="L368" s="711"/>
      <c r="M368" s="711"/>
      <c r="N368" s="711"/>
      <c r="O368" s="710">
        <v>3539.4836399999999</v>
      </c>
      <c r="P368" s="710">
        <v>3539.4836399999999</v>
      </c>
      <c r="Q368" s="710">
        <v>3541.6081800000011</v>
      </c>
      <c r="R368" s="710">
        <v>3541.6081800000011</v>
      </c>
      <c r="S368" s="710">
        <v>3541.6081800000011</v>
      </c>
      <c r="T368" s="710">
        <v>3541.6081800000011</v>
      </c>
      <c r="U368" s="711"/>
      <c r="V368" s="711"/>
    </row>
    <row r="369" spans="1:22" ht="10.5" customHeight="1" x14ac:dyDescent="0.25">
      <c r="A369" s="712"/>
      <c r="B369" s="713"/>
      <c r="C369" s="714"/>
      <c r="D369" s="714"/>
      <c r="E369" s="714"/>
      <c r="F369" s="714"/>
      <c r="G369" s="714"/>
      <c r="H369" s="714"/>
      <c r="I369" s="714"/>
      <c r="J369" s="714"/>
      <c r="K369" s="714"/>
      <c r="L369" s="714"/>
      <c r="M369" s="714"/>
      <c r="N369" s="714"/>
      <c r="O369" s="715">
        <v>41.233500000000006</v>
      </c>
      <c r="P369" s="715">
        <v>41.233500000000006</v>
      </c>
      <c r="Q369" s="715">
        <v>41.258250000000004</v>
      </c>
      <c r="R369" s="715">
        <v>41.258250000000004</v>
      </c>
      <c r="S369" s="715">
        <v>41.258250000000004</v>
      </c>
      <c r="T369" s="715">
        <v>41.258250000000004</v>
      </c>
      <c r="U369" s="714"/>
      <c r="V369" s="714"/>
    </row>
    <row r="370" spans="1:22" ht="10.5" customHeight="1" x14ac:dyDescent="0.25">
      <c r="A370" s="716"/>
      <c r="B370" s="717"/>
      <c r="C370" s="718"/>
      <c r="D370" s="718"/>
      <c r="E370" s="718"/>
      <c r="F370" s="718"/>
      <c r="G370" s="718"/>
      <c r="H370" s="718"/>
      <c r="I370" s="718"/>
      <c r="J370" s="718"/>
      <c r="K370" s="718"/>
      <c r="L370" s="718"/>
      <c r="M370" s="718"/>
      <c r="N370" s="718"/>
      <c r="O370" s="718"/>
      <c r="P370" s="718"/>
      <c r="Q370" s="718"/>
      <c r="R370" s="718"/>
      <c r="S370" s="718"/>
      <c r="T370" s="718"/>
      <c r="U370" s="718"/>
      <c r="V370" s="718"/>
    </row>
    <row r="371" spans="1:22" s="105" customFormat="1" ht="10.5" customHeight="1" x14ac:dyDescent="0.25">
      <c r="A371" s="704"/>
      <c r="B371" s="719" t="s">
        <v>1077</v>
      </c>
      <c r="C371" s="704"/>
      <c r="D371" s="705"/>
      <c r="E371" s="706">
        <v>0</v>
      </c>
      <c r="F371" s="706">
        <v>103541.16000000002</v>
      </c>
      <c r="G371" s="706"/>
      <c r="H371" s="705"/>
      <c r="I371" s="705"/>
      <c r="J371" s="705"/>
      <c r="K371" s="705"/>
      <c r="L371" s="705"/>
      <c r="M371" s="705"/>
      <c r="N371" s="705"/>
      <c r="O371" s="705"/>
      <c r="P371" s="705"/>
      <c r="Q371" s="705"/>
      <c r="R371" s="705"/>
      <c r="S371" s="705"/>
      <c r="T371" s="705"/>
      <c r="U371" s="705"/>
      <c r="V371" s="705"/>
    </row>
    <row r="372" spans="1:22" ht="10.5" customHeight="1" x14ac:dyDescent="0.25">
      <c r="A372" s="707">
        <v>515629</v>
      </c>
      <c r="B372" s="708" t="s">
        <v>1078</v>
      </c>
      <c r="C372" s="707" t="s">
        <v>683</v>
      </c>
      <c r="D372" s="709">
        <v>70</v>
      </c>
      <c r="E372" s="709">
        <v>185.36</v>
      </c>
      <c r="F372" s="709">
        <v>12975.2</v>
      </c>
      <c r="G372" s="709"/>
      <c r="H372" s="711"/>
      <c r="I372" s="711"/>
      <c r="J372" s="711"/>
      <c r="K372" s="711"/>
      <c r="L372" s="711"/>
      <c r="M372" s="711"/>
      <c r="N372" s="711"/>
      <c r="O372" s="711"/>
      <c r="P372" s="711"/>
      <c r="Q372" s="710">
        <v>2161.6683200000002</v>
      </c>
      <c r="R372" s="710">
        <v>2161.6683200000002</v>
      </c>
      <c r="S372" s="710">
        <v>2162.9658400000003</v>
      </c>
      <c r="T372" s="710">
        <v>2162.9658400000003</v>
      </c>
      <c r="U372" s="710">
        <v>2162.9658400000003</v>
      </c>
      <c r="V372" s="710">
        <v>2162.9658400000003</v>
      </c>
    </row>
    <row r="373" spans="1:22" ht="10.5" customHeight="1" x14ac:dyDescent="0.25">
      <c r="A373" s="712"/>
      <c r="B373" s="713"/>
      <c r="C373" s="714"/>
      <c r="D373" s="714"/>
      <c r="E373" s="714"/>
      <c r="F373" s="714"/>
      <c r="G373" s="714"/>
      <c r="H373" s="714"/>
      <c r="I373" s="714"/>
      <c r="J373" s="714"/>
      <c r="K373" s="714"/>
      <c r="L373" s="714"/>
      <c r="M373" s="714"/>
      <c r="N373" s="714"/>
      <c r="O373" s="714"/>
      <c r="P373" s="714"/>
      <c r="Q373" s="715">
        <v>11.662000000000001</v>
      </c>
      <c r="R373" s="715">
        <v>11.662000000000001</v>
      </c>
      <c r="S373" s="715">
        <v>11.669</v>
      </c>
      <c r="T373" s="715">
        <v>11.669</v>
      </c>
      <c r="U373" s="715">
        <v>11.669</v>
      </c>
      <c r="V373" s="715">
        <v>11.669</v>
      </c>
    </row>
    <row r="374" spans="1:22" ht="10.5" customHeight="1" x14ac:dyDescent="0.25">
      <c r="A374" s="716"/>
      <c r="B374" s="717"/>
      <c r="C374" s="718"/>
      <c r="D374" s="718"/>
      <c r="E374" s="718"/>
      <c r="F374" s="718"/>
      <c r="G374" s="718"/>
      <c r="H374" s="718"/>
      <c r="I374" s="718"/>
      <c r="J374" s="718"/>
      <c r="K374" s="718"/>
      <c r="L374" s="718"/>
      <c r="M374" s="718"/>
      <c r="N374" s="718"/>
      <c r="O374" s="718"/>
      <c r="P374" s="718"/>
      <c r="Q374" s="718"/>
      <c r="R374" s="718"/>
      <c r="S374" s="718"/>
      <c r="T374" s="718"/>
      <c r="U374" s="718"/>
      <c r="V374" s="718"/>
    </row>
    <row r="375" spans="1:22" ht="10.5" customHeight="1" x14ac:dyDescent="0.25">
      <c r="A375" s="707">
        <v>515628</v>
      </c>
      <c r="B375" s="708" t="s">
        <v>1079</v>
      </c>
      <c r="C375" s="707" t="s">
        <v>683</v>
      </c>
      <c r="D375" s="709">
        <v>93.09</v>
      </c>
      <c r="E375" s="709">
        <v>179.74</v>
      </c>
      <c r="F375" s="709">
        <v>16732</v>
      </c>
      <c r="G375" s="709"/>
      <c r="H375" s="711"/>
      <c r="I375" s="711"/>
      <c r="J375" s="711"/>
      <c r="K375" s="711"/>
      <c r="L375" s="711"/>
      <c r="M375" s="711"/>
      <c r="N375" s="711"/>
      <c r="O375" s="711"/>
      <c r="P375" s="711"/>
      <c r="Q375" s="710">
        <v>2787.5511999999999</v>
      </c>
      <c r="R375" s="710">
        <v>2787.5511999999999</v>
      </c>
      <c r="S375" s="710">
        <v>2789.2244000000001</v>
      </c>
      <c r="T375" s="710">
        <v>2789.2244000000001</v>
      </c>
      <c r="U375" s="710">
        <v>2789.2244000000001</v>
      </c>
      <c r="V375" s="710">
        <v>2789.2244000000001</v>
      </c>
    </row>
    <row r="376" spans="1:22" ht="10.5" customHeight="1" x14ac:dyDescent="0.25">
      <c r="A376" s="712"/>
      <c r="B376" s="713"/>
      <c r="C376" s="714"/>
      <c r="D376" s="714"/>
      <c r="E376" s="714"/>
      <c r="F376" s="714"/>
      <c r="G376" s="714"/>
      <c r="H376" s="714"/>
      <c r="I376" s="714"/>
      <c r="J376" s="714"/>
      <c r="K376" s="714"/>
      <c r="L376" s="714"/>
      <c r="M376" s="714"/>
      <c r="N376" s="714"/>
      <c r="O376" s="714"/>
      <c r="P376" s="714"/>
      <c r="Q376" s="715">
        <v>15.508794</v>
      </c>
      <c r="R376" s="715">
        <v>15.508794</v>
      </c>
      <c r="S376" s="715">
        <v>15.518103000000004</v>
      </c>
      <c r="T376" s="715">
        <v>15.518103000000004</v>
      </c>
      <c r="U376" s="715">
        <v>15.518103000000004</v>
      </c>
      <c r="V376" s="715">
        <v>15.518103000000004</v>
      </c>
    </row>
    <row r="377" spans="1:22" ht="10.5" customHeight="1" x14ac:dyDescent="0.25">
      <c r="A377" s="716"/>
      <c r="B377" s="717"/>
      <c r="C377" s="718"/>
      <c r="D377" s="718"/>
      <c r="E377" s="718"/>
      <c r="F377" s="718"/>
      <c r="G377" s="718"/>
      <c r="H377" s="718"/>
      <c r="I377" s="718"/>
      <c r="J377" s="718"/>
      <c r="K377" s="718"/>
      <c r="L377" s="718"/>
      <c r="M377" s="718"/>
      <c r="N377" s="718"/>
      <c r="O377" s="718"/>
      <c r="P377" s="718"/>
      <c r="Q377" s="718"/>
      <c r="R377" s="718"/>
      <c r="S377" s="718"/>
      <c r="T377" s="718"/>
      <c r="U377" s="718"/>
      <c r="V377" s="718"/>
    </row>
    <row r="378" spans="1:22" ht="10.5" customHeight="1" x14ac:dyDescent="0.25">
      <c r="A378" s="707">
        <v>515630</v>
      </c>
      <c r="B378" s="708" t="s">
        <v>1080</v>
      </c>
      <c r="C378" s="707" t="s">
        <v>683</v>
      </c>
      <c r="D378" s="709">
        <v>74</v>
      </c>
      <c r="E378" s="709">
        <v>174.13</v>
      </c>
      <c r="F378" s="709">
        <v>12885.62</v>
      </c>
      <c r="G378" s="709"/>
      <c r="H378" s="711"/>
      <c r="I378" s="711"/>
      <c r="J378" s="711"/>
      <c r="K378" s="711"/>
      <c r="L378" s="711"/>
      <c r="M378" s="711"/>
      <c r="N378" s="711"/>
      <c r="O378" s="711"/>
      <c r="P378" s="711"/>
      <c r="Q378" s="710">
        <v>2146.7442920000003</v>
      </c>
      <c r="R378" s="710">
        <v>2146.7442920000003</v>
      </c>
      <c r="S378" s="710">
        <v>2148.032854</v>
      </c>
      <c r="T378" s="710">
        <v>2148.032854</v>
      </c>
      <c r="U378" s="710">
        <v>2148.032854</v>
      </c>
      <c r="V378" s="710">
        <v>2148.032854</v>
      </c>
    </row>
    <row r="379" spans="1:22" ht="10.5" customHeight="1" x14ac:dyDescent="0.25">
      <c r="A379" s="712"/>
      <c r="B379" s="713"/>
      <c r="C379" s="714"/>
      <c r="D379" s="714"/>
      <c r="E379" s="714"/>
      <c r="F379" s="714"/>
      <c r="G379" s="714"/>
      <c r="H379" s="714"/>
      <c r="I379" s="714"/>
      <c r="J379" s="714"/>
      <c r="K379" s="714"/>
      <c r="L379" s="714"/>
      <c r="M379" s="714"/>
      <c r="N379" s="714"/>
      <c r="O379" s="714"/>
      <c r="P379" s="714"/>
      <c r="Q379" s="715">
        <v>12.328399999999998</v>
      </c>
      <c r="R379" s="715">
        <v>12.328399999999998</v>
      </c>
      <c r="S379" s="715">
        <v>12.335800000000001</v>
      </c>
      <c r="T379" s="715">
        <v>12.335800000000001</v>
      </c>
      <c r="U379" s="715">
        <v>12.335800000000001</v>
      </c>
      <c r="V379" s="715">
        <v>12.335800000000001</v>
      </c>
    </row>
    <row r="380" spans="1:22" ht="10.5" customHeight="1" x14ac:dyDescent="0.25">
      <c r="A380" s="716"/>
      <c r="B380" s="717"/>
      <c r="C380" s="718"/>
      <c r="D380" s="718"/>
      <c r="E380" s="718"/>
      <c r="F380" s="718"/>
      <c r="G380" s="718"/>
      <c r="H380" s="718"/>
      <c r="I380" s="718"/>
      <c r="J380" s="718"/>
      <c r="K380" s="718"/>
      <c r="L380" s="718"/>
      <c r="M380" s="718"/>
      <c r="N380" s="718"/>
      <c r="O380" s="718"/>
      <c r="P380" s="718"/>
      <c r="Q380" s="718"/>
      <c r="R380" s="718"/>
      <c r="S380" s="718"/>
      <c r="T380" s="718"/>
      <c r="U380" s="718"/>
      <c r="V380" s="718"/>
    </row>
    <row r="381" spans="1:22" ht="10.5" customHeight="1" x14ac:dyDescent="0.25">
      <c r="A381" s="707">
        <v>515631</v>
      </c>
      <c r="B381" s="708" t="s">
        <v>1081</v>
      </c>
      <c r="C381" s="707" t="s">
        <v>571</v>
      </c>
      <c r="D381" s="709">
        <v>305.22000000000003</v>
      </c>
      <c r="E381" s="709">
        <v>117.96</v>
      </c>
      <c r="F381" s="709">
        <v>36003.75</v>
      </c>
      <c r="G381" s="709"/>
      <c r="H381" s="711"/>
      <c r="I381" s="711"/>
      <c r="J381" s="711"/>
      <c r="K381" s="711"/>
      <c r="L381" s="711"/>
      <c r="M381" s="711"/>
      <c r="N381" s="711"/>
      <c r="O381" s="711"/>
      <c r="P381" s="711"/>
      <c r="Q381" s="710">
        <v>5998.2247499999994</v>
      </c>
      <c r="R381" s="710">
        <v>5998.2247499999994</v>
      </c>
      <c r="S381" s="710">
        <v>6001.8251250000003</v>
      </c>
      <c r="T381" s="710">
        <v>6001.8251250000003</v>
      </c>
      <c r="U381" s="710">
        <v>6001.8251250000003</v>
      </c>
      <c r="V381" s="710">
        <v>6001.8251250000003</v>
      </c>
    </row>
    <row r="382" spans="1:22" ht="10.5" customHeight="1" x14ac:dyDescent="0.25">
      <c r="A382" s="712"/>
      <c r="B382" s="713"/>
      <c r="C382" s="714"/>
      <c r="D382" s="714"/>
      <c r="E382" s="714"/>
      <c r="F382" s="714"/>
      <c r="G382" s="714"/>
      <c r="H382" s="714"/>
      <c r="I382" s="714"/>
      <c r="J382" s="714"/>
      <c r="K382" s="714"/>
      <c r="L382" s="714"/>
      <c r="M382" s="714"/>
      <c r="N382" s="714"/>
      <c r="O382" s="714"/>
      <c r="P382" s="714"/>
      <c r="Q382" s="715">
        <v>50.849652000000006</v>
      </c>
      <c r="R382" s="715">
        <v>50.849652000000006</v>
      </c>
      <c r="S382" s="715">
        <v>50.880174000000004</v>
      </c>
      <c r="T382" s="715">
        <v>50.880174000000004</v>
      </c>
      <c r="U382" s="715">
        <v>50.880174000000004</v>
      </c>
      <c r="V382" s="715">
        <v>50.880174000000004</v>
      </c>
    </row>
    <row r="383" spans="1:22" ht="10.5" customHeight="1" x14ac:dyDescent="0.25">
      <c r="A383" s="716"/>
      <c r="B383" s="717"/>
      <c r="C383" s="718"/>
      <c r="D383" s="718"/>
      <c r="E383" s="718"/>
      <c r="F383" s="718"/>
      <c r="G383" s="718"/>
      <c r="H383" s="718"/>
      <c r="I383" s="718"/>
      <c r="J383" s="718"/>
      <c r="K383" s="718"/>
      <c r="L383" s="718"/>
      <c r="M383" s="718"/>
      <c r="N383" s="718"/>
      <c r="O383" s="718"/>
      <c r="P383" s="718"/>
      <c r="Q383" s="718"/>
      <c r="R383" s="718"/>
      <c r="S383" s="718"/>
      <c r="T383" s="718"/>
      <c r="U383" s="718"/>
      <c r="V383" s="718"/>
    </row>
    <row r="384" spans="1:22" ht="10.5" customHeight="1" x14ac:dyDescent="0.25">
      <c r="A384" s="707">
        <v>515632</v>
      </c>
      <c r="B384" s="708" t="s">
        <v>1082</v>
      </c>
      <c r="C384" s="707" t="s">
        <v>571</v>
      </c>
      <c r="D384" s="709">
        <v>57.59</v>
      </c>
      <c r="E384" s="709">
        <v>73.02</v>
      </c>
      <c r="F384" s="709">
        <v>4205.22</v>
      </c>
      <c r="G384" s="709"/>
      <c r="H384" s="711"/>
      <c r="I384" s="711"/>
      <c r="J384" s="711"/>
      <c r="K384" s="711"/>
      <c r="L384" s="711"/>
      <c r="M384" s="711"/>
      <c r="N384" s="711"/>
      <c r="O384" s="711"/>
      <c r="P384" s="711"/>
      <c r="Q384" s="710">
        <v>700.58965200000011</v>
      </c>
      <c r="R384" s="710">
        <v>700.58965200000011</v>
      </c>
      <c r="S384" s="710">
        <v>701.01017400000012</v>
      </c>
      <c r="T384" s="710">
        <v>701.01017400000012</v>
      </c>
      <c r="U384" s="710">
        <v>701.01017400000012</v>
      </c>
      <c r="V384" s="710">
        <v>701.01017400000012</v>
      </c>
    </row>
    <row r="385" spans="1:22" ht="10.5" customHeight="1" x14ac:dyDescent="0.25">
      <c r="A385" s="712"/>
      <c r="B385" s="713"/>
      <c r="C385" s="714"/>
      <c r="D385" s="714"/>
      <c r="E385" s="714"/>
      <c r="F385" s="714"/>
      <c r="G385" s="714"/>
      <c r="H385" s="714"/>
      <c r="I385" s="714"/>
      <c r="J385" s="714"/>
      <c r="K385" s="714"/>
      <c r="L385" s="714"/>
      <c r="M385" s="714"/>
      <c r="N385" s="714"/>
      <c r="O385" s="714"/>
      <c r="P385" s="714"/>
      <c r="Q385" s="715">
        <v>9.594494000000001</v>
      </c>
      <c r="R385" s="715">
        <v>9.594494000000001</v>
      </c>
      <c r="S385" s="715">
        <v>9.6002530000000021</v>
      </c>
      <c r="T385" s="715">
        <v>9.6002530000000021</v>
      </c>
      <c r="U385" s="715">
        <v>9.6002530000000021</v>
      </c>
      <c r="V385" s="715">
        <v>9.6002530000000021</v>
      </c>
    </row>
    <row r="386" spans="1:22" ht="10.5" customHeight="1" x14ac:dyDescent="0.25">
      <c r="A386" s="716"/>
      <c r="B386" s="717"/>
      <c r="C386" s="718"/>
      <c r="D386" s="718"/>
      <c r="E386" s="718"/>
      <c r="F386" s="718"/>
      <c r="G386" s="718"/>
      <c r="H386" s="718"/>
      <c r="I386" s="718"/>
      <c r="J386" s="718"/>
      <c r="K386" s="718"/>
      <c r="L386" s="718"/>
      <c r="M386" s="718"/>
      <c r="N386" s="718"/>
      <c r="O386" s="718"/>
      <c r="P386" s="718"/>
      <c r="Q386" s="718"/>
      <c r="R386" s="718"/>
      <c r="S386" s="718"/>
      <c r="T386" s="718"/>
      <c r="U386" s="718"/>
      <c r="V386" s="718"/>
    </row>
    <row r="387" spans="1:22" ht="10.5" customHeight="1" x14ac:dyDescent="0.25">
      <c r="A387" s="707">
        <v>505084</v>
      </c>
      <c r="B387" s="708" t="s">
        <v>1083</v>
      </c>
      <c r="C387" s="707" t="s">
        <v>571</v>
      </c>
      <c r="D387" s="709">
        <v>123.6</v>
      </c>
      <c r="E387" s="709">
        <v>89.27</v>
      </c>
      <c r="F387" s="709">
        <v>11033.77</v>
      </c>
      <c r="G387" s="709"/>
      <c r="H387" s="711"/>
      <c r="I387" s="711"/>
      <c r="J387" s="711"/>
      <c r="K387" s="711"/>
      <c r="L387" s="711"/>
      <c r="M387" s="711"/>
      <c r="N387" s="711"/>
      <c r="O387" s="711"/>
      <c r="P387" s="711"/>
      <c r="Q387" s="710">
        <v>1838.2260820000001</v>
      </c>
      <c r="R387" s="710">
        <v>1838.2260820000001</v>
      </c>
      <c r="S387" s="710">
        <v>1839.3294590000003</v>
      </c>
      <c r="T387" s="710">
        <v>1839.3294590000003</v>
      </c>
      <c r="U387" s="710">
        <v>1839.3294590000003</v>
      </c>
      <c r="V387" s="710">
        <v>1839.3294590000003</v>
      </c>
    </row>
    <row r="388" spans="1:22" ht="10.5" customHeight="1" x14ac:dyDescent="0.25">
      <c r="A388" s="712"/>
      <c r="B388" s="713"/>
      <c r="C388" s="714"/>
      <c r="D388" s="714"/>
      <c r="E388" s="714"/>
      <c r="F388" s="714"/>
      <c r="G388" s="714"/>
      <c r="H388" s="714"/>
      <c r="I388" s="714"/>
      <c r="J388" s="714"/>
      <c r="K388" s="714"/>
      <c r="L388" s="714"/>
      <c r="M388" s="714"/>
      <c r="N388" s="714"/>
      <c r="O388" s="714"/>
      <c r="P388" s="714"/>
      <c r="Q388" s="715">
        <v>20.591760000000001</v>
      </c>
      <c r="R388" s="715">
        <v>20.591760000000001</v>
      </c>
      <c r="S388" s="715">
        <v>20.604120000000002</v>
      </c>
      <c r="T388" s="715">
        <v>20.604120000000002</v>
      </c>
      <c r="U388" s="715">
        <v>20.604120000000002</v>
      </c>
      <c r="V388" s="715">
        <v>20.604120000000002</v>
      </c>
    </row>
    <row r="389" spans="1:22" ht="10.5" customHeight="1" x14ac:dyDescent="0.25">
      <c r="A389" s="716"/>
      <c r="B389" s="717"/>
      <c r="C389" s="718"/>
      <c r="D389" s="718"/>
      <c r="E389" s="718"/>
      <c r="F389" s="718"/>
      <c r="G389" s="718"/>
      <c r="H389" s="718"/>
      <c r="I389" s="718"/>
      <c r="J389" s="718"/>
      <c r="K389" s="718"/>
      <c r="L389" s="718"/>
      <c r="M389" s="718"/>
      <c r="N389" s="718"/>
      <c r="O389" s="718"/>
      <c r="P389" s="718"/>
      <c r="Q389" s="718"/>
      <c r="R389" s="718"/>
      <c r="S389" s="718"/>
      <c r="T389" s="718"/>
      <c r="U389" s="718"/>
      <c r="V389" s="718"/>
    </row>
    <row r="390" spans="1:22" ht="10.5" customHeight="1" x14ac:dyDescent="0.25">
      <c r="A390" s="707">
        <v>505321</v>
      </c>
      <c r="B390" s="708" t="s">
        <v>1084</v>
      </c>
      <c r="C390" s="707" t="s">
        <v>683</v>
      </c>
      <c r="D390" s="709">
        <v>144</v>
      </c>
      <c r="E390" s="709">
        <v>67.400000000000006</v>
      </c>
      <c r="F390" s="709">
        <v>9705.6</v>
      </c>
      <c r="G390" s="709"/>
      <c r="H390" s="711"/>
      <c r="I390" s="711"/>
      <c r="J390" s="711"/>
      <c r="K390" s="711"/>
      <c r="L390" s="711"/>
      <c r="M390" s="711"/>
      <c r="N390" s="711"/>
      <c r="O390" s="711"/>
      <c r="P390" s="711"/>
      <c r="Q390" s="710">
        <v>1616.9529600000001</v>
      </c>
      <c r="R390" s="710">
        <v>1616.9529600000001</v>
      </c>
      <c r="S390" s="710">
        <v>1617.9235200000001</v>
      </c>
      <c r="T390" s="710">
        <v>1617.9235200000001</v>
      </c>
      <c r="U390" s="710">
        <v>1617.9235200000001</v>
      </c>
      <c r="V390" s="710">
        <v>1617.9235200000001</v>
      </c>
    </row>
    <row r="391" spans="1:22" ht="10.5" customHeight="1" x14ac:dyDescent="0.25">
      <c r="A391" s="712"/>
      <c r="B391" s="713"/>
      <c r="C391" s="714"/>
      <c r="D391" s="714"/>
      <c r="E391" s="714"/>
      <c r="F391" s="714"/>
      <c r="G391" s="714"/>
      <c r="H391" s="714"/>
      <c r="I391" s="714"/>
      <c r="J391" s="714"/>
      <c r="K391" s="714"/>
      <c r="L391" s="714"/>
      <c r="M391" s="714"/>
      <c r="N391" s="714"/>
      <c r="O391" s="714"/>
      <c r="P391" s="714"/>
      <c r="Q391" s="715">
        <v>23.990400000000001</v>
      </c>
      <c r="R391" s="715">
        <v>23.990400000000001</v>
      </c>
      <c r="S391" s="715">
        <v>24.004800000000003</v>
      </c>
      <c r="T391" s="715">
        <v>24.004800000000003</v>
      </c>
      <c r="U391" s="715">
        <v>24.004800000000003</v>
      </c>
      <c r="V391" s="715">
        <v>24.004800000000003</v>
      </c>
    </row>
    <row r="392" spans="1:22" ht="10.5" customHeight="1" x14ac:dyDescent="0.25">
      <c r="A392" s="716"/>
      <c r="B392" s="717"/>
      <c r="C392" s="718"/>
      <c r="D392" s="718"/>
      <c r="E392" s="718"/>
      <c r="F392" s="718"/>
      <c r="G392" s="718"/>
      <c r="H392" s="718"/>
      <c r="I392" s="718"/>
      <c r="J392" s="718"/>
      <c r="K392" s="718"/>
      <c r="L392" s="718"/>
      <c r="M392" s="718"/>
      <c r="N392" s="718"/>
      <c r="O392" s="718"/>
      <c r="P392" s="718"/>
      <c r="Q392" s="718"/>
      <c r="R392" s="718"/>
      <c r="S392" s="718"/>
      <c r="T392" s="718"/>
      <c r="U392" s="718"/>
      <c r="V392" s="718"/>
    </row>
    <row r="393" spans="1:22" s="105" customFormat="1" ht="10.5" customHeight="1" x14ac:dyDescent="0.25">
      <c r="A393" s="704"/>
      <c r="B393" s="719" t="s">
        <v>1085</v>
      </c>
      <c r="C393" s="704"/>
      <c r="D393" s="705"/>
      <c r="E393" s="706">
        <v>0</v>
      </c>
      <c r="F393" s="706">
        <v>68390.150000000009</v>
      </c>
      <c r="G393" s="706"/>
      <c r="H393" s="705"/>
      <c r="I393" s="705"/>
      <c r="J393" s="705"/>
      <c r="K393" s="705"/>
      <c r="L393" s="705"/>
      <c r="M393" s="705"/>
      <c r="N393" s="705"/>
      <c r="O393" s="705"/>
      <c r="P393" s="705"/>
      <c r="Q393" s="705"/>
      <c r="R393" s="705"/>
      <c r="S393" s="705"/>
      <c r="T393" s="705"/>
      <c r="U393" s="705"/>
      <c r="V393" s="705"/>
    </row>
    <row r="394" spans="1:22" ht="10.5" customHeight="1" x14ac:dyDescent="0.25">
      <c r="A394" s="707">
        <v>502883</v>
      </c>
      <c r="B394" s="708" t="s">
        <v>1086</v>
      </c>
      <c r="C394" s="707" t="s">
        <v>1066</v>
      </c>
      <c r="D394" s="709">
        <v>150</v>
      </c>
      <c r="E394" s="709">
        <v>7.4700000000000006</v>
      </c>
      <c r="F394" s="709">
        <v>1120.5</v>
      </c>
      <c r="G394" s="709"/>
      <c r="H394" s="711"/>
      <c r="I394" s="711"/>
      <c r="J394" s="711"/>
      <c r="K394" s="711"/>
      <c r="L394" s="711"/>
      <c r="M394" s="711"/>
      <c r="N394" s="711"/>
      <c r="O394" s="711"/>
      <c r="P394" s="711"/>
      <c r="Q394" s="710">
        <v>186.67529999999999</v>
      </c>
      <c r="R394" s="710">
        <v>186.67529999999999</v>
      </c>
      <c r="S394" s="710">
        <v>186.78735</v>
      </c>
      <c r="T394" s="710">
        <v>186.78735</v>
      </c>
      <c r="U394" s="710">
        <v>186.78735</v>
      </c>
      <c r="V394" s="710">
        <v>186.78735</v>
      </c>
    </row>
    <row r="395" spans="1:22" ht="10.5" customHeight="1" x14ac:dyDescent="0.25">
      <c r="A395" s="712"/>
      <c r="B395" s="713"/>
      <c r="C395" s="714"/>
      <c r="D395" s="714"/>
      <c r="E395" s="714"/>
      <c r="F395" s="714"/>
      <c r="G395" s="714"/>
      <c r="H395" s="714"/>
      <c r="I395" s="714"/>
      <c r="J395" s="714"/>
      <c r="K395" s="714"/>
      <c r="L395" s="714"/>
      <c r="M395" s="714"/>
      <c r="N395" s="714"/>
      <c r="O395" s="714"/>
      <c r="P395" s="714"/>
      <c r="Q395" s="715">
        <v>24.99</v>
      </c>
      <c r="R395" s="715">
        <v>24.99</v>
      </c>
      <c r="S395" s="715">
        <v>25.005000000000006</v>
      </c>
      <c r="T395" s="715">
        <v>25.005000000000006</v>
      </c>
      <c r="U395" s="715">
        <v>25.005000000000006</v>
      </c>
      <c r="V395" s="715">
        <v>25.005000000000006</v>
      </c>
    </row>
    <row r="396" spans="1:22" ht="10.5" customHeight="1" x14ac:dyDescent="0.25">
      <c r="A396" s="716"/>
      <c r="B396" s="717"/>
      <c r="C396" s="718"/>
      <c r="D396" s="718"/>
      <c r="E396" s="718"/>
      <c r="F396" s="718"/>
      <c r="G396" s="718"/>
      <c r="H396" s="718"/>
      <c r="I396" s="718"/>
      <c r="J396" s="718"/>
      <c r="K396" s="718"/>
      <c r="L396" s="718"/>
      <c r="M396" s="718"/>
      <c r="N396" s="718"/>
      <c r="O396" s="718"/>
      <c r="P396" s="718"/>
      <c r="Q396" s="718"/>
      <c r="R396" s="718"/>
      <c r="S396" s="718"/>
      <c r="T396" s="718"/>
      <c r="U396" s="718"/>
      <c r="V396" s="718"/>
    </row>
    <row r="397" spans="1:22" ht="10.5" customHeight="1" x14ac:dyDescent="0.25">
      <c r="A397" s="707">
        <v>502884</v>
      </c>
      <c r="B397" s="708" t="s">
        <v>1087</v>
      </c>
      <c r="C397" s="707" t="s">
        <v>1066</v>
      </c>
      <c r="D397" s="709">
        <v>20</v>
      </c>
      <c r="E397" s="709">
        <v>8.18</v>
      </c>
      <c r="F397" s="709">
        <v>163.6</v>
      </c>
      <c r="G397" s="709"/>
      <c r="H397" s="711"/>
      <c r="I397" s="711"/>
      <c r="J397" s="711"/>
      <c r="K397" s="711"/>
      <c r="L397" s="711"/>
      <c r="M397" s="711"/>
      <c r="N397" s="711"/>
      <c r="O397" s="711"/>
      <c r="P397" s="711"/>
      <c r="Q397" s="710">
        <v>27.255759999999999</v>
      </c>
      <c r="R397" s="710">
        <v>27.255759999999999</v>
      </c>
      <c r="S397" s="710">
        <v>27.272120000000001</v>
      </c>
      <c r="T397" s="710">
        <v>27.272120000000001</v>
      </c>
      <c r="U397" s="710">
        <v>27.272120000000001</v>
      </c>
      <c r="V397" s="710">
        <v>27.272120000000001</v>
      </c>
    </row>
    <row r="398" spans="1:22" ht="10.5" customHeight="1" x14ac:dyDescent="0.25">
      <c r="A398" s="712"/>
      <c r="B398" s="713"/>
      <c r="C398" s="714"/>
      <c r="D398" s="714"/>
      <c r="E398" s="714"/>
      <c r="F398" s="714"/>
      <c r="G398" s="714"/>
      <c r="H398" s="714"/>
      <c r="I398" s="714"/>
      <c r="J398" s="714"/>
      <c r="K398" s="714"/>
      <c r="L398" s="714"/>
      <c r="M398" s="714"/>
      <c r="N398" s="714"/>
      <c r="O398" s="714"/>
      <c r="P398" s="714"/>
      <c r="Q398" s="715">
        <v>3.3319999999999999</v>
      </c>
      <c r="R398" s="715">
        <v>3.3319999999999999</v>
      </c>
      <c r="S398" s="715">
        <v>3.3340000000000005</v>
      </c>
      <c r="T398" s="715">
        <v>3.3340000000000005</v>
      </c>
      <c r="U398" s="715">
        <v>3.3340000000000005</v>
      </c>
      <c r="V398" s="715">
        <v>3.3340000000000005</v>
      </c>
    </row>
    <row r="399" spans="1:22" ht="10.5" customHeight="1" x14ac:dyDescent="0.25">
      <c r="A399" s="716"/>
      <c r="B399" s="717"/>
      <c r="C399" s="718"/>
      <c r="D399" s="718"/>
      <c r="E399" s="718"/>
      <c r="F399" s="718"/>
      <c r="G399" s="718"/>
      <c r="H399" s="718"/>
      <c r="I399" s="718"/>
      <c r="J399" s="718"/>
      <c r="K399" s="718"/>
      <c r="L399" s="718"/>
      <c r="M399" s="718"/>
      <c r="N399" s="718"/>
      <c r="O399" s="718"/>
      <c r="P399" s="718"/>
      <c r="Q399" s="718"/>
      <c r="R399" s="718"/>
      <c r="S399" s="718"/>
      <c r="T399" s="718"/>
      <c r="U399" s="718"/>
      <c r="V399" s="718"/>
    </row>
    <row r="400" spans="1:22" ht="10.5" customHeight="1" x14ac:dyDescent="0.25">
      <c r="A400" s="707">
        <v>502885</v>
      </c>
      <c r="B400" s="708" t="s">
        <v>1088</v>
      </c>
      <c r="C400" s="707" t="s">
        <v>1066</v>
      </c>
      <c r="D400" s="709">
        <v>23</v>
      </c>
      <c r="E400" s="709">
        <v>10.87</v>
      </c>
      <c r="F400" s="709">
        <v>250.01</v>
      </c>
      <c r="G400" s="709"/>
      <c r="H400" s="711"/>
      <c r="I400" s="711"/>
      <c r="J400" s="711"/>
      <c r="K400" s="711"/>
      <c r="L400" s="711"/>
      <c r="M400" s="711"/>
      <c r="N400" s="711"/>
      <c r="O400" s="711"/>
      <c r="P400" s="711"/>
      <c r="Q400" s="710">
        <v>41.651665999999999</v>
      </c>
      <c r="R400" s="710">
        <v>41.651665999999999</v>
      </c>
      <c r="S400" s="710">
        <v>41.676667000000009</v>
      </c>
      <c r="T400" s="710">
        <v>41.676667000000009</v>
      </c>
      <c r="U400" s="710">
        <v>41.676667000000009</v>
      </c>
      <c r="V400" s="710">
        <v>41.676667000000009</v>
      </c>
    </row>
    <row r="401" spans="1:22" ht="10.5" customHeight="1" x14ac:dyDescent="0.25">
      <c r="A401" s="712"/>
      <c r="B401" s="713"/>
      <c r="C401" s="714"/>
      <c r="D401" s="714"/>
      <c r="E401" s="714"/>
      <c r="F401" s="714"/>
      <c r="G401" s="714"/>
      <c r="H401" s="714"/>
      <c r="I401" s="714"/>
      <c r="J401" s="714"/>
      <c r="K401" s="714"/>
      <c r="L401" s="714"/>
      <c r="M401" s="714"/>
      <c r="N401" s="714"/>
      <c r="O401" s="714"/>
      <c r="P401" s="714"/>
      <c r="Q401" s="715">
        <v>3.8317999999999999</v>
      </c>
      <c r="R401" s="715">
        <v>3.8317999999999999</v>
      </c>
      <c r="S401" s="715">
        <v>3.8341000000000003</v>
      </c>
      <c r="T401" s="715">
        <v>3.8341000000000003</v>
      </c>
      <c r="U401" s="715">
        <v>3.8341000000000003</v>
      </c>
      <c r="V401" s="715">
        <v>3.8341000000000003</v>
      </c>
    </row>
    <row r="402" spans="1:22" ht="10.5" customHeight="1" x14ac:dyDescent="0.25">
      <c r="A402" s="716"/>
      <c r="B402" s="717"/>
      <c r="C402" s="718"/>
      <c r="D402" s="718"/>
      <c r="E402" s="718"/>
      <c r="F402" s="718"/>
      <c r="G402" s="718"/>
      <c r="H402" s="718"/>
      <c r="I402" s="718"/>
      <c r="J402" s="718"/>
      <c r="K402" s="718"/>
      <c r="L402" s="718"/>
      <c r="M402" s="718"/>
      <c r="N402" s="718"/>
      <c r="O402" s="718"/>
      <c r="P402" s="718"/>
      <c r="Q402" s="718"/>
      <c r="R402" s="718"/>
      <c r="S402" s="718"/>
      <c r="T402" s="718"/>
      <c r="U402" s="718"/>
      <c r="V402" s="718"/>
    </row>
    <row r="403" spans="1:22" ht="10.5" customHeight="1" x14ac:dyDescent="0.25">
      <c r="A403" s="707">
        <v>515675</v>
      </c>
      <c r="B403" s="708" t="s">
        <v>1089</v>
      </c>
      <c r="C403" s="707" t="s">
        <v>1066</v>
      </c>
      <c r="D403" s="709">
        <v>97</v>
      </c>
      <c r="E403" s="709">
        <v>148.5</v>
      </c>
      <c r="F403" s="709">
        <v>14404.5</v>
      </c>
      <c r="G403" s="709"/>
      <c r="H403" s="711"/>
      <c r="I403" s="711"/>
      <c r="J403" s="711"/>
      <c r="K403" s="711"/>
      <c r="L403" s="711"/>
      <c r="M403" s="711"/>
      <c r="N403" s="711"/>
      <c r="O403" s="711"/>
      <c r="P403" s="711"/>
      <c r="Q403" s="710">
        <v>2399.7896999999998</v>
      </c>
      <c r="R403" s="710">
        <v>2399.7896999999998</v>
      </c>
      <c r="S403" s="710">
        <v>2401.2301500000003</v>
      </c>
      <c r="T403" s="710">
        <v>2401.2301500000003</v>
      </c>
      <c r="U403" s="710">
        <v>2401.2301500000003</v>
      </c>
      <c r="V403" s="710">
        <v>2401.2301500000003</v>
      </c>
    </row>
    <row r="404" spans="1:22" ht="10.5" customHeight="1" x14ac:dyDescent="0.25">
      <c r="A404" s="712"/>
      <c r="B404" s="713"/>
      <c r="C404" s="714"/>
      <c r="D404" s="714"/>
      <c r="E404" s="714"/>
      <c r="F404" s="714"/>
      <c r="G404" s="714"/>
      <c r="H404" s="714"/>
      <c r="I404" s="714"/>
      <c r="J404" s="714"/>
      <c r="K404" s="714"/>
      <c r="L404" s="714"/>
      <c r="M404" s="714"/>
      <c r="N404" s="714"/>
      <c r="O404" s="714"/>
      <c r="P404" s="714"/>
      <c r="Q404" s="715">
        <v>16.1602</v>
      </c>
      <c r="R404" s="715">
        <v>16.1602</v>
      </c>
      <c r="S404" s="715">
        <v>16.169900000000002</v>
      </c>
      <c r="T404" s="715">
        <v>16.169900000000002</v>
      </c>
      <c r="U404" s="715">
        <v>16.169900000000002</v>
      </c>
      <c r="V404" s="715">
        <v>16.169900000000002</v>
      </c>
    </row>
    <row r="405" spans="1:22" ht="10.5" customHeight="1" x14ac:dyDescent="0.25">
      <c r="A405" s="716"/>
      <c r="B405" s="717"/>
      <c r="C405" s="718"/>
      <c r="D405" s="718"/>
      <c r="E405" s="718"/>
      <c r="F405" s="718"/>
      <c r="G405" s="718"/>
      <c r="H405" s="718"/>
      <c r="I405" s="718"/>
      <c r="J405" s="718"/>
      <c r="K405" s="718"/>
      <c r="L405" s="718"/>
      <c r="M405" s="718"/>
      <c r="N405" s="718"/>
      <c r="O405" s="718"/>
      <c r="P405" s="718"/>
      <c r="Q405" s="718"/>
      <c r="R405" s="718"/>
      <c r="S405" s="718"/>
      <c r="T405" s="718"/>
      <c r="U405" s="718"/>
      <c r="V405" s="718"/>
    </row>
    <row r="406" spans="1:22" ht="10.5" customHeight="1" x14ac:dyDescent="0.25">
      <c r="A406" s="707">
        <v>502992</v>
      </c>
      <c r="B406" s="708" t="s">
        <v>1090</v>
      </c>
      <c r="C406" s="707" t="s">
        <v>1066</v>
      </c>
      <c r="D406" s="709">
        <v>103</v>
      </c>
      <c r="E406" s="709">
        <v>66.36</v>
      </c>
      <c r="F406" s="709">
        <v>6835.08</v>
      </c>
      <c r="G406" s="709"/>
      <c r="H406" s="711"/>
      <c r="I406" s="711"/>
      <c r="J406" s="711"/>
      <c r="K406" s="711"/>
      <c r="L406" s="711"/>
      <c r="M406" s="711"/>
      <c r="N406" s="711"/>
      <c r="O406" s="711"/>
      <c r="P406" s="711"/>
      <c r="Q406" s="710">
        <v>1138.724328</v>
      </c>
      <c r="R406" s="710">
        <v>1138.724328</v>
      </c>
      <c r="S406" s="710">
        <v>1139.4078360000001</v>
      </c>
      <c r="T406" s="710">
        <v>1139.4078360000001</v>
      </c>
      <c r="U406" s="710">
        <v>1139.4078360000001</v>
      </c>
      <c r="V406" s="710">
        <v>1139.4078360000001</v>
      </c>
    </row>
    <row r="407" spans="1:22" ht="10.5" customHeight="1" x14ac:dyDescent="0.25">
      <c r="A407" s="712"/>
      <c r="B407" s="713"/>
      <c r="C407" s="714"/>
      <c r="D407" s="714"/>
      <c r="E407" s="714"/>
      <c r="F407" s="714"/>
      <c r="G407" s="714"/>
      <c r="H407" s="714"/>
      <c r="I407" s="714"/>
      <c r="J407" s="714"/>
      <c r="K407" s="714"/>
      <c r="L407" s="714"/>
      <c r="M407" s="714"/>
      <c r="N407" s="714"/>
      <c r="O407" s="714"/>
      <c r="P407" s="714"/>
      <c r="Q407" s="715">
        <v>17.159800000000001</v>
      </c>
      <c r="R407" s="715">
        <v>17.159800000000001</v>
      </c>
      <c r="S407" s="715">
        <v>17.170100000000001</v>
      </c>
      <c r="T407" s="715">
        <v>17.170100000000001</v>
      </c>
      <c r="U407" s="715">
        <v>17.170100000000001</v>
      </c>
      <c r="V407" s="715">
        <v>17.170100000000001</v>
      </c>
    </row>
    <row r="408" spans="1:22" ht="10.5" customHeight="1" x14ac:dyDescent="0.25">
      <c r="A408" s="716"/>
      <c r="B408" s="717"/>
      <c r="C408" s="718"/>
      <c r="D408" s="718"/>
      <c r="E408" s="718"/>
      <c r="F408" s="718"/>
      <c r="G408" s="718"/>
      <c r="H408" s="718"/>
      <c r="I408" s="718"/>
      <c r="J408" s="718"/>
      <c r="K408" s="718"/>
      <c r="L408" s="718"/>
      <c r="M408" s="718"/>
      <c r="N408" s="718"/>
      <c r="O408" s="718"/>
      <c r="P408" s="718"/>
      <c r="Q408" s="718"/>
      <c r="R408" s="718"/>
      <c r="S408" s="718"/>
      <c r="T408" s="718"/>
      <c r="U408" s="718"/>
      <c r="V408" s="718"/>
    </row>
    <row r="409" spans="1:22" ht="10.5" customHeight="1" x14ac:dyDescent="0.25">
      <c r="A409" s="707">
        <v>505202</v>
      </c>
      <c r="B409" s="708" t="s">
        <v>1091</v>
      </c>
      <c r="C409" s="707" t="s">
        <v>1066</v>
      </c>
      <c r="D409" s="709">
        <v>103</v>
      </c>
      <c r="E409" s="709">
        <v>101.71</v>
      </c>
      <c r="F409" s="709">
        <v>10476.129999999999</v>
      </c>
      <c r="G409" s="709"/>
      <c r="H409" s="711"/>
      <c r="I409" s="711"/>
      <c r="J409" s="711"/>
      <c r="K409" s="711"/>
      <c r="L409" s="711"/>
      <c r="M409" s="711"/>
      <c r="N409" s="711"/>
      <c r="O409" s="711"/>
      <c r="P409" s="711"/>
      <c r="Q409" s="710">
        <v>1745.3232579999999</v>
      </c>
      <c r="R409" s="710">
        <v>1745.3232579999999</v>
      </c>
      <c r="S409" s="710">
        <v>1746.3708710000001</v>
      </c>
      <c r="T409" s="710">
        <v>1746.3708710000001</v>
      </c>
      <c r="U409" s="710">
        <v>1746.3708710000001</v>
      </c>
      <c r="V409" s="710">
        <v>1746.3708710000001</v>
      </c>
    </row>
    <row r="410" spans="1:22" ht="10.5" customHeight="1" x14ac:dyDescent="0.25">
      <c r="A410" s="712"/>
      <c r="B410" s="713"/>
      <c r="C410" s="714"/>
      <c r="D410" s="714"/>
      <c r="E410" s="714"/>
      <c r="F410" s="714"/>
      <c r="G410" s="714"/>
      <c r="H410" s="714"/>
      <c r="I410" s="714"/>
      <c r="J410" s="714"/>
      <c r="K410" s="714"/>
      <c r="L410" s="714"/>
      <c r="M410" s="714"/>
      <c r="N410" s="714"/>
      <c r="O410" s="714"/>
      <c r="P410" s="714"/>
      <c r="Q410" s="715">
        <v>17.159800000000001</v>
      </c>
      <c r="R410" s="715">
        <v>17.159800000000001</v>
      </c>
      <c r="S410" s="715">
        <v>17.170100000000001</v>
      </c>
      <c r="T410" s="715">
        <v>17.170100000000001</v>
      </c>
      <c r="U410" s="715">
        <v>17.170100000000001</v>
      </c>
      <c r="V410" s="715">
        <v>17.170100000000001</v>
      </c>
    </row>
    <row r="411" spans="1:22" ht="10.5" customHeight="1" x14ac:dyDescent="0.25">
      <c r="A411" s="716"/>
      <c r="B411" s="717"/>
      <c r="C411" s="718"/>
      <c r="D411" s="718"/>
      <c r="E411" s="718"/>
      <c r="F411" s="718"/>
      <c r="G411" s="718"/>
      <c r="H411" s="718"/>
      <c r="I411" s="718"/>
      <c r="J411" s="718"/>
      <c r="K411" s="718"/>
      <c r="L411" s="718"/>
      <c r="M411" s="718"/>
      <c r="N411" s="718"/>
      <c r="O411" s="718"/>
      <c r="P411" s="718"/>
      <c r="Q411" s="718"/>
      <c r="R411" s="718"/>
      <c r="S411" s="718"/>
      <c r="T411" s="718"/>
      <c r="U411" s="718"/>
      <c r="V411" s="718"/>
    </row>
    <row r="412" spans="1:22" ht="10.5" customHeight="1" x14ac:dyDescent="0.25">
      <c r="A412" s="707">
        <v>502982</v>
      </c>
      <c r="B412" s="708" t="s">
        <v>1092</v>
      </c>
      <c r="C412" s="707" t="s">
        <v>1066</v>
      </c>
      <c r="D412" s="709">
        <v>35</v>
      </c>
      <c r="E412" s="709">
        <v>205.08</v>
      </c>
      <c r="F412" s="709">
        <v>7177.8</v>
      </c>
      <c r="G412" s="709"/>
      <c r="H412" s="711"/>
      <c r="I412" s="711"/>
      <c r="J412" s="711"/>
      <c r="K412" s="711"/>
      <c r="L412" s="711"/>
      <c r="M412" s="711"/>
      <c r="N412" s="711"/>
      <c r="O412" s="711"/>
      <c r="P412" s="711"/>
      <c r="Q412" s="710">
        <v>1195.8214800000001</v>
      </c>
      <c r="R412" s="710">
        <v>1195.8214800000001</v>
      </c>
      <c r="S412" s="710">
        <v>1196.5392600000002</v>
      </c>
      <c r="T412" s="710">
        <v>1196.5392600000002</v>
      </c>
      <c r="U412" s="710">
        <v>1196.5392600000002</v>
      </c>
      <c r="V412" s="710">
        <v>1196.5392600000002</v>
      </c>
    </row>
    <row r="413" spans="1:22" ht="10.5" customHeight="1" x14ac:dyDescent="0.25">
      <c r="A413" s="712"/>
      <c r="B413" s="713"/>
      <c r="C413" s="714"/>
      <c r="D413" s="714"/>
      <c r="E413" s="714"/>
      <c r="F413" s="714"/>
      <c r="G413" s="714"/>
      <c r="H413" s="714"/>
      <c r="I413" s="714"/>
      <c r="J413" s="714"/>
      <c r="K413" s="714"/>
      <c r="L413" s="714"/>
      <c r="M413" s="714"/>
      <c r="N413" s="714"/>
      <c r="O413" s="714"/>
      <c r="P413" s="714"/>
      <c r="Q413" s="715">
        <v>5.8310000000000004</v>
      </c>
      <c r="R413" s="715">
        <v>5.8310000000000004</v>
      </c>
      <c r="S413" s="715">
        <v>5.8345000000000002</v>
      </c>
      <c r="T413" s="715">
        <v>5.8345000000000002</v>
      </c>
      <c r="U413" s="715">
        <v>5.8345000000000002</v>
      </c>
      <c r="V413" s="715">
        <v>5.8345000000000002</v>
      </c>
    </row>
    <row r="414" spans="1:22" ht="10.5" customHeight="1" x14ac:dyDescent="0.25">
      <c r="A414" s="716"/>
      <c r="B414" s="717"/>
      <c r="C414" s="718"/>
      <c r="D414" s="718"/>
      <c r="E414" s="718"/>
      <c r="F414" s="718"/>
      <c r="G414" s="718"/>
      <c r="H414" s="718"/>
      <c r="I414" s="718"/>
      <c r="J414" s="718"/>
      <c r="K414" s="718"/>
      <c r="L414" s="718"/>
      <c r="M414" s="718"/>
      <c r="N414" s="718"/>
      <c r="O414" s="718"/>
      <c r="P414" s="718"/>
      <c r="Q414" s="718"/>
      <c r="R414" s="718"/>
      <c r="S414" s="718"/>
      <c r="T414" s="718"/>
      <c r="U414" s="718"/>
      <c r="V414" s="718"/>
    </row>
    <row r="415" spans="1:22" ht="10.5" customHeight="1" x14ac:dyDescent="0.25">
      <c r="A415" s="707">
        <v>502991</v>
      </c>
      <c r="B415" s="708" t="s">
        <v>1093</v>
      </c>
      <c r="C415" s="707" t="s">
        <v>1066</v>
      </c>
      <c r="D415" s="709">
        <v>35</v>
      </c>
      <c r="E415" s="709">
        <v>80.839999999999989</v>
      </c>
      <c r="F415" s="709">
        <v>2829.4</v>
      </c>
      <c r="G415" s="709"/>
      <c r="H415" s="711"/>
      <c r="I415" s="711"/>
      <c r="J415" s="711"/>
      <c r="K415" s="711"/>
      <c r="L415" s="711"/>
      <c r="M415" s="711"/>
      <c r="N415" s="711"/>
      <c r="O415" s="711"/>
      <c r="P415" s="711"/>
      <c r="Q415" s="710">
        <v>471.37804000000006</v>
      </c>
      <c r="R415" s="710">
        <v>471.37804000000006</v>
      </c>
      <c r="S415" s="710">
        <v>471.66098000000005</v>
      </c>
      <c r="T415" s="710">
        <v>471.66098000000005</v>
      </c>
      <c r="U415" s="710">
        <v>471.66098000000005</v>
      </c>
      <c r="V415" s="710">
        <v>471.66098000000005</v>
      </c>
    </row>
    <row r="416" spans="1:22" ht="10.5" customHeight="1" x14ac:dyDescent="0.25">
      <c r="A416" s="712"/>
      <c r="B416" s="713"/>
      <c r="C416" s="714"/>
      <c r="D416" s="714"/>
      <c r="E416" s="714"/>
      <c r="F416" s="714"/>
      <c r="G416" s="714"/>
      <c r="H416" s="714"/>
      <c r="I416" s="714"/>
      <c r="J416" s="714"/>
      <c r="K416" s="714"/>
      <c r="L416" s="714"/>
      <c r="M416" s="714"/>
      <c r="N416" s="714"/>
      <c r="O416" s="714"/>
      <c r="P416" s="714"/>
      <c r="Q416" s="715">
        <v>5.8310000000000004</v>
      </c>
      <c r="R416" s="715">
        <v>5.8310000000000004</v>
      </c>
      <c r="S416" s="715">
        <v>5.8345000000000002</v>
      </c>
      <c r="T416" s="715">
        <v>5.8345000000000002</v>
      </c>
      <c r="U416" s="715">
        <v>5.8345000000000002</v>
      </c>
      <c r="V416" s="715">
        <v>5.8345000000000002</v>
      </c>
    </row>
    <row r="417" spans="1:22" ht="10.5" customHeight="1" x14ac:dyDescent="0.25">
      <c r="A417" s="716"/>
      <c r="B417" s="717"/>
      <c r="C417" s="718"/>
      <c r="D417" s="718"/>
      <c r="E417" s="718"/>
      <c r="F417" s="718"/>
      <c r="G417" s="718"/>
      <c r="H417" s="718"/>
      <c r="I417" s="718"/>
      <c r="J417" s="718"/>
      <c r="K417" s="718"/>
      <c r="L417" s="718"/>
      <c r="M417" s="718"/>
      <c r="N417" s="718"/>
      <c r="O417" s="718"/>
      <c r="P417" s="718"/>
      <c r="Q417" s="718"/>
      <c r="R417" s="718"/>
      <c r="S417" s="718"/>
      <c r="T417" s="718"/>
      <c r="U417" s="718"/>
      <c r="V417" s="718"/>
    </row>
    <row r="418" spans="1:22" ht="10.5" customHeight="1" x14ac:dyDescent="0.25">
      <c r="A418" s="707">
        <v>514435</v>
      </c>
      <c r="B418" s="708" t="s">
        <v>1094</v>
      </c>
      <c r="C418" s="707" t="s">
        <v>1066</v>
      </c>
      <c r="D418" s="709">
        <v>56</v>
      </c>
      <c r="E418" s="709">
        <v>138.59</v>
      </c>
      <c r="F418" s="709">
        <v>7761.04</v>
      </c>
      <c r="G418" s="709"/>
      <c r="H418" s="711"/>
      <c r="I418" s="711"/>
      <c r="J418" s="711"/>
      <c r="K418" s="711"/>
      <c r="L418" s="711"/>
      <c r="M418" s="711"/>
      <c r="N418" s="711"/>
      <c r="O418" s="711"/>
      <c r="P418" s="711"/>
      <c r="Q418" s="710">
        <v>1292.989264</v>
      </c>
      <c r="R418" s="710">
        <v>1292.989264</v>
      </c>
      <c r="S418" s="710">
        <v>1293.7653680000001</v>
      </c>
      <c r="T418" s="710">
        <v>1293.7653680000001</v>
      </c>
      <c r="U418" s="710">
        <v>1293.7653680000001</v>
      </c>
      <c r="V418" s="710">
        <v>1293.7653680000001</v>
      </c>
    </row>
    <row r="419" spans="1:22" ht="10.5" customHeight="1" x14ac:dyDescent="0.25">
      <c r="A419" s="712"/>
      <c r="B419" s="713"/>
      <c r="C419" s="714"/>
      <c r="D419" s="714"/>
      <c r="E419" s="714"/>
      <c r="F419" s="714"/>
      <c r="G419" s="714"/>
      <c r="H419" s="714"/>
      <c r="I419" s="714"/>
      <c r="J419" s="714"/>
      <c r="K419" s="714"/>
      <c r="L419" s="714"/>
      <c r="M419" s="714"/>
      <c r="N419" s="714"/>
      <c r="O419" s="714"/>
      <c r="P419" s="714"/>
      <c r="Q419" s="715">
        <v>9.329600000000001</v>
      </c>
      <c r="R419" s="715">
        <v>9.329600000000001</v>
      </c>
      <c r="S419" s="715">
        <v>9.3352000000000004</v>
      </c>
      <c r="T419" s="715">
        <v>9.3352000000000004</v>
      </c>
      <c r="U419" s="715">
        <v>9.3352000000000004</v>
      </c>
      <c r="V419" s="715">
        <v>9.3352000000000004</v>
      </c>
    </row>
    <row r="420" spans="1:22" ht="10.5" customHeight="1" x14ac:dyDescent="0.25">
      <c r="A420" s="716"/>
      <c r="B420" s="717"/>
      <c r="C420" s="718"/>
      <c r="D420" s="718"/>
      <c r="E420" s="718"/>
      <c r="F420" s="718"/>
      <c r="G420" s="718"/>
      <c r="H420" s="718"/>
      <c r="I420" s="718"/>
      <c r="J420" s="718"/>
      <c r="K420" s="718"/>
      <c r="L420" s="718"/>
      <c r="M420" s="718"/>
      <c r="N420" s="718"/>
      <c r="O420" s="718"/>
      <c r="P420" s="718"/>
      <c r="Q420" s="718"/>
      <c r="R420" s="718"/>
      <c r="S420" s="718"/>
      <c r="T420" s="718"/>
      <c r="U420" s="718"/>
      <c r="V420" s="718"/>
    </row>
    <row r="421" spans="1:22" ht="10.5" customHeight="1" x14ac:dyDescent="0.25">
      <c r="A421" s="707">
        <v>515580</v>
      </c>
      <c r="B421" s="708" t="s">
        <v>1095</v>
      </c>
      <c r="C421" s="707" t="s">
        <v>1066</v>
      </c>
      <c r="D421" s="709">
        <v>34</v>
      </c>
      <c r="E421" s="709">
        <v>130.43</v>
      </c>
      <c r="F421" s="709">
        <v>4434.62</v>
      </c>
      <c r="G421" s="709"/>
      <c r="H421" s="711"/>
      <c r="I421" s="711"/>
      <c r="J421" s="711"/>
      <c r="K421" s="711"/>
      <c r="L421" s="711"/>
      <c r="M421" s="711"/>
      <c r="N421" s="711"/>
      <c r="O421" s="711"/>
      <c r="P421" s="711"/>
      <c r="Q421" s="710">
        <v>738.80769199999997</v>
      </c>
      <c r="R421" s="710">
        <v>738.80769199999997</v>
      </c>
      <c r="S421" s="710">
        <v>739.25115400000004</v>
      </c>
      <c r="T421" s="710">
        <v>739.25115400000004</v>
      </c>
      <c r="U421" s="710">
        <v>739.25115400000004</v>
      </c>
      <c r="V421" s="710">
        <v>739.25115400000004</v>
      </c>
    </row>
    <row r="422" spans="1:22" ht="10.5" customHeight="1" x14ac:dyDescent="0.25">
      <c r="A422" s="712"/>
      <c r="B422" s="713"/>
      <c r="C422" s="714"/>
      <c r="D422" s="714"/>
      <c r="E422" s="714"/>
      <c r="F422" s="714"/>
      <c r="G422" s="714"/>
      <c r="H422" s="714"/>
      <c r="I422" s="714"/>
      <c r="J422" s="714"/>
      <c r="K422" s="714"/>
      <c r="L422" s="714"/>
      <c r="M422" s="714"/>
      <c r="N422" s="714"/>
      <c r="O422" s="714"/>
      <c r="P422" s="714"/>
      <c r="Q422" s="715">
        <v>5.6644000000000005</v>
      </c>
      <c r="R422" s="715">
        <v>5.6644000000000005</v>
      </c>
      <c r="S422" s="715">
        <v>5.6678000000000006</v>
      </c>
      <c r="T422" s="715">
        <v>5.6678000000000006</v>
      </c>
      <c r="U422" s="715">
        <v>5.6678000000000006</v>
      </c>
      <c r="V422" s="715">
        <v>5.6678000000000006</v>
      </c>
    </row>
    <row r="423" spans="1:22" ht="10.5" customHeight="1" x14ac:dyDescent="0.25">
      <c r="A423" s="716"/>
      <c r="B423" s="717"/>
      <c r="C423" s="718"/>
      <c r="D423" s="718"/>
      <c r="E423" s="718"/>
      <c r="F423" s="718"/>
      <c r="G423" s="718"/>
      <c r="H423" s="718"/>
      <c r="I423" s="718"/>
      <c r="J423" s="718"/>
      <c r="K423" s="718"/>
      <c r="L423" s="718"/>
      <c r="M423" s="718"/>
      <c r="N423" s="718"/>
      <c r="O423" s="718"/>
      <c r="P423" s="718"/>
      <c r="Q423" s="718"/>
      <c r="R423" s="718"/>
      <c r="S423" s="718"/>
      <c r="T423" s="718"/>
      <c r="U423" s="718"/>
      <c r="V423" s="718"/>
    </row>
    <row r="424" spans="1:22" ht="10.5" customHeight="1" x14ac:dyDescent="0.25">
      <c r="A424" s="707">
        <v>503319</v>
      </c>
      <c r="B424" s="708" t="s">
        <v>1098</v>
      </c>
      <c r="C424" s="707" t="s">
        <v>1066</v>
      </c>
      <c r="D424" s="709">
        <v>34</v>
      </c>
      <c r="E424" s="709">
        <v>133.76</v>
      </c>
      <c r="F424" s="709">
        <v>4547.84</v>
      </c>
      <c r="G424" s="709"/>
      <c r="H424" s="711"/>
      <c r="I424" s="711"/>
      <c r="J424" s="711"/>
      <c r="K424" s="711"/>
      <c r="L424" s="711"/>
      <c r="M424" s="711"/>
      <c r="N424" s="711"/>
      <c r="O424" s="711"/>
      <c r="P424" s="711"/>
      <c r="Q424" s="710">
        <v>757.67014400000005</v>
      </c>
      <c r="R424" s="710">
        <v>757.67014400000005</v>
      </c>
      <c r="S424" s="710">
        <v>758.12492800000007</v>
      </c>
      <c r="T424" s="710">
        <v>758.12492800000007</v>
      </c>
      <c r="U424" s="710">
        <v>758.12492800000007</v>
      </c>
      <c r="V424" s="710">
        <v>758.12492800000007</v>
      </c>
    </row>
    <row r="425" spans="1:22" ht="10.5" customHeight="1" x14ac:dyDescent="0.25">
      <c r="A425" s="712"/>
      <c r="B425" s="713"/>
      <c r="C425" s="714"/>
      <c r="D425" s="714"/>
      <c r="E425" s="714"/>
      <c r="F425" s="714"/>
      <c r="G425" s="714"/>
      <c r="H425" s="714"/>
      <c r="I425" s="714"/>
      <c r="J425" s="714"/>
      <c r="K425" s="714"/>
      <c r="L425" s="714"/>
      <c r="M425" s="714"/>
      <c r="N425" s="714"/>
      <c r="O425" s="714"/>
      <c r="P425" s="714"/>
      <c r="Q425" s="715">
        <v>5.6644000000000005</v>
      </c>
      <c r="R425" s="715">
        <v>5.6644000000000005</v>
      </c>
      <c r="S425" s="715">
        <v>5.6678000000000006</v>
      </c>
      <c r="T425" s="715">
        <v>5.6678000000000006</v>
      </c>
      <c r="U425" s="715">
        <v>5.6678000000000006</v>
      </c>
      <c r="V425" s="715">
        <v>5.6678000000000006</v>
      </c>
    </row>
    <row r="426" spans="1:22" ht="10.5" customHeight="1" x14ac:dyDescent="0.25">
      <c r="A426" s="716"/>
      <c r="B426" s="717"/>
      <c r="C426" s="718"/>
      <c r="D426" s="718"/>
      <c r="E426" s="718"/>
      <c r="F426" s="718"/>
      <c r="G426" s="718"/>
      <c r="H426" s="718"/>
      <c r="I426" s="718"/>
      <c r="J426" s="718"/>
      <c r="K426" s="718"/>
      <c r="L426" s="718"/>
      <c r="M426" s="718"/>
      <c r="N426" s="718"/>
      <c r="O426" s="718"/>
      <c r="P426" s="718"/>
      <c r="Q426" s="718"/>
      <c r="R426" s="718"/>
      <c r="S426" s="718"/>
      <c r="T426" s="718"/>
      <c r="U426" s="718"/>
      <c r="V426" s="718"/>
    </row>
    <row r="427" spans="1:22" ht="10.5" customHeight="1" x14ac:dyDescent="0.25">
      <c r="A427" s="707">
        <v>515561</v>
      </c>
      <c r="B427" s="708" t="s">
        <v>1099</v>
      </c>
      <c r="C427" s="707" t="s">
        <v>1066</v>
      </c>
      <c r="D427" s="709">
        <v>20</v>
      </c>
      <c r="E427" s="709">
        <v>42.6</v>
      </c>
      <c r="F427" s="709">
        <v>852</v>
      </c>
      <c r="G427" s="709"/>
      <c r="H427" s="711"/>
      <c r="I427" s="711"/>
      <c r="J427" s="711"/>
      <c r="K427" s="711"/>
      <c r="L427" s="711"/>
      <c r="M427" s="711"/>
      <c r="N427" s="711"/>
      <c r="O427" s="711"/>
      <c r="P427" s="711"/>
      <c r="Q427" s="710">
        <v>141.94319999999999</v>
      </c>
      <c r="R427" s="710">
        <v>141.94319999999999</v>
      </c>
      <c r="S427" s="710">
        <v>142.02840000000003</v>
      </c>
      <c r="T427" s="710">
        <v>142.02840000000003</v>
      </c>
      <c r="U427" s="710">
        <v>142.02840000000003</v>
      </c>
      <c r="V427" s="710">
        <v>142.02840000000003</v>
      </c>
    </row>
    <row r="428" spans="1:22" ht="10.5" customHeight="1" x14ac:dyDescent="0.25">
      <c r="A428" s="712"/>
      <c r="B428" s="713"/>
      <c r="C428" s="714"/>
      <c r="D428" s="714"/>
      <c r="E428" s="714"/>
      <c r="F428" s="714"/>
      <c r="G428" s="714"/>
      <c r="H428" s="714"/>
      <c r="I428" s="714"/>
      <c r="J428" s="714"/>
      <c r="K428" s="714"/>
      <c r="L428" s="714"/>
      <c r="M428" s="714"/>
      <c r="N428" s="714"/>
      <c r="O428" s="714"/>
      <c r="P428" s="714"/>
      <c r="Q428" s="715">
        <v>3.3319999999999999</v>
      </c>
      <c r="R428" s="715">
        <v>3.3319999999999999</v>
      </c>
      <c r="S428" s="715">
        <v>3.3340000000000005</v>
      </c>
      <c r="T428" s="715">
        <v>3.3340000000000005</v>
      </c>
      <c r="U428" s="715">
        <v>3.3340000000000005</v>
      </c>
      <c r="V428" s="715">
        <v>3.3340000000000005</v>
      </c>
    </row>
    <row r="429" spans="1:22" ht="10.5" customHeight="1" x14ac:dyDescent="0.25">
      <c r="A429" s="716"/>
      <c r="B429" s="717"/>
      <c r="C429" s="718"/>
      <c r="D429" s="718"/>
      <c r="E429" s="718"/>
      <c r="F429" s="718"/>
      <c r="G429" s="718"/>
      <c r="H429" s="718"/>
      <c r="I429" s="718"/>
      <c r="J429" s="718"/>
      <c r="K429" s="718"/>
      <c r="L429" s="718"/>
      <c r="M429" s="718"/>
      <c r="N429" s="718"/>
      <c r="O429" s="718"/>
      <c r="P429" s="718"/>
      <c r="Q429" s="718"/>
      <c r="R429" s="718"/>
      <c r="S429" s="718"/>
      <c r="T429" s="718"/>
      <c r="U429" s="718"/>
      <c r="V429" s="718"/>
    </row>
    <row r="430" spans="1:22" ht="10.5" customHeight="1" x14ac:dyDescent="0.25">
      <c r="A430" s="707">
        <v>504472</v>
      </c>
      <c r="B430" s="708" t="s">
        <v>1100</v>
      </c>
      <c r="C430" s="707" t="s">
        <v>1066</v>
      </c>
      <c r="D430" s="709">
        <v>4</v>
      </c>
      <c r="E430" s="709">
        <v>86.41</v>
      </c>
      <c r="F430" s="709">
        <v>345.64</v>
      </c>
      <c r="G430" s="709"/>
      <c r="H430" s="711"/>
      <c r="I430" s="711"/>
      <c r="J430" s="711"/>
      <c r="K430" s="711"/>
      <c r="L430" s="711"/>
      <c r="M430" s="711"/>
      <c r="N430" s="711"/>
      <c r="O430" s="711"/>
      <c r="P430" s="711"/>
      <c r="Q430" s="710">
        <v>57.583624</v>
      </c>
      <c r="R430" s="710">
        <v>57.583624</v>
      </c>
      <c r="S430" s="710">
        <v>57.618188000000004</v>
      </c>
      <c r="T430" s="710">
        <v>57.618188000000004</v>
      </c>
      <c r="U430" s="710">
        <v>57.618188000000004</v>
      </c>
      <c r="V430" s="710">
        <v>57.618188000000004</v>
      </c>
    </row>
    <row r="431" spans="1:22" ht="10.5" customHeight="1" x14ac:dyDescent="0.25">
      <c r="A431" s="712"/>
      <c r="B431" s="713"/>
      <c r="C431" s="714"/>
      <c r="D431" s="714"/>
      <c r="E431" s="714"/>
      <c r="F431" s="714"/>
      <c r="G431" s="714"/>
      <c r="H431" s="714"/>
      <c r="I431" s="714"/>
      <c r="J431" s="714"/>
      <c r="K431" s="714"/>
      <c r="L431" s="714"/>
      <c r="M431" s="714"/>
      <c r="N431" s="714"/>
      <c r="O431" s="714"/>
      <c r="P431" s="714"/>
      <c r="Q431" s="715">
        <v>0.66639999999999999</v>
      </c>
      <c r="R431" s="715">
        <v>0.66639999999999999</v>
      </c>
      <c r="S431" s="715">
        <v>0.66680000000000006</v>
      </c>
      <c r="T431" s="715">
        <v>0.66680000000000006</v>
      </c>
      <c r="U431" s="715">
        <v>0.66680000000000006</v>
      </c>
      <c r="V431" s="715">
        <v>0.66680000000000006</v>
      </c>
    </row>
    <row r="432" spans="1:22" ht="10.5" customHeight="1" x14ac:dyDescent="0.25">
      <c r="A432" s="716"/>
      <c r="B432" s="717"/>
      <c r="C432" s="718"/>
      <c r="D432" s="718"/>
      <c r="E432" s="718"/>
      <c r="F432" s="718"/>
      <c r="G432" s="718"/>
      <c r="H432" s="718"/>
      <c r="I432" s="718"/>
      <c r="J432" s="718"/>
      <c r="K432" s="718"/>
      <c r="L432" s="718"/>
      <c r="M432" s="718"/>
      <c r="N432" s="718"/>
      <c r="O432" s="718"/>
      <c r="P432" s="718"/>
      <c r="Q432" s="718"/>
      <c r="R432" s="718"/>
      <c r="S432" s="718"/>
      <c r="T432" s="718"/>
      <c r="U432" s="718"/>
      <c r="V432" s="718"/>
    </row>
    <row r="433" spans="1:22" ht="10.5" customHeight="1" x14ac:dyDescent="0.25">
      <c r="A433" s="707">
        <v>503010</v>
      </c>
      <c r="B433" s="708" t="s">
        <v>1101</v>
      </c>
      <c r="C433" s="707" t="s">
        <v>1066</v>
      </c>
      <c r="D433" s="709">
        <v>8</v>
      </c>
      <c r="E433" s="709">
        <v>25.7</v>
      </c>
      <c r="F433" s="709">
        <v>205.6</v>
      </c>
      <c r="G433" s="709"/>
      <c r="H433" s="711"/>
      <c r="I433" s="711"/>
      <c r="J433" s="711"/>
      <c r="K433" s="711"/>
      <c r="L433" s="711"/>
      <c r="M433" s="711"/>
      <c r="N433" s="711"/>
      <c r="O433" s="711"/>
      <c r="P433" s="711"/>
      <c r="Q433" s="710">
        <v>34.252960000000002</v>
      </c>
      <c r="R433" s="710">
        <v>34.252960000000002</v>
      </c>
      <c r="S433" s="710">
        <v>34.273520000000005</v>
      </c>
      <c r="T433" s="710">
        <v>34.273520000000005</v>
      </c>
      <c r="U433" s="710">
        <v>34.273520000000005</v>
      </c>
      <c r="V433" s="710">
        <v>34.273520000000005</v>
      </c>
    </row>
    <row r="434" spans="1:22" ht="10.5" customHeight="1" x14ac:dyDescent="0.25">
      <c r="A434" s="712"/>
      <c r="B434" s="713"/>
      <c r="C434" s="714"/>
      <c r="D434" s="714"/>
      <c r="E434" s="714"/>
      <c r="F434" s="714"/>
      <c r="G434" s="714"/>
      <c r="H434" s="714"/>
      <c r="I434" s="714"/>
      <c r="J434" s="714"/>
      <c r="K434" s="714"/>
      <c r="L434" s="714"/>
      <c r="M434" s="714"/>
      <c r="N434" s="714"/>
      <c r="O434" s="714"/>
      <c r="P434" s="714"/>
      <c r="Q434" s="715">
        <v>1.3328</v>
      </c>
      <c r="R434" s="715">
        <v>1.3328</v>
      </c>
      <c r="S434" s="715">
        <v>1.3336000000000001</v>
      </c>
      <c r="T434" s="715">
        <v>1.3336000000000001</v>
      </c>
      <c r="U434" s="715">
        <v>1.3336000000000001</v>
      </c>
      <c r="V434" s="715">
        <v>1.3336000000000001</v>
      </c>
    </row>
    <row r="435" spans="1:22" ht="10.5" customHeight="1" x14ac:dyDescent="0.25">
      <c r="A435" s="716"/>
      <c r="B435" s="717"/>
      <c r="C435" s="718"/>
      <c r="D435" s="718"/>
      <c r="E435" s="718"/>
      <c r="F435" s="718"/>
      <c r="G435" s="718"/>
      <c r="H435" s="718"/>
      <c r="I435" s="718"/>
      <c r="J435" s="718"/>
      <c r="K435" s="718"/>
      <c r="L435" s="718"/>
      <c r="M435" s="718"/>
      <c r="N435" s="718"/>
      <c r="O435" s="718"/>
      <c r="P435" s="718"/>
      <c r="Q435" s="718"/>
      <c r="R435" s="718"/>
      <c r="S435" s="718"/>
      <c r="T435" s="718"/>
      <c r="U435" s="718"/>
      <c r="V435" s="718"/>
    </row>
    <row r="436" spans="1:22" ht="10.5" customHeight="1" x14ac:dyDescent="0.25">
      <c r="A436" s="707">
        <v>515633</v>
      </c>
      <c r="B436" s="708" t="s">
        <v>1102</v>
      </c>
      <c r="C436" s="707" t="s">
        <v>1066</v>
      </c>
      <c r="D436" s="709">
        <v>7</v>
      </c>
      <c r="E436" s="709">
        <v>81.23</v>
      </c>
      <c r="F436" s="709">
        <v>568.61</v>
      </c>
      <c r="G436" s="709"/>
      <c r="H436" s="711"/>
      <c r="I436" s="711"/>
      <c r="J436" s="711"/>
      <c r="K436" s="711"/>
      <c r="L436" s="711"/>
      <c r="M436" s="711"/>
      <c r="N436" s="711"/>
      <c r="O436" s="711"/>
      <c r="P436" s="711"/>
      <c r="Q436" s="710">
        <v>94.730426000000008</v>
      </c>
      <c r="R436" s="710">
        <v>94.730426000000008</v>
      </c>
      <c r="S436" s="710">
        <v>94.78728700000002</v>
      </c>
      <c r="T436" s="710">
        <v>94.78728700000002</v>
      </c>
      <c r="U436" s="710">
        <v>94.78728700000002</v>
      </c>
      <c r="V436" s="710">
        <v>94.78728700000002</v>
      </c>
    </row>
    <row r="437" spans="1:22" ht="10.5" customHeight="1" x14ac:dyDescent="0.25">
      <c r="A437" s="712"/>
      <c r="B437" s="713"/>
      <c r="C437" s="714"/>
      <c r="D437" s="714"/>
      <c r="E437" s="714"/>
      <c r="F437" s="714"/>
      <c r="G437" s="714"/>
      <c r="H437" s="714"/>
      <c r="I437" s="714"/>
      <c r="J437" s="714"/>
      <c r="K437" s="714"/>
      <c r="L437" s="714"/>
      <c r="M437" s="714"/>
      <c r="N437" s="714"/>
      <c r="O437" s="714"/>
      <c r="P437" s="714"/>
      <c r="Q437" s="715">
        <v>1.1662000000000001</v>
      </c>
      <c r="R437" s="715">
        <v>1.1662000000000001</v>
      </c>
      <c r="S437" s="715">
        <v>1.1669</v>
      </c>
      <c r="T437" s="715">
        <v>1.1669</v>
      </c>
      <c r="U437" s="715">
        <v>1.1669</v>
      </c>
      <c r="V437" s="715">
        <v>1.1669</v>
      </c>
    </row>
    <row r="438" spans="1:22" ht="10.5" customHeight="1" x14ac:dyDescent="0.25">
      <c r="A438" s="716"/>
      <c r="B438" s="717"/>
      <c r="C438" s="718"/>
      <c r="D438" s="718"/>
      <c r="E438" s="718"/>
      <c r="F438" s="718"/>
      <c r="G438" s="718"/>
      <c r="H438" s="718"/>
      <c r="I438" s="718"/>
      <c r="J438" s="718"/>
      <c r="K438" s="718"/>
      <c r="L438" s="718"/>
      <c r="M438" s="718"/>
      <c r="N438" s="718"/>
      <c r="O438" s="718"/>
      <c r="P438" s="718"/>
      <c r="Q438" s="718"/>
      <c r="R438" s="718"/>
      <c r="S438" s="718"/>
      <c r="T438" s="718"/>
      <c r="U438" s="718"/>
      <c r="V438" s="718"/>
    </row>
    <row r="439" spans="1:22" ht="10.5" customHeight="1" x14ac:dyDescent="0.25">
      <c r="A439" s="707">
        <v>502984</v>
      </c>
      <c r="B439" s="708" t="s">
        <v>1103</v>
      </c>
      <c r="C439" s="707" t="s">
        <v>1066</v>
      </c>
      <c r="D439" s="709">
        <v>8</v>
      </c>
      <c r="E439" s="709">
        <v>54.35</v>
      </c>
      <c r="F439" s="709">
        <v>434.8</v>
      </c>
      <c r="G439" s="709"/>
      <c r="H439" s="711"/>
      <c r="I439" s="711"/>
      <c r="J439" s="711"/>
      <c r="K439" s="711"/>
      <c r="L439" s="711"/>
      <c r="M439" s="711"/>
      <c r="N439" s="711"/>
      <c r="O439" s="711"/>
      <c r="P439" s="711"/>
      <c r="Q439" s="710">
        <v>72.43768</v>
      </c>
      <c r="R439" s="710">
        <v>72.43768</v>
      </c>
      <c r="S439" s="710">
        <v>72.481160000000003</v>
      </c>
      <c r="T439" s="710">
        <v>72.481160000000003</v>
      </c>
      <c r="U439" s="710">
        <v>72.481160000000003</v>
      </c>
      <c r="V439" s="710">
        <v>72.481160000000003</v>
      </c>
    </row>
    <row r="440" spans="1:22" ht="10.5" customHeight="1" x14ac:dyDescent="0.25">
      <c r="A440" s="712"/>
      <c r="B440" s="713"/>
      <c r="C440" s="714"/>
      <c r="D440" s="714"/>
      <c r="E440" s="714"/>
      <c r="F440" s="714"/>
      <c r="G440" s="714"/>
      <c r="H440" s="714"/>
      <c r="I440" s="714"/>
      <c r="J440" s="714"/>
      <c r="K440" s="714"/>
      <c r="L440" s="714"/>
      <c r="M440" s="714"/>
      <c r="N440" s="714"/>
      <c r="O440" s="714"/>
      <c r="P440" s="714"/>
      <c r="Q440" s="715">
        <v>1.3328</v>
      </c>
      <c r="R440" s="715">
        <v>1.3328</v>
      </c>
      <c r="S440" s="715">
        <v>1.3336000000000001</v>
      </c>
      <c r="T440" s="715">
        <v>1.3336000000000001</v>
      </c>
      <c r="U440" s="715">
        <v>1.3336000000000001</v>
      </c>
      <c r="V440" s="715">
        <v>1.3336000000000001</v>
      </c>
    </row>
    <row r="441" spans="1:22" ht="10.5" customHeight="1" x14ac:dyDescent="0.25">
      <c r="A441" s="716"/>
      <c r="B441" s="717"/>
      <c r="C441" s="718"/>
      <c r="D441" s="718"/>
      <c r="E441" s="718"/>
      <c r="F441" s="718"/>
      <c r="G441" s="718"/>
      <c r="H441" s="718"/>
      <c r="I441" s="718"/>
      <c r="J441" s="718"/>
      <c r="K441" s="718"/>
      <c r="L441" s="718"/>
      <c r="M441" s="718"/>
      <c r="N441" s="718"/>
      <c r="O441" s="718"/>
      <c r="P441" s="718"/>
      <c r="Q441" s="718"/>
      <c r="R441" s="718"/>
      <c r="S441" s="718"/>
      <c r="T441" s="718"/>
      <c r="U441" s="718"/>
      <c r="V441" s="718"/>
    </row>
    <row r="442" spans="1:22" ht="10.5" customHeight="1" x14ac:dyDescent="0.25">
      <c r="A442" s="707">
        <v>515680</v>
      </c>
      <c r="B442" s="708" t="s">
        <v>1104</v>
      </c>
      <c r="C442" s="707" t="s">
        <v>1066</v>
      </c>
      <c r="D442" s="709">
        <v>34</v>
      </c>
      <c r="E442" s="709">
        <v>139.63999999999999</v>
      </c>
      <c r="F442" s="709">
        <v>4747.76</v>
      </c>
      <c r="G442" s="709"/>
      <c r="H442" s="711"/>
      <c r="I442" s="711"/>
      <c r="J442" s="711"/>
      <c r="K442" s="711"/>
      <c r="L442" s="711"/>
      <c r="M442" s="711"/>
      <c r="N442" s="711"/>
      <c r="O442" s="711"/>
      <c r="P442" s="711"/>
      <c r="Q442" s="710">
        <v>790.9768160000001</v>
      </c>
      <c r="R442" s="710">
        <v>790.9768160000001</v>
      </c>
      <c r="S442" s="710">
        <v>791.45159200000012</v>
      </c>
      <c r="T442" s="710">
        <v>791.45159200000012</v>
      </c>
      <c r="U442" s="710">
        <v>791.45159200000012</v>
      </c>
      <c r="V442" s="710">
        <v>791.45159200000012</v>
      </c>
    </row>
    <row r="443" spans="1:22" ht="10.5" customHeight="1" x14ac:dyDescent="0.25">
      <c r="A443" s="712"/>
      <c r="B443" s="713"/>
      <c r="C443" s="714"/>
      <c r="D443" s="714"/>
      <c r="E443" s="714"/>
      <c r="F443" s="714"/>
      <c r="G443" s="714"/>
      <c r="H443" s="714"/>
      <c r="I443" s="714"/>
      <c r="J443" s="714"/>
      <c r="K443" s="714"/>
      <c r="L443" s="714"/>
      <c r="M443" s="714"/>
      <c r="N443" s="714"/>
      <c r="O443" s="714"/>
      <c r="P443" s="714"/>
      <c r="Q443" s="715">
        <v>5.6644000000000005</v>
      </c>
      <c r="R443" s="715">
        <v>5.6644000000000005</v>
      </c>
      <c r="S443" s="715">
        <v>5.6678000000000006</v>
      </c>
      <c r="T443" s="715">
        <v>5.6678000000000006</v>
      </c>
      <c r="U443" s="715">
        <v>5.6678000000000006</v>
      </c>
      <c r="V443" s="715">
        <v>5.6678000000000006</v>
      </c>
    </row>
    <row r="444" spans="1:22" ht="10.5" customHeight="1" x14ac:dyDescent="0.25">
      <c r="A444" s="716"/>
      <c r="B444" s="717"/>
      <c r="C444" s="718"/>
      <c r="D444" s="718"/>
      <c r="E444" s="718"/>
      <c r="F444" s="718"/>
      <c r="G444" s="718"/>
      <c r="H444" s="718"/>
      <c r="I444" s="718"/>
      <c r="J444" s="718"/>
      <c r="K444" s="718"/>
      <c r="L444" s="718"/>
      <c r="M444" s="718"/>
      <c r="N444" s="718"/>
      <c r="O444" s="718"/>
      <c r="P444" s="718"/>
      <c r="Q444" s="718"/>
      <c r="R444" s="718"/>
      <c r="S444" s="718"/>
      <c r="T444" s="718"/>
      <c r="U444" s="718"/>
      <c r="V444" s="718"/>
    </row>
    <row r="445" spans="1:22" ht="10.5" customHeight="1" x14ac:dyDescent="0.25">
      <c r="A445" s="707">
        <v>515681</v>
      </c>
      <c r="B445" s="708" t="s">
        <v>1105</v>
      </c>
      <c r="C445" s="707" t="s">
        <v>1066</v>
      </c>
      <c r="D445" s="709">
        <v>34</v>
      </c>
      <c r="E445" s="709">
        <v>36.330000000000005</v>
      </c>
      <c r="F445" s="709">
        <v>1235.22</v>
      </c>
      <c r="G445" s="709"/>
      <c r="H445" s="711"/>
      <c r="I445" s="711"/>
      <c r="J445" s="711"/>
      <c r="K445" s="711"/>
      <c r="L445" s="711"/>
      <c r="M445" s="711"/>
      <c r="N445" s="711"/>
      <c r="O445" s="711"/>
      <c r="P445" s="711"/>
      <c r="Q445" s="710">
        <v>205.78765200000001</v>
      </c>
      <c r="R445" s="710">
        <v>205.78765200000001</v>
      </c>
      <c r="S445" s="710">
        <v>205.91117400000002</v>
      </c>
      <c r="T445" s="710">
        <v>205.91117400000002</v>
      </c>
      <c r="U445" s="710">
        <v>205.91117400000002</v>
      </c>
      <c r="V445" s="710">
        <v>205.91117400000002</v>
      </c>
    </row>
    <row r="446" spans="1:22" ht="10.5" customHeight="1" x14ac:dyDescent="0.25">
      <c r="A446" s="712"/>
      <c r="B446" s="713"/>
      <c r="C446" s="714"/>
      <c r="D446" s="714"/>
      <c r="E446" s="714"/>
      <c r="F446" s="714"/>
      <c r="G446" s="714"/>
      <c r="H446" s="714"/>
      <c r="I446" s="714"/>
      <c r="J446" s="714"/>
      <c r="K446" s="714"/>
      <c r="L446" s="714"/>
      <c r="M446" s="714"/>
      <c r="N446" s="714"/>
      <c r="O446" s="714"/>
      <c r="P446" s="714"/>
      <c r="Q446" s="715">
        <v>5.6644000000000005</v>
      </c>
      <c r="R446" s="715">
        <v>5.6644000000000005</v>
      </c>
      <c r="S446" s="715">
        <v>5.6678000000000006</v>
      </c>
      <c r="T446" s="715">
        <v>5.6678000000000006</v>
      </c>
      <c r="U446" s="715">
        <v>5.6678000000000006</v>
      </c>
      <c r="V446" s="715">
        <v>5.6678000000000006</v>
      </c>
    </row>
    <row r="447" spans="1:22" ht="10.5" customHeight="1" x14ac:dyDescent="0.25">
      <c r="A447" s="716"/>
      <c r="B447" s="717"/>
      <c r="C447" s="718"/>
      <c r="D447" s="718"/>
      <c r="E447" s="718"/>
      <c r="F447" s="718"/>
      <c r="G447" s="718"/>
      <c r="H447" s="718"/>
      <c r="I447" s="718"/>
      <c r="J447" s="718"/>
      <c r="K447" s="718"/>
      <c r="L447" s="718"/>
      <c r="M447" s="718"/>
      <c r="N447" s="718"/>
      <c r="O447" s="718"/>
      <c r="P447" s="718"/>
      <c r="Q447" s="718"/>
      <c r="R447" s="718"/>
      <c r="S447" s="718"/>
      <c r="T447" s="718"/>
      <c r="U447" s="718"/>
      <c r="V447" s="718"/>
    </row>
    <row r="448" spans="1:22" s="105" customFormat="1" ht="10.5" customHeight="1" x14ac:dyDescent="0.25">
      <c r="A448" s="704"/>
      <c r="B448" s="719" t="s">
        <v>1106</v>
      </c>
      <c r="C448" s="704"/>
      <c r="D448" s="705"/>
      <c r="E448" s="706">
        <v>0</v>
      </c>
      <c r="F448" s="706">
        <v>6788</v>
      </c>
      <c r="G448" s="706"/>
      <c r="H448" s="705"/>
      <c r="I448" s="705"/>
      <c r="J448" s="705"/>
      <c r="K448" s="705"/>
      <c r="L448" s="705"/>
      <c r="M448" s="705"/>
      <c r="N448" s="705"/>
      <c r="O448" s="705"/>
      <c r="P448" s="705"/>
      <c r="Q448" s="705"/>
      <c r="R448" s="705"/>
      <c r="S448" s="705"/>
      <c r="T448" s="705"/>
      <c r="U448" s="705"/>
      <c r="V448" s="705"/>
    </row>
    <row r="449" spans="1:22" ht="10.5" customHeight="1" x14ac:dyDescent="0.25">
      <c r="A449" s="707">
        <v>515568</v>
      </c>
      <c r="B449" s="708" t="s">
        <v>1107</v>
      </c>
      <c r="C449" s="707" t="s">
        <v>1050</v>
      </c>
      <c r="D449" s="709">
        <v>50</v>
      </c>
      <c r="E449" s="709">
        <v>5.74</v>
      </c>
      <c r="F449" s="709">
        <v>287</v>
      </c>
      <c r="G449" s="709"/>
      <c r="H449" s="711"/>
      <c r="I449" s="711"/>
      <c r="J449" s="711"/>
      <c r="K449" s="711"/>
      <c r="L449" s="711"/>
      <c r="M449" s="711"/>
      <c r="N449" s="711"/>
      <c r="O449" s="711"/>
      <c r="P449" s="711"/>
      <c r="Q449" s="711"/>
      <c r="R449" s="711"/>
      <c r="S449" s="711"/>
      <c r="T449" s="710">
        <v>287</v>
      </c>
      <c r="U449" s="711"/>
      <c r="V449" s="711"/>
    </row>
    <row r="450" spans="1:22" ht="10.5" customHeight="1" x14ac:dyDescent="0.25">
      <c r="A450" s="712"/>
      <c r="B450" s="713"/>
      <c r="C450" s="714"/>
      <c r="D450" s="714"/>
      <c r="E450" s="714"/>
      <c r="F450" s="714"/>
      <c r="G450" s="714"/>
      <c r="H450" s="714"/>
      <c r="I450" s="714"/>
      <c r="J450" s="714"/>
      <c r="K450" s="714"/>
      <c r="L450" s="714"/>
      <c r="M450" s="714"/>
      <c r="N450" s="714"/>
      <c r="O450" s="714"/>
      <c r="P450" s="714"/>
      <c r="Q450" s="714"/>
      <c r="R450" s="714"/>
      <c r="S450" s="714"/>
      <c r="T450" s="715">
        <v>50</v>
      </c>
      <c r="U450" s="714"/>
      <c r="V450" s="714"/>
    </row>
    <row r="451" spans="1:22" ht="10.5" customHeight="1" x14ac:dyDescent="0.25">
      <c r="A451" s="716"/>
      <c r="B451" s="717"/>
      <c r="C451" s="718"/>
      <c r="D451" s="718"/>
      <c r="E451" s="718"/>
      <c r="F451" s="718"/>
      <c r="G451" s="718"/>
      <c r="H451" s="718"/>
      <c r="I451" s="718"/>
      <c r="J451" s="718"/>
      <c r="K451" s="718"/>
      <c r="L451" s="718"/>
      <c r="M451" s="718"/>
      <c r="N451" s="718"/>
      <c r="O451" s="718"/>
      <c r="P451" s="718"/>
      <c r="Q451" s="718"/>
      <c r="R451" s="718"/>
      <c r="S451" s="718"/>
      <c r="T451" s="718"/>
      <c r="U451" s="718"/>
      <c r="V451" s="718"/>
    </row>
    <row r="452" spans="1:22" ht="10.5" customHeight="1" x14ac:dyDescent="0.25">
      <c r="A452" s="707">
        <v>503813</v>
      </c>
      <c r="B452" s="708" t="s">
        <v>1108</v>
      </c>
      <c r="C452" s="707" t="s">
        <v>1050</v>
      </c>
      <c r="D452" s="709">
        <v>0</v>
      </c>
      <c r="E452" s="709">
        <v>114.6</v>
      </c>
      <c r="F452" s="709">
        <v>0</v>
      </c>
      <c r="G452" s="709"/>
      <c r="H452" s="711"/>
      <c r="I452" s="711"/>
      <c r="J452" s="711"/>
      <c r="K452" s="711"/>
      <c r="L452" s="711"/>
      <c r="M452" s="711"/>
      <c r="N452" s="711"/>
      <c r="O452" s="711"/>
      <c r="P452" s="711"/>
      <c r="Q452" s="711"/>
      <c r="R452" s="711"/>
      <c r="S452" s="711"/>
      <c r="T452" s="711"/>
      <c r="U452" s="711"/>
      <c r="V452" s="711"/>
    </row>
    <row r="453" spans="1:22" ht="10.5" customHeight="1" x14ac:dyDescent="0.25">
      <c r="A453" s="712"/>
      <c r="B453" s="713"/>
      <c r="C453" s="714"/>
      <c r="D453" s="714"/>
      <c r="E453" s="714"/>
      <c r="F453" s="714"/>
      <c r="G453" s="714"/>
      <c r="H453" s="714"/>
      <c r="I453" s="714"/>
      <c r="J453" s="714"/>
      <c r="K453" s="714"/>
      <c r="L453" s="714"/>
      <c r="M453" s="714"/>
      <c r="N453" s="714"/>
      <c r="O453" s="714"/>
      <c r="P453" s="714"/>
      <c r="Q453" s="714"/>
      <c r="R453" s="714"/>
      <c r="S453" s="714"/>
      <c r="T453" s="714"/>
      <c r="U453" s="714"/>
      <c r="V453" s="714"/>
    </row>
    <row r="454" spans="1:22" ht="10.5" customHeight="1" x14ac:dyDescent="0.25">
      <c r="A454" s="716"/>
      <c r="B454" s="717"/>
      <c r="C454" s="718"/>
      <c r="D454" s="718"/>
      <c r="E454" s="718"/>
      <c r="F454" s="718"/>
      <c r="G454" s="718"/>
      <c r="H454" s="718"/>
      <c r="I454" s="718"/>
      <c r="J454" s="718"/>
      <c r="K454" s="718"/>
      <c r="L454" s="718"/>
      <c r="M454" s="718"/>
      <c r="N454" s="718"/>
      <c r="O454" s="718"/>
      <c r="P454" s="718"/>
      <c r="Q454" s="718"/>
      <c r="R454" s="718"/>
      <c r="S454" s="718"/>
      <c r="T454" s="718"/>
      <c r="U454" s="718"/>
      <c r="V454" s="718"/>
    </row>
    <row r="455" spans="1:22" ht="10.5" customHeight="1" x14ac:dyDescent="0.25">
      <c r="A455" s="707">
        <v>514449</v>
      </c>
      <c r="B455" s="708" t="s">
        <v>1109</v>
      </c>
      <c r="C455" s="707" t="s">
        <v>571</v>
      </c>
      <c r="D455" s="709">
        <v>0</v>
      </c>
      <c r="E455" s="709">
        <v>66.39</v>
      </c>
      <c r="F455" s="709">
        <v>0</v>
      </c>
      <c r="G455" s="709"/>
      <c r="H455" s="711"/>
      <c r="I455" s="711"/>
      <c r="J455" s="711"/>
      <c r="K455" s="711"/>
      <c r="L455" s="711"/>
      <c r="M455" s="711"/>
      <c r="N455" s="711"/>
      <c r="O455" s="711"/>
      <c r="P455" s="711"/>
      <c r="Q455" s="711"/>
      <c r="R455" s="711"/>
      <c r="S455" s="711"/>
      <c r="T455" s="711"/>
      <c r="U455" s="711"/>
      <c r="V455" s="711"/>
    </row>
    <row r="456" spans="1:22" ht="10.5" customHeight="1" x14ac:dyDescent="0.25">
      <c r="A456" s="712"/>
      <c r="B456" s="713"/>
      <c r="C456" s="714"/>
      <c r="D456" s="714"/>
      <c r="E456" s="714"/>
      <c r="F456" s="714"/>
      <c r="G456" s="714"/>
      <c r="H456" s="714"/>
      <c r="I456" s="714"/>
      <c r="J456" s="714"/>
      <c r="K456" s="714"/>
      <c r="L456" s="714"/>
      <c r="M456" s="714"/>
      <c r="N456" s="714"/>
      <c r="O456" s="714"/>
      <c r="P456" s="714"/>
      <c r="Q456" s="714"/>
      <c r="R456" s="714"/>
      <c r="S456" s="714"/>
      <c r="T456" s="714"/>
      <c r="U456" s="714"/>
      <c r="V456" s="714"/>
    </row>
    <row r="457" spans="1:22" ht="10.5" customHeight="1" x14ac:dyDescent="0.25">
      <c r="A457" s="716"/>
      <c r="B457" s="717"/>
      <c r="C457" s="718"/>
      <c r="D457" s="718"/>
      <c r="E457" s="718"/>
      <c r="F457" s="718"/>
      <c r="G457" s="718"/>
      <c r="H457" s="718"/>
      <c r="I457" s="718"/>
      <c r="J457" s="718"/>
      <c r="K457" s="718"/>
      <c r="L457" s="718"/>
      <c r="M457" s="718"/>
      <c r="N457" s="718"/>
      <c r="O457" s="718"/>
      <c r="P457" s="718"/>
      <c r="Q457" s="718"/>
      <c r="R457" s="718"/>
      <c r="S457" s="718"/>
      <c r="T457" s="718"/>
      <c r="U457" s="718"/>
      <c r="V457" s="718"/>
    </row>
    <row r="458" spans="1:22" ht="10.5" customHeight="1" x14ac:dyDescent="0.25">
      <c r="A458" s="707">
        <v>500656</v>
      </c>
      <c r="B458" s="708" t="s">
        <v>1110</v>
      </c>
      <c r="C458" s="707" t="s">
        <v>1111</v>
      </c>
      <c r="D458" s="709">
        <v>0</v>
      </c>
      <c r="E458" s="709">
        <v>28.8</v>
      </c>
      <c r="F458" s="709">
        <v>0</v>
      </c>
      <c r="G458" s="709"/>
      <c r="H458" s="711"/>
      <c r="I458" s="711"/>
      <c r="J458" s="711"/>
      <c r="K458" s="711"/>
      <c r="L458" s="711"/>
      <c r="M458" s="711"/>
      <c r="N458" s="711"/>
      <c r="O458" s="711"/>
      <c r="P458" s="711"/>
      <c r="Q458" s="711"/>
      <c r="R458" s="711"/>
      <c r="S458" s="711"/>
      <c r="T458" s="711"/>
      <c r="U458" s="711"/>
      <c r="V458" s="711"/>
    </row>
    <row r="459" spans="1:22" ht="10.5" customHeight="1" x14ac:dyDescent="0.25">
      <c r="A459" s="712"/>
      <c r="B459" s="713"/>
      <c r="C459" s="714"/>
      <c r="D459" s="714"/>
      <c r="E459" s="714"/>
      <c r="F459" s="714"/>
      <c r="G459" s="714"/>
      <c r="H459" s="714"/>
      <c r="I459" s="714"/>
      <c r="J459" s="714"/>
      <c r="K459" s="714"/>
      <c r="L459" s="714"/>
      <c r="M459" s="714"/>
      <c r="N459" s="714"/>
      <c r="O459" s="714"/>
      <c r="P459" s="714"/>
      <c r="Q459" s="714"/>
      <c r="R459" s="714"/>
      <c r="S459" s="714"/>
      <c r="T459" s="714"/>
      <c r="U459" s="714"/>
      <c r="V459" s="714"/>
    </row>
    <row r="460" spans="1:22" ht="10.5" customHeight="1" x14ac:dyDescent="0.25">
      <c r="A460" s="716"/>
      <c r="B460" s="717"/>
      <c r="C460" s="718"/>
      <c r="D460" s="718"/>
      <c r="E460" s="718"/>
      <c r="F460" s="718"/>
      <c r="G460" s="718"/>
      <c r="H460" s="718"/>
      <c r="I460" s="718"/>
      <c r="J460" s="718"/>
      <c r="K460" s="718"/>
      <c r="L460" s="718"/>
      <c r="M460" s="718"/>
      <c r="N460" s="718"/>
      <c r="O460" s="718"/>
      <c r="P460" s="718"/>
      <c r="Q460" s="718"/>
      <c r="R460" s="718"/>
      <c r="S460" s="718"/>
      <c r="T460" s="718"/>
      <c r="U460" s="718"/>
      <c r="V460" s="718"/>
    </row>
    <row r="461" spans="1:22" ht="10.5" customHeight="1" x14ac:dyDescent="0.25">
      <c r="A461" s="707">
        <v>500651</v>
      </c>
      <c r="B461" s="708" t="s">
        <v>1112</v>
      </c>
      <c r="C461" s="707" t="s">
        <v>571</v>
      </c>
      <c r="D461" s="709">
        <v>0</v>
      </c>
      <c r="E461" s="709">
        <v>4.01</v>
      </c>
      <c r="F461" s="709">
        <v>0</v>
      </c>
      <c r="G461" s="709"/>
      <c r="H461" s="711"/>
      <c r="I461" s="711"/>
      <c r="J461" s="711"/>
      <c r="K461" s="711"/>
      <c r="L461" s="711"/>
      <c r="M461" s="711"/>
      <c r="N461" s="711"/>
      <c r="O461" s="711"/>
      <c r="P461" s="711"/>
      <c r="Q461" s="711"/>
      <c r="R461" s="711"/>
      <c r="S461" s="711"/>
      <c r="T461" s="711"/>
      <c r="U461" s="711"/>
      <c r="V461" s="711"/>
    </row>
    <row r="462" spans="1:22" ht="10.5" customHeight="1" x14ac:dyDescent="0.25">
      <c r="A462" s="712"/>
      <c r="B462" s="713"/>
      <c r="C462" s="714"/>
      <c r="D462" s="714"/>
      <c r="E462" s="714"/>
      <c r="F462" s="714"/>
      <c r="G462" s="714"/>
      <c r="H462" s="714"/>
      <c r="I462" s="714"/>
      <c r="J462" s="714"/>
      <c r="K462" s="714"/>
      <c r="L462" s="714"/>
      <c r="M462" s="714"/>
      <c r="N462" s="714"/>
      <c r="O462" s="714"/>
      <c r="P462" s="714"/>
      <c r="Q462" s="714"/>
      <c r="R462" s="714"/>
      <c r="S462" s="714"/>
      <c r="T462" s="714"/>
      <c r="U462" s="714"/>
      <c r="V462" s="714"/>
    </row>
    <row r="463" spans="1:22" ht="10.5" customHeight="1" x14ac:dyDescent="0.25">
      <c r="A463" s="716"/>
      <c r="B463" s="717"/>
      <c r="C463" s="718"/>
      <c r="D463" s="718"/>
      <c r="E463" s="718"/>
      <c r="F463" s="718"/>
      <c r="G463" s="718"/>
      <c r="H463" s="718"/>
      <c r="I463" s="718"/>
      <c r="J463" s="718"/>
      <c r="K463" s="718"/>
      <c r="L463" s="718"/>
      <c r="M463" s="718"/>
      <c r="N463" s="718"/>
      <c r="O463" s="718"/>
      <c r="P463" s="718"/>
      <c r="Q463" s="718"/>
      <c r="R463" s="718"/>
      <c r="S463" s="718"/>
      <c r="T463" s="718"/>
      <c r="U463" s="718"/>
      <c r="V463" s="718"/>
    </row>
    <row r="464" spans="1:22" ht="10.5" customHeight="1" x14ac:dyDescent="0.25">
      <c r="A464" s="707">
        <v>500686</v>
      </c>
      <c r="B464" s="708" t="s">
        <v>1113</v>
      </c>
      <c r="C464" s="707" t="s">
        <v>571</v>
      </c>
      <c r="D464" s="709">
        <v>3300</v>
      </c>
      <c r="E464" s="709">
        <v>1.97</v>
      </c>
      <c r="F464" s="709">
        <v>6501</v>
      </c>
      <c r="G464" s="709"/>
      <c r="H464" s="711"/>
      <c r="I464" s="711"/>
      <c r="J464" s="711"/>
      <c r="K464" s="711"/>
      <c r="L464" s="711"/>
      <c r="M464" s="711"/>
      <c r="N464" s="711"/>
      <c r="O464" s="711"/>
      <c r="P464" s="711"/>
      <c r="Q464" s="711"/>
      <c r="R464" s="711"/>
      <c r="S464" s="711"/>
      <c r="T464" s="710">
        <v>6501</v>
      </c>
      <c r="U464" s="711"/>
      <c r="V464" s="711"/>
    </row>
    <row r="465" spans="1:22" ht="10.5" customHeight="1" x14ac:dyDescent="0.25">
      <c r="A465" s="712"/>
      <c r="B465" s="713"/>
      <c r="C465" s="714"/>
      <c r="D465" s="714"/>
      <c r="E465" s="714"/>
      <c r="F465" s="714"/>
      <c r="G465" s="714"/>
      <c r="H465" s="714"/>
      <c r="I465" s="714"/>
      <c r="J465" s="714"/>
      <c r="K465" s="714"/>
      <c r="L465" s="714"/>
      <c r="M465" s="714"/>
      <c r="N465" s="714"/>
      <c r="O465" s="714"/>
      <c r="P465" s="714"/>
      <c r="Q465" s="714"/>
      <c r="R465" s="714"/>
      <c r="S465" s="714"/>
      <c r="T465" s="715">
        <v>3300</v>
      </c>
      <c r="U465" s="714"/>
      <c r="V465" s="714"/>
    </row>
    <row r="466" spans="1:22" ht="10.5" customHeight="1" x14ac:dyDescent="0.25">
      <c r="A466" s="716"/>
      <c r="B466" s="717"/>
      <c r="C466" s="718"/>
      <c r="D466" s="718"/>
      <c r="E466" s="718"/>
      <c r="F466" s="718"/>
      <c r="G466" s="718"/>
      <c r="H466" s="718"/>
      <c r="I466" s="718"/>
      <c r="J466" s="718"/>
      <c r="K466" s="718"/>
      <c r="L466" s="718"/>
      <c r="M466" s="718"/>
      <c r="N466" s="718"/>
      <c r="O466" s="718"/>
      <c r="P466" s="718"/>
      <c r="Q466" s="718"/>
      <c r="R466" s="718"/>
      <c r="S466" s="718"/>
      <c r="T466" s="718"/>
      <c r="U466" s="718"/>
      <c r="V466" s="718"/>
    </row>
    <row r="467" spans="1:22" s="105" customFormat="1" ht="10.5" customHeight="1" x14ac:dyDescent="0.25">
      <c r="A467" s="704"/>
      <c r="B467" s="719" t="s">
        <v>1114</v>
      </c>
      <c r="C467" s="704"/>
      <c r="D467" s="705"/>
      <c r="E467" s="706">
        <v>0</v>
      </c>
      <c r="F467" s="706">
        <v>76044.89</v>
      </c>
      <c r="G467" s="706"/>
      <c r="H467" s="705"/>
      <c r="I467" s="705"/>
      <c r="J467" s="705"/>
      <c r="K467" s="705"/>
      <c r="L467" s="705"/>
      <c r="M467" s="705"/>
      <c r="N467" s="705"/>
      <c r="O467" s="705"/>
      <c r="P467" s="705"/>
      <c r="Q467" s="705"/>
      <c r="R467" s="705"/>
      <c r="S467" s="705"/>
      <c r="T467" s="705"/>
      <c r="U467" s="705"/>
      <c r="V467" s="705"/>
    </row>
    <row r="468" spans="1:22" ht="10.5" customHeight="1" x14ac:dyDescent="0.25">
      <c r="A468" s="707">
        <v>503453</v>
      </c>
      <c r="B468" s="708" t="s">
        <v>1751</v>
      </c>
      <c r="C468" s="707" t="s">
        <v>1050</v>
      </c>
      <c r="D468" s="709">
        <v>1</v>
      </c>
      <c r="E468" s="709">
        <v>60763.67</v>
      </c>
      <c r="F468" s="709">
        <v>60763.67</v>
      </c>
      <c r="G468" s="709"/>
      <c r="H468" s="711"/>
      <c r="I468" s="711"/>
      <c r="J468" s="711"/>
      <c r="K468" s="710">
        <v>6076.3669999999993</v>
      </c>
      <c r="L468" s="710">
        <v>6076.3669999999993</v>
      </c>
      <c r="M468" s="710">
        <v>6076.3669999999993</v>
      </c>
      <c r="N468" s="710">
        <v>6076.3669999999993</v>
      </c>
      <c r="O468" s="710">
        <v>6076.3669999999993</v>
      </c>
      <c r="P468" s="710">
        <v>6076.3669999999993</v>
      </c>
      <c r="Q468" s="710">
        <v>6076.3669999999993</v>
      </c>
      <c r="R468" s="710">
        <v>6076.3669999999993</v>
      </c>
      <c r="S468" s="710">
        <v>6076.3669999999993</v>
      </c>
      <c r="T468" s="710">
        <v>6076.3669999999993</v>
      </c>
      <c r="U468" s="711"/>
      <c r="V468" s="711"/>
    </row>
    <row r="469" spans="1:22" ht="10.5" customHeight="1" x14ac:dyDescent="0.25">
      <c r="A469" s="712"/>
      <c r="B469" s="713"/>
      <c r="C469" s="714"/>
      <c r="D469" s="714"/>
      <c r="E469" s="714"/>
      <c r="F469" s="714"/>
      <c r="G469" s="714"/>
      <c r="H469" s="714"/>
      <c r="I469" s="714"/>
      <c r="J469" s="714"/>
      <c r="K469" s="715">
        <v>0.1</v>
      </c>
      <c r="L469" s="715">
        <v>0.1</v>
      </c>
      <c r="M469" s="715">
        <v>0.1</v>
      </c>
      <c r="N469" s="715">
        <v>0.1</v>
      </c>
      <c r="O469" s="715">
        <v>0.1</v>
      </c>
      <c r="P469" s="715">
        <v>0.1</v>
      </c>
      <c r="Q469" s="715">
        <v>0.1</v>
      </c>
      <c r="R469" s="715">
        <v>0.1</v>
      </c>
      <c r="S469" s="715">
        <v>0.1</v>
      </c>
      <c r="T469" s="715">
        <v>0.1</v>
      </c>
      <c r="U469" s="714"/>
      <c r="V469" s="714"/>
    </row>
    <row r="470" spans="1:22" ht="10.5" customHeight="1" x14ac:dyDescent="0.25">
      <c r="A470" s="716"/>
      <c r="B470" s="717"/>
      <c r="C470" s="718"/>
      <c r="D470" s="718"/>
      <c r="E470" s="718"/>
      <c r="F470" s="718"/>
      <c r="G470" s="718"/>
      <c r="H470" s="718"/>
      <c r="I470" s="718"/>
      <c r="J470" s="718"/>
      <c r="K470" s="718"/>
      <c r="L470" s="718"/>
      <c r="M470" s="718"/>
      <c r="N470" s="718"/>
      <c r="O470" s="718"/>
      <c r="P470" s="718"/>
      <c r="Q470" s="718"/>
      <c r="R470" s="718"/>
      <c r="S470" s="718"/>
      <c r="T470" s="718"/>
      <c r="U470" s="718"/>
      <c r="V470" s="718"/>
    </row>
    <row r="471" spans="1:22" ht="10.5" customHeight="1" x14ac:dyDescent="0.25">
      <c r="A471" s="707">
        <v>515634</v>
      </c>
      <c r="B471" s="708" t="s">
        <v>1115</v>
      </c>
      <c r="C471" s="707" t="s">
        <v>1116</v>
      </c>
      <c r="D471" s="709">
        <v>1</v>
      </c>
      <c r="E471" s="709">
        <v>4455.3999999999996</v>
      </c>
      <c r="F471" s="709">
        <v>4455.3999999999996</v>
      </c>
      <c r="G471" s="709"/>
      <c r="H471" s="711"/>
      <c r="I471" s="711"/>
      <c r="J471" s="711"/>
      <c r="K471" s="710">
        <v>445.54</v>
      </c>
      <c r="L471" s="710">
        <v>445.54</v>
      </c>
      <c r="M471" s="710">
        <v>445.54</v>
      </c>
      <c r="N471" s="710">
        <v>445.54</v>
      </c>
      <c r="O471" s="710">
        <v>445.54</v>
      </c>
      <c r="P471" s="710">
        <v>445.54</v>
      </c>
      <c r="Q471" s="710">
        <v>445.54</v>
      </c>
      <c r="R471" s="710">
        <v>445.54</v>
      </c>
      <c r="S471" s="710">
        <v>445.54</v>
      </c>
      <c r="T471" s="710">
        <v>445.54</v>
      </c>
      <c r="U471" s="711"/>
      <c r="V471" s="711"/>
    </row>
    <row r="472" spans="1:22" ht="10.5" customHeight="1" x14ac:dyDescent="0.25">
      <c r="A472" s="712"/>
      <c r="B472" s="713"/>
      <c r="C472" s="714"/>
      <c r="D472" s="714"/>
      <c r="E472" s="714"/>
      <c r="F472" s="714"/>
      <c r="G472" s="714"/>
      <c r="H472" s="714"/>
      <c r="I472" s="714"/>
      <c r="J472" s="714"/>
      <c r="K472" s="715">
        <v>0.1</v>
      </c>
      <c r="L472" s="715">
        <v>0.1</v>
      </c>
      <c r="M472" s="715">
        <v>0.1</v>
      </c>
      <c r="N472" s="715">
        <v>0.1</v>
      </c>
      <c r="O472" s="715">
        <v>0.1</v>
      </c>
      <c r="P472" s="715">
        <v>0.1</v>
      </c>
      <c r="Q472" s="715">
        <v>0.1</v>
      </c>
      <c r="R472" s="715">
        <v>0.1</v>
      </c>
      <c r="S472" s="715">
        <v>0.1</v>
      </c>
      <c r="T472" s="715">
        <v>0.1</v>
      </c>
      <c r="U472" s="714"/>
      <c r="V472" s="714"/>
    </row>
    <row r="473" spans="1:22" ht="10.5" customHeight="1" x14ac:dyDescent="0.25">
      <c r="A473" s="716"/>
      <c r="B473" s="717"/>
      <c r="C473" s="718"/>
      <c r="D473" s="718"/>
      <c r="E473" s="718"/>
      <c r="F473" s="718"/>
      <c r="G473" s="718"/>
      <c r="H473" s="718"/>
      <c r="I473" s="718"/>
      <c r="J473" s="718"/>
      <c r="K473" s="718"/>
      <c r="L473" s="718"/>
      <c r="M473" s="718"/>
      <c r="N473" s="718"/>
      <c r="O473" s="718"/>
      <c r="P473" s="718"/>
      <c r="Q473" s="718"/>
      <c r="R473" s="718"/>
      <c r="S473" s="718"/>
      <c r="T473" s="718"/>
      <c r="U473" s="718"/>
      <c r="V473" s="718"/>
    </row>
    <row r="474" spans="1:22" ht="10.5" customHeight="1" x14ac:dyDescent="0.25">
      <c r="A474" s="707">
        <v>515635</v>
      </c>
      <c r="B474" s="708" t="s">
        <v>1117</v>
      </c>
      <c r="C474" s="707" t="s">
        <v>1116</v>
      </c>
      <c r="D474" s="709">
        <v>1</v>
      </c>
      <c r="E474" s="709">
        <v>10825.82</v>
      </c>
      <c r="F474" s="709">
        <v>10825.82</v>
      </c>
      <c r="G474" s="709"/>
      <c r="H474" s="711"/>
      <c r="I474" s="711"/>
      <c r="J474" s="711"/>
      <c r="K474" s="710">
        <v>1082.5819999999999</v>
      </c>
      <c r="L474" s="710">
        <v>1082.5819999999999</v>
      </c>
      <c r="M474" s="710">
        <v>1082.5819999999999</v>
      </c>
      <c r="N474" s="710">
        <v>1082.5819999999999</v>
      </c>
      <c r="O474" s="710">
        <v>1082.5819999999999</v>
      </c>
      <c r="P474" s="710">
        <v>1082.5819999999999</v>
      </c>
      <c r="Q474" s="710">
        <v>1082.5819999999999</v>
      </c>
      <c r="R474" s="710">
        <v>1082.5819999999999</v>
      </c>
      <c r="S474" s="710">
        <v>1082.5819999999999</v>
      </c>
      <c r="T474" s="710">
        <v>1082.5819999999999</v>
      </c>
      <c r="U474" s="711"/>
      <c r="V474" s="711"/>
    </row>
    <row r="475" spans="1:22" ht="10.5" customHeight="1" x14ac:dyDescent="0.25">
      <c r="A475" s="712"/>
      <c r="B475" s="713"/>
      <c r="C475" s="714"/>
      <c r="D475" s="714"/>
      <c r="E475" s="714"/>
      <c r="F475" s="714"/>
      <c r="G475" s="714"/>
      <c r="H475" s="714"/>
      <c r="I475" s="714"/>
      <c r="J475" s="714"/>
      <c r="K475" s="715">
        <v>0.1</v>
      </c>
      <c r="L475" s="715">
        <v>0.1</v>
      </c>
      <c r="M475" s="715">
        <v>0.1</v>
      </c>
      <c r="N475" s="715">
        <v>0.1</v>
      </c>
      <c r="O475" s="715">
        <v>0.1</v>
      </c>
      <c r="P475" s="715">
        <v>0.1</v>
      </c>
      <c r="Q475" s="715">
        <v>0.1</v>
      </c>
      <c r="R475" s="715">
        <v>0.1</v>
      </c>
      <c r="S475" s="715">
        <v>0.1</v>
      </c>
      <c r="T475" s="715">
        <v>0.1</v>
      </c>
      <c r="U475" s="714"/>
      <c r="V475" s="714"/>
    </row>
    <row r="476" spans="1:22" ht="10.5" customHeight="1" x14ac:dyDescent="0.25">
      <c r="A476" s="716"/>
      <c r="B476" s="717"/>
      <c r="C476" s="718"/>
      <c r="D476" s="718"/>
      <c r="E476" s="718"/>
      <c r="F476" s="718"/>
      <c r="G476" s="718"/>
      <c r="H476" s="718"/>
      <c r="I476" s="718"/>
      <c r="J476" s="718"/>
      <c r="K476" s="718"/>
      <c r="L476" s="718"/>
      <c r="M476" s="718"/>
      <c r="N476" s="718"/>
      <c r="O476" s="718"/>
      <c r="P476" s="718"/>
      <c r="Q476" s="718"/>
      <c r="R476" s="718"/>
      <c r="S476" s="718"/>
      <c r="T476" s="718"/>
      <c r="U476" s="718"/>
      <c r="V476" s="718"/>
    </row>
    <row r="477" spans="1:22" s="105" customFormat="1" ht="10.5" customHeight="1" x14ac:dyDescent="0.25">
      <c r="A477" s="704"/>
      <c r="B477" s="719" t="s">
        <v>872</v>
      </c>
      <c r="C477" s="704"/>
      <c r="D477" s="705"/>
      <c r="E477" s="706">
        <v>0</v>
      </c>
      <c r="F477" s="706">
        <v>0</v>
      </c>
      <c r="G477" s="706"/>
      <c r="H477" s="705"/>
      <c r="I477" s="705"/>
      <c r="J477" s="705"/>
      <c r="K477" s="705"/>
      <c r="L477" s="705"/>
      <c r="M477" s="705"/>
      <c r="N477" s="705"/>
      <c r="O477" s="705"/>
      <c r="P477" s="705"/>
      <c r="Q477" s="705"/>
      <c r="R477" s="705"/>
      <c r="S477" s="705"/>
      <c r="T477" s="705"/>
      <c r="U477" s="705"/>
      <c r="V477" s="705"/>
    </row>
    <row r="478" spans="1:22" s="105" customFormat="1" ht="10.5" customHeight="1" x14ac:dyDescent="0.25">
      <c r="A478" s="704"/>
      <c r="B478" s="719" t="s">
        <v>1142</v>
      </c>
      <c r="C478" s="704"/>
      <c r="D478" s="705"/>
      <c r="E478" s="706">
        <v>0</v>
      </c>
      <c r="F478" s="706">
        <v>33511.99</v>
      </c>
      <c r="G478" s="706"/>
      <c r="H478" s="705"/>
      <c r="I478" s="705"/>
      <c r="J478" s="705"/>
      <c r="K478" s="705"/>
      <c r="L478" s="705"/>
      <c r="M478" s="705"/>
      <c r="N478" s="705"/>
      <c r="O478" s="705"/>
      <c r="P478" s="705"/>
      <c r="Q478" s="705"/>
      <c r="R478" s="705"/>
      <c r="S478" s="705"/>
      <c r="T478" s="705"/>
      <c r="U478" s="705"/>
      <c r="V478" s="705"/>
    </row>
    <row r="479" spans="1:22" ht="10.5" customHeight="1" x14ac:dyDescent="0.25">
      <c r="A479" s="707">
        <v>515562</v>
      </c>
      <c r="B479" s="708" t="s">
        <v>1752</v>
      </c>
      <c r="C479" s="707" t="s">
        <v>1144</v>
      </c>
      <c r="D479" s="709">
        <v>61</v>
      </c>
      <c r="E479" s="709">
        <v>27.12</v>
      </c>
      <c r="F479" s="709">
        <v>1654.32</v>
      </c>
      <c r="G479" s="709"/>
      <c r="H479" s="711"/>
      <c r="I479" s="711"/>
      <c r="J479" s="711"/>
      <c r="K479" s="711"/>
      <c r="L479" s="710">
        <v>183.79495199999997</v>
      </c>
      <c r="M479" s="710">
        <v>183.79495199999997</v>
      </c>
      <c r="N479" s="710">
        <v>183.79495199999997</v>
      </c>
      <c r="O479" s="710">
        <v>183.79495199999997</v>
      </c>
      <c r="P479" s="710">
        <v>183.79495199999997</v>
      </c>
      <c r="Q479" s="710">
        <v>183.79495199999997</v>
      </c>
      <c r="R479" s="710">
        <v>183.79495199999997</v>
      </c>
      <c r="S479" s="710">
        <v>183.79495199999997</v>
      </c>
      <c r="T479" s="710">
        <v>183.96038399999998</v>
      </c>
      <c r="U479" s="711"/>
      <c r="V479" s="711"/>
    </row>
    <row r="480" spans="1:22" ht="10.5" customHeight="1" x14ac:dyDescent="0.25">
      <c r="A480" s="712"/>
      <c r="B480" s="713"/>
      <c r="C480" s="714"/>
      <c r="D480" s="714"/>
      <c r="E480" s="714"/>
      <c r="F480" s="714"/>
      <c r="G480" s="714"/>
      <c r="H480" s="714"/>
      <c r="I480" s="714"/>
      <c r="J480" s="714"/>
      <c r="K480" s="714"/>
      <c r="L480" s="715">
        <v>6.777099999999999</v>
      </c>
      <c r="M480" s="715">
        <v>6.777099999999999</v>
      </c>
      <c r="N480" s="715">
        <v>6.777099999999999</v>
      </c>
      <c r="O480" s="715">
        <v>6.777099999999999</v>
      </c>
      <c r="P480" s="715">
        <v>6.777099999999999</v>
      </c>
      <c r="Q480" s="715">
        <v>6.777099999999999</v>
      </c>
      <c r="R480" s="715">
        <v>6.777099999999999</v>
      </c>
      <c r="S480" s="715">
        <v>6.777099999999999</v>
      </c>
      <c r="T480" s="715">
        <v>6.783199999999999</v>
      </c>
      <c r="U480" s="714"/>
      <c r="V480" s="714"/>
    </row>
    <row r="481" spans="1:22" ht="10.5" customHeight="1" x14ac:dyDescent="0.25">
      <c r="A481" s="716"/>
      <c r="B481" s="717"/>
      <c r="C481" s="718"/>
      <c r="D481" s="718"/>
      <c r="E481" s="718"/>
      <c r="F481" s="718"/>
      <c r="G481" s="718"/>
      <c r="H481" s="718"/>
      <c r="I481" s="718"/>
      <c r="J481" s="718"/>
      <c r="K481" s="718"/>
      <c r="L481" s="718"/>
      <c r="M481" s="718"/>
      <c r="N481" s="718"/>
      <c r="O481" s="718"/>
      <c r="P481" s="718"/>
      <c r="Q481" s="718"/>
      <c r="R481" s="718"/>
      <c r="S481" s="718"/>
      <c r="T481" s="718"/>
      <c r="U481" s="718"/>
      <c r="V481" s="718"/>
    </row>
    <row r="482" spans="1:22" ht="10.5" customHeight="1" x14ac:dyDescent="0.25">
      <c r="A482" s="707">
        <v>515563</v>
      </c>
      <c r="B482" s="708" t="s">
        <v>1753</v>
      </c>
      <c r="C482" s="707" t="s">
        <v>1144</v>
      </c>
      <c r="D482" s="709">
        <v>1195</v>
      </c>
      <c r="E482" s="709">
        <v>22.97</v>
      </c>
      <c r="F482" s="709">
        <v>27449.15</v>
      </c>
      <c r="G482" s="709"/>
      <c r="H482" s="711"/>
      <c r="I482" s="711"/>
      <c r="J482" s="711"/>
      <c r="K482" s="711"/>
      <c r="L482" s="710">
        <v>3049.6005650000002</v>
      </c>
      <c r="M482" s="710">
        <v>3049.6005650000002</v>
      </c>
      <c r="N482" s="710">
        <v>3049.6005650000002</v>
      </c>
      <c r="O482" s="710">
        <v>3049.6005650000002</v>
      </c>
      <c r="P482" s="710">
        <v>3049.6005650000002</v>
      </c>
      <c r="Q482" s="710">
        <v>3049.6005650000002</v>
      </c>
      <c r="R482" s="710">
        <v>3049.6005650000002</v>
      </c>
      <c r="S482" s="710">
        <v>3049.6005650000002</v>
      </c>
      <c r="T482" s="710">
        <v>3052.34548</v>
      </c>
      <c r="U482" s="711"/>
      <c r="V482" s="711"/>
    </row>
    <row r="483" spans="1:22" ht="10.5" customHeight="1" x14ac:dyDescent="0.25">
      <c r="A483" s="712"/>
      <c r="B483" s="713"/>
      <c r="C483" s="714"/>
      <c r="D483" s="714"/>
      <c r="E483" s="714"/>
      <c r="F483" s="714"/>
      <c r="G483" s="714"/>
      <c r="H483" s="714"/>
      <c r="I483" s="714"/>
      <c r="J483" s="714"/>
      <c r="K483" s="714"/>
      <c r="L483" s="715">
        <v>132.7645</v>
      </c>
      <c r="M483" s="715">
        <v>132.7645</v>
      </c>
      <c r="N483" s="715">
        <v>132.7645</v>
      </c>
      <c r="O483" s="715">
        <v>132.7645</v>
      </c>
      <c r="P483" s="715">
        <v>132.7645</v>
      </c>
      <c r="Q483" s="715">
        <v>132.7645</v>
      </c>
      <c r="R483" s="715">
        <v>132.7645</v>
      </c>
      <c r="S483" s="715">
        <v>132.7645</v>
      </c>
      <c r="T483" s="715">
        <v>132.88399999999999</v>
      </c>
      <c r="U483" s="714"/>
      <c r="V483" s="714"/>
    </row>
    <row r="484" spans="1:22" ht="10.5" customHeight="1" x14ac:dyDescent="0.25">
      <c r="A484" s="716"/>
      <c r="B484" s="717"/>
      <c r="C484" s="718"/>
      <c r="D484" s="718"/>
      <c r="E484" s="718"/>
      <c r="F484" s="718"/>
      <c r="G484" s="718"/>
      <c r="H484" s="718"/>
      <c r="I484" s="718"/>
      <c r="J484" s="718"/>
      <c r="K484" s="718"/>
      <c r="L484" s="718"/>
      <c r="M484" s="718"/>
      <c r="N484" s="718"/>
      <c r="O484" s="718"/>
      <c r="P484" s="718"/>
      <c r="Q484" s="718"/>
      <c r="R484" s="718"/>
      <c r="S484" s="718"/>
      <c r="T484" s="718"/>
      <c r="U484" s="718"/>
      <c r="V484" s="718"/>
    </row>
    <row r="485" spans="1:22" ht="10.5" customHeight="1" x14ac:dyDescent="0.25">
      <c r="A485" s="707">
        <v>515563</v>
      </c>
      <c r="B485" s="708" t="s">
        <v>1147</v>
      </c>
      <c r="C485" s="707" t="s">
        <v>1144</v>
      </c>
      <c r="D485" s="709">
        <v>61</v>
      </c>
      <c r="E485" s="709">
        <v>22.97</v>
      </c>
      <c r="F485" s="709">
        <v>1401.17</v>
      </c>
      <c r="G485" s="709"/>
      <c r="H485" s="711"/>
      <c r="I485" s="711"/>
      <c r="J485" s="711"/>
      <c r="K485" s="711"/>
      <c r="L485" s="710">
        <v>155.66998699999999</v>
      </c>
      <c r="M485" s="710">
        <v>155.66998699999999</v>
      </c>
      <c r="N485" s="710">
        <v>155.66998699999999</v>
      </c>
      <c r="O485" s="710">
        <v>155.66998699999999</v>
      </c>
      <c r="P485" s="710">
        <v>155.66998699999999</v>
      </c>
      <c r="Q485" s="710">
        <v>155.66998699999999</v>
      </c>
      <c r="R485" s="710">
        <v>155.66998699999999</v>
      </c>
      <c r="S485" s="710">
        <v>155.66998699999999</v>
      </c>
      <c r="T485" s="710">
        <v>155.810104</v>
      </c>
      <c r="U485" s="711"/>
      <c r="V485" s="711"/>
    </row>
    <row r="486" spans="1:22" ht="10.5" customHeight="1" x14ac:dyDescent="0.25">
      <c r="A486" s="712"/>
      <c r="B486" s="713"/>
      <c r="C486" s="714"/>
      <c r="D486" s="714"/>
      <c r="E486" s="714"/>
      <c r="F486" s="714"/>
      <c r="G486" s="714"/>
      <c r="H486" s="714"/>
      <c r="I486" s="714"/>
      <c r="J486" s="714"/>
      <c r="K486" s="714"/>
      <c r="L486" s="715">
        <v>6.777099999999999</v>
      </c>
      <c r="M486" s="715">
        <v>6.777099999999999</v>
      </c>
      <c r="N486" s="715">
        <v>6.777099999999999</v>
      </c>
      <c r="O486" s="715">
        <v>6.777099999999999</v>
      </c>
      <c r="P486" s="715">
        <v>6.777099999999999</v>
      </c>
      <c r="Q486" s="715">
        <v>6.777099999999999</v>
      </c>
      <c r="R486" s="715">
        <v>6.777099999999999</v>
      </c>
      <c r="S486" s="715">
        <v>6.777099999999999</v>
      </c>
      <c r="T486" s="715">
        <v>6.783199999999999</v>
      </c>
      <c r="U486" s="714"/>
      <c r="V486" s="714"/>
    </row>
    <row r="487" spans="1:22" ht="10.5" customHeight="1" x14ac:dyDescent="0.25">
      <c r="A487" s="716"/>
      <c r="B487" s="717"/>
      <c r="C487" s="718"/>
      <c r="D487" s="718"/>
      <c r="E487" s="718"/>
      <c r="F487" s="718"/>
      <c r="G487" s="718"/>
      <c r="H487" s="718"/>
      <c r="I487" s="718"/>
      <c r="J487" s="718"/>
      <c r="K487" s="718"/>
      <c r="L487" s="718"/>
      <c r="M487" s="718"/>
      <c r="N487" s="718"/>
      <c r="O487" s="718"/>
      <c r="P487" s="718"/>
      <c r="Q487" s="718"/>
      <c r="R487" s="718"/>
      <c r="S487" s="718"/>
      <c r="T487" s="718"/>
      <c r="U487" s="718"/>
      <c r="V487" s="718"/>
    </row>
    <row r="488" spans="1:22" ht="10.5" customHeight="1" x14ac:dyDescent="0.25">
      <c r="A488" s="707">
        <v>515563</v>
      </c>
      <c r="B488" s="708" t="s">
        <v>1149</v>
      </c>
      <c r="C488" s="707" t="s">
        <v>1144</v>
      </c>
      <c r="D488" s="709">
        <v>9</v>
      </c>
      <c r="E488" s="709">
        <v>22.97</v>
      </c>
      <c r="F488" s="709">
        <v>206.73</v>
      </c>
      <c r="G488" s="709"/>
      <c r="H488" s="711"/>
      <c r="I488" s="711"/>
      <c r="J488" s="711"/>
      <c r="K488" s="711"/>
      <c r="L488" s="710">
        <v>22.967702999999997</v>
      </c>
      <c r="M488" s="710">
        <v>22.967702999999997</v>
      </c>
      <c r="N488" s="710">
        <v>22.967702999999997</v>
      </c>
      <c r="O488" s="710">
        <v>22.967702999999997</v>
      </c>
      <c r="P488" s="710">
        <v>22.967702999999997</v>
      </c>
      <c r="Q488" s="710">
        <v>22.967702999999997</v>
      </c>
      <c r="R488" s="710">
        <v>22.967702999999997</v>
      </c>
      <c r="S488" s="710">
        <v>22.967702999999997</v>
      </c>
      <c r="T488" s="710">
        <v>22.988375999999999</v>
      </c>
      <c r="U488" s="711"/>
      <c r="V488" s="711"/>
    </row>
    <row r="489" spans="1:22" ht="10.5" customHeight="1" x14ac:dyDescent="0.25">
      <c r="A489" s="712"/>
      <c r="B489" s="713"/>
      <c r="C489" s="714"/>
      <c r="D489" s="714"/>
      <c r="E489" s="714"/>
      <c r="F489" s="714"/>
      <c r="G489" s="714"/>
      <c r="H489" s="714"/>
      <c r="I489" s="714"/>
      <c r="J489" s="714"/>
      <c r="K489" s="714"/>
      <c r="L489" s="715">
        <v>0.9998999999999999</v>
      </c>
      <c r="M489" s="715">
        <v>0.9998999999999999</v>
      </c>
      <c r="N489" s="715">
        <v>0.9998999999999999</v>
      </c>
      <c r="O489" s="715">
        <v>0.9998999999999999</v>
      </c>
      <c r="P489" s="715">
        <v>0.9998999999999999</v>
      </c>
      <c r="Q489" s="715">
        <v>0.9998999999999999</v>
      </c>
      <c r="R489" s="715">
        <v>0.9998999999999999</v>
      </c>
      <c r="S489" s="715">
        <v>0.9998999999999999</v>
      </c>
      <c r="T489" s="715">
        <v>1.0007999999999999</v>
      </c>
      <c r="U489" s="714"/>
      <c r="V489" s="714"/>
    </row>
    <row r="490" spans="1:22" ht="10.5" customHeight="1" x14ac:dyDescent="0.25">
      <c r="A490" s="716"/>
      <c r="B490" s="717"/>
      <c r="C490" s="718"/>
      <c r="D490" s="718"/>
      <c r="E490" s="718"/>
      <c r="F490" s="718"/>
      <c r="G490" s="718"/>
      <c r="H490" s="718"/>
      <c r="I490" s="718"/>
      <c r="J490" s="718"/>
      <c r="K490" s="718"/>
      <c r="L490" s="718"/>
      <c r="M490" s="718"/>
      <c r="N490" s="718"/>
      <c r="O490" s="718"/>
      <c r="P490" s="718"/>
      <c r="Q490" s="718"/>
      <c r="R490" s="718"/>
      <c r="S490" s="718"/>
      <c r="T490" s="718"/>
      <c r="U490" s="718"/>
      <c r="V490" s="718"/>
    </row>
    <row r="491" spans="1:22" ht="10.5" customHeight="1" x14ac:dyDescent="0.25">
      <c r="A491" s="707">
        <v>515563</v>
      </c>
      <c r="B491" s="708" t="s">
        <v>1159</v>
      </c>
      <c r="C491" s="707" t="s">
        <v>1144</v>
      </c>
      <c r="D491" s="709">
        <v>70</v>
      </c>
      <c r="E491" s="709">
        <v>22.97</v>
      </c>
      <c r="F491" s="709">
        <v>1607.9</v>
      </c>
      <c r="G491" s="709"/>
      <c r="H491" s="711"/>
      <c r="I491" s="711"/>
      <c r="J491" s="711"/>
      <c r="K491" s="711"/>
      <c r="L491" s="710">
        <v>178.63768999999999</v>
      </c>
      <c r="M491" s="710">
        <v>178.63768999999999</v>
      </c>
      <c r="N491" s="710">
        <v>178.63768999999999</v>
      </c>
      <c r="O491" s="710">
        <v>178.63768999999999</v>
      </c>
      <c r="P491" s="710">
        <v>178.63768999999999</v>
      </c>
      <c r="Q491" s="710">
        <v>178.63768999999999</v>
      </c>
      <c r="R491" s="710">
        <v>178.63768999999999</v>
      </c>
      <c r="S491" s="710">
        <v>178.63768999999999</v>
      </c>
      <c r="T491" s="710">
        <v>178.79847999999998</v>
      </c>
      <c r="U491" s="711"/>
      <c r="V491" s="711"/>
    </row>
    <row r="492" spans="1:22" ht="10.5" customHeight="1" x14ac:dyDescent="0.25">
      <c r="A492" s="712"/>
      <c r="B492" s="713"/>
      <c r="C492" s="714"/>
      <c r="D492" s="714"/>
      <c r="E492" s="714"/>
      <c r="F492" s="714"/>
      <c r="G492" s="714"/>
      <c r="H492" s="714"/>
      <c r="I492" s="714"/>
      <c r="J492" s="714"/>
      <c r="K492" s="714"/>
      <c r="L492" s="715">
        <v>7.7769999999999992</v>
      </c>
      <c r="M492" s="715">
        <v>7.7769999999999992</v>
      </c>
      <c r="N492" s="715">
        <v>7.7769999999999992</v>
      </c>
      <c r="O492" s="715">
        <v>7.7769999999999992</v>
      </c>
      <c r="P492" s="715">
        <v>7.7769999999999992</v>
      </c>
      <c r="Q492" s="715">
        <v>7.7769999999999992</v>
      </c>
      <c r="R492" s="715">
        <v>7.7769999999999992</v>
      </c>
      <c r="S492" s="715">
        <v>7.7769999999999992</v>
      </c>
      <c r="T492" s="715">
        <v>7.7839999999999998</v>
      </c>
      <c r="U492" s="714"/>
      <c r="V492" s="714"/>
    </row>
    <row r="493" spans="1:22" ht="10.5" customHeight="1" x14ac:dyDescent="0.25">
      <c r="A493" s="716"/>
      <c r="B493" s="717"/>
      <c r="C493" s="718"/>
      <c r="D493" s="718"/>
      <c r="E493" s="718"/>
      <c r="F493" s="718"/>
      <c r="G493" s="718"/>
      <c r="H493" s="718"/>
      <c r="I493" s="718"/>
      <c r="J493" s="718"/>
      <c r="K493" s="718"/>
      <c r="L493" s="718"/>
      <c r="M493" s="718"/>
      <c r="N493" s="718"/>
      <c r="O493" s="718"/>
      <c r="P493" s="718"/>
      <c r="Q493" s="718"/>
      <c r="R493" s="718"/>
      <c r="S493" s="718"/>
      <c r="T493" s="718"/>
      <c r="U493" s="718"/>
      <c r="V493" s="718"/>
    </row>
    <row r="494" spans="1:22" ht="10.5" customHeight="1" x14ac:dyDescent="0.25">
      <c r="A494" s="707">
        <v>515564</v>
      </c>
      <c r="B494" s="708" t="s">
        <v>1754</v>
      </c>
      <c r="C494" s="707" t="s">
        <v>1144</v>
      </c>
      <c r="D494" s="709">
        <v>34</v>
      </c>
      <c r="E494" s="709">
        <v>35.08</v>
      </c>
      <c r="F494" s="709">
        <v>1192.72</v>
      </c>
      <c r="G494" s="709"/>
      <c r="H494" s="711"/>
      <c r="I494" s="711"/>
      <c r="J494" s="711"/>
      <c r="K494" s="711"/>
      <c r="L494" s="710">
        <v>132.51119199999999</v>
      </c>
      <c r="M494" s="710">
        <v>132.51119199999999</v>
      </c>
      <c r="N494" s="710">
        <v>132.51119199999999</v>
      </c>
      <c r="O494" s="710">
        <v>132.51119199999999</v>
      </c>
      <c r="P494" s="710">
        <v>132.51119199999999</v>
      </c>
      <c r="Q494" s="710">
        <v>132.51119199999999</v>
      </c>
      <c r="R494" s="710">
        <v>132.51119199999999</v>
      </c>
      <c r="S494" s="710">
        <v>132.51119199999999</v>
      </c>
      <c r="T494" s="710">
        <v>132.63046399999999</v>
      </c>
      <c r="U494" s="711"/>
      <c r="V494" s="711"/>
    </row>
    <row r="495" spans="1:22" ht="10.5" customHeight="1" x14ac:dyDescent="0.25">
      <c r="A495" s="712"/>
      <c r="B495" s="713"/>
      <c r="C495" s="714"/>
      <c r="D495" s="714"/>
      <c r="E495" s="714"/>
      <c r="F495" s="714"/>
      <c r="G495" s="714"/>
      <c r="H495" s="714"/>
      <c r="I495" s="714"/>
      <c r="J495" s="714"/>
      <c r="K495" s="714"/>
      <c r="L495" s="715">
        <v>3.7774000000000001</v>
      </c>
      <c r="M495" s="715">
        <v>3.7774000000000001</v>
      </c>
      <c r="N495" s="715">
        <v>3.7774000000000001</v>
      </c>
      <c r="O495" s="715">
        <v>3.7774000000000001</v>
      </c>
      <c r="P495" s="715">
        <v>3.7774000000000001</v>
      </c>
      <c r="Q495" s="715">
        <v>3.7774000000000001</v>
      </c>
      <c r="R495" s="715">
        <v>3.7774000000000001</v>
      </c>
      <c r="S495" s="715">
        <v>3.7774000000000001</v>
      </c>
      <c r="T495" s="715">
        <v>3.7807999999999997</v>
      </c>
      <c r="U495" s="714"/>
      <c r="V495" s="714"/>
    </row>
    <row r="496" spans="1:22" ht="10.5" customHeight="1" x14ac:dyDescent="0.25">
      <c r="A496" s="716"/>
      <c r="B496" s="717"/>
      <c r="C496" s="718"/>
      <c r="D496" s="718"/>
      <c r="E496" s="718"/>
      <c r="F496" s="718"/>
      <c r="G496" s="718"/>
      <c r="H496" s="718"/>
      <c r="I496" s="718"/>
      <c r="J496" s="718"/>
      <c r="K496" s="718"/>
      <c r="L496" s="718"/>
      <c r="M496" s="718"/>
      <c r="N496" s="718"/>
      <c r="O496" s="718"/>
      <c r="P496" s="718"/>
      <c r="Q496" s="718"/>
      <c r="R496" s="718"/>
      <c r="S496" s="718"/>
      <c r="T496" s="718"/>
      <c r="U496" s="718"/>
      <c r="V496" s="718"/>
    </row>
    <row r="497" spans="1:22" s="105" customFormat="1" ht="10.5" customHeight="1" x14ac:dyDescent="0.25">
      <c r="A497" s="704"/>
      <c r="B497" s="719" t="s">
        <v>1152</v>
      </c>
      <c r="C497" s="704"/>
      <c r="D497" s="705"/>
      <c r="E497" s="706">
        <v>0</v>
      </c>
      <c r="F497" s="706">
        <v>24654.55</v>
      </c>
      <c r="G497" s="706"/>
      <c r="H497" s="705"/>
      <c r="I497" s="705"/>
      <c r="J497" s="705"/>
      <c r="K497" s="705"/>
      <c r="L497" s="705"/>
      <c r="M497" s="705"/>
      <c r="N497" s="705"/>
      <c r="O497" s="705"/>
      <c r="P497" s="705"/>
      <c r="Q497" s="705"/>
      <c r="R497" s="705"/>
      <c r="S497" s="705"/>
      <c r="T497" s="705"/>
      <c r="U497" s="705"/>
      <c r="V497" s="705"/>
    </row>
    <row r="498" spans="1:22" ht="10.5" customHeight="1" x14ac:dyDescent="0.25">
      <c r="A498" s="707">
        <v>515565</v>
      </c>
      <c r="B498" s="708" t="s">
        <v>1755</v>
      </c>
      <c r="C498" s="707" t="s">
        <v>1144</v>
      </c>
      <c r="D498" s="709">
        <v>34</v>
      </c>
      <c r="E498" s="709">
        <v>45.21</v>
      </c>
      <c r="F498" s="709">
        <v>1537.14</v>
      </c>
      <c r="G498" s="709"/>
      <c r="H498" s="711"/>
      <c r="I498" s="711"/>
      <c r="J498" s="711"/>
      <c r="K498" s="711"/>
      <c r="L498" s="710">
        <v>170.77625399999999</v>
      </c>
      <c r="M498" s="710">
        <v>170.77625399999999</v>
      </c>
      <c r="N498" s="710">
        <v>170.77625399999999</v>
      </c>
      <c r="O498" s="710">
        <v>170.77625399999999</v>
      </c>
      <c r="P498" s="710">
        <v>170.77625399999999</v>
      </c>
      <c r="Q498" s="710">
        <v>170.77625399999999</v>
      </c>
      <c r="R498" s="710">
        <v>170.77625399999999</v>
      </c>
      <c r="S498" s="710">
        <v>170.77625399999999</v>
      </c>
      <c r="T498" s="710">
        <v>170.929968</v>
      </c>
      <c r="U498" s="711"/>
      <c r="V498" s="711"/>
    </row>
    <row r="499" spans="1:22" ht="10.5" customHeight="1" x14ac:dyDescent="0.25">
      <c r="A499" s="712"/>
      <c r="B499" s="713"/>
      <c r="C499" s="714"/>
      <c r="D499" s="714"/>
      <c r="E499" s="714"/>
      <c r="F499" s="714"/>
      <c r="G499" s="714"/>
      <c r="H499" s="714"/>
      <c r="I499" s="714"/>
      <c r="J499" s="714"/>
      <c r="K499" s="714"/>
      <c r="L499" s="715">
        <v>3.7774000000000001</v>
      </c>
      <c r="M499" s="715">
        <v>3.7774000000000001</v>
      </c>
      <c r="N499" s="715">
        <v>3.7774000000000001</v>
      </c>
      <c r="O499" s="715">
        <v>3.7774000000000001</v>
      </c>
      <c r="P499" s="715">
        <v>3.7774000000000001</v>
      </c>
      <c r="Q499" s="715">
        <v>3.7774000000000001</v>
      </c>
      <c r="R499" s="715">
        <v>3.7774000000000001</v>
      </c>
      <c r="S499" s="715">
        <v>3.7774000000000001</v>
      </c>
      <c r="T499" s="715">
        <v>3.7807999999999997</v>
      </c>
      <c r="U499" s="714"/>
      <c r="V499" s="714"/>
    </row>
    <row r="500" spans="1:22" ht="10.5" customHeight="1" x14ac:dyDescent="0.25">
      <c r="A500" s="716"/>
      <c r="B500" s="717"/>
      <c r="C500" s="718"/>
      <c r="D500" s="718"/>
      <c r="E500" s="718"/>
      <c r="F500" s="718"/>
      <c r="G500" s="718"/>
      <c r="H500" s="718"/>
      <c r="I500" s="718"/>
      <c r="J500" s="718"/>
      <c r="K500" s="718"/>
      <c r="L500" s="718"/>
      <c r="M500" s="718"/>
      <c r="N500" s="718"/>
      <c r="O500" s="718"/>
      <c r="P500" s="718"/>
      <c r="Q500" s="718"/>
      <c r="R500" s="718"/>
      <c r="S500" s="718"/>
      <c r="T500" s="718"/>
      <c r="U500" s="718"/>
      <c r="V500" s="718"/>
    </row>
    <row r="501" spans="1:22" ht="10.5" customHeight="1" x14ac:dyDescent="0.25">
      <c r="A501" s="707">
        <v>515566</v>
      </c>
      <c r="B501" s="708" t="s">
        <v>1756</v>
      </c>
      <c r="C501" s="707" t="s">
        <v>1144</v>
      </c>
      <c r="D501" s="709">
        <v>655</v>
      </c>
      <c r="E501" s="709">
        <v>26.27</v>
      </c>
      <c r="F501" s="709">
        <v>17206.849999999999</v>
      </c>
      <c r="G501" s="709"/>
      <c r="H501" s="711"/>
      <c r="I501" s="711"/>
      <c r="J501" s="711"/>
      <c r="K501" s="711"/>
      <c r="L501" s="710">
        <v>1911.6810349999996</v>
      </c>
      <c r="M501" s="710">
        <v>1911.6810349999996</v>
      </c>
      <c r="N501" s="710">
        <v>1911.6810349999996</v>
      </c>
      <c r="O501" s="710">
        <v>1911.6810349999996</v>
      </c>
      <c r="P501" s="710">
        <v>1911.6810349999996</v>
      </c>
      <c r="Q501" s="710">
        <v>1911.6810349999996</v>
      </c>
      <c r="R501" s="710">
        <v>1911.6810349999996</v>
      </c>
      <c r="S501" s="710">
        <v>1911.6810349999996</v>
      </c>
      <c r="T501" s="710">
        <v>1913.4017199999996</v>
      </c>
      <c r="U501" s="711"/>
      <c r="V501" s="711"/>
    </row>
    <row r="502" spans="1:22" ht="10.5" customHeight="1" x14ac:dyDescent="0.25">
      <c r="A502" s="712"/>
      <c r="B502" s="713"/>
      <c r="C502" s="714"/>
      <c r="D502" s="714"/>
      <c r="E502" s="714"/>
      <c r="F502" s="714"/>
      <c r="G502" s="714"/>
      <c r="H502" s="714"/>
      <c r="I502" s="714"/>
      <c r="J502" s="714"/>
      <c r="K502" s="714"/>
      <c r="L502" s="715">
        <v>72.770499999999998</v>
      </c>
      <c r="M502" s="715">
        <v>72.770499999999998</v>
      </c>
      <c r="N502" s="715">
        <v>72.770499999999998</v>
      </c>
      <c r="O502" s="715">
        <v>72.770499999999998</v>
      </c>
      <c r="P502" s="715">
        <v>72.770499999999998</v>
      </c>
      <c r="Q502" s="715">
        <v>72.770499999999998</v>
      </c>
      <c r="R502" s="715">
        <v>72.770499999999998</v>
      </c>
      <c r="S502" s="715">
        <v>72.770499999999998</v>
      </c>
      <c r="T502" s="715">
        <v>72.835999999999999</v>
      </c>
      <c r="U502" s="714"/>
      <c r="V502" s="714"/>
    </row>
    <row r="503" spans="1:22" ht="10.5" customHeight="1" x14ac:dyDescent="0.25">
      <c r="A503" s="716"/>
      <c r="B503" s="717"/>
      <c r="C503" s="718"/>
      <c r="D503" s="718"/>
      <c r="E503" s="718"/>
      <c r="F503" s="718"/>
      <c r="G503" s="718"/>
      <c r="H503" s="718"/>
      <c r="I503" s="718"/>
      <c r="J503" s="718"/>
      <c r="K503" s="718"/>
      <c r="L503" s="718"/>
      <c r="M503" s="718"/>
      <c r="N503" s="718"/>
      <c r="O503" s="718"/>
      <c r="P503" s="718"/>
      <c r="Q503" s="718"/>
      <c r="R503" s="718"/>
      <c r="S503" s="718"/>
      <c r="T503" s="718"/>
      <c r="U503" s="718"/>
      <c r="V503" s="718"/>
    </row>
    <row r="504" spans="1:22" ht="10.5" customHeight="1" x14ac:dyDescent="0.25">
      <c r="A504" s="707">
        <v>515566</v>
      </c>
      <c r="B504" s="708" t="s">
        <v>1757</v>
      </c>
      <c r="C504" s="707" t="s">
        <v>1144</v>
      </c>
      <c r="D504" s="709">
        <v>34</v>
      </c>
      <c r="E504" s="709">
        <v>26.27</v>
      </c>
      <c r="F504" s="709">
        <v>893.18</v>
      </c>
      <c r="G504" s="709"/>
      <c r="H504" s="711"/>
      <c r="I504" s="711"/>
      <c r="J504" s="711"/>
      <c r="K504" s="711"/>
      <c r="L504" s="710">
        <v>99.232297999999986</v>
      </c>
      <c r="M504" s="710">
        <v>99.232297999999986</v>
      </c>
      <c r="N504" s="710">
        <v>99.232297999999986</v>
      </c>
      <c r="O504" s="710">
        <v>99.232297999999986</v>
      </c>
      <c r="P504" s="710">
        <v>99.232297999999986</v>
      </c>
      <c r="Q504" s="710">
        <v>99.232297999999986</v>
      </c>
      <c r="R504" s="710">
        <v>99.232297999999986</v>
      </c>
      <c r="S504" s="710">
        <v>99.232297999999986</v>
      </c>
      <c r="T504" s="710">
        <v>99.321615999999992</v>
      </c>
      <c r="U504" s="711"/>
      <c r="V504" s="711"/>
    </row>
    <row r="505" spans="1:22" ht="10.5" customHeight="1" x14ac:dyDescent="0.25">
      <c r="A505" s="712"/>
      <c r="B505" s="713"/>
      <c r="C505" s="714"/>
      <c r="D505" s="714"/>
      <c r="E505" s="714"/>
      <c r="F505" s="714"/>
      <c r="G505" s="714"/>
      <c r="H505" s="714"/>
      <c r="I505" s="714"/>
      <c r="J505" s="714"/>
      <c r="K505" s="714"/>
      <c r="L505" s="715">
        <v>3.7774000000000001</v>
      </c>
      <c r="M505" s="715">
        <v>3.7774000000000001</v>
      </c>
      <c r="N505" s="715">
        <v>3.7774000000000001</v>
      </c>
      <c r="O505" s="715">
        <v>3.7774000000000001</v>
      </c>
      <c r="P505" s="715">
        <v>3.7774000000000001</v>
      </c>
      <c r="Q505" s="715">
        <v>3.7774000000000001</v>
      </c>
      <c r="R505" s="715">
        <v>3.7774000000000001</v>
      </c>
      <c r="S505" s="715">
        <v>3.7774000000000001</v>
      </c>
      <c r="T505" s="715">
        <v>3.7807999999999997</v>
      </c>
      <c r="U505" s="714"/>
      <c r="V505" s="714"/>
    </row>
    <row r="506" spans="1:22" ht="10.5" customHeight="1" x14ac:dyDescent="0.25">
      <c r="A506" s="716"/>
      <c r="B506" s="717"/>
      <c r="C506" s="718"/>
      <c r="D506" s="718"/>
      <c r="E506" s="718"/>
      <c r="F506" s="718"/>
      <c r="G506" s="718"/>
      <c r="H506" s="718"/>
      <c r="I506" s="718"/>
      <c r="J506" s="718"/>
      <c r="K506" s="718"/>
      <c r="L506" s="718"/>
      <c r="M506" s="718"/>
      <c r="N506" s="718"/>
      <c r="O506" s="718"/>
      <c r="P506" s="718"/>
      <c r="Q506" s="718"/>
      <c r="R506" s="718"/>
      <c r="S506" s="718"/>
      <c r="T506" s="718"/>
      <c r="U506" s="718"/>
      <c r="V506" s="718"/>
    </row>
    <row r="507" spans="1:22" ht="10.5" customHeight="1" x14ac:dyDescent="0.25">
      <c r="A507" s="707">
        <v>515597</v>
      </c>
      <c r="B507" s="708" t="s">
        <v>1758</v>
      </c>
      <c r="C507" s="707" t="s">
        <v>1144</v>
      </c>
      <c r="D507" s="709">
        <v>34</v>
      </c>
      <c r="E507" s="709">
        <v>28.49</v>
      </c>
      <c r="F507" s="709">
        <v>968.66</v>
      </c>
      <c r="G507" s="709"/>
      <c r="H507" s="711"/>
      <c r="I507" s="711"/>
      <c r="J507" s="711"/>
      <c r="K507" s="711"/>
      <c r="L507" s="710">
        <v>107.61812599999999</v>
      </c>
      <c r="M507" s="710">
        <v>107.61812599999999</v>
      </c>
      <c r="N507" s="710">
        <v>107.61812599999999</v>
      </c>
      <c r="O507" s="710">
        <v>107.61812599999999</v>
      </c>
      <c r="P507" s="710">
        <v>107.61812599999999</v>
      </c>
      <c r="Q507" s="710">
        <v>107.61812599999999</v>
      </c>
      <c r="R507" s="710">
        <v>107.61812599999999</v>
      </c>
      <c r="S507" s="710">
        <v>107.61812599999999</v>
      </c>
      <c r="T507" s="710">
        <v>107.71499199999998</v>
      </c>
      <c r="U507" s="711"/>
      <c r="V507" s="711"/>
    </row>
    <row r="508" spans="1:22" ht="10.5" customHeight="1" x14ac:dyDescent="0.25">
      <c r="A508" s="712"/>
      <c r="B508" s="713"/>
      <c r="C508" s="714"/>
      <c r="D508" s="714"/>
      <c r="E508" s="714"/>
      <c r="F508" s="714"/>
      <c r="G508" s="714"/>
      <c r="H508" s="714"/>
      <c r="I508" s="714"/>
      <c r="J508" s="714"/>
      <c r="K508" s="714"/>
      <c r="L508" s="715">
        <v>3.7774000000000001</v>
      </c>
      <c r="M508" s="715">
        <v>3.7774000000000001</v>
      </c>
      <c r="N508" s="715">
        <v>3.7774000000000001</v>
      </c>
      <c r="O508" s="715">
        <v>3.7774000000000001</v>
      </c>
      <c r="P508" s="715">
        <v>3.7774000000000001</v>
      </c>
      <c r="Q508" s="715">
        <v>3.7774000000000001</v>
      </c>
      <c r="R508" s="715">
        <v>3.7774000000000001</v>
      </c>
      <c r="S508" s="715">
        <v>3.7774000000000001</v>
      </c>
      <c r="T508" s="715">
        <v>3.7807999999999997</v>
      </c>
      <c r="U508" s="714"/>
      <c r="V508" s="714"/>
    </row>
    <row r="509" spans="1:22" ht="10.5" customHeight="1" x14ac:dyDescent="0.25">
      <c r="A509" s="716"/>
      <c r="B509" s="717"/>
      <c r="C509" s="718"/>
      <c r="D509" s="718"/>
      <c r="E509" s="718"/>
      <c r="F509" s="718"/>
      <c r="G509" s="718"/>
      <c r="H509" s="718"/>
      <c r="I509" s="718"/>
      <c r="J509" s="718"/>
      <c r="K509" s="718"/>
      <c r="L509" s="718"/>
      <c r="M509" s="718"/>
      <c r="N509" s="718"/>
      <c r="O509" s="718"/>
      <c r="P509" s="718"/>
      <c r="Q509" s="718"/>
      <c r="R509" s="718"/>
      <c r="S509" s="718"/>
      <c r="T509" s="718"/>
      <c r="U509" s="718"/>
      <c r="V509" s="718"/>
    </row>
    <row r="510" spans="1:22" ht="10.5" customHeight="1" x14ac:dyDescent="0.25">
      <c r="A510" s="707">
        <v>515597</v>
      </c>
      <c r="B510" s="708" t="s">
        <v>1759</v>
      </c>
      <c r="C510" s="707" t="s">
        <v>1144</v>
      </c>
      <c r="D510" s="709">
        <v>34</v>
      </c>
      <c r="E510" s="709">
        <v>28.49</v>
      </c>
      <c r="F510" s="709">
        <v>968.66</v>
      </c>
      <c r="G510" s="709"/>
      <c r="H510" s="711"/>
      <c r="I510" s="711"/>
      <c r="J510" s="711"/>
      <c r="K510" s="711"/>
      <c r="L510" s="710">
        <v>107.61812599999999</v>
      </c>
      <c r="M510" s="710">
        <v>107.61812599999999</v>
      </c>
      <c r="N510" s="710">
        <v>107.61812599999999</v>
      </c>
      <c r="O510" s="710">
        <v>107.61812599999999</v>
      </c>
      <c r="P510" s="710">
        <v>107.61812599999999</v>
      </c>
      <c r="Q510" s="710">
        <v>107.61812599999999</v>
      </c>
      <c r="R510" s="710">
        <v>107.61812599999999</v>
      </c>
      <c r="S510" s="710">
        <v>107.61812599999999</v>
      </c>
      <c r="T510" s="710">
        <v>107.71499199999998</v>
      </c>
      <c r="U510" s="711"/>
      <c r="V510" s="711"/>
    </row>
    <row r="511" spans="1:22" ht="10.5" customHeight="1" x14ac:dyDescent="0.25">
      <c r="A511" s="712"/>
      <c r="B511" s="713"/>
      <c r="C511" s="714"/>
      <c r="D511" s="714"/>
      <c r="E511" s="714"/>
      <c r="F511" s="714"/>
      <c r="G511" s="714"/>
      <c r="H511" s="714"/>
      <c r="I511" s="714"/>
      <c r="J511" s="714"/>
      <c r="K511" s="714"/>
      <c r="L511" s="715">
        <v>3.7774000000000001</v>
      </c>
      <c r="M511" s="715">
        <v>3.7774000000000001</v>
      </c>
      <c r="N511" s="715">
        <v>3.7774000000000001</v>
      </c>
      <c r="O511" s="715">
        <v>3.7774000000000001</v>
      </c>
      <c r="P511" s="715">
        <v>3.7774000000000001</v>
      </c>
      <c r="Q511" s="715">
        <v>3.7774000000000001</v>
      </c>
      <c r="R511" s="715">
        <v>3.7774000000000001</v>
      </c>
      <c r="S511" s="715">
        <v>3.7774000000000001</v>
      </c>
      <c r="T511" s="715">
        <v>3.7807999999999997</v>
      </c>
      <c r="U511" s="714"/>
      <c r="V511" s="714"/>
    </row>
    <row r="512" spans="1:22" ht="10.5" customHeight="1" x14ac:dyDescent="0.25">
      <c r="A512" s="716"/>
      <c r="B512" s="717"/>
      <c r="C512" s="718"/>
      <c r="D512" s="718"/>
      <c r="E512" s="718"/>
      <c r="F512" s="718"/>
      <c r="G512" s="718"/>
      <c r="H512" s="718"/>
      <c r="I512" s="718"/>
      <c r="J512" s="718"/>
      <c r="K512" s="718"/>
      <c r="L512" s="718"/>
      <c r="M512" s="718"/>
      <c r="N512" s="718"/>
      <c r="O512" s="718"/>
      <c r="P512" s="718"/>
      <c r="Q512" s="718"/>
      <c r="R512" s="718"/>
      <c r="S512" s="718"/>
      <c r="T512" s="718"/>
      <c r="U512" s="718"/>
      <c r="V512" s="718"/>
    </row>
    <row r="513" spans="1:22" ht="10.5" customHeight="1" x14ac:dyDescent="0.25">
      <c r="A513" s="707">
        <v>515597</v>
      </c>
      <c r="B513" s="708" t="s">
        <v>1760</v>
      </c>
      <c r="C513" s="707" t="s">
        <v>1144</v>
      </c>
      <c r="D513" s="709">
        <v>34</v>
      </c>
      <c r="E513" s="709">
        <v>28.49</v>
      </c>
      <c r="F513" s="709">
        <v>968.66</v>
      </c>
      <c r="G513" s="709"/>
      <c r="H513" s="711"/>
      <c r="I513" s="711"/>
      <c r="J513" s="711"/>
      <c r="K513" s="711"/>
      <c r="L513" s="710">
        <v>107.61812599999999</v>
      </c>
      <c r="M513" s="710">
        <v>107.61812599999999</v>
      </c>
      <c r="N513" s="710">
        <v>107.61812599999999</v>
      </c>
      <c r="O513" s="710">
        <v>107.61812599999999</v>
      </c>
      <c r="P513" s="710">
        <v>107.61812599999999</v>
      </c>
      <c r="Q513" s="710">
        <v>107.61812599999999</v>
      </c>
      <c r="R513" s="710">
        <v>107.61812599999999</v>
      </c>
      <c r="S513" s="710">
        <v>107.61812599999999</v>
      </c>
      <c r="T513" s="710">
        <v>107.71499199999998</v>
      </c>
      <c r="U513" s="711"/>
      <c r="V513" s="711"/>
    </row>
    <row r="514" spans="1:22" ht="10.5" customHeight="1" x14ac:dyDescent="0.25">
      <c r="A514" s="712"/>
      <c r="B514" s="713"/>
      <c r="C514" s="714"/>
      <c r="D514" s="714"/>
      <c r="E514" s="714"/>
      <c r="F514" s="714"/>
      <c r="G514" s="714"/>
      <c r="H514" s="714"/>
      <c r="I514" s="714"/>
      <c r="J514" s="714"/>
      <c r="K514" s="714"/>
      <c r="L514" s="715">
        <v>3.7774000000000001</v>
      </c>
      <c r="M514" s="715">
        <v>3.7774000000000001</v>
      </c>
      <c r="N514" s="715">
        <v>3.7774000000000001</v>
      </c>
      <c r="O514" s="715">
        <v>3.7774000000000001</v>
      </c>
      <c r="P514" s="715">
        <v>3.7774000000000001</v>
      </c>
      <c r="Q514" s="715">
        <v>3.7774000000000001</v>
      </c>
      <c r="R514" s="715">
        <v>3.7774000000000001</v>
      </c>
      <c r="S514" s="715">
        <v>3.7774000000000001</v>
      </c>
      <c r="T514" s="715">
        <v>3.7807999999999997</v>
      </c>
      <c r="U514" s="714"/>
      <c r="V514" s="714"/>
    </row>
    <row r="515" spans="1:22" ht="10.5" customHeight="1" x14ac:dyDescent="0.25">
      <c r="A515" s="716"/>
      <c r="B515" s="717"/>
      <c r="C515" s="718"/>
      <c r="D515" s="718"/>
      <c r="E515" s="718"/>
      <c r="F515" s="718"/>
      <c r="G515" s="718"/>
      <c r="H515" s="718"/>
      <c r="I515" s="718"/>
      <c r="J515" s="718"/>
      <c r="K515" s="718"/>
      <c r="L515" s="718"/>
      <c r="M515" s="718"/>
      <c r="N515" s="718"/>
      <c r="O515" s="718"/>
      <c r="P515" s="718"/>
      <c r="Q515" s="718"/>
      <c r="R515" s="718"/>
      <c r="S515" s="718"/>
      <c r="T515" s="718"/>
      <c r="U515" s="718"/>
      <c r="V515" s="718"/>
    </row>
    <row r="516" spans="1:22" ht="10.5" customHeight="1" x14ac:dyDescent="0.25">
      <c r="A516" s="707">
        <v>515598</v>
      </c>
      <c r="B516" s="708" t="s">
        <v>1761</v>
      </c>
      <c r="C516" s="707" t="s">
        <v>1144</v>
      </c>
      <c r="D516" s="709">
        <v>34</v>
      </c>
      <c r="E516" s="709">
        <v>31.05</v>
      </c>
      <c r="F516" s="709">
        <v>1055.7</v>
      </c>
      <c r="G516" s="709"/>
      <c r="H516" s="711"/>
      <c r="I516" s="711"/>
      <c r="J516" s="711"/>
      <c r="K516" s="711"/>
      <c r="L516" s="710">
        <v>117.28827</v>
      </c>
      <c r="M516" s="710">
        <v>117.28827</v>
      </c>
      <c r="N516" s="710">
        <v>117.28827</v>
      </c>
      <c r="O516" s="710">
        <v>117.28827</v>
      </c>
      <c r="P516" s="710">
        <v>117.28827</v>
      </c>
      <c r="Q516" s="710">
        <v>117.28827</v>
      </c>
      <c r="R516" s="710">
        <v>117.28827</v>
      </c>
      <c r="S516" s="710">
        <v>117.28827</v>
      </c>
      <c r="T516" s="710">
        <v>117.39384</v>
      </c>
      <c r="U516" s="711"/>
      <c r="V516" s="711"/>
    </row>
    <row r="517" spans="1:22" ht="10.5" customHeight="1" x14ac:dyDescent="0.25">
      <c r="A517" s="712"/>
      <c r="B517" s="713"/>
      <c r="C517" s="714"/>
      <c r="D517" s="714"/>
      <c r="E517" s="714"/>
      <c r="F517" s="714"/>
      <c r="G517" s="714"/>
      <c r="H517" s="714"/>
      <c r="I517" s="714"/>
      <c r="J517" s="714"/>
      <c r="K517" s="714"/>
      <c r="L517" s="715">
        <v>3.7774000000000001</v>
      </c>
      <c r="M517" s="715">
        <v>3.7774000000000001</v>
      </c>
      <c r="N517" s="715">
        <v>3.7774000000000001</v>
      </c>
      <c r="O517" s="715">
        <v>3.7774000000000001</v>
      </c>
      <c r="P517" s="715">
        <v>3.7774000000000001</v>
      </c>
      <c r="Q517" s="715">
        <v>3.7774000000000001</v>
      </c>
      <c r="R517" s="715">
        <v>3.7774000000000001</v>
      </c>
      <c r="S517" s="715">
        <v>3.7774000000000001</v>
      </c>
      <c r="T517" s="715">
        <v>3.7807999999999997</v>
      </c>
      <c r="U517" s="714"/>
      <c r="V517" s="714"/>
    </row>
    <row r="518" spans="1:22" ht="10.5" customHeight="1" x14ac:dyDescent="0.25">
      <c r="A518" s="716"/>
      <c r="B518" s="717"/>
      <c r="C518" s="718"/>
      <c r="D518" s="718"/>
      <c r="E518" s="718"/>
      <c r="F518" s="718"/>
      <c r="G518" s="718"/>
      <c r="H518" s="718"/>
      <c r="I518" s="718"/>
      <c r="J518" s="718"/>
      <c r="K518" s="718"/>
      <c r="L518" s="718"/>
      <c r="M518" s="718"/>
      <c r="N518" s="718"/>
      <c r="O518" s="718"/>
      <c r="P518" s="718"/>
      <c r="Q518" s="718"/>
      <c r="R518" s="718"/>
      <c r="S518" s="718"/>
      <c r="T518" s="718"/>
      <c r="U518" s="718"/>
      <c r="V518" s="718"/>
    </row>
    <row r="519" spans="1:22" ht="10.5" customHeight="1" x14ac:dyDescent="0.25">
      <c r="A519" s="707">
        <v>515598</v>
      </c>
      <c r="B519" s="708" t="s">
        <v>1762</v>
      </c>
      <c r="C519" s="707" t="s">
        <v>1144</v>
      </c>
      <c r="D519" s="709">
        <v>34</v>
      </c>
      <c r="E519" s="709">
        <v>31.05</v>
      </c>
      <c r="F519" s="709">
        <v>1055.7</v>
      </c>
      <c r="G519" s="709"/>
      <c r="H519" s="711"/>
      <c r="I519" s="711"/>
      <c r="J519" s="711"/>
      <c r="K519" s="711"/>
      <c r="L519" s="710">
        <v>117.28827</v>
      </c>
      <c r="M519" s="710">
        <v>117.28827</v>
      </c>
      <c r="N519" s="710">
        <v>117.28827</v>
      </c>
      <c r="O519" s="710">
        <v>117.28827</v>
      </c>
      <c r="P519" s="710">
        <v>117.28827</v>
      </c>
      <c r="Q519" s="710">
        <v>117.28827</v>
      </c>
      <c r="R519" s="710">
        <v>117.28827</v>
      </c>
      <c r="S519" s="710">
        <v>117.28827</v>
      </c>
      <c r="T519" s="710">
        <v>117.39384</v>
      </c>
      <c r="U519" s="711"/>
      <c r="V519" s="711"/>
    </row>
    <row r="520" spans="1:22" ht="10.5" customHeight="1" x14ac:dyDescent="0.25">
      <c r="A520" s="712"/>
      <c r="B520" s="713"/>
      <c r="C520" s="714"/>
      <c r="D520" s="714"/>
      <c r="E520" s="714"/>
      <c r="F520" s="714"/>
      <c r="G520" s="714"/>
      <c r="H520" s="714"/>
      <c r="I520" s="714"/>
      <c r="J520" s="714"/>
      <c r="K520" s="714"/>
      <c r="L520" s="715">
        <v>3.7774000000000001</v>
      </c>
      <c r="M520" s="715">
        <v>3.7774000000000001</v>
      </c>
      <c r="N520" s="715">
        <v>3.7774000000000001</v>
      </c>
      <c r="O520" s="715">
        <v>3.7774000000000001</v>
      </c>
      <c r="P520" s="715">
        <v>3.7774000000000001</v>
      </c>
      <c r="Q520" s="715">
        <v>3.7774000000000001</v>
      </c>
      <c r="R520" s="715">
        <v>3.7774000000000001</v>
      </c>
      <c r="S520" s="715">
        <v>3.7774000000000001</v>
      </c>
      <c r="T520" s="715">
        <v>3.7807999999999997</v>
      </c>
      <c r="U520" s="714"/>
      <c r="V520" s="714"/>
    </row>
    <row r="521" spans="1:22" ht="10.5" customHeight="1" x14ac:dyDescent="0.25">
      <c r="A521" s="716"/>
      <c r="B521" s="717"/>
      <c r="C521" s="718"/>
      <c r="D521" s="718"/>
      <c r="E521" s="718"/>
      <c r="F521" s="718"/>
      <c r="G521" s="718"/>
      <c r="H521" s="718"/>
      <c r="I521" s="718"/>
      <c r="J521" s="718"/>
      <c r="K521" s="718"/>
      <c r="L521" s="718"/>
      <c r="M521" s="718"/>
      <c r="N521" s="718"/>
      <c r="O521" s="718"/>
      <c r="P521" s="718"/>
      <c r="Q521" s="718"/>
      <c r="R521" s="718"/>
      <c r="S521" s="718"/>
      <c r="T521" s="718"/>
      <c r="U521" s="718"/>
      <c r="V521" s="718"/>
    </row>
    <row r="522" spans="1:22" s="105" customFormat="1" ht="10.5" customHeight="1" x14ac:dyDescent="0.25">
      <c r="A522" s="704"/>
      <c r="B522" s="719" t="s">
        <v>1763</v>
      </c>
      <c r="C522" s="704"/>
      <c r="D522" s="705"/>
      <c r="E522" s="706">
        <v>0</v>
      </c>
      <c r="F522" s="706">
        <v>2728.93</v>
      </c>
      <c r="G522" s="706"/>
      <c r="H522" s="705"/>
      <c r="I522" s="705"/>
      <c r="J522" s="705"/>
      <c r="K522" s="705"/>
      <c r="L522" s="705"/>
      <c r="M522" s="705"/>
      <c r="N522" s="705"/>
      <c r="O522" s="705"/>
      <c r="P522" s="705"/>
      <c r="Q522" s="705"/>
      <c r="R522" s="705"/>
      <c r="S522" s="705"/>
      <c r="T522" s="705"/>
      <c r="U522" s="705"/>
      <c r="V522" s="705"/>
    </row>
    <row r="523" spans="1:22" ht="10.5" customHeight="1" x14ac:dyDescent="0.25">
      <c r="A523" s="707">
        <v>506970</v>
      </c>
      <c r="B523" s="708" t="s">
        <v>1162</v>
      </c>
      <c r="C523" s="707" t="s">
        <v>683</v>
      </c>
      <c r="D523" s="709">
        <v>90</v>
      </c>
      <c r="E523" s="709">
        <v>14.02</v>
      </c>
      <c r="F523" s="709">
        <v>1261.8</v>
      </c>
      <c r="G523" s="709"/>
      <c r="H523" s="711"/>
      <c r="I523" s="711"/>
      <c r="J523" s="711"/>
      <c r="K523" s="711"/>
      <c r="L523" s="710">
        <v>140.18597999999997</v>
      </c>
      <c r="M523" s="710">
        <v>140.18597999999997</v>
      </c>
      <c r="N523" s="710">
        <v>140.18597999999997</v>
      </c>
      <c r="O523" s="710">
        <v>140.18597999999997</v>
      </c>
      <c r="P523" s="710">
        <v>140.18597999999997</v>
      </c>
      <c r="Q523" s="710">
        <v>140.18597999999997</v>
      </c>
      <c r="R523" s="710">
        <v>140.18597999999997</v>
      </c>
      <c r="S523" s="710">
        <v>140.18597999999997</v>
      </c>
      <c r="T523" s="710">
        <v>140.31215999999998</v>
      </c>
      <c r="U523" s="711"/>
      <c r="V523" s="711"/>
    </row>
    <row r="524" spans="1:22" ht="10.5" customHeight="1" x14ac:dyDescent="0.25">
      <c r="A524" s="712"/>
      <c r="B524" s="713"/>
      <c r="C524" s="714"/>
      <c r="D524" s="714"/>
      <c r="E524" s="714"/>
      <c r="F524" s="714"/>
      <c r="G524" s="714"/>
      <c r="H524" s="714"/>
      <c r="I524" s="714"/>
      <c r="J524" s="714"/>
      <c r="K524" s="714"/>
      <c r="L524" s="715">
        <v>9.9990000000000006</v>
      </c>
      <c r="M524" s="715">
        <v>9.9990000000000006</v>
      </c>
      <c r="N524" s="715">
        <v>9.9990000000000006</v>
      </c>
      <c r="O524" s="715">
        <v>9.9990000000000006</v>
      </c>
      <c r="P524" s="715">
        <v>9.9990000000000006</v>
      </c>
      <c r="Q524" s="715">
        <v>9.9990000000000006</v>
      </c>
      <c r="R524" s="715">
        <v>9.9990000000000006</v>
      </c>
      <c r="S524" s="715">
        <v>9.9990000000000006</v>
      </c>
      <c r="T524" s="715">
        <v>10.007999999999999</v>
      </c>
      <c r="U524" s="714"/>
      <c r="V524" s="714"/>
    </row>
    <row r="525" spans="1:22" ht="10.5" customHeight="1" x14ac:dyDescent="0.25">
      <c r="A525" s="716"/>
      <c r="B525" s="717"/>
      <c r="C525" s="718"/>
      <c r="D525" s="718"/>
      <c r="E525" s="718"/>
      <c r="F525" s="718"/>
      <c r="G525" s="718"/>
      <c r="H525" s="718"/>
      <c r="I525" s="718"/>
      <c r="J525" s="718"/>
      <c r="K525" s="718"/>
      <c r="L525" s="718"/>
      <c r="M525" s="718"/>
      <c r="N525" s="718"/>
      <c r="O525" s="718"/>
      <c r="P525" s="718"/>
      <c r="Q525" s="718"/>
      <c r="R525" s="718"/>
      <c r="S525" s="718"/>
      <c r="T525" s="718"/>
      <c r="U525" s="718"/>
      <c r="V525" s="718"/>
    </row>
    <row r="526" spans="1:22" ht="10.5" customHeight="1" x14ac:dyDescent="0.25">
      <c r="A526" s="707">
        <v>506969</v>
      </c>
      <c r="B526" s="708" t="s">
        <v>1164</v>
      </c>
      <c r="C526" s="707" t="s">
        <v>683</v>
      </c>
      <c r="D526" s="709">
        <v>24</v>
      </c>
      <c r="E526" s="709">
        <v>13.09</v>
      </c>
      <c r="F526" s="709">
        <v>314.16000000000003</v>
      </c>
      <c r="G526" s="709"/>
      <c r="H526" s="711"/>
      <c r="I526" s="711"/>
      <c r="J526" s="711"/>
      <c r="K526" s="711"/>
      <c r="L526" s="710">
        <v>34.903176000000002</v>
      </c>
      <c r="M526" s="710">
        <v>34.903176000000002</v>
      </c>
      <c r="N526" s="710">
        <v>34.903176000000002</v>
      </c>
      <c r="O526" s="710">
        <v>34.903176000000002</v>
      </c>
      <c r="P526" s="710">
        <v>34.903176000000002</v>
      </c>
      <c r="Q526" s="710">
        <v>34.903176000000002</v>
      </c>
      <c r="R526" s="710">
        <v>34.903176000000002</v>
      </c>
      <c r="S526" s="710">
        <v>34.903176000000002</v>
      </c>
      <c r="T526" s="710">
        <v>34.934592000000002</v>
      </c>
      <c r="U526" s="711"/>
      <c r="V526" s="711"/>
    </row>
    <row r="527" spans="1:22" ht="10.5" customHeight="1" x14ac:dyDescent="0.25">
      <c r="A527" s="712"/>
      <c r="B527" s="713"/>
      <c r="C527" s="714"/>
      <c r="D527" s="714"/>
      <c r="E527" s="714"/>
      <c r="F527" s="714"/>
      <c r="G527" s="714"/>
      <c r="H527" s="714"/>
      <c r="I527" s="714"/>
      <c r="J527" s="714"/>
      <c r="K527" s="714"/>
      <c r="L527" s="715">
        <v>2.6663999999999999</v>
      </c>
      <c r="M527" s="715">
        <v>2.6663999999999999</v>
      </c>
      <c r="N527" s="715">
        <v>2.6663999999999999</v>
      </c>
      <c r="O527" s="715">
        <v>2.6663999999999999</v>
      </c>
      <c r="P527" s="715">
        <v>2.6663999999999999</v>
      </c>
      <c r="Q527" s="715">
        <v>2.6663999999999999</v>
      </c>
      <c r="R527" s="715">
        <v>2.6663999999999999</v>
      </c>
      <c r="S527" s="715">
        <v>2.6663999999999999</v>
      </c>
      <c r="T527" s="715">
        <v>2.6688000000000001</v>
      </c>
      <c r="U527" s="714"/>
      <c r="V527" s="714"/>
    </row>
    <row r="528" spans="1:22" ht="10.5" customHeight="1" x14ac:dyDescent="0.25">
      <c r="A528" s="716"/>
      <c r="B528" s="717"/>
      <c r="C528" s="718"/>
      <c r="D528" s="718"/>
      <c r="E528" s="718"/>
      <c r="F528" s="718"/>
      <c r="G528" s="718"/>
      <c r="H528" s="718"/>
      <c r="I528" s="718"/>
      <c r="J528" s="718"/>
      <c r="K528" s="718"/>
      <c r="L528" s="718"/>
      <c r="M528" s="718"/>
      <c r="N528" s="718"/>
      <c r="O528" s="718"/>
      <c r="P528" s="718"/>
      <c r="Q528" s="718"/>
      <c r="R528" s="718"/>
      <c r="S528" s="718"/>
      <c r="T528" s="718"/>
      <c r="U528" s="718"/>
      <c r="V528" s="718"/>
    </row>
    <row r="529" spans="1:22" ht="10.5" customHeight="1" x14ac:dyDescent="0.25">
      <c r="A529" s="707">
        <v>515599</v>
      </c>
      <c r="B529" s="708" t="s">
        <v>1168</v>
      </c>
      <c r="C529" s="707" t="s">
        <v>683</v>
      </c>
      <c r="D529" s="709">
        <v>34</v>
      </c>
      <c r="E529" s="709">
        <v>22.89</v>
      </c>
      <c r="F529" s="709">
        <v>778.26</v>
      </c>
      <c r="G529" s="709"/>
      <c r="H529" s="711"/>
      <c r="I529" s="711"/>
      <c r="J529" s="711"/>
      <c r="K529" s="711"/>
      <c r="L529" s="710">
        <v>86.464686</v>
      </c>
      <c r="M529" s="710">
        <v>86.464686</v>
      </c>
      <c r="N529" s="710">
        <v>86.464686</v>
      </c>
      <c r="O529" s="710">
        <v>86.464686</v>
      </c>
      <c r="P529" s="710">
        <v>86.464686</v>
      </c>
      <c r="Q529" s="710">
        <v>86.464686</v>
      </c>
      <c r="R529" s="710">
        <v>86.464686</v>
      </c>
      <c r="S529" s="710">
        <v>86.464686</v>
      </c>
      <c r="T529" s="710">
        <v>86.542511999999988</v>
      </c>
      <c r="U529" s="711"/>
      <c r="V529" s="711"/>
    </row>
    <row r="530" spans="1:22" ht="10.5" customHeight="1" x14ac:dyDescent="0.25">
      <c r="A530" s="712"/>
      <c r="B530" s="713"/>
      <c r="C530" s="714"/>
      <c r="D530" s="714"/>
      <c r="E530" s="714"/>
      <c r="F530" s="714"/>
      <c r="G530" s="714"/>
      <c r="H530" s="714"/>
      <c r="I530" s="714"/>
      <c r="J530" s="714"/>
      <c r="K530" s="714"/>
      <c r="L530" s="715">
        <v>3.7774000000000001</v>
      </c>
      <c r="M530" s="715">
        <v>3.7774000000000001</v>
      </c>
      <c r="N530" s="715">
        <v>3.7774000000000001</v>
      </c>
      <c r="O530" s="715">
        <v>3.7774000000000001</v>
      </c>
      <c r="P530" s="715">
        <v>3.7774000000000001</v>
      </c>
      <c r="Q530" s="715">
        <v>3.7774000000000001</v>
      </c>
      <c r="R530" s="715">
        <v>3.7774000000000001</v>
      </c>
      <c r="S530" s="715">
        <v>3.7774000000000001</v>
      </c>
      <c r="T530" s="715">
        <v>3.7807999999999997</v>
      </c>
      <c r="U530" s="714"/>
      <c r="V530" s="714"/>
    </row>
    <row r="531" spans="1:22" ht="10.5" customHeight="1" x14ac:dyDescent="0.25">
      <c r="A531" s="716"/>
      <c r="B531" s="717"/>
      <c r="C531" s="718"/>
      <c r="D531" s="718"/>
      <c r="E531" s="718"/>
      <c r="F531" s="718"/>
      <c r="G531" s="718"/>
      <c r="H531" s="718"/>
      <c r="I531" s="718"/>
      <c r="J531" s="718"/>
      <c r="K531" s="718"/>
      <c r="L531" s="718"/>
      <c r="M531" s="718"/>
      <c r="N531" s="718"/>
      <c r="O531" s="718"/>
      <c r="P531" s="718"/>
      <c r="Q531" s="718"/>
      <c r="R531" s="718"/>
      <c r="S531" s="718"/>
      <c r="T531" s="718"/>
      <c r="U531" s="718"/>
      <c r="V531" s="718"/>
    </row>
    <row r="532" spans="1:22" ht="10.5" customHeight="1" x14ac:dyDescent="0.25">
      <c r="A532" s="707">
        <v>503397</v>
      </c>
      <c r="B532" s="708" t="s">
        <v>1166</v>
      </c>
      <c r="C532" s="707" t="s">
        <v>683</v>
      </c>
      <c r="D532" s="709">
        <v>7</v>
      </c>
      <c r="E532" s="709">
        <v>53.53</v>
      </c>
      <c r="F532" s="709">
        <v>374.71</v>
      </c>
      <c r="G532" s="709"/>
      <c r="H532" s="711"/>
      <c r="I532" s="711"/>
      <c r="J532" s="711"/>
      <c r="K532" s="711"/>
      <c r="L532" s="710">
        <v>41.630280999999997</v>
      </c>
      <c r="M532" s="710">
        <v>41.630280999999997</v>
      </c>
      <c r="N532" s="710">
        <v>41.630280999999997</v>
      </c>
      <c r="O532" s="710">
        <v>41.630280999999997</v>
      </c>
      <c r="P532" s="710">
        <v>41.630280999999997</v>
      </c>
      <c r="Q532" s="710">
        <v>41.630280999999997</v>
      </c>
      <c r="R532" s="710">
        <v>41.630280999999997</v>
      </c>
      <c r="S532" s="710">
        <v>41.630280999999997</v>
      </c>
      <c r="T532" s="710">
        <v>41.667751999999993</v>
      </c>
      <c r="U532" s="711"/>
      <c r="V532" s="711"/>
    </row>
    <row r="533" spans="1:22" ht="10.5" customHeight="1" x14ac:dyDescent="0.25">
      <c r="A533" s="712"/>
      <c r="B533" s="713"/>
      <c r="C533" s="714"/>
      <c r="D533" s="714"/>
      <c r="E533" s="714"/>
      <c r="F533" s="714"/>
      <c r="G533" s="714"/>
      <c r="H533" s="714"/>
      <c r="I533" s="714"/>
      <c r="J533" s="714"/>
      <c r="K533" s="714"/>
      <c r="L533" s="715">
        <v>0.77769999999999995</v>
      </c>
      <c r="M533" s="715">
        <v>0.77769999999999995</v>
      </c>
      <c r="N533" s="715">
        <v>0.77769999999999995</v>
      </c>
      <c r="O533" s="715">
        <v>0.77769999999999995</v>
      </c>
      <c r="P533" s="715">
        <v>0.77769999999999995</v>
      </c>
      <c r="Q533" s="715">
        <v>0.77769999999999995</v>
      </c>
      <c r="R533" s="715">
        <v>0.77769999999999995</v>
      </c>
      <c r="S533" s="715">
        <v>0.77769999999999995</v>
      </c>
      <c r="T533" s="715">
        <v>0.77839999999999987</v>
      </c>
      <c r="U533" s="714"/>
      <c r="V533" s="714"/>
    </row>
    <row r="534" spans="1:22" ht="10.5" customHeight="1" x14ac:dyDescent="0.25">
      <c r="A534" s="716"/>
      <c r="B534" s="717"/>
      <c r="C534" s="718"/>
      <c r="D534" s="718"/>
      <c r="E534" s="718"/>
      <c r="F534" s="718"/>
      <c r="G534" s="718"/>
      <c r="H534" s="718"/>
      <c r="I534" s="718"/>
      <c r="J534" s="718"/>
      <c r="K534" s="718"/>
      <c r="L534" s="718"/>
      <c r="M534" s="718"/>
      <c r="N534" s="718"/>
      <c r="O534" s="718"/>
      <c r="P534" s="718"/>
      <c r="Q534" s="718"/>
      <c r="R534" s="718"/>
      <c r="S534" s="718"/>
      <c r="T534" s="718"/>
      <c r="U534" s="718"/>
      <c r="V534" s="718"/>
    </row>
    <row r="535" spans="1:22" s="105" customFormat="1" ht="10.5" customHeight="1" x14ac:dyDescent="0.25">
      <c r="A535" s="704"/>
      <c r="B535" s="719" t="s">
        <v>1764</v>
      </c>
      <c r="C535" s="704"/>
      <c r="D535" s="705"/>
      <c r="E535" s="706">
        <v>0</v>
      </c>
      <c r="F535" s="706">
        <v>2815.76</v>
      </c>
      <c r="G535" s="706"/>
      <c r="H535" s="705"/>
      <c r="I535" s="705"/>
      <c r="J535" s="705"/>
      <c r="K535" s="705"/>
      <c r="L535" s="705"/>
      <c r="M535" s="705"/>
      <c r="N535" s="705"/>
      <c r="O535" s="705"/>
      <c r="P535" s="705"/>
      <c r="Q535" s="705"/>
      <c r="R535" s="705"/>
      <c r="S535" s="705"/>
      <c r="T535" s="705"/>
      <c r="U535" s="705"/>
      <c r="V535" s="705"/>
    </row>
    <row r="536" spans="1:22" ht="10.5" customHeight="1" x14ac:dyDescent="0.25">
      <c r="A536" s="707">
        <v>506438</v>
      </c>
      <c r="B536" s="708" t="s">
        <v>1765</v>
      </c>
      <c r="C536" s="707" t="s">
        <v>1144</v>
      </c>
      <c r="D536" s="709">
        <v>34</v>
      </c>
      <c r="E536" s="709">
        <v>33.56</v>
      </c>
      <c r="F536" s="709">
        <v>1141.04</v>
      </c>
      <c r="G536" s="709"/>
      <c r="H536" s="711"/>
      <c r="I536" s="711"/>
      <c r="J536" s="711"/>
      <c r="K536" s="711"/>
      <c r="L536" s="711"/>
      <c r="M536" s="711"/>
      <c r="N536" s="711"/>
      <c r="O536" s="711"/>
      <c r="P536" s="710">
        <v>228.208</v>
      </c>
      <c r="Q536" s="710">
        <v>228.208</v>
      </c>
      <c r="R536" s="710">
        <v>228.208</v>
      </c>
      <c r="S536" s="710">
        <v>228.208</v>
      </c>
      <c r="T536" s="710">
        <v>228.208</v>
      </c>
      <c r="U536" s="711"/>
      <c r="V536" s="711"/>
    </row>
    <row r="537" spans="1:22" ht="10.5" customHeight="1" x14ac:dyDescent="0.25">
      <c r="A537" s="712"/>
      <c r="B537" s="713"/>
      <c r="C537" s="714"/>
      <c r="D537" s="714"/>
      <c r="E537" s="714"/>
      <c r="F537" s="714"/>
      <c r="G537" s="714"/>
      <c r="H537" s="714"/>
      <c r="I537" s="714"/>
      <c r="J537" s="714"/>
      <c r="K537" s="714"/>
      <c r="L537" s="714"/>
      <c r="M537" s="714"/>
      <c r="N537" s="714"/>
      <c r="O537" s="714"/>
      <c r="P537" s="715">
        <v>6.8</v>
      </c>
      <c r="Q537" s="715">
        <v>6.8</v>
      </c>
      <c r="R537" s="715">
        <v>6.8</v>
      </c>
      <c r="S537" s="715">
        <v>6.8</v>
      </c>
      <c r="T537" s="715">
        <v>6.8</v>
      </c>
      <c r="U537" s="714"/>
      <c r="V537" s="714"/>
    </row>
    <row r="538" spans="1:22" ht="10.5" customHeight="1" x14ac:dyDescent="0.25">
      <c r="A538" s="716"/>
      <c r="B538" s="717"/>
      <c r="C538" s="718"/>
      <c r="D538" s="718"/>
      <c r="E538" s="718"/>
      <c r="F538" s="718"/>
      <c r="G538" s="718"/>
      <c r="H538" s="718"/>
      <c r="I538" s="718"/>
      <c r="J538" s="718"/>
      <c r="K538" s="718"/>
      <c r="L538" s="718"/>
      <c r="M538" s="718"/>
      <c r="N538" s="718"/>
      <c r="O538" s="718"/>
      <c r="P538" s="718"/>
      <c r="Q538" s="718"/>
      <c r="R538" s="718"/>
      <c r="S538" s="718"/>
      <c r="T538" s="718"/>
      <c r="U538" s="718"/>
      <c r="V538" s="718"/>
    </row>
    <row r="539" spans="1:22" ht="10.5" customHeight="1" x14ac:dyDescent="0.25">
      <c r="A539" s="707">
        <v>515603</v>
      </c>
      <c r="B539" s="708" t="s">
        <v>1766</v>
      </c>
      <c r="C539" s="707" t="s">
        <v>1144</v>
      </c>
      <c r="D539" s="709">
        <v>34</v>
      </c>
      <c r="E539" s="709">
        <v>33.56</v>
      </c>
      <c r="F539" s="709">
        <v>1141.04</v>
      </c>
      <c r="G539" s="709"/>
      <c r="H539" s="711"/>
      <c r="I539" s="711"/>
      <c r="J539" s="711"/>
      <c r="K539" s="711"/>
      <c r="L539" s="711"/>
      <c r="M539" s="711"/>
      <c r="N539" s="711"/>
      <c r="O539" s="711"/>
      <c r="P539" s="710">
        <v>228.208</v>
      </c>
      <c r="Q539" s="710">
        <v>228.208</v>
      </c>
      <c r="R539" s="710">
        <v>228.208</v>
      </c>
      <c r="S539" s="710">
        <v>228.208</v>
      </c>
      <c r="T539" s="710">
        <v>228.208</v>
      </c>
      <c r="U539" s="711"/>
      <c r="V539" s="711"/>
    </row>
    <row r="540" spans="1:22" ht="10.5" customHeight="1" x14ac:dyDescent="0.25">
      <c r="A540" s="712"/>
      <c r="B540" s="713"/>
      <c r="C540" s="714"/>
      <c r="D540" s="714"/>
      <c r="E540" s="714"/>
      <c r="F540" s="714"/>
      <c r="G540" s="714"/>
      <c r="H540" s="714"/>
      <c r="I540" s="714"/>
      <c r="J540" s="714"/>
      <c r="K540" s="714"/>
      <c r="L540" s="714"/>
      <c r="M540" s="714"/>
      <c r="N540" s="714"/>
      <c r="O540" s="714"/>
      <c r="P540" s="715">
        <v>6.8</v>
      </c>
      <c r="Q540" s="715">
        <v>6.8</v>
      </c>
      <c r="R540" s="715">
        <v>6.8</v>
      </c>
      <c r="S540" s="715">
        <v>6.8</v>
      </c>
      <c r="T540" s="715">
        <v>6.8</v>
      </c>
      <c r="U540" s="714"/>
      <c r="V540" s="714"/>
    </row>
    <row r="541" spans="1:22" ht="10.5" customHeight="1" x14ac:dyDescent="0.25">
      <c r="A541" s="716"/>
      <c r="B541" s="717"/>
      <c r="C541" s="718"/>
      <c r="D541" s="718"/>
      <c r="E541" s="718"/>
      <c r="F541" s="718"/>
      <c r="G541" s="718"/>
      <c r="H541" s="718"/>
      <c r="I541" s="718"/>
      <c r="J541" s="718"/>
      <c r="K541" s="718"/>
      <c r="L541" s="718"/>
      <c r="M541" s="718"/>
      <c r="N541" s="718"/>
      <c r="O541" s="718"/>
      <c r="P541" s="718"/>
      <c r="Q541" s="718"/>
      <c r="R541" s="718"/>
      <c r="S541" s="718"/>
      <c r="T541" s="718"/>
      <c r="U541" s="718"/>
      <c r="V541" s="718"/>
    </row>
    <row r="542" spans="1:22" ht="10.5" customHeight="1" x14ac:dyDescent="0.25">
      <c r="A542" s="707">
        <v>503238</v>
      </c>
      <c r="B542" s="708" t="s">
        <v>1175</v>
      </c>
      <c r="C542" s="707" t="s">
        <v>1066</v>
      </c>
      <c r="D542" s="709">
        <v>7</v>
      </c>
      <c r="E542" s="709">
        <v>41.34</v>
      </c>
      <c r="F542" s="709">
        <v>289.38</v>
      </c>
      <c r="G542" s="709"/>
      <c r="H542" s="711"/>
      <c r="I542" s="711"/>
      <c r="J542" s="711"/>
      <c r="K542" s="711"/>
      <c r="L542" s="711"/>
      <c r="M542" s="711"/>
      <c r="N542" s="711"/>
      <c r="O542" s="711"/>
      <c r="P542" s="710">
        <v>57.876000000000005</v>
      </c>
      <c r="Q542" s="710">
        <v>57.876000000000005</v>
      </c>
      <c r="R542" s="710">
        <v>57.876000000000005</v>
      </c>
      <c r="S542" s="710">
        <v>57.876000000000005</v>
      </c>
      <c r="T542" s="710">
        <v>57.876000000000005</v>
      </c>
      <c r="U542" s="711"/>
      <c r="V542" s="711"/>
    </row>
    <row r="543" spans="1:22" ht="10.5" customHeight="1" x14ac:dyDescent="0.25">
      <c r="A543" s="712"/>
      <c r="B543" s="713"/>
      <c r="C543" s="714"/>
      <c r="D543" s="714"/>
      <c r="E543" s="714"/>
      <c r="F543" s="714"/>
      <c r="G543" s="714"/>
      <c r="H543" s="714"/>
      <c r="I543" s="714"/>
      <c r="J543" s="714"/>
      <c r="K543" s="714"/>
      <c r="L543" s="714"/>
      <c r="M543" s="714"/>
      <c r="N543" s="714"/>
      <c r="O543" s="714"/>
      <c r="P543" s="715">
        <v>1.4</v>
      </c>
      <c r="Q543" s="715">
        <v>1.4</v>
      </c>
      <c r="R543" s="715">
        <v>1.4</v>
      </c>
      <c r="S543" s="715">
        <v>1.4</v>
      </c>
      <c r="T543" s="715">
        <v>1.4</v>
      </c>
      <c r="U543" s="714"/>
      <c r="V543" s="714"/>
    </row>
    <row r="544" spans="1:22" ht="10.5" customHeight="1" x14ac:dyDescent="0.25">
      <c r="A544" s="716"/>
      <c r="B544" s="717"/>
      <c r="C544" s="718"/>
      <c r="D544" s="718"/>
      <c r="E544" s="718"/>
      <c r="F544" s="718"/>
      <c r="G544" s="718"/>
      <c r="H544" s="718"/>
      <c r="I544" s="718"/>
      <c r="J544" s="718"/>
      <c r="K544" s="718"/>
      <c r="L544" s="718"/>
      <c r="M544" s="718"/>
      <c r="N544" s="718"/>
      <c r="O544" s="718"/>
      <c r="P544" s="718"/>
      <c r="Q544" s="718"/>
      <c r="R544" s="718"/>
      <c r="S544" s="718"/>
      <c r="T544" s="718"/>
      <c r="U544" s="718"/>
      <c r="V544" s="718"/>
    </row>
    <row r="545" spans="1:22" ht="10.5" customHeight="1" x14ac:dyDescent="0.25">
      <c r="A545" s="707">
        <v>515604</v>
      </c>
      <c r="B545" s="708" t="s">
        <v>1177</v>
      </c>
      <c r="C545" s="707" t="s">
        <v>1066</v>
      </c>
      <c r="D545" s="709">
        <v>7</v>
      </c>
      <c r="E545" s="709">
        <v>34.9</v>
      </c>
      <c r="F545" s="709">
        <v>244.3</v>
      </c>
      <c r="G545" s="709"/>
      <c r="H545" s="711"/>
      <c r="I545" s="711"/>
      <c r="J545" s="711"/>
      <c r="K545" s="711"/>
      <c r="L545" s="711"/>
      <c r="M545" s="711"/>
      <c r="N545" s="711"/>
      <c r="O545" s="711"/>
      <c r="P545" s="710">
        <v>48.86</v>
      </c>
      <c r="Q545" s="710">
        <v>48.86</v>
      </c>
      <c r="R545" s="710">
        <v>48.86</v>
      </c>
      <c r="S545" s="710">
        <v>48.86</v>
      </c>
      <c r="T545" s="710">
        <v>48.86</v>
      </c>
      <c r="U545" s="711"/>
      <c r="V545" s="711"/>
    </row>
    <row r="546" spans="1:22" ht="10.5" customHeight="1" x14ac:dyDescent="0.25">
      <c r="A546" s="712"/>
      <c r="B546" s="713"/>
      <c r="C546" s="714"/>
      <c r="D546" s="714"/>
      <c r="E546" s="714"/>
      <c r="F546" s="714"/>
      <c r="G546" s="714"/>
      <c r="H546" s="714"/>
      <c r="I546" s="714"/>
      <c r="J546" s="714"/>
      <c r="K546" s="714"/>
      <c r="L546" s="714"/>
      <c r="M546" s="714"/>
      <c r="N546" s="714"/>
      <c r="O546" s="714"/>
      <c r="P546" s="715">
        <v>1.4</v>
      </c>
      <c r="Q546" s="715">
        <v>1.4</v>
      </c>
      <c r="R546" s="715">
        <v>1.4</v>
      </c>
      <c r="S546" s="715">
        <v>1.4</v>
      </c>
      <c r="T546" s="715">
        <v>1.4</v>
      </c>
      <c r="U546" s="714"/>
      <c r="V546" s="714"/>
    </row>
    <row r="547" spans="1:22" ht="10.5" customHeight="1" x14ac:dyDescent="0.25">
      <c r="A547" s="716"/>
      <c r="B547" s="717"/>
      <c r="C547" s="718"/>
      <c r="D547" s="718"/>
      <c r="E547" s="718"/>
      <c r="F547" s="718"/>
      <c r="G547" s="718"/>
      <c r="H547" s="718"/>
      <c r="I547" s="718"/>
      <c r="J547" s="718"/>
      <c r="K547" s="718"/>
      <c r="L547" s="718"/>
      <c r="M547" s="718"/>
      <c r="N547" s="718"/>
      <c r="O547" s="718"/>
      <c r="P547" s="718"/>
      <c r="Q547" s="718"/>
      <c r="R547" s="718"/>
      <c r="S547" s="718"/>
      <c r="T547" s="718"/>
      <c r="U547" s="718"/>
      <c r="V547" s="718"/>
    </row>
    <row r="548" spans="1:22" s="105" customFormat="1" ht="10.5" customHeight="1" x14ac:dyDescent="0.25">
      <c r="A548" s="704"/>
      <c r="B548" s="719" t="s">
        <v>1001</v>
      </c>
      <c r="C548" s="704"/>
      <c r="D548" s="705"/>
      <c r="E548" s="706">
        <v>0</v>
      </c>
      <c r="F548" s="706">
        <v>9909.1499999999978</v>
      </c>
      <c r="G548" s="706"/>
      <c r="H548" s="705"/>
      <c r="I548" s="705"/>
      <c r="J548" s="705"/>
      <c r="K548" s="705"/>
      <c r="L548" s="705"/>
      <c r="M548" s="705"/>
      <c r="N548" s="705"/>
      <c r="O548" s="705"/>
      <c r="P548" s="705"/>
      <c r="Q548" s="705"/>
      <c r="R548" s="705"/>
      <c r="S548" s="705"/>
      <c r="T548" s="705"/>
      <c r="U548" s="705"/>
      <c r="V548" s="705"/>
    </row>
    <row r="549" spans="1:22" ht="10.5" customHeight="1" x14ac:dyDescent="0.25">
      <c r="A549" s="707">
        <v>514532</v>
      </c>
      <c r="B549" s="708" t="s">
        <v>1179</v>
      </c>
      <c r="C549" s="707" t="s">
        <v>1066</v>
      </c>
      <c r="D549" s="709">
        <v>10</v>
      </c>
      <c r="E549" s="709">
        <v>28.43</v>
      </c>
      <c r="F549" s="709">
        <v>284.3</v>
      </c>
      <c r="G549" s="709"/>
      <c r="H549" s="711"/>
      <c r="I549" s="711"/>
      <c r="J549" s="711"/>
      <c r="K549" s="711"/>
      <c r="L549" s="711"/>
      <c r="M549" s="711"/>
      <c r="N549" s="710">
        <v>40.598039999999997</v>
      </c>
      <c r="O549" s="710">
        <v>40.598039999999997</v>
      </c>
      <c r="P549" s="710">
        <v>40.626469999999998</v>
      </c>
      <c r="Q549" s="710">
        <v>40.626469999999998</v>
      </c>
      <c r="R549" s="710">
        <v>40.626469999999998</v>
      </c>
      <c r="S549" s="710">
        <v>40.626469999999998</v>
      </c>
      <c r="T549" s="710">
        <v>40.598039999999997</v>
      </c>
      <c r="U549" s="711"/>
      <c r="V549" s="711"/>
    </row>
    <row r="550" spans="1:22" ht="10.5" customHeight="1" x14ac:dyDescent="0.25">
      <c r="A550" s="712"/>
      <c r="B550" s="713"/>
      <c r="C550" s="714"/>
      <c r="D550" s="714"/>
      <c r="E550" s="714"/>
      <c r="F550" s="714"/>
      <c r="G550" s="714"/>
      <c r="H550" s="714"/>
      <c r="I550" s="714"/>
      <c r="J550" s="714"/>
      <c r="K550" s="714"/>
      <c r="L550" s="714"/>
      <c r="M550" s="714"/>
      <c r="N550" s="715">
        <v>1.4279999999999999</v>
      </c>
      <c r="O550" s="715">
        <v>1.4279999999999999</v>
      </c>
      <c r="P550" s="715">
        <v>1.4289999999999998</v>
      </c>
      <c r="Q550" s="715">
        <v>1.4289999999999998</v>
      </c>
      <c r="R550" s="715">
        <v>1.4289999999999998</v>
      </c>
      <c r="S550" s="715">
        <v>1.4289999999999998</v>
      </c>
      <c r="T550" s="715">
        <v>1.4279999999999999</v>
      </c>
      <c r="U550" s="714"/>
      <c r="V550" s="714"/>
    </row>
    <row r="551" spans="1:22" ht="10.5" customHeight="1" x14ac:dyDescent="0.25">
      <c r="A551" s="716"/>
      <c r="B551" s="717"/>
      <c r="C551" s="718"/>
      <c r="D551" s="718"/>
      <c r="E551" s="718"/>
      <c r="F551" s="718"/>
      <c r="G551" s="718"/>
      <c r="H551" s="718"/>
      <c r="I551" s="718"/>
      <c r="J551" s="718"/>
      <c r="K551" s="718"/>
      <c r="L551" s="718"/>
      <c r="M551" s="718"/>
      <c r="N551" s="718"/>
      <c r="O551" s="718"/>
      <c r="P551" s="718"/>
      <c r="Q551" s="718"/>
      <c r="R551" s="718"/>
      <c r="S551" s="718"/>
      <c r="T551" s="718"/>
      <c r="U551" s="718"/>
      <c r="V551" s="718"/>
    </row>
    <row r="552" spans="1:22" ht="10.5" customHeight="1" x14ac:dyDescent="0.25">
      <c r="A552" s="707">
        <v>515562</v>
      </c>
      <c r="B552" s="708" t="s">
        <v>1181</v>
      </c>
      <c r="C552" s="707" t="s">
        <v>1066</v>
      </c>
      <c r="D552" s="709">
        <v>10</v>
      </c>
      <c r="E552" s="709">
        <v>27.12</v>
      </c>
      <c r="F552" s="709">
        <v>271.2</v>
      </c>
      <c r="G552" s="709"/>
      <c r="H552" s="711"/>
      <c r="I552" s="711"/>
      <c r="J552" s="711"/>
      <c r="K552" s="711"/>
      <c r="L552" s="711"/>
      <c r="M552" s="711"/>
      <c r="N552" s="710">
        <v>38.727359999999997</v>
      </c>
      <c r="O552" s="710">
        <v>38.727359999999997</v>
      </c>
      <c r="P552" s="710">
        <v>38.754479999999994</v>
      </c>
      <c r="Q552" s="710">
        <v>38.754479999999994</v>
      </c>
      <c r="R552" s="710">
        <v>38.754479999999994</v>
      </c>
      <c r="S552" s="710">
        <v>38.754479999999994</v>
      </c>
      <c r="T552" s="710">
        <v>38.727359999999997</v>
      </c>
      <c r="U552" s="711"/>
      <c r="V552" s="711"/>
    </row>
    <row r="553" spans="1:22" ht="10.5" customHeight="1" x14ac:dyDescent="0.25">
      <c r="A553" s="712"/>
      <c r="B553" s="713"/>
      <c r="C553" s="714"/>
      <c r="D553" s="714"/>
      <c r="E553" s="714"/>
      <c r="F553" s="714"/>
      <c r="G553" s="714"/>
      <c r="H553" s="714"/>
      <c r="I553" s="714"/>
      <c r="J553" s="714"/>
      <c r="K553" s="714"/>
      <c r="L553" s="714"/>
      <c r="M553" s="714"/>
      <c r="N553" s="715">
        <v>1.4279999999999999</v>
      </c>
      <c r="O553" s="715">
        <v>1.4279999999999999</v>
      </c>
      <c r="P553" s="715">
        <v>1.4289999999999998</v>
      </c>
      <c r="Q553" s="715">
        <v>1.4289999999999998</v>
      </c>
      <c r="R553" s="715">
        <v>1.4289999999999998</v>
      </c>
      <c r="S553" s="715">
        <v>1.4289999999999998</v>
      </c>
      <c r="T553" s="715">
        <v>1.4279999999999999</v>
      </c>
      <c r="U553" s="714"/>
      <c r="V553" s="714"/>
    </row>
    <row r="554" spans="1:22" ht="10.5" customHeight="1" x14ac:dyDescent="0.25">
      <c r="A554" s="716"/>
      <c r="B554" s="717"/>
      <c r="C554" s="718"/>
      <c r="D554" s="718"/>
      <c r="E554" s="718"/>
      <c r="F554" s="718"/>
      <c r="G554" s="718"/>
      <c r="H554" s="718"/>
      <c r="I554" s="718"/>
      <c r="J554" s="718"/>
      <c r="K554" s="718"/>
      <c r="L554" s="718"/>
      <c r="M554" s="718"/>
      <c r="N554" s="718"/>
      <c r="O554" s="718"/>
      <c r="P554" s="718"/>
      <c r="Q554" s="718"/>
      <c r="R554" s="718"/>
      <c r="S554" s="718"/>
      <c r="T554" s="718"/>
      <c r="U554" s="718"/>
      <c r="V554" s="718"/>
    </row>
    <row r="555" spans="1:22" ht="10.5" customHeight="1" x14ac:dyDescent="0.25">
      <c r="A555" s="707">
        <v>515562</v>
      </c>
      <c r="B555" s="708" t="s">
        <v>1183</v>
      </c>
      <c r="C555" s="707" t="s">
        <v>1144</v>
      </c>
      <c r="D555" s="709">
        <v>39</v>
      </c>
      <c r="E555" s="709">
        <v>27.12</v>
      </c>
      <c r="F555" s="709">
        <v>1057.68</v>
      </c>
      <c r="G555" s="709"/>
      <c r="H555" s="711"/>
      <c r="I555" s="711"/>
      <c r="J555" s="711"/>
      <c r="K555" s="711"/>
      <c r="L555" s="711"/>
      <c r="M555" s="711"/>
      <c r="N555" s="710">
        <v>151.03670400000001</v>
      </c>
      <c r="O555" s="710">
        <v>151.03670400000001</v>
      </c>
      <c r="P555" s="710">
        <v>151.142472</v>
      </c>
      <c r="Q555" s="710">
        <v>151.142472</v>
      </c>
      <c r="R555" s="710">
        <v>151.142472</v>
      </c>
      <c r="S555" s="710">
        <v>151.142472</v>
      </c>
      <c r="T555" s="710">
        <v>151.03670400000001</v>
      </c>
      <c r="U555" s="711"/>
      <c r="V555" s="711"/>
    </row>
    <row r="556" spans="1:22" ht="10.5" customHeight="1" x14ac:dyDescent="0.25">
      <c r="A556" s="712"/>
      <c r="B556" s="713"/>
      <c r="C556" s="714"/>
      <c r="D556" s="714"/>
      <c r="E556" s="714"/>
      <c r="F556" s="714"/>
      <c r="G556" s="714"/>
      <c r="H556" s="714"/>
      <c r="I556" s="714"/>
      <c r="J556" s="714"/>
      <c r="K556" s="714"/>
      <c r="L556" s="714"/>
      <c r="M556" s="714"/>
      <c r="N556" s="715">
        <v>5.5691999999999995</v>
      </c>
      <c r="O556" s="715">
        <v>5.5691999999999995</v>
      </c>
      <c r="P556" s="715">
        <v>5.5730999999999993</v>
      </c>
      <c r="Q556" s="715">
        <v>5.5730999999999993</v>
      </c>
      <c r="R556" s="715">
        <v>5.5730999999999993</v>
      </c>
      <c r="S556" s="715">
        <v>5.5730999999999993</v>
      </c>
      <c r="T556" s="715">
        <v>5.5691999999999995</v>
      </c>
      <c r="U556" s="714"/>
      <c r="V556" s="714"/>
    </row>
    <row r="557" spans="1:22" ht="10.5" customHeight="1" x14ac:dyDescent="0.25">
      <c r="A557" s="716"/>
      <c r="B557" s="717"/>
      <c r="C557" s="718"/>
      <c r="D557" s="718"/>
      <c r="E557" s="718"/>
      <c r="F557" s="718"/>
      <c r="G557" s="718"/>
      <c r="H557" s="718"/>
      <c r="I557" s="718"/>
      <c r="J557" s="718"/>
      <c r="K557" s="718"/>
      <c r="L557" s="718"/>
      <c r="M557" s="718"/>
      <c r="N557" s="718"/>
      <c r="O557" s="718"/>
      <c r="P557" s="718"/>
      <c r="Q557" s="718"/>
      <c r="R557" s="718"/>
      <c r="S557" s="718"/>
      <c r="T557" s="718"/>
      <c r="U557" s="718"/>
      <c r="V557" s="718"/>
    </row>
    <row r="558" spans="1:22" ht="10.5" customHeight="1" x14ac:dyDescent="0.25">
      <c r="A558" s="707">
        <v>503297</v>
      </c>
      <c r="B558" s="708" t="s">
        <v>1185</v>
      </c>
      <c r="C558" s="707" t="s">
        <v>1066</v>
      </c>
      <c r="D558" s="709">
        <v>39</v>
      </c>
      <c r="E558" s="709">
        <v>57.709999999999994</v>
      </c>
      <c r="F558" s="709">
        <v>2250.69</v>
      </c>
      <c r="G558" s="709"/>
      <c r="H558" s="711"/>
      <c r="I558" s="711"/>
      <c r="J558" s="711"/>
      <c r="K558" s="711"/>
      <c r="L558" s="711"/>
      <c r="M558" s="711"/>
      <c r="N558" s="710">
        <v>321.39853199999999</v>
      </c>
      <c r="O558" s="710">
        <v>321.39853199999999</v>
      </c>
      <c r="P558" s="710">
        <v>321.62360100000001</v>
      </c>
      <c r="Q558" s="710">
        <v>321.62360100000001</v>
      </c>
      <c r="R558" s="710">
        <v>321.62360100000001</v>
      </c>
      <c r="S558" s="710">
        <v>321.62360100000001</v>
      </c>
      <c r="T558" s="710">
        <v>321.39853199999999</v>
      </c>
      <c r="U558" s="711"/>
      <c r="V558" s="711"/>
    </row>
    <row r="559" spans="1:22" ht="10.5" customHeight="1" x14ac:dyDescent="0.25">
      <c r="A559" s="712"/>
      <c r="B559" s="713"/>
      <c r="C559" s="714"/>
      <c r="D559" s="714"/>
      <c r="E559" s="714"/>
      <c r="F559" s="714"/>
      <c r="G559" s="714"/>
      <c r="H559" s="714"/>
      <c r="I559" s="714"/>
      <c r="J559" s="714"/>
      <c r="K559" s="714"/>
      <c r="L559" s="714"/>
      <c r="M559" s="714"/>
      <c r="N559" s="715">
        <v>5.5691999999999995</v>
      </c>
      <c r="O559" s="715">
        <v>5.5691999999999995</v>
      </c>
      <c r="P559" s="715">
        <v>5.5730999999999993</v>
      </c>
      <c r="Q559" s="715">
        <v>5.5730999999999993</v>
      </c>
      <c r="R559" s="715">
        <v>5.5730999999999993</v>
      </c>
      <c r="S559" s="715">
        <v>5.5730999999999993</v>
      </c>
      <c r="T559" s="715">
        <v>5.5691999999999995</v>
      </c>
      <c r="U559" s="714"/>
      <c r="V559" s="714"/>
    </row>
    <row r="560" spans="1:22" ht="10.5" customHeight="1" x14ac:dyDescent="0.25">
      <c r="A560" s="716"/>
      <c r="B560" s="717"/>
      <c r="C560" s="718"/>
      <c r="D560" s="718"/>
      <c r="E560" s="718"/>
      <c r="F560" s="718"/>
      <c r="G560" s="718"/>
      <c r="H560" s="718"/>
      <c r="I560" s="718"/>
      <c r="J560" s="718"/>
      <c r="K560" s="718"/>
      <c r="L560" s="718"/>
      <c r="M560" s="718"/>
      <c r="N560" s="718"/>
      <c r="O560" s="718"/>
      <c r="P560" s="718"/>
      <c r="Q560" s="718"/>
      <c r="R560" s="718"/>
      <c r="S560" s="718"/>
      <c r="T560" s="718"/>
      <c r="U560" s="718"/>
      <c r="V560" s="718"/>
    </row>
    <row r="561" spans="1:22" ht="10.5" customHeight="1" x14ac:dyDescent="0.25">
      <c r="A561" s="707">
        <v>515646</v>
      </c>
      <c r="B561" s="708" t="s">
        <v>1187</v>
      </c>
      <c r="C561" s="707" t="s">
        <v>1066</v>
      </c>
      <c r="D561" s="709">
        <v>1</v>
      </c>
      <c r="E561" s="709">
        <v>1155.46</v>
      </c>
      <c r="F561" s="709">
        <v>1155.46</v>
      </c>
      <c r="G561" s="709"/>
      <c r="H561" s="711"/>
      <c r="I561" s="711"/>
      <c r="J561" s="711"/>
      <c r="K561" s="711"/>
      <c r="L561" s="711"/>
      <c r="M561" s="711"/>
      <c r="N561" s="710">
        <v>164.99968799999999</v>
      </c>
      <c r="O561" s="710">
        <v>164.99968799999999</v>
      </c>
      <c r="P561" s="710">
        <v>165.11523399999999</v>
      </c>
      <c r="Q561" s="710">
        <v>165.11523399999999</v>
      </c>
      <c r="R561" s="710">
        <v>165.11523399999999</v>
      </c>
      <c r="S561" s="710">
        <v>165.11523399999999</v>
      </c>
      <c r="T561" s="710">
        <v>164.99968799999999</v>
      </c>
      <c r="U561" s="711"/>
      <c r="V561" s="711"/>
    </row>
    <row r="562" spans="1:22" ht="10.5" customHeight="1" x14ac:dyDescent="0.25">
      <c r="A562" s="712"/>
      <c r="B562" s="713"/>
      <c r="C562" s="714"/>
      <c r="D562" s="714"/>
      <c r="E562" s="714"/>
      <c r="F562" s="714"/>
      <c r="G562" s="714"/>
      <c r="H562" s="714"/>
      <c r="I562" s="714"/>
      <c r="J562" s="714"/>
      <c r="K562" s="714"/>
      <c r="L562" s="714"/>
      <c r="M562" s="714"/>
      <c r="N562" s="715">
        <v>0.14279999999999998</v>
      </c>
      <c r="O562" s="715">
        <v>0.14279999999999998</v>
      </c>
      <c r="P562" s="715">
        <v>0.1429</v>
      </c>
      <c r="Q562" s="715">
        <v>0.1429</v>
      </c>
      <c r="R562" s="715">
        <v>0.1429</v>
      </c>
      <c r="S562" s="715">
        <v>0.1429</v>
      </c>
      <c r="T562" s="715">
        <v>0.14279999999999998</v>
      </c>
      <c r="U562" s="714"/>
      <c r="V562" s="714"/>
    </row>
    <row r="563" spans="1:22" ht="10.5" customHeight="1" x14ac:dyDescent="0.25">
      <c r="A563" s="716"/>
      <c r="B563" s="717"/>
      <c r="C563" s="718"/>
      <c r="D563" s="718"/>
      <c r="E563" s="718"/>
      <c r="F563" s="718"/>
      <c r="G563" s="718"/>
      <c r="H563" s="718"/>
      <c r="I563" s="718"/>
      <c r="J563" s="718"/>
      <c r="K563" s="718"/>
      <c r="L563" s="718"/>
      <c r="M563" s="718"/>
      <c r="N563" s="718"/>
      <c r="O563" s="718"/>
      <c r="P563" s="718"/>
      <c r="Q563" s="718"/>
      <c r="R563" s="718"/>
      <c r="S563" s="718"/>
      <c r="T563" s="718"/>
      <c r="U563" s="718"/>
      <c r="V563" s="718"/>
    </row>
    <row r="564" spans="1:22" ht="10.5" customHeight="1" x14ac:dyDescent="0.25">
      <c r="A564" s="707">
        <v>515562</v>
      </c>
      <c r="B564" s="708" t="s">
        <v>1189</v>
      </c>
      <c r="C564" s="707" t="s">
        <v>1144</v>
      </c>
      <c r="D564" s="709">
        <v>1</v>
      </c>
      <c r="E564" s="709">
        <v>27.12</v>
      </c>
      <c r="F564" s="709">
        <v>27.12</v>
      </c>
      <c r="G564" s="709"/>
      <c r="H564" s="711"/>
      <c r="I564" s="711"/>
      <c r="J564" s="711"/>
      <c r="K564" s="711"/>
      <c r="L564" s="711"/>
      <c r="M564" s="711"/>
      <c r="N564" s="710">
        <v>3.8727359999999997</v>
      </c>
      <c r="O564" s="710">
        <v>3.8727359999999997</v>
      </c>
      <c r="P564" s="710">
        <v>3.875448</v>
      </c>
      <c r="Q564" s="710">
        <v>3.875448</v>
      </c>
      <c r="R564" s="710">
        <v>3.875448</v>
      </c>
      <c r="S564" s="710">
        <v>3.875448</v>
      </c>
      <c r="T564" s="710">
        <v>3.8727359999999997</v>
      </c>
      <c r="U564" s="711"/>
      <c r="V564" s="711"/>
    </row>
    <row r="565" spans="1:22" ht="10.5" customHeight="1" x14ac:dyDescent="0.25">
      <c r="A565" s="712"/>
      <c r="B565" s="713"/>
      <c r="C565" s="714"/>
      <c r="D565" s="714"/>
      <c r="E565" s="714"/>
      <c r="F565" s="714"/>
      <c r="G565" s="714"/>
      <c r="H565" s="714"/>
      <c r="I565" s="714"/>
      <c r="J565" s="714"/>
      <c r="K565" s="714"/>
      <c r="L565" s="714"/>
      <c r="M565" s="714"/>
      <c r="N565" s="715">
        <v>0.14279999999999998</v>
      </c>
      <c r="O565" s="715">
        <v>0.14279999999999998</v>
      </c>
      <c r="P565" s="715">
        <v>0.1429</v>
      </c>
      <c r="Q565" s="715">
        <v>0.1429</v>
      </c>
      <c r="R565" s="715">
        <v>0.1429</v>
      </c>
      <c r="S565" s="715">
        <v>0.1429</v>
      </c>
      <c r="T565" s="715">
        <v>0.14279999999999998</v>
      </c>
      <c r="U565" s="714"/>
      <c r="V565" s="714"/>
    </row>
    <row r="566" spans="1:22" ht="10.5" customHeight="1" x14ac:dyDescent="0.25">
      <c r="A566" s="716"/>
      <c r="B566" s="717"/>
      <c r="C566" s="718"/>
      <c r="D566" s="718"/>
      <c r="E566" s="718"/>
      <c r="F566" s="718"/>
      <c r="G566" s="718"/>
      <c r="H566" s="718"/>
      <c r="I566" s="718"/>
      <c r="J566" s="718"/>
      <c r="K566" s="718"/>
      <c r="L566" s="718"/>
      <c r="M566" s="718"/>
      <c r="N566" s="718"/>
      <c r="O566" s="718"/>
      <c r="P566" s="718"/>
      <c r="Q566" s="718"/>
      <c r="R566" s="718"/>
      <c r="S566" s="718"/>
      <c r="T566" s="718"/>
      <c r="U566" s="718"/>
      <c r="V566" s="718"/>
    </row>
    <row r="567" spans="1:22" ht="10.5" customHeight="1" x14ac:dyDescent="0.25">
      <c r="A567" s="707">
        <v>514590</v>
      </c>
      <c r="B567" s="708" t="s">
        <v>1191</v>
      </c>
      <c r="C567" s="707" t="s">
        <v>1066</v>
      </c>
      <c r="D567" s="709">
        <v>2</v>
      </c>
      <c r="E567" s="709">
        <v>35.51</v>
      </c>
      <c r="F567" s="709">
        <v>71.02</v>
      </c>
      <c r="G567" s="709"/>
      <c r="H567" s="711"/>
      <c r="I567" s="711"/>
      <c r="J567" s="711"/>
      <c r="K567" s="711"/>
      <c r="L567" s="711"/>
      <c r="M567" s="711"/>
      <c r="N567" s="710">
        <v>10.141655999999999</v>
      </c>
      <c r="O567" s="710">
        <v>10.141655999999999</v>
      </c>
      <c r="P567" s="710">
        <v>10.148757999999999</v>
      </c>
      <c r="Q567" s="710">
        <v>10.148757999999999</v>
      </c>
      <c r="R567" s="710">
        <v>10.148757999999999</v>
      </c>
      <c r="S567" s="710">
        <v>10.148757999999999</v>
      </c>
      <c r="T567" s="710">
        <v>10.141655999999999</v>
      </c>
      <c r="U567" s="711"/>
      <c r="V567" s="711"/>
    </row>
    <row r="568" spans="1:22" ht="10.5" customHeight="1" x14ac:dyDescent="0.25">
      <c r="A568" s="712"/>
      <c r="B568" s="713"/>
      <c r="C568" s="714"/>
      <c r="D568" s="714"/>
      <c r="E568" s="714"/>
      <c r="F568" s="714"/>
      <c r="G568" s="714"/>
      <c r="H568" s="714"/>
      <c r="I568" s="714"/>
      <c r="J568" s="714"/>
      <c r="K568" s="714"/>
      <c r="L568" s="714"/>
      <c r="M568" s="714"/>
      <c r="N568" s="715">
        <v>0.28559999999999997</v>
      </c>
      <c r="O568" s="715">
        <v>0.28559999999999997</v>
      </c>
      <c r="P568" s="715">
        <v>0.2858</v>
      </c>
      <c r="Q568" s="715">
        <v>0.2858</v>
      </c>
      <c r="R568" s="715">
        <v>0.2858</v>
      </c>
      <c r="S568" s="715">
        <v>0.2858</v>
      </c>
      <c r="T568" s="715">
        <v>0.28559999999999997</v>
      </c>
      <c r="U568" s="714"/>
      <c r="V568" s="714"/>
    </row>
    <row r="569" spans="1:22" ht="10.5" customHeight="1" x14ac:dyDescent="0.25">
      <c r="A569" s="716"/>
      <c r="B569" s="717"/>
      <c r="C569" s="718"/>
      <c r="D569" s="718"/>
      <c r="E569" s="718"/>
      <c r="F569" s="718"/>
      <c r="G569" s="718"/>
      <c r="H569" s="718"/>
      <c r="I569" s="718"/>
      <c r="J569" s="718"/>
      <c r="K569" s="718"/>
      <c r="L569" s="718"/>
      <c r="M569" s="718"/>
      <c r="N569" s="718"/>
      <c r="O569" s="718"/>
      <c r="P569" s="718"/>
      <c r="Q569" s="718"/>
      <c r="R569" s="718"/>
      <c r="S569" s="718"/>
      <c r="T569" s="718"/>
      <c r="U569" s="718"/>
      <c r="V569" s="718"/>
    </row>
    <row r="570" spans="1:22" ht="10.5" customHeight="1" x14ac:dyDescent="0.25">
      <c r="A570" s="707">
        <v>513695</v>
      </c>
      <c r="B570" s="708" t="s">
        <v>1193</v>
      </c>
      <c r="C570" s="707" t="s">
        <v>1066</v>
      </c>
      <c r="D570" s="709">
        <v>43</v>
      </c>
      <c r="E570" s="709">
        <v>41.44</v>
      </c>
      <c r="F570" s="709">
        <v>1781.92</v>
      </c>
      <c r="G570" s="709"/>
      <c r="H570" s="711"/>
      <c r="I570" s="711"/>
      <c r="J570" s="711"/>
      <c r="K570" s="711"/>
      <c r="L570" s="711"/>
      <c r="M570" s="711"/>
      <c r="N570" s="710">
        <v>254.45817599999998</v>
      </c>
      <c r="O570" s="710">
        <v>254.45817599999998</v>
      </c>
      <c r="P570" s="710">
        <v>254.636368</v>
      </c>
      <c r="Q570" s="710">
        <v>254.636368</v>
      </c>
      <c r="R570" s="710">
        <v>254.636368</v>
      </c>
      <c r="S570" s="710">
        <v>254.636368</v>
      </c>
      <c r="T570" s="710">
        <v>254.45817599999998</v>
      </c>
      <c r="U570" s="711"/>
      <c r="V570" s="711"/>
    </row>
    <row r="571" spans="1:22" ht="10.5" customHeight="1" x14ac:dyDescent="0.25">
      <c r="A571" s="712"/>
      <c r="B571" s="713"/>
      <c r="C571" s="714"/>
      <c r="D571" s="714"/>
      <c r="E571" s="714"/>
      <c r="F571" s="714"/>
      <c r="G571" s="714"/>
      <c r="H571" s="714"/>
      <c r="I571" s="714"/>
      <c r="J571" s="714"/>
      <c r="K571" s="714"/>
      <c r="L571" s="714"/>
      <c r="M571" s="714"/>
      <c r="N571" s="715">
        <v>6.1403999999999996</v>
      </c>
      <c r="O571" s="715">
        <v>6.1403999999999996</v>
      </c>
      <c r="P571" s="715">
        <v>6.1446999999999994</v>
      </c>
      <c r="Q571" s="715">
        <v>6.1446999999999994</v>
      </c>
      <c r="R571" s="715">
        <v>6.1446999999999994</v>
      </c>
      <c r="S571" s="715">
        <v>6.1446999999999994</v>
      </c>
      <c r="T571" s="715">
        <v>6.1403999999999996</v>
      </c>
      <c r="U571" s="714"/>
      <c r="V571" s="714"/>
    </row>
    <row r="572" spans="1:22" ht="10.5" customHeight="1" x14ac:dyDescent="0.25">
      <c r="A572" s="716"/>
      <c r="B572" s="717"/>
      <c r="C572" s="718"/>
      <c r="D572" s="718"/>
      <c r="E572" s="718"/>
      <c r="F572" s="718"/>
      <c r="G572" s="718"/>
      <c r="H572" s="718"/>
      <c r="I572" s="718"/>
      <c r="J572" s="718"/>
      <c r="K572" s="718"/>
      <c r="L572" s="718"/>
      <c r="M572" s="718"/>
      <c r="N572" s="718"/>
      <c r="O572" s="718"/>
      <c r="P572" s="718"/>
      <c r="Q572" s="718"/>
      <c r="R572" s="718"/>
      <c r="S572" s="718"/>
      <c r="T572" s="718"/>
      <c r="U572" s="718"/>
      <c r="V572" s="718"/>
    </row>
    <row r="573" spans="1:22" ht="10.5" customHeight="1" x14ac:dyDescent="0.25">
      <c r="A573" s="707">
        <v>515562</v>
      </c>
      <c r="B573" s="708" t="s">
        <v>1195</v>
      </c>
      <c r="C573" s="707" t="s">
        <v>1144</v>
      </c>
      <c r="D573" s="709">
        <v>43</v>
      </c>
      <c r="E573" s="709">
        <v>27.12</v>
      </c>
      <c r="F573" s="709">
        <v>1166.1600000000001</v>
      </c>
      <c r="G573" s="709"/>
      <c r="H573" s="711"/>
      <c r="I573" s="711"/>
      <c r="J573" s="711"/>
      <c r="K573" s="711"/>
      <c r="L573" s="711"/>
      <c r="M573" s="711"/>
      <c r="N573" s="710">
        <v>166.527648</v>
      </c>
      <c r="O573" s="710">
        <v>166.527648</v>
      </c>
      <c r="P573" s="710">
        <v>166.64426399999999</v>
      </c>
      <c r="Q573" s="710">
        <v>166.64426399999999</v>
      </c>
      <c r="R573" s="710">
        <v>166.64426399999999</v>
      </c>
      <c r="S573" s="710">
        <v>166.64426399999999</v>
      </c>
      <c r="T573" s="710">
        <v>166.527648</v>
      </c>
      <c r="U573" s="711"/>
      <c r="V573" s="711"/>
    </row>
    <row r="574" spans="1:22" ht="10.5" customHeight="1" x14ac:dyDescent="0.25">
      <c r="A574" s="712"/>
      <c r="B574" s="713"/>
      <c r="C574" s="714"/>
      <c r="D574" s="714"/>
      <c r="E574" s="714"/>
      <c r="F574" s="714"/>
      <c r="G574" s="714"/>
      <c r="H574" s="714"/>
      <c r="I574" s="714"/>
      <c r="J574" s="714"/>
      <c r="K574" s="714"/>
      <c r="L574" s="714"/>
      <c r="M574" s="714"/>
      <c r="N574" s="715">
        <v>6.1403999999999996</v>
      </c>
      <c r="O574" s="715">
        <v>6.1403999999999996</v>
      </c>
      <c r="P574" s="715">
        <v>6.1446999999999994</v>
      </c>
      <c r="Q574" s="715">
        <v>6.1446999999999994</v>
      </c>
      <c r="R574" s="715">
        <v>6.1446999999999994</v>
      </c>
      <c r="S574" s="715">
        <v>6.1446999999999994</v>
      </c>
      <c r="T574" s="715">
        <v>6.1403999999999996</v>
      </c>
      <c r="U574" s="714"/>
      <c r="V574" s="714"/>
    </row>
    <row r="575" spans="1:22" ht="10.5" customHeight="1" x14ac:dyDescent="0.25">
      <c r="A575" s="716"/>
      <c r="B575" s="717"/>
      <c r="C575" s="718"/>
      <c r="D575" s="718"/>
      <c r="E575" s="718"/>
      <c r="F575" s="718"/>
      <c r="G575" s="718"/>
      <c r="H575" s="718"/>
      <c r="I575" s="718"/>
      <c r="J575" s="718"/>
      <c r="K575" s="718"/>
      <c r="L575" s="718"/>
      <c r="M575" s="718"/>
      <c r="N575" s="718"/>
      <c r="O575" s="718"/>
      <c r="P575" s="718"/>
      <c r="Q575" s="718"/>
      <c r="R575" s="718"/>
      <c r="S575" s="718"/>
      <c r="T575" s="718"/>
      <c r="U575" s="718"/>
      <c r="V575" s="718"/>
    </row>
    <row r="576" spans="1:22" ht="10.5" customHeight="1" x14ac:dyDescent="0.25">
      <c r="A576" s="707">
        <v>515647</v>
      </c>
      <c r="B576" s="708" t="s">
        <v>1197</v>
      </c>
      <c r="C576" s="707" t="s">
        <v>1066</v>
      </c>
      <c r="D576" s="709">
        <v>9</v>
      </c>
      <c r="E576" s="709">
        <v>49.76</v>
      </c>
      <c r="F576" s="709">
        <v>447.84</v>
      </c>
      <c r="G576" s="709"/>
      <c r="H576" s="711"/>
      <c r="I576" s="711"/>
      <c r="J576" s="711"/>
      <c r="K576" s="711"/>
      <c r="L576" s="711"/>
      <c r="M576" s="711"/>
      <c r="N576" s="710">
        <v>63.951551999999992</v>
      </c>
      <c r="O576" s="710">
        <v>63.951551999999992</v>
      </c>
      <c r="P576" s="710">
        <v>63.996335999999992</v>
      </c>
      <c r="Q576" s="710">
        <v>63.996335999999992</v>
      </c>
      <c r="R576" s="710">
        <v>63.996335999999992</v>
      </c>
      <c r="S576" s="710">
        <v>63.996335999999992</v>
      </c>
      <c r="T576" s="710">
        <v>63.951551999999992</v>
      </c>
      <c r="U576" s="711"/>
      <c r="V576" s="711"/>
    </row>
    <row r="577" spans="1:22" ht="10.5" customHeight="1" x14ac:dyDescent="0.25">
      <c r="A577" s="712"/>
      <c r="B577" s="713"/>
      <c r="C577" s="714"/>
      <c r="D577" s="714"/>
      <c r="E577" s="714"/>
      <c r="F577" s="714"/>
      <c r="G577" s="714"/>
      <c r="H577" s="714"/>
      <c r="I577" s="714"/>
      <c r="J577" s="714"/>
      <c r="K577" s="714"/>
      <c r="L577" s="714"/>
      <c r="M577" s="714"/>
      <c r="N577" s="715">
        <v>1.2851999999999999</v>
      </c>
      <c r="O577" s="715">
        <v>1.2851999999999999</v>
      </c>
      <c r="P577" s="715">
        <v>1.2860999999999998</v>
      </c>
      <c r="Q577" s="715">
        <v>1.2860999999999998</v>
      </c>
      <c r="R577" s="715">
        <v>1.2860999999999998</v>
      </c>
      <c r="S577" s="715">
        <v>1.2860999999999998</v>
      </c>
      <c r="T577" s="715">
        <v>1.2851999999999999</v>
      </c>
      <c r="U577" s="714"/>
      <c r="V577" s="714"/>
    </row>
    <row r="578" spans="1:22" ht="10.5" customHeight="1" x14ac:dyDescent="0.25">
      <c r="A578" s="716"/>
      <c r="B578" s="717"/>
      <c r="C578" s="718"/>
      <c r="D578" s="718"/>
      <c r="E578" s="718"/>
      <c r="F578" s="718"/>
      <c r="G578" s="718"/>
      <c r="H578" s="718"/>
      <c r="I578" s="718"/>
      <c r="J578" s="718"/>
      <c r="K578" s="718"/>
      <c r="L578" s="718"/>
      <c r="M578" s="718"/>
      <c r="N578" s="718"/>
      <c r="O578" s="718"/>
      <c r="P578" s="718"/>
      <c r="Q578" s="718"/>
      <c r="R578" s="718"/>
      <c r="S578" s="718"/>
      <c r="T578" s="718"/>
      <c r="U578" s="718"/>
      <c r="V578" s="718"/>
    </row>
    <row r="579" spans="1:22" ht="10.5" customHeight="1" x14ac:dyDescent="0.25">
      <c r="A579" s="707">
        <v>515562</v>
      </c>
      <c r="B579" s="708" t="s">
        <v>1199</v>
      </c>
      <c r="C579" s="707" t="s">
        <v>1144</v>
      </c>
      <c r="D579" s="709">
        <v>9</v>
      </c>
      <c r="E579" s="709">
        <v>27.12</v>
      </c>
      <c r="F579" s="709">
        <v>244.08</v>
      </c>
      <c r="G579" s="709"/>
      <c r="H579" s="711"/>
      <c r="I579" s="711"/>
      <c r="J579" s="711"/>
      <c r="K579" s="711"/>
      <c r="L579" s="711"/>
      <c r="M579" s="711"/>
      <c r="N579" s="710">
        <v>34.854624000000001</v>
      </c>
      <c r="O579" s="710">
        <v>34.854624000000001</v>
      </c>
      <c r="P579" s="710">
        <v>34.879032000000002</v>
      </c>
      <c r="Q579" s="710">
        <v>34.879032000000002</v>
      </c>
      <c r="R579" s="710">
        <v>34.879032000000002</v>
      </c>
      <c r="S579" s="710">
        <v>34.879032000000002</v>
      </c>
      <c r="T579" s="710">
        <v>34.854624000000001</v>
      </c>
      <c r="U579" s="711"/>
      <c r="V579" s="711"/>
    </row>
    <row r="580" spans="1:22" ht="10.5" customHeight="1" x14ac:dyDescent="0.25">
      <c r="A580" s="712"/>
      <c r="B580" s="713"/>
      <c r="C580" s="714"/>
      <c r="D580" s="714"/>
      <c r="E580" s="714"/>
      <c r="F580" s="714"/>
      <c r="G580" s="714"/>
      <c r="H580" s="714"/>
      <c r="I580" s="714"/>
      <c r="J580" s="714"/>
      <c r="K580" s="714"/>
      <c r="L580" s="714"/>
      <c r="M580" s="714"/>
      <c r="N580" s="715">
        <v>1.2851999999999999</v>
      </c>
      <c r="O580" s="715">
        <v>1.2851999999999999</v>
      </c>
      <c r="P580" s="715">
        <v>1.2860999999999998</v>
      </c>
      <c r="Q580" s="715">
        <v>1.2860999999999998</v>
      </c>
      <c r="R580" s="715">
        <v>1.2860999999999998</v>
      </c>
      <c r="S580" s="715">
        <v>1.2860999999999998</v>
      </c>
      <c r="T580" s="715">
        <v>1.2851999999999999</v>
      </c>
      <c r="U580" s="714"/>
      <c r="V580" s="714"/>
    </row>
    <row r="581" spans="1:22" ht="10.5" customHeight="1" x14ac:dyDescent="0.25">
      <c r="A581" s="716"/>
      <c r="B581" s="717"/>
      <c r="C581" s="718"/>
      <c r="D581" s="718"/>
      <c r="E581" s="718"/>
      <c r="F581" s="718"/>
      <c r="G581" s="718"/>
      <c r="H581" s="718"/>
      <c r="I581" s="718"/>
      <c r="J581" s="718"/>
      <c r="K581" s="718"/>
      <c r="L581" s="718"/>
      <c r="M581" s="718"/>
      <c r="N581" s="718"/>
      <c r="O581" s="718"/>
      <c r="P581" s="718"/>
      <c r="Q581" s="718"/>
      <c r="R581" s="718"/>
      <c r="S581" s="718"/>
      <c r="T581" s="718"/>
      <c r="U581" s="718"/>
      <c r="V581" s="718"/>
    </row>
    <row r="582" spans="1:22" ht="10.5" customHeight="1" x14ac:dyDescent="0.25">
      <c r="A582" s="707">
        <v>514656</v>
      </c>
      <c r="B582" s="708" t="s">
        <v>1201</v>
      </c>
      <c r="C582" s="707" t="s">
        <v>1066</v>
      </c>
      <c r="D582" s="709">
        <v>9</v>
      </c>
      <c r="E582" s="709">
        <v>43.709999999999994</v>
      </c>
      <c r="F582" s="709">
        <v>393.39</v>
      </c>
      <c r="G582" s="709"/>
      <c r="H582" s="711"/>
      <c r="I582" s="711"/>
      <c r="J582" s="711"/>
      <c r="K582" s="711"/>
      <c r="L582" s="711"/>
      <c r="M582" s="711"/>
      <c r="N582" s="710">
        <v>56.176091999999997</v>
      </c>
      <c r="O582" s="710">
        <v>56.176091999999997</v>
      </c>
      <c r="P582" s="710">
        <v>56.215430999999995</v>
      </c>
      <c r="Q582" s="710">
        <v>56.215430999999995</v>
      </c>
      <c r="R582" s="710">
        <v>56.215430999999995</v>
      </c>
      <c r="S582" s="710">
        <v>56.215430999999995</v>
      </c>
      <c r="T582" s="710">
        <v>56.176091999999997</v>
      </c>
      <c r="U582" s="711"/>
      <c r="V582" s="711"/>
    </row>
    <row r="583" spans="1:22" ht="10.5" customHeight="1" x14ac:dyDescent="0.25">
      <c r="A583" s="712"/>
      <c r="B583" s="713"/>
      <c r="C583" s="714"/>
      <c r="D583" s="714"/>
      <c r="E583" s="714"/>
      <c r="F583" s="714"/>
      <c r="G583" s="714"/>
      <c r="H583" s="714"/>
      <c r="I583" s="714"/>
      <c r="J583" s="714"/>
      <c r="K583" s="714"/>
      <c r="L583" s="714"/>
      <c r="M583" s="714"/>
      <c r="N583" s="715">
        <v>1.2851999999999999</v>
      </c>
      <c r="O583" s="715">
        <v>1.2851999999999999</v>
      </c>
      <c r="P583" s="715">
        <v>1.2860999999999998</v>
      </c>
      <c r="Q583" s="715">
        <v>1.2860999999999998</v>
      </c>
      <c r="R583" s="715">
        <v>1.2860999999999998</v>
      </c>
      <c r="S583" s="715">
        <v>1.2860999999999998</v>
      </c>
      <c r="T583" s="715">
        <v>1.2851999999999999</v>
      </c>
      <c r="U583" s="714"/>
      <c r="V583" s="714"/>
    </row>
    <row r="584" spans="1:22" ht="10.5" customHeight="1" x14ac:dyDescent="0.25">
      <c r="A584" s="716"/>
      <c r="B584" s="717"/>
      <c r="C584" s="718"/>
      <c r="D584" s="718"/>
      <c r="E584" s="718"/>
      <c r="F584" s="718"/>
      <c r="G584" s="718"/>
      <c r="H584" s="718"/>
      <c r="I584" s="718"/>
      <c r="J584" s="718"/>
      <c r="K584" s="718"/>
      <c r="L584" s="718"/>
      <c r="M584" s="718"/>
      <c r="N584" s="718"/>
      <c r="O584" s="718"/>
      <c r="P584" s="718"/>
      <c r="Q584" s="718"/>
      <c r="R584" s="718"/>
      <c r="S584" s="718"/>
      <c r="T584" s="718"/>
      <c r="U584" s="718"/>
      <c r="V584" s="718"/>
    </row>
    <row r="585" spans="1:22" ht="10.5" customHeight="1" x14ac:dyDescent="0.25">
      <c r="A585" s="707">
        <v>515562</v>
      </c>
      <c r="B585" s="708" t="s">
        <v>1203</v>
      </c>
      <c r="C585" s="707" t="s">
        <v>1144</v>
      </c>
      <c r="D585" s="709">
        <v>9</v>
      </c>
      <c r="E585" s="709">
        <v>27.12</v>
      </c>
      <c r="F585" s="709">
        <v>244.08</v>
      </c>
      <c r="G585" s="709"/>
      <c r="H585" s="711"/>
      <c r="I585" s="711"/>
      <c r="J585" s="711"/>
      <c r="K585" s="711"/>
      <c r="L585" s="711"/>
      <c r="M585" s="711"/>
      <c r="N585" s="710">
        <v>34.854624000000001</v>
      </c>
      <c r="O585" s="710">
        <v>34.854624000000001</v>
      </c>
      <c r="P585" s="710">
        <v>34.879032000000002</v>
      </c>
      <c r="Q585" s="710">
        <v>34.879032000000002</v>
      </c>
      <c r="R585" s="710">
        <v>34.879032000000002</v>
      </c>
      <c r="S585" s="710">
        <v>34.879032000000002</v>
      </c>
      <c r="T585" s="710">
        <v>34.854624000000001</v>
      </c>
      <c r="U585" s="711"/>
      <c r="V585" s="711"/>
    </row>
    <row r="586" spans="1:22" ht="10.5" customHeight="1" x14ac:dyDescent="0.25">
      <c r="A586" s="712"/>
      <c r="B586" s="713"/>
      <c r="C586" s="714"/>
      <c r="D586" s="714"/>
      <c r="E586" s="714"/>
      <c r="F586" s="714"/>
      <c r="G586" s="714"/>
      <c r="H586" s="714"/>
      <c r="I586" s="714"/>
      <c r="J586" s="714"/>
      <c r="K586" s="714"/>
      <c r="L586" s="714"/>
      <c r="M586" s="714"/>
      <c r="N586" s="715">
        <v>1.2851999999999999</v>
      </c>
      <c r="O586" s="715">
        <v>1.2851999999999999</v>
      </c>
      <c r="P586" s="715">
        <v>1.2860999999999998</v>
      </c>
      <c r="Q586" s="715">
        <v>1.2860999999999998</v>
      </c>
      <c r="R586" s="715">
        <v>1.2860999999999998</v>
      </c>
      <c r="S586" s="715">
        <v>1.2860999999999998</v>
      </c>
      <c r="T586" s="715">
        <v>1.2851999999999999</v>
      </c>
      <c r="U586" s="714"/>
      <c r="V586" s="714"/>
    </row>
    <row r="587" spans="1:22" ht="10.5" customHeight="1" x14ac:dyDescent="0.25">
      <c r="A587" s="716"/>
      <c r="B587" s="717"/>
      <c r="C587" s="718"/>
      <c r="D587" s="718"/>
      <c r="E587" s="718"/>
      <c r="F587" s="718"/>
      <c r="G587" s="718"/>
      <c r="H587" s="718"/>
      <c r="I587" s="718"/>
      <c r="J587" s="718"/>
      <c r="K587" s="718"/>
      <c r="L587" s="718"/>
      <c r="M587" s="718"/>
      <c r="N587" s="718"/>
      <c r="O587" s="718"/>
      <c r="P587" s="718"/>
      <c r="Q587" s="718"/>
      <c r="R587" s="718"/>
      <c r="S587" s="718"/>
      <c r="T587" s="718"/>
      <c r="U587" s="718"/>
      <c r="V587" s="718"/>
    </row>
    <row r="588" spans="1:22" ht="10.5" customHeight="1" x14ac:dyDescent="0.25">
      <c r="A588" s="707">
        <v>515648</v>
      </c>
      <c r="B588" s="708" t="s">
        <v>1205</v>
      </c>
      <c r="C588" s="707" t="s">
        <v>1066</v>
      </c>
      <c r="D588" s="709">
        <v>3</v>
      </c>
      <c r="E588" s="709">
        <v>127.27000000000001</v>
      </c>
      <c r="F588" s="709">
        <v>381.81</v>
      </c>
      <c r="G588" s="709"/>
      <c r="H588" s="711"/>
      <c r="I588" s="711"/>
      <c r="J588" s="711"/>
      <c r="K588" s="711"/>
      <c r="L588" s="711"/>
      <c r="M588" s="711"/>
      <c r="N588" s="710">
        <v>54.522467999999996</v>
      </c>
      <c r="O588" s="710">
        <v>54.522467999999996</v>
      </c>
      <c r="P588" s="710">
        <v>54.560648999999991</v>
      </c>
      <c r="Q588" s="710">
        <v>54.560648999999991</v>
      </c>
      <c r="R588" s="710">
        <v>54.560648999999991</v>
      </c>
      <c r="S588" s="710">
        <v>54.560648999999991</v>
      </c>
      <c r="T588" s="710">
        <v>54.522467999999996</v>
      </c>
      <c r="U588" s="711"/>
      <c r="V588" s="711"/>
    </row>
    <row r="589" spans="1:22" ht="10.5" customHeight="1" x14ac:dyDescent="0.25">
      <c r="A589" s="712"/>
      <c r="B589" s="713"/>
      <c r="C589" s="714"/>
      <c r="D589" s="714"/>
      <c r="E589" s="714"/>
      <c r="F589" s="714"/>
      <c r="G589" s="714"/>
      <c r="H589" s="714"/>
      <c r="I589" s="714"/>
      <c r="J589" s="714"/>
      <c r="K589" s="714"/>
      <c r="L589" s="714"/>
      <c r="M589" s="714"/>
      <c r="N589" s="715">
        <v>0.42839999999999995</v>
      </c>
      <c r="O589" s="715">
        <v>0.42839999999999995</v>
      </c>
      <c r="P589" s="715">
        <v>0.42869999999999997</v>
      </c>
      <c r="Q589" s="715">
        <v>0.42869999999999997</v>
      </c>
      <c r="R589" s="715">
        <v>0.42869999999999997</v>
      </c>
      <c r="S589" s="715">
        <v>0.42869999999999997</v>
      </c>
      <c r="T589" s="715">
        <v>0.42839999999999995</v>
      </c>
      <c r="U589" s="714"/>
      <c r="V589" s="714"/>
    </row>
    <row r="590" spans="1:22" ht="10.5" customHeight="1" x14ac:dyDescent="0.25">
      <c r="A590" s="716"/>
      <c r="B590" s="717"/>
      <c r="C590" s="718"/>
      <c r="D590" s="718"/>
      <c r="E590" s="718"/>
      <c r="F590" s="718"/>
      <c r="G590" s="718"/>
      <c r="H590" s="718"/>
      <c r="I590" s="718"/>
      <c r="J590" s="718"/>
      <c r="K590" s="718"/>
      <c r="L590" s="718"/>
      <c r="M590" s="718"/>
      <c r="N590" s="718"/>
      <c r="O590" s="718"/>
      <c r="P590" s="718"/>
      <c r="Q590" s="718"/>
      <c r="R590" s="718"/>
      <c r="S590" s="718"/>
      <c r="T590" s="718"/>
      <c r="U590" s="718"/>
      <c r="V590" s="718"/>
    </row>
    <row r="591" spans="1:22" ht="10.5" customHeight="1" x14ac:dyDescent="0.25">
      <c r="A591" s="707">
        <v>513765</v>
      </c>
      <c r="B591" s="708" t="s">
        <v>1207</v>
      </c>
      <c r="C591" s="707" t="s">
        <v>1066</v>
      </c>
      <c r="D591" s="709">
        <v>1</v>
      </c>
      <c r="E591" s="709">
        <v>72.180000000000007</v>
      </c>
      <c r="F591" s="709">
        <v>72.180000000000007</v>
      </c>
      <c r="G591" s="709"/>
      <c r="H591" s="711"/>
      <c r="I591" s="711"/>
      <c r="J591" s="711"/>
      <c r="K591" s="711"/>
      <c r="L591" s="711"/>
      <c r="M591" s="711"/>
      <c r="N591" s="710">
        <v>10.307304000000002</v>
      </c>
      <c r="O591" s="710">
        <v>10.307304000000002</v>
      </c>
      <c r="P591" s="710">
        <v>10.314522</v>
      </c>
      <c r="Q591" s="710">
        <v>10.314522</v>
      </c>
      <c r="R591" s="710">
        <v>10.314522</v>
      </c>
      <c r="S591" s="710">
        <v>10.314522</v>
      </c>
      <c r="T591" s="710">
        <v>10.307304000000002</v>
      </c>
      <c r="U591" s="711"/>
      <c r="V591" s="711"/>
    </row>
    <row r="592" spans="1:22" ht="10.5" customHeight="1" x14ac:dyDescent="0.25">
      <c r="A592" s="712"/>
      <c r="B592" s="713"/>
      <c r="C592" s="714"/>
      <c r="D592" s="714"/>
      <c r="E592" s="714"/>
      <c r="F592" s="714"/>
      <c r="G592" s="714"/>
      <c r="H592" s="714"/>
      <c r="I592" s="714"/>
      <c r="J592" s="714"/>
      <c r="K592" s="714"/>
      <c r="L592" s="714"/>
      <c r="M592" s="714"/>
      <c r="N592" s="715">
        <v>0.14279999999999998</v>
      </c>
      <c r="O592" s="715">
        <v>0.14279999999999998</v>
      </c>
      <c r="P592" s="715">
        <v>0.1429</v>
      </c>
      <c r="Q592" s="715">
        <v>0.1429</v>
      </c>
      <c r="R592" s="715">
        <v>0.1429</v>
      </c>
      <c r="S592" s="715">
        <v>0.1429</v>
      </c>
      <c r="T592" s="715">
        <v>0.14279999999999998</v>
      </c>
      <c r="U592" s="714"/>
      <c r="V592" s="714"/>
    </row>
    <row r="593" spans="1:22" ht="10.5" customHeight="1" x14ac:dyDescent="0.25">
      <c r="A593" s="716"/>
      <c r="B593" s="717"/>
      <c r="C593" s="718"/>
      <c r="D593" s="718"/>
      <c r="E593" s="718"/>
      <c r="F593" s="718"/>
      <c r="G593" s="718"/>
      <c r="H593" s="718"/>
      <c r="I593" s="718"/>
      <c r="J593" s="718"/>
      <c r="K593" s="718"/>
      <c r="L593" s="718"/>
      <c r="M593" s="718"/>
      <c r="N593" s="718"/>
      <c r="O593" s="718"/>
      <c r="P593" s="718"/>
      <c r="Q593" s="718"/>
      <c r="R593" s="718"/>
      <c r="S593" s="718"/>
      <c r="T593" s="718"/>
      <c r="U593" s="718"/>
      <c r="V593" s="718"/>
    </row>
    <row r="594" spans="1:22" ht="10.5" customHeight="1" x14ac:dyDescent="0.25">
      <c r="A594" s="707">
        <v>515649</v>
      </c>
      <c r="B594" s="708" t="s">
        <v>1209</v>
      </c>
      <c r="C594" s="707" t="s">
        <v>1066</v>
      </c>
      <c r="D594" s="709">
        <v>2</v>
      </c>
      <c r="E594" s="709">
        <v>30.11</v>
      </c>
      <c r="F594" s="709">
        <v>60.22</v>
      </c>
      <c r="G594" s="709"/>
      <c r="H594" s="711"/>
      <c r="I594" s="711"/>
      <c r="J594" s="711"/>
      <c r="K594" s="711"/>
      <c r="L594" s="711"/>
      <c r="M594" s="711"/>
      <c r="N594" s="710">
        <v>8.5994159999999997</v>
      </c>
      <c r="O594" s="710">
        <v>8.5994159999999997</v>
      </c>
      <c r="P594" s="710">
        <v>8.6054379999999995</v>
      </c>
      <c r="Q594" s="710">
        <v>8.6054379999999995</v>
      </c>
      <c r="R594" s="710">
        <v>8.6054379999999995</v>
      </c>
      <c r="S594" s="710">
        <v>8.6054379999999995</v>
      </c>
      <c r="T594" s="710">
        <v>8.5994159999999997</v>
      </c>
      <c r="U594" s="711"/>
      <c r="V594" s="711"/>
    </row>
    <row r="595" spans="1:22" ht="10.5" customHeight="1" x14ac:dyDescent="0.25">
      <c r="A595" s="712"/>
      <c r="B595" s="713"/>
      <c r="C595" s="714"/>
      <c r="D595" s="714"/>
      <c r="E595" s="714"/>
      <c r="F595" s="714"/>
      <c r="G595" s="714"/>
      <c r="H595" s="714"/>
      <c r="I595" s="714"/>
      <c r="J595" s="714"/>
      <c r="K595" s="714"/>
      <c r="L595" s="714"/>
      <c r="M595" s="714"/>
      <c r="N595" s="715">
        <v>0.28559999999999997</v>
      </c>
      <c r="O595" s="715">
        <v>0.28559999999999997</v>
      </c>
      <c r="P595" s="715">
        <v>0.2858</v>
      </c>
      <c r="Q595" s="715">
        <v>0.2858</v>
      </c>
      <c r="R595" s="715">
        <v>0.2858</v>
      </c>
      <c r="S595" s="715">
        <v>0.2858</v>
      </c>
      <c r="T595" s="715">
        <v>0.28559999999999997</v>
      </c>
      <c r="U595" s="714"/>
      <c r="V595" s="714"/>
    </row>
    <row r="596" spans="1:22" ht="10.5" customHeight="1" x14ac:dyDescent="0.25">
      <c r="A596" s="716"/>
      <c r="B596" s="717"/>
      <c r="C596" s="718"/>
      <c r="D596" s="718"/>
      <c r="E596" s="718"/>
      <c r="F596" s="718"/>
      <c r="G596" s="718"/>
      <c r="H596" s="718"/>
      <c r="I596" s="718"/>
      <c r="J596" s="718"/>
      <c r="K596" s="718"/>
      <c r="L596" s="718"/>
      <c r="M596" s="718"/>
      <c r="N596" s="718"/>
      <c r="O596" s="718"/>
      <c r="P596" s="718"/>
      <c r="Q596" s="718"/>
      <c r="R596" s="718"/>
      <c r="S596" s="718"/>
      <c r="T596" s="718"/>
      <c r="U596" s="718"/>
      <c r="V596" s="718"/>
    </row>
    <row r="597" spans="1:22" ht="10.5" customHeight="1" x14ac:dyDescent="0.25">
      <c r="A597" s="707">
        <v>515650</v>
      </c>
      <c r="B597" s="708" t="s">
        <v>1211</v>
      </c>
      <c r="C597" s="707" t="s">
        <v>1116</v>
      </c>
      <c r="D597" s="709">
        <v>0</v>
      </c>
      <c r="E597" s="709">
        <v>1006.44</v>
      </c>
      <c r="F597" s="709">
        <v>0</v>
      </c>
      <c r="G597" s="709"/>
      <c r="H597" s="711"/>
      <c r="I597" s="711"/>
      <c r="J597" s="711"/>
      <c r="K597" s="711"/>
      <c r="L597" s="711"/>
      <c r="M597" s="711"/>
      <c r="N597" s="711"/>
      <c r="O597" s="711"/>
      <c r="P597" s="711"/>
      <c r="Q597" s="711"/>
      <c r="R597" s="711"/>
      <c r="S597" s="711"/>
      <c r="T597" s="711"/>
      <c r="U597" s="711"/>
      <c r="V597" s="711"/>
    </row>
    <row r="598" spans="1:22" ht="10.5" customHeight="1" x14ac:dyDescent="0.25">
      <c r="A598" s="712"/>
      <c r="B598" s="713"/>
      <c r="C598" s="714"/>
      <c r="D598" s="714"/>
      <c r="E598" s="714"/>
      <c r="F598" s="714"/>
      <c r="G598" s="714"/>
      <c r="H598" s="714"/>
      <c r="I598" s="714"/>
      <c r="J598" s="714"/>
      <c r="K598" s="714"/>
      <c r="L598" s="714"/>
      <c r="M598" s="714"/>
      <c r="N598" s="714"/>
      <c r="O598" s="714"/>
      <c r="P598" s="714"/>
      <c r="Q598" s="714"/>
      <c r="R598" s="714"/>
      <c r="S598" s="714"/>
      <c r="T598" s="714"/>
      <c r="U598" s="714"/>
      <c r="V598" s="714"/>
    </row>
    <row r="599" spans="1:22" ht="10.5" customHeight="1" x14ac:dyDescent="0.25">
      <c r="A599" s="716"/>
      <c r="B599" s="717"/>
      <c r="C599" s="718"/>
      <c r="D599" s="718"/>
      <c r="E599" s="718"/>
      <c r="F599" s="718"/>
      <c r="G599" s="718"/>
      <c r="H599" s="718"/>
      <c r="I599" s="718"/>
      <c r="J599" s="718"/>
      <c r="K599" s="718"/>
      <c r="L599" s="718"/>
      <c r="M599" s="718"/>
      <c r="N599" s="718"/>
      <c r="O599" s="718"/>
      <c r="P599" s="718"/>
      <c r="Q599" s="718"/>
      <c r="R599" s="718"/>
      <c r="S599" s="718"/>
      <c r="T599" s="718"/>
      <c r="U599" s="718"/>
      <c r="V599" s="718"/>
    </row>
    <row r="600" spans="1:22" s="105" customFormat="1" ht="10.5" customHeight="1" x14ac:dyDescent="0.25">
      <c r="A600" s="704"/>
      <c r="B600" s="719" t="s">
        <v>968</v>
      </c>
      <c r="C600" s="704"/>
      <c r="D600" s="705"/>
      <c r="E600" s="706">
        <v>0</v>
      </c>
      <c r="F600" s="706">
        <v>29879.13</v>
      </c>
      <c r="G600" s="706"/>
      <c r="H600" s="705"/>
      <c r="I600" s="705"/>
      <c r="J600" s="705"/>
      <c r="K600" s="705"/>
      <c r="L600" s="705"/>
      <c r="M600" s="705"/>
      <c r="N600" s="705"/>
      <c r="O600" s="705"/>
      <c r="P600" s="705"/>
      <c r="Q600" s="705"/>
      <c r="R600" s="705"/>
      <c r="S600" s="705"/>
      <c r="T600" s="705"/>
      <c r="U600" s="705"/>
      <c r="V600" s="705"/>
    </row>
    <row r="601" spans="1:22" ht="10.5" customHeight="1" x14ac:dyDescent="0.25">
      <c r="A601" s="707">
        <v>515581</v>
      </c>
      <c r="B601" s="708" t="s">
        <v>1213</v>
      </c>
      <c r="C601" s="707" t="s">
        <v>683</v>
      </c>
      <c r="D601" s="709">
        <v>15</v>
      </c>
      <c r="E601" s="709">
        <v>11.41</v>
      </c>
      <c r="F601" s="709">
        <v>171.15</v>
      </c>
      <c r="G601" s="709"/>
      <c r="H601" s="711"/>
      <c r="I601" s="711"/>
      <c r="J601" s="711"/>
      <c r="K601" s="711"/>
      <c r="L601" s="711"/>
      <c r="M601" s="711"/>
      <c r="N601" s="710">
        <v>24.44022</v>
      </c>
      <c r="O601" s="710">
        <v>24.44022</v>
      </c>
      <c r="P601" s="710">
        <v>24.457334999999997</v>
      </c>
      <c r="Q601" s="710">
        <v>24.457334999999997</v>
      </c>
      <c r="R601" s="710">
        <v>24.457334999999997</v>
      </c>
      <c r="S601" s="710">
        <v>24.457334999999997</v>
      </c>
      <c r="T601" s="710">
        <v>24.44022</v>
      </c>
      <c r="U601" s="711"/>
      <c r="V601" s="711"/>
    </row>
    <row r="602" spans="1:22" ht="10.5" customHeight="1" x14ac:dyDescent="0.25">
      <c r="A602" s="712"/>
      <c r="B602" s="713"/>
      <c r="C602" s="714"/>
      <c r="D602" s="714"/>
      <c r="E602" s="714"/>
      <c r="F602" s="714"/>
      <c r="G602" s="714"/>
      <c r="H602" s="714"/>
      <c r="I602" s="714"/>
      <c r="J602" s="714"/>
      <c r="K602" s="714"/>
      <c r="L602" s="714"/>
      <c r="M602" s="714"/>
      <c r="N602" s="715">
        <v>2.1419999999999999</v>
      </c>
      <c r="O602" s="715">
        <v>2.1419999999999999</v>
      </c>
      <c r="P602" s="715">
        <v>2.1435</v>
      </c>
      <c r="Q602" s="715">
        <v>2.1435</v>
      </c>
      <c r="R602" s="715">
        <v>2.1435</v>
      </c>
      <c r="S602" s="715">
        <v>2.1435</v>
      </c>
      <c r="T602" s="715">
        <v>2.1419999999999999</v>
      </c>
      <c r="U602" s="714"/>
      <c r="V602" s="714"/>
    </row>
    <row r="603" spans="1:22" ht="10.5" customHeight="1" x14ac:dyDescent="0.25">
      <c r="A603" s="716"/>
      <c r="B603" s="717"/>
      <c r="C603" s="718"/>
      <c r="D603" s="718"/>
      <c r="E603" s="718"/>
      <c r="F603" s="718"/>
      <c r="G603" s="718"/>
      <c r="H603" s="718"/>
      <c r="I603" s="718"/>
      <c r="J603" s="718"/>
      <c r="K603" s="718"/>
      <c r="L603" s="718"/>
      <c r="M603" s="718"/>
      <c r="N603" s="718"/>
      <c r="O603" s="718"/>
      <c r="P603" s="718"/>
      <c r="Q603" s="718"/>
      <c r="R603" s="718"/>
      <c r="S603" s="718"/>
      <c r="T603" s="718"/>
      <c r="U603" s="718"/>
      <c r="V603" s="718"/>
    </row>
    <row r="604" spans="1:22" ht="10.5" customHeight="1" x14ac:dyDescent="0.25">
      <c r="A604" s="707">
        <v>515605</v>
      </c>
      <c r="B604" s="708" t="s">
        <v>1215</v>
      </c>
      <c r="C604" s="707" t="s">
        <v>683</v>
      </c>
      <c r="D604" s="709">
        <v>1600</v>
      </c>
      <c r="E604" s="709">
        <v>14.739999999999998</v>
      </c>
      <c r="F604" s="709">
        <v>23584</v>
      </c>
      <c r="G604" s="709"/>
      <c r="H604" s="711"/>
      <c r="I604" s="711"/>
      <c r="J604" s="711"/>
      <c r="K604" s="711"/>
      <c r="L604" s="711"/>
      <c r="M604" s="711"/>
      <c r="N604" s="710">
        <v>3367.7951999999996</v>
      </c>
      <c r="O604" s="710">
        <v>3367.7951999999996</v>
      </c>
      <c r="P604" s="710">
        <v>3370.1535999999996</v>
      </c>
      <c r="Q604" s="710">
        <v>3370.1535999999996</v>
      </c>
      <c r="R604" s="710">
        <v>3370.1535999999996</v>
      </c>
      <c r="S604" s="710">
        <v>3370.1535999999996</v>
      </c>
      <c r="T604" s="710">
        <v>3367.7951999999996</v>
      </c>
      <c r="U604" s="711"/>
      <c r="V604" s="711"/>
    </row>
    <row r="605" spans="1:22" ht="10.5" customHeight="1" x14ac:dyDescent="0.25">
      <c r="A605" s="712"/>
      <c r="B605" s="713"/>
      <c r="C605" s="714"/>
      <c r="D605" s="714"/>
      <c r="E605" s="714"/>
      <c r="F605" s="714"/>
      <c r="G605" s="714"/>
      <c r="H605" s="714"/>
      <c r="I605" s="714"/>
      <c r="J605" s="714"/>
      <c r="K605" s="714"/>
      <c r="L605" s="714"/>
      <c r="M605" s="714"/>
      <c r="N605" s="715">
        <v>228.48</v>
      </c>
      <c r="O605" s="715">
        <v>228.48</v>
      </c>
      <c r="P605" s="715">
        <v>228.64</v>
      </c>
      <c r="Q605" s="715">
        <v>228.64</v>
      </c>
      <c r="R605" s="715">
        <v>228.64</v>
      </c>
      <c r="S605" s="715">
        <v>228.64</v>
      </c>
      <c r="T605" s="715">
        <v>228.48</v>
      </c>
      <c r="U605" s="714"/>
      <c r="V605" s="714"/>
    </row>
    <row r="606" spans="1:22" ht="10.5" customHeight="1" x14ac:dyDescent="0.25">
      <c r="A606" s="716"/>
      <c r="B606" s="717"/>
      <c r="C606" s="718"/>
      <c r="D606" s="718"/>
      <c r="E606" s="718"/>
      <c r="F606" s="718"/>
      <c r="G606" s="718"/>
      <c r="H606" s="718"/>
      <c r="I606" s="718"/>
      <c r="J606" s="718"/>
      <c r="K606" s="718"/>
      <c r="L606" s="718"/>
      <c r="M606" s="718"/>
      <c r="N606" s="718"/>
      <c r="O606" s="718"/>
      <c r="P606" s="718"/>
      <c r="Q606" s="718"/>
      <c r="R606" s="718"/>
      <c r="S606" s="718"/>
      <c r="T606" s="718"/>
      <c r="U606" s="718"/>
      <c r="V606" s="718"/>
    </row>
    <row r="607" spans="1:22" ht="10.5" customHeight="1" x14ac:dyDescent="0.25">
      <c r="A607" s="707">
        <v>515606</v>
      </c>
      <c r="B607" s="708" t="s">
        <v>1217</v>
      </c>
      <c r="C607" s="707" t="s">
        <v>683</v>
      </c>
      <c r="D607" s="709">
        <v>50</v>
      </c>
      <c r="E607" s="709">
        <v>15.41</v>
      </c>
      <c r="F607" s="709">
        <v>770.5</v>
      </c>
      <c r="G607" s="709"/>
      <c r="H607" s="711"/>
      <c r="I607" s="711"/>
      <c r="J607" s="711"/>
      <c r="K607" s="711"/>
      <c r="L607" s="711"/>
      <c r="M607" s="711"/>
      <c r="N607" s="710">
        <v>110.0274</v>
      </c>
      <c r="O607" s="710">
        <v>110.0274</v>
      </c>
      <c r="P607" s="710">
        <v>110.10445</v>
      </c>
      <c r="Q607" s="710">
        <v>110.10445</v>
      </c>
      <c r="R607" s="710">
        <v>110.10445</v>
      </c>
      <c r="S607" s="710">
        <v>110.10445</v>
      </c>
      <c r="T607" s="710">
        <v>110.0274</v>
      </c>
      <c r="U607" s="711"/>
      <c r="V607" s="711"/>
    </row>
    <row r="608" spans="1:22" ht="10.5" customHeight="1" x14ac:dyDescent="0.25">
      <c r="A608" s="712"/>
      <c r="B608" s="713"/>
      <c r="C608" s="714"/>
      <c r="D608" s="714"/>
      <c r="E608" s="714"/>
      <c r="F608" s="714"/>
      <c r="G608" s="714"/>
      <c r="H608" s="714"/>
      <c r="I608" s="714"/>
      <c r="J608" s="714"/>
      <c r="K608" s="714"/>
      <c r="L608" s="714"/>
      <c r="M608" s="714"/>
      <c r="N608" s="715">
        <v>7.14</v>
      </c>
      <c r="O608" s="715">
        <v>7.14</v>
      </c>
      <c r="P608" s="715">
        <v>7.1449999999999996</v>
      </c>
      <c r="Q608" s="715">
        <v>7.1449999999999996</v>
      </c>
      <c r="R608" s="715">
        <v>7.1449999999999996</v>
      </c>
      <c r="S608" s="715">
        <v>7.1449999999999996</v>
      </c>
      <c r="T608" s="715">
        <v>7.14</v>
      </c>
      <c r="U608" s="714"/>
      <c r="V608" s="714"/>
    </row>
    <row r="609" spans="1:22" ht="10.5" customHeight="1" x14ac:dyDescent="0.25">
      <c r="A609" s="716"/>
      <c r="B609" s="717"/>
      <c r="C609" s="718"/>
      <c r="D609" s="718"/>
      <c r="E609" s="718"/>
      <c r="F609" s="718"/>
      <c r="G609" s="718"/>
      <c r="H609" s="718"/>
      <c r="I609" s="718"/>
      <c r="J609" s="718"/>
      <c r="K609" s="718"/>
      <c r="L609" s="718"/>
      <c r="M609" s="718"/>
      <c r="N609" s="718"/>
      <c r="O609" s="718"/>
      <c r="P609" s="718"/>
      <c r="Q609" s="718"/>
      <c r="R609" s="718"/>
      <c r="S609" s="718"/>
      <c r="T609" s="718"/>
      <c r="U609" s="718"/>
      <c r="V609" s="718"/>
    </row>
    <row r="610" spans="1:22" ht="10.5" customHeight="1" x14ac:dyDescent="0.25">
      <c r="A610" s="707">
        <v>515607</v>
      </c>
      <c r="B610" s="708" t="s">
        <v>1219</v>
      </c>
      <c r="C610" s="707" t="s">
        <v>683</v>
      </c>
      <c r="D610" s="709">
        <v>40</v>
      </c>
      <c r="E610" s="709">
        <v>27.1</v>
      </c>
      <c r="F610" s="709">
        <v>1084</v>
      </c>
      <c r="G610" s="709"/>
      <c r="H610" s="711"/>
      <c r="I610" s="711"/>
      <c r="J610" s="711"/>
      <c r="K610" s="711"/>
      <c r="L610" s="711"/>
      <c r="M610" s="711"/>
      <c r="N610" s="710">
        <v>154.79519999999999</v>
      </c>
      <c r="O610" s="710">
        <v>154.79519999999999</v>
      </c>
      <c r="P610" s="710">
        <v>154.90359999999998</v>
      </c>
      <c r="Q610" s="710">
        <v>154.90359999999998</v>
      </c>
      <c r="R610" s="710">
        <v>154.90359999999998</v>
      </c>
      <c r="S610" s="710">
        <v>154.90359999999998</v>
      </c>
      <c r="T610" s="710">
        <v>154.79519999999999</v>
      </c>
      <c r="U610" s="711"/>
      <c r="V610" s="711"/>
    </row>
    <row r="611" spans="1:22" ht="10.5" customHeight="1" x14ac:dyDescent="0.25">
      <c r="A611" s="712"/>
      <c r="B611" s="713"/>
      <c r="C611" s="714"/>
      <c r="D611" s="714"/>
      <c r="E611" s="714"/>
      <c r="F611" s="714"/>
      <c r="G611" s="714"/>
      <c r="H611" s="714"/>
      <c r="I611" s="714"/>
      <c r="J611" s="714"/>
      <c r="K611" s="714"/>
      <c r="L611" s="714"/>
      <c r="M611" s="714"/>
      <c r="N611" s="715">
        <v>5.7119999999999997</v>
      </c>
      <c r="O611" s="715">
        <v>5.7119999999999997</v>
      </c>
      <c r="P611" s="715">
        <v>5.7159999999999993</v>
      </c>
      <c r="Q611" s="715">
        <v>5.7159999999999993</v>
      </c>
      <c r="R611" s="715">
        <v>5.7159999999999993</v>
      </c>
      <c r="S611" s="715">
        <v>5.7159999999999993</v>
      </c>
      <c r="T611" s="715">
        <v>5.7119999999999997</v>
      </c>
      <c r="U611" s="714"/>
      <c r="V611" s="714"/>
    </row>
    <row r="612" spans="1:22" ht="10.5" customHeight="1" x14ac:dyDescent="0.25">
      <c r="A612" s="716"/>
      <c r="B612" s="717"/>
      <c r="C612" s="718"/>
      <c r="D612" s="718"/>
      <c r="E612" s="718"/>
      <c r="F612" s="718"/>
      <c r="G612" s="718"/>
      <c r="H612" s="718"/>
      <c r="I612" s="718"/>
      <c r="J612" s="718"/>
      <c r="K612" s="718"/>
      <c r="L612" s="718"/>
      <c r="M612" s="718"/>
      <c r="N612" s="718"/>
      <c r="O612" s="718"/>
      <c r="P612" s="718"/>
      <c r="Q612" s="718"/>
      <c r="R612" s="718"/>
      <c r="S612" s="718"/>
      <c r="T612" s="718"/>
      <c r="U612" s="718"/>
      <c r="V612" s="718"/>
    </row>
    <row r="613" spans="1:22" ht="10.5" customHeight="1" x14ac:dyDescent="0.25">
      <c r="A613" s="707">
        <v>515608</v>
      </c>
      <c r="B613" s="708" t="s">
        <v>1221</v>
      </c>
      <c r="C613" s="707" t="s">
        <v>683</v>
      </c>
      <c r="D613" s="709">
        <v>50</v>
      </c>
      <c r="E613" s="709">
        <v>20.209999999999997</v>
      </c>
      <c r="F613" s="709">
        <v>1010.5</v>
      </c>
      <c r="G613" s="709"/>
      <c r="H613" s="711"/>
      <c r="I613" s="711"/>
      <c r="J613" s="711"/>
      <c r="K613" s="711"/>
      <c r="L613" s="711"/>
      <c r="M613" s="711"/>
      <c r="N613" s="710">
        <v>144.29939999999999</v>
      </c>
      <c r="O613" s="710">
        <v>144.29939999999999</v>
      </c>
      <c r="P613" s="710">
        <v>144.40044999999998</v>
      </c>
      <c r="Q613" s="710">
        <v>144.40044999999998</v>
      </c>
      <c r="R613" s="710">
        <v>144.40044999999998</v>
      </c>
      <c r="S613" s="710">
        <v>144.40044999999998</v>
      </c>
      <c r="T613" s="710">
        <v>144.29939999999999</v>
      </c>
      <c r="U613" s="711"/>
      <c r="V613" s="711"/>
    </row>
    <row r="614" spans="1:22" ht="10.5" customHeight="1" x14ac:dyDescent="0.25">
      <c r="A614" s="712"/>
      <c r="B614" s="713"/>
      <c r="C614" s="714"/>
      <c r="D614" s="714"/>
      <c r="E614" s="714"/>
      <c r="F614" s="714"/>
      <c r="G614" s="714"/>
      <c r="H614" s="714"/>
      <c r="I614" s="714"/>
      <c r="J614" s="714"/>
      <c r="K614" s="714"/>
      <c r="L614" s="714"/>
      <c r="M614" s="714"/>
      <c r="N614" s="715">
        <v>7.14</v>
      </c>
      <c r="O614" s="715">
        <v>7.14</v>
      </c>
      <c r="P614" s="715">
        <v>7.1449999999999996</v>
      </c>
      <c r="Q614" s="715">
        <v>7.1449999999999996</v>
      </c>
      <c r="R614" s="715">
        <v>7.1449999999999996</v>
      </c>
      <c r="S614" s="715">
        <v>7.1449999999999996</v>
      </c>
      <c r="T614" s="715">
        <v>7.14</v>
      </c>
      <c r="U614" s="714"/>
      <c r="V614" s="714"/>
    </row>
    <row r="615" spans="1:22" ht="10.5" customHeight="1" x14ac:dyDescent="0.25">
      <c r="A615" s="716"/>
      <c r="B615" s="717"/>
      <c r="C615" s="718"/>
      <c r="D615" s="718"/>
      <c r="E615" s="718"/>
      <c r="F615" s="718"/>
      <c r="G615" s="718"/>
      <c r="H615" s="718"/>
      <c r="I615" s="718"/>
      <c r="J615" s="718"/>
      <c r="K615" s="718"/>
      <c r="L615" s="718"/>
      <c r="M615" s="718"/>
      <c r="N615" s="718"/>
      <c r="O615" s="718"/>
      <c r="P615" s="718"/>
      <c r="Q615" s="718"/>
      <c r="R615" s="718"/>
      <c r="S615" s="718"/>
      <c r="T615" s="718"/>
      <c r="U615" s="718"/>
      <c r="V615" s="718"/>
    </row>
    <row r="616" spans="1:22" ht="10.5" customHeight="1" x14ac:dyDescent="0.25">
      <c r="A616" s="707">
        <v>515609</v>
      </c>
      <c r="B616" s="708" t="s">
        <v>1223</v>
      </c>
      <c r="C616" s="707" t="s">
        <v>683</v>
      </c>
      <c r="D616" s="709">
        <v>30</v>
      </c>
      <c r="E616" s="709">
        <v>54.510000000000005</v>
      </c>
      <c r="F616" s="709">
        <v>1635.3</v>
      </c>
      <c r="G616" s="709"/>
      <c r="H616" s="711"/>
      <c r="I616" s="711"/>
      <c r="J616" s="711"/>
      <c r="K616" s="711"/>
      <c r="L616" s="711"/>
      <c r="M616" s="711"/>
      <c r="N616" s="710">
        <v>233.52083999999999</v>
      </c>
      <c r="O616" s="710">
        <v>233.52083999999999</v>
      </c>
      <c r="P616" s="710">
        <v>233.68436999999997</v>
      </c>
      <c r="Q616" s="710">
        <v>233.68436999999997</v>
      </c>
      <c r="R616" s="710">
        <v>233.68436999999997</v>
      </c>
      <c r="S616" s="710">
        <v>233.68436999999997</v>
      </c>
      <c r="T616" s="710">
        <v>233.52083999999999</v>
      </c>
      <c r="U616" s="711"/>
      <c r="V616" s="711"/>
    </row>
    <row r="617" spans="1:22" ht="10.5" customHeight="1" x14ac:dyDescent="0.25">
      <c r="A617" s="712"/>
      <c r="B617" s="713"/>
      <c r="C617" s="714"/>
      <c r="D617" s="714"/>
      <c r="E617" s="714"/>
      <c r="F617" s="714"/>
      <c r="G617" s="714"/>
      <c r="H617" s="714"/>
      <c r="I617" s="714"/>
      <c r="J617" s="714"/>
      <c r="K617" s="714"/>
      <c r="L617" s="714"/>
      <c r="M617" s="714"/>
      <c r="N617" s="715">
        <v>4.2839999999999998</v>
      </c>
      <c r="O617" s="715">
        <v>4.2839999999999998</v>
      </c>
      <c r="P617" s="715">
        <v>4.2869999999999999</v>
      </c>
      <c r="Q617" s="715">
        <v>4.2869999999999999</v>
      </c>
      <c r="R617" s="715">
        <v>4.2869999999999999</v>
      </c>
      <c r="S617" s="715">
        <v>4.2869999999999999</v>
      </c>
      <c r="T617" s="715">
        <v>4.2839999999999998</v>
      </c>
      <c r="U617" s="714"/>
      <c r="V617" s="714"/>
    </row>
    <row r="618" spans="1:22" ht="10.5" customHeight="1" x14ac:dyDescent="0.25">
      <c r="A618" s="716"/>
      <c r="B618" s="717"/>
      <c r="C618" s="718"/>
      <c r="D618" s="718"/>
      <c r="E618" s="718"/>
      <c r="F618" s="718"/>
      <c r="G618" s="718"/>
      <c r="H618" s="718"/>
      <c r="I618" s="718"/>
      <c r="J618" s="718"/>
      <c r="K618" s="718"/>
      <c r="L618" s="718"/>
      <c r="M618" s="718"/>
      <c r="N618" s="718"/>
      <c r="O618" s="718"/>
      <c r="P618" s="718"/>
      <c r="Q618" s="718"/>
      <c r="R618" s="718"/>
      <c r="S618" s="718"/>
      <c r="T618" s="718"/>
      <c r="U618" s="718"/>
      <c r="V618" s="718"/>
    </row>
    <row r="619" spans="1:22" ht="10.5" customHeight="1" x14ac:dyDescent="0.25">
      <c r="A619" s="707">
        <v>503404</v>
      </c>
      <c r="B619" s="708" t="s">
        <v>1225</v>
      </c>
      <c r="C619" s="707" t="s">
        <v>683</v>
      </c>
      <c r="D619" s="709">
        <v>25</v>
      </c>
      <c r="E619" s="709">
        <v>10.95</v>
      </c>
      <c r="F619" s="709">
        <v>273.75</v>
      </c>
      <c r="G619" s="709"/>
      <c r="H619" s="711"/>
      <c r="I619" s="711"/>
      <c r="J619" s="711"/>
      <c r="K619" s="711"/>
      <c r="L619" s="711"/>
      <c r="M619" s="711"/>
      <c r="N619" s="710">
        <v>39.091499999999996</v>
      </c>
      <c r="O619" s="710">
        <v>39.091499999999996</v>
      </c>
      <c r="P619" s="710">
        <v>39.118874999999996</v>
      </c>
      <c r="Q619" s="710">
        <v>39.118874999999996</v>
      </c>
      <c r="R619" s="710">
        <v>39.118874999999996</v>
      </c>
      <c r="S619" s="710">
        <v>39.118874999999996</v>
      </c>
      <c r="T619" s="710">
        <v>39.091499999999996</v>
      </c>
      <c r="U619" s="711"/>
      <c r="V619" s="711"/>
    </row>
    <row r="620" spans="1:22" ht="10.5" customHeight="1" x14ac:dyDescent="0.25">
      <c r="A620" s="712"/>
      <c r="B620" s="713"/>
      <c r="C620" s="714"/>
      <c r="D620" s="714"/>
      <c r="E620" s="714"/>
      <c r="F620" s="714"/>
      <c r="G620" s="714"/>
      <c r="H620" s="714"/>
      <c r="I620" s="714"/>
      <c r="J620" s="714"/>
      <c r="K620" s="714"/>
      <c r="L620" s="714"/>
      <c r="M620" s="714"/>
      <c r="N620" s="715">
        <v>3.57</v>
      </c>
      <c r="O620" s="715">
        <v>3.57</v>
      </c>
      <c r="P620" s="715">
        <v>3.5724999999999998</v>
      </c>
      <c r="Q620" s="715">
        <v>3.5724999999999998</v>
      </c>
      <c r="R620" s="715">
        <v>3.5724999999999998</v>
      </c>
      <c r="S620" s="715">
        <v>3.5724999999999998</v>
      </c>
      <c r="T620" s="715">
        <v>3.57</v>
      </c>
      <c r="U620" s="714"/>
      <c r="V620" s="714"/>
    </row>
    <row r="621" spans="1:22" ht="10.5" customHeight="1" x14ac:dyDescent="0.25">
      <c r="A621" s="716"/>
      <c r="B621" s="717"/>
      <c r="C621" s="718"/>
      <c r="D621" s="718"/>
      <c r="E621" s="718"/>
      <c r="F621" s="718"/>
      <c r="G621" s="718"/>
      <c r="H621" s="718"/>
      <c r="I621" s="718"/>
      <c r="J621" s="718"/>
      <c r="K621" s="718"/>
      <c r="L621" s="718"/>
      <c r="M621" s="718"/>
      <c r="N621" s="718"/>
      <c r="O621" s="718"/>
      <c r="P621" s="718"/>
      <c r="Q621" s="718"/>
      <c r="R621" s="718"/>
      <c r="S621" s="718"/>
      <c r="T621" s="718"/>
      <c r="U621" s="718"/>
      <c r="V621" s="718"/>
    </row>
    <row r="622" spans="1:22" ht="10.5" customHeight="1" x14ac:dyDescent="0.25">
      <c r="A622" s="707">
        <v>503404</v>
      </c>
      <c r="B622" s="708" t="s">
        <v>1227</v>
      </c>
      <c r="C622" s="707" t="s">
        <v>683</v>
      </c>
      <c r="D622" s="709">
        <v>25</v>
      </c>
      <c r="E622" s="709">
        <v>10.95</v>
      </c>
      <c r="F622" s="709">
        <v>273.75</v>
      </c>
      <c r="G622" s="709"/>
      <c r="H622" s="711"/>
      <c r="I622" s="711"/>
      <c r="J622" s="711"/>
      <c r="K622" s="711"/>
      <c r="L622" s="711"/>
      <c r="M622" s="711"/>
      <c r="N622" s="710">
        <v>39.091499999999996</v>
      </c>
      <c r="O622" s="710">
        <v>39.091499999999996</v>
      </c>
      <c r="P622" s="710">
        <v>39.118874999999996</v>
      </c>
      <c r="Q622" s="710">
        <v>39.118874999999996</v>
      </c>
      <c r="R622" s="710">
        <v>39.118874999999996</v>
      </c>
      <c r="S622" s="710">
        <v>39.118874999999996</v>
      </c>
      <c r="T622" s="710">
        <v>39.091499999999996</v>
      </c>
      <c r="U622" s="711"/>
      <c r="V622" s="711"/>
    </row>
    <row r="623" spans="1:22" ht="10.5" customHeight="1" x14ac:dyDescent="0.25">
      <c r="A623" s="712"/>
      <c r="B623" s="713"/>
      <c r="C623" s="714"/>
      <c r="D623" s="714"/>
      <c r="E623" s="714"/>
      <c r="F623" s="714"/>
      <c r="G623" s="714"/>
      <c r="H623" s="714"/>
      <c r="I623" s="714"/>
      <c r="J623" s="714"/>
      <c r="K623" s="714"/>
      <c r="L623" s="714"/>
      <c r="M623" s="714"/>
      <c r="N623" s="715">
        <v>3.57</v>
      </c>
      <c r="O623" s="715">
        <v>3.57</v>
      </c>
      <c r="P623" s="715">
        <v>3.5724999999999998</v>
      </c>
      <c r="Q623" s="715">
        <v>3.5724999999999998</v>
      </c>
      <c r="R623" s="715">
        <v>3.5724999999999998</v>
      </c>
      <c r="S623" s="715">
        <v>3.5724999999999998</v>
      </c>
      <c r="T623" s="715">
        <v>3.57</v>
      </c>
      <c r="U623" s="714"/>
      <c r="V623" s="714"/>
    </row>
    <row r="624" spans="1:22" ht="10.5" customHeight="1" x14ac:dyDescent="0.25">
      <c r="A624" s="716"/>
      <c r="B624" s="717"/>
      <c r="C624" s="718"/>
      <c r="D624" s="718"/>
      <c r="E624" s="718"/>
      <c r="F624" s="718"/>
      <c r="G624" s="718"/>
      <c r="H624" s="718"/>
      <c r="I624" s="718"/>
      <c r="J624" s="718"/>
      <c r="K624" s="718"/>
      <c r="L624" s="718"/>
      <c r="M624" s="718"/>
      <c r="N624" s="718"/>
      <c r="O624" s="718"/>
      <c r="P624" s="718"/>
      <c r="Q624" s="718"/>
      <c r="R624" s="718"/>
      <c r="S624" s="718"/>
      <c r="T624" s="718"/>
      <c r="U624" s="718"/>
      <c r="V624" s="718"/>
    </row>
    <row r="625" spans="1:22" ht="10.5" customHeight="1" x14ac:dyDescent="0.25">
      <c r="A625" s="707">
        <v>503404</v>
      </c>
      <c r="B625" s="708" t="s">
        <v>1229</v>
      </c>
      <c r="C625" s="707" t="s">
        <v>683</v>
      </c>
      <c r="D625" s="709">
        <v>25</v>
      </c>
      <c r="E625" s="709">
        <v>10.95</v>
      </c>
      <c r="F625" s="709">
        <v>273.75</v>
      </c>
      <c r="G625" s="709"/>
      <c r="H625" s="711"/>
      <c r="I625" s="711"/>
      <c r="J625" s="711"/>
      <c r="K625" s="711"/>
      <c r="L625" s="711"/>
      <c r="M625" s="711"/>
      <c r="N625" s="710">
        <v>39.091499999999996</v>
      </c>
      <c r="O625" s="710">
        <v>39.091499999999996</v>
      </c>
      <c r="P625" s="710">
        <v>39.118874999999996</v>
      </c>
      <c r="Q625" s="710">
        <v>39.118874999999996</v>
      </c>
      <c r="R625" s="710">
        <v>39.118874999999996</v>
      </c>
      <c r="S625" s="710">
        <v>39.118874999999996</v>
      </c>
      <c r="T625" s="710">
        <v>39.091499999999996</v>
      </c>
      <c r="U625" s="711"/>
      <c r="V625" s="711"/>
    </row>
    <row r="626" spans="1:22" ht="10.5" customHeight="1" x14ac:dyDescent="0.25">
      <c r="A626" s="712"/>
      <c r="B626" s="713"/>
      <c r="C626" s="714"/>
      <c r="D626" s="714"/>
      <c r="E626" s="714"/>
      <c r="F626" s="714"/>
      <c r="G626" s="714"/>
      <c r="H626" s="714"/>
      <c r="I626" s="714"/>
      <c r="J626" s="714"/>
      <c r="K626" s="714"/>
      <c r="L626" s="714"/>
      <c r="M626" s="714"/>
      <c r="N626" s="715">
        <v>3.57</v>
      </c>
      <c r="O626" s="715">
        <v>3.57</v>
      </c>
      <c r="P626" s="715">
        <v>3.5724999999999998</v>
      </c>
      <c r="Q626" s="715">
        <v>3.5724999999999998</v>
      </c>
      <c r="R626" s="715">
        <v>3.5724999999999998</v>
      </c>
      <c r="S626" s="715">
        <v>3.5724999999999998</v>
      </c>
      <c r="T626" s="715">
        <v>3.57</v>
      </c>
      <c r="U626" s="714"/>
      <c r="V626" s="714"/>
    </row>
    <row r="627" spans="1:22" ht="10.5" customHeight="1" x14ac:dyDescent="0.25">
      <c r="A627" s="716"/>
      <c r="B627" s="717"/>
      <c r="C627" s="718"/>
      <c r="D627" s="718"/>
      <c r="E627" s="718"/>
      <c r="F627" s="718"/>
      <c r="G627" s="718"/>
      <c r="H627" s="718"/>
      <c r="I627" s="718"/>
      <c r="J627" s="718"/>
      <c r="K627" s="718"/>
      <c r="L627" s="718"/>
      <c r="M627" s="718"/>
      <c r="N627" s="718"/>
      <c r="O627" s="718"/>
      <c r="P627" s="718"/>
      <c r="Q627" s="718"/>
      <c r="R627" s="718"/>
      <c r="S627" s="718"/>
      <c r="T627" s="718"/>
      <c r="U627" s="718"/>
      <c r="V627" s="718"/>
    </row>
    <row r="628" spans="1:22" ht="10.5" customHeight="1" x14ac:dyDescent="0.25">
      <c r="A628" s="707">
        <v>506970</v>
      </c>
      <c r="B628" s="708" t="s">
        <v>1231</v>
      </c>
      <c r="C628" s="707" t="s">
        <v>683</v>
      </c>
      <c r="D628" s="709">
        <v>34</v>
      </c>
      <c r="E628" s="709">
        <v>14.02</v>
      </c>
      <c r="F628" s="709">
        <v>476.68</v>
      </c>
      <c r="G628" s="709"/>
      <c r="H628" s="711"/>
      <c r="I628" s="711"/>
      <c r="J628" s="711"/>
      <c r="K628" s="711"/>
      <c r="L628" s="711"/>
      <c r="M628" s="711"/>
      <c r="N628" s="710">
        <v>68.069903999999994</v>
      </c>
      <c r="O628" s="710">
        <v>68.069903999999994</v>
      </c>
      <c r="P628" s="710">
        <v>68.117571999999996</v>
      </c>
      <c r="Q628" s="710">
        <v>68.117571999999996</v>
      </c>
      <c r="R628" s="710">
        <v>68.117571999999996</v>
      </c>
      <c r="S628" s="710">
        <v>68.117571999999996</v>
      </c>
      <c r="T628" s="710">
        <v>68.069903999999994</v>
      </c>
      <c r="U628" s="711"/>
      <c r="V628" s="711"/>
    </row>
    <row r="629" spans="1:22" ht="10.5" customHeight="1" x14ac:dyDescent="0.25">
      <c r="A629" s="712"/>
      <c r="B629" s="713"/>
      <c r="C629" s="714"/>
      <c r="D629" s="714"/>
      <c r="E629" s="714"/>
      <c r="F629" s="714"/>
      <c r="G629" s="714"/>
      <c r="H629" s="714"/>
      <c r="I629" s="714"/>
      <c r="J629" s="714"/>
      <c r="K629" s="714"/>
      <c r="L629" s="714"/>
      <c r="M629" s="714"/>
      <c r="N629" s="715">
        <v>4.8552</v>
      </c>
      <c r="O629" s="715">
        <v>4.8552</v>
      </c>
      <c r="P629" s="715">
        <v>4.8585999999999991</v>
      </c>
      <c r="Q629" s="715">
        <v>4.8585999999999991</v>
      </c>
      <c r="R629" s="715">
        <v>4.8585999999999991</v>
      </c>
      <c r="S629" s="715">
        <v>4.8585999999999991</v>
      </c>
      <c r="T629" s="715">
        <v>4.8552</v>
      </c>
      <c r="U629" s="714"/>
      <c r="V629" s="714"/>
    </row>
    <row r="630" spans="1:22" ht="10.5" customHeight="1" x14ac:dyDescent="0.25">
      <c r="A630" s="716"/>
      <c r="B630" s="717"/>
      <c r="C630" s="718"/>
      <c r="D630" s="718"/>
      <c r="E630" s="718"/>
      <c r="F630" s="718"/>
      <c r="G630" s="718"/>
      <c r="H630" s="718"/>
      <c r="I630" s="718"/>
      <c r="J630" s="718"/>
      <c r="K630" s="718"/>
      <c r="L630" s="718"/>
      <c r="M630" s="718"/>
      <c r="N630" s="718"/>
      <c r="O630" s="718"/>
      <c r="P630" s="718"/>
      <c r="Q630" s="718"/>
      <c r="R630" s="718"/>
      <c r="S630" s="718"/>
      <c r="T630" s="718"/>
      <c r="U630" s="718"/>
      <c r="V630" s="718"/>
    </row>
    <row r="631" spans="1:22" ht="10.5" customHeight="1" x14ac:dyDescent="0.25">
      <c r="A631" s="707">
        <v>515682</v>
      </c>
      <c r="B631" s="708" t="s">
        <v>1233</v>
      </c>
      <c r="C631" s="707" t="s">
        <v>683</v>
      </c>
      <c r="D631" s="709">
        <v>25</v>
      </c>
      <c r="E631" s="709">
        <v>13.03</v>
      </c>
      <c r="F631" s="709">
        <v>325.75</v>
      </c>
      <c r="G631" s="709"/>
      <c r="H631" s="711"/>
      <c r="I631" s="711"/>
      <c r="J631" s="711"/>
      <c r="K631" s="711"/>
      <c r="L631" s="711"/>
      <c r="M631" s="711"/>
      <c r="N631" s="710">
        <v>46.517099999999999</v>
      </c>
      <c r="O631" s="710">
        <v>46.517099999999999</v>
      </c>
      <c r="P631" s="710">
        <v>46.549675000000001</v>
      </c>
      <c r="Q631" s="710">
        <v>46.549675000000001</v>
      </c>
      <c r="R631" s="710">
        <v>46.549675000000001</v>
      </c>
      <c r="S631" s="710">
        <v>46.549675000000001</v>
      </c>
      <c r="T631" s="710">
        <v>46.517099999999999</v>
      </c>
      <c r="U631" s="711"/>
      <c r="V631" s="711"/>
    </row>
    <row r="632" spans="1:22" ht="10.5" customHeight="1" x14ac:dyDescent="0.25">
      <c r="A632" s="712"/>
      <c r="B632" s="713"/>
      <c r="C632" s="714"/>
      <c r="D632" s="714"/>
      <c r="E632" s="714"/>
      <c r="F632" s="714"/>
      <c r="G632" s="714"/>
      <c r="H632" s="714"/>
      <c r="I632" s="714"/>
      <c r="J632" s="714"/>
      <c r="K632" s="714"/>
      <c r="L632" s="714"/>
      <c r="M632" s="714"/>
      <c r="N632" s="715">
        <v>3.57</v>
      </c>
      <c r="O632" s="715">
        <v>3.57</v>
      </c>
      <c r="P632" s="715">
        <v>3.5724999999999998</v>
      </c>
      <c r="Q632" s="715">
        <v>3.5724999999999998</v>
      </c>
      <c r="R632" s="715">
        <v>3.5724999999999998</v>
      </c>
      <c r="S632" s="715">
        <v>3.5724999999999998</v>
      </c>
      <c r="T632" s="715">
        <v>3.57</v>
      </c>
      <c r="U632" s="714"/>
      <c r="V632" s="714"/>
    </row>
    <row r="633" spans="1:22" ht="10.5" customHeight="1" x14ac:dyDescent="0.25">
      <c r="A633" s="716"/>
      <c r="B633" s="717"/>
      <c r="C633" s="718"/>
      <c r="D633" s="718"/>
      <c r="E633" s="718"/>
      <c r="F633" s="718"/>
      <c r="G633" s="718"/>
      <c r="H633" s="718"/>
      <c r="I633" s="718"/>
      <c r="J633" s="718"/>
      <c r="K633" s="718"/>
      <c r="L633" s="718"/>
      <c r="M633" s="718"/>
      <c r="N633" s="718"/>
      <c r="O633" s="718"/>
      <c r="P633" s="718"/>
      <c r="Q633" s="718"/>
      <c r="R633" s="718"/>
      <c r="S633" s="718"/>
      <c r="T633" s="718"/>
      <c r="U633" s="718"/>
      <c r="V633" s="718"/>
    </row>
    <row r="634" spans="1:22" s="105" customFormat="1" ht="10.5" customHeight="1" x14ac:dyDescent="0.25">
      <c r="A634" s="704"/>
      <c r="B634" s="719" t="s">
        <v>1234</v>
      </c>
      <c r="C634" s="704"/>
      <c r="D634" s="705"/>
      <c r="E634" s="706">
        <v>0</v>
      </c>
      <c r="F634" s="706">
        <v>18986.95</v>
      </c>
      <c r="G634" s="706"/>
      <c r="H634" s="705"/>
      <c r="I634" s="705"/>
      <c r="J634" s="705"/>
      <c r="K634" s="705"/>
      <c r="L634" s="705"/>
      <c r="M634" s="705"/>
      <c r="N634" s="705"/>
      <c r="O634" s="705"/>
      <c r="P634" s="705"/>
      <c r="Q634" s="705"/>
      <c r="R634" s="705"/>
      <c r="S634" s="705"/>
      <c r="T634" s="705"/>
      <c r="U634" s="705"/>
      <c r="V634" s="705"/>
    </row>
    <row r="635" spans="1:22" ht="10.5" customHeight="1" x14ac:dyDescent="0.25">
      <c r="A635" s="707">
        <v>515610</v>
      </c>
      <c r="B635" s="708" t="s">
        <v>1236</v>
      </c>
      <c r="C635" s="707" t="s">
        <v>1066</v>
      </c>
      <c r="D635" s="709">
        <v>1</v>
      </c>
      <c r="E635" s="709">
        <v>5588.75</v>
      </c>
      <c r="F635" s="709">
        <v>5588.75</v>
      </c>
      <c r="G635" s="709"/>
      <c r="H635" s="711"/>
      <c r="I635" s="711"/>
      <c r="J635" s="711"/>
      <c r="K635" s="711"/>
      <c r="L635" s="711"/>
      <c r="M635" s="711"/>
      <c r="N635" s="710">
        <v>798.07349999999997</v>
      </c>
      <c r="O635" s="710">
        <v>798.07349999999997</v>
      </c>
      <c r="P635" s="710">
        <v>798.63237499999991</v>
      </c>
      <c r="Q635" s="710">
        <v>798.63237499999991</v>
      </c>
      <c r="R635" s="710">
        <v>798.63237499999991</v>
      </c>
      <c r="S635" s="710">
        <v>798.63237499999991</v>
      </c>
      <c r="T635" s="710">
        <v>798.07349999999997</v>
      </c>
      <c r="U635" s="711"/>
      <c r="V635" s="711"/>
    </row>
    <row r="636" spans="1:22" ht="10.5" customHeight="1" x14ac:dyDescent="0.25">
      <c r="A636" s="712"/>
      <c r="B636" s="713"/>
      <c r="C636" s="714"/>
      <c r="D636" s="714"/>
      <c r="E636" s="714"/>
      <c r="F636" s="714"/>
      <c r="G636" s="714"/>
      <c r="H636" s="714"/>
      <c r="I636" s="714"/>
      <c r="J636" s="714"/>
      <c r="K636" s="714"/>
      <c r="L636" s="714"/>
      <c r="M636" s="714"/>
      <c r="N636" s="715">
        <v>0.14279999999999998</v>
      </c>
      <c r="O636" s="715">
        <v>0.14279999999999998</v>
      </c>
      <c r="P636" s="715">
        <v>0.1429</v>
      </c>
      <c r="Q636" s="715">
        <v>0.1429</v>
      </c>
      <c r="R636" s="715">
        <v>0.1429</v>
      </c>
      <c r="S636" s="715">
        <v>0.1429</v>
      </c>
      <c r="T636" s="715">
        <v>0.14279999999999998</v>
      </c>
      <c r="U636" s="714"/>
      <c r="V636" s="714"/>
    </row>
    <row r="637" spans="1:22" ht="10.5" customHeight="1" x14ac:dyDescent="0.25">
      <c r="A637" s="716"/>
      <c r="B637" s="717"/>
      <c r="C637" s="718"/>
      <c r="D637" s="718"/>
      <c r="E637" s="718"/>
      <c r="F637" s="718"/>
      <c r="G637" s="718"/>
      <c r="H637" s="718"/>
      <c r="I637" s="718"/>
      <c r="J637" s="718"/>
      <c r="K637" s="718"/>
      <c r="L637" s="718"/>
      <c r="M637" s="718"/>
      <c r="N637" s="718"/>
      <c r="O637" s="718"/>
      <c r="P637" s="718"/>
      <c r="Q637" s="718"/>
      <c r="R637" s="718"/>
      <c r="S637" s="718"/>
      <c r="T637" s="718"/>
      <c r="U637" s="718"/>
      <c r="V637" s="718"/>
    </row>
    <row r="638" spans="1:22" ht="10.5" customHeight="1" x14ac:dyDescent="0.25">
      <c r="A638" s="707">
        <v>515611</v>
      </c>
      <c r="B638" s="708" t="s">
        <v>1238</v>
      </c>
      <c r="C638" s="707" t="s">
        <v>1066</v>
      </c>
      <c r="D638" s="709">
        <v>34</v>
      </c>
      <c r="E638" s="709">
        <v>158.17000000000002</v>
      </c>
      <c r="F638" s="709">
        <v>5377.78</v>
      </c>
      <c r="G638" s="709"/>
      <c r="H638" s="711"/>
      <c r="I638" s="711"/>
      <c r="J638" s="711"/>
      <c r="K638" s="711"/>
      <c r="L638" s="711"/>
      <c r="M638" s="711"/>
      <c r="N638" s="710">
        <v>767.94698399999993</v>
      </c>
      <c r="O638" s="710">
        <v>767.94698399999993</v>
      </c>
      <c r="P638" s="710">
        <v>768.48476199999993</v>
      </c>
      <c r="Q638" s="710">
        <v>768.48476199999993</v>
      </c>
      <c r="R638" s="710">
        <v>768.48476199999993</v>
      </c>
      <c r="S638" s="710">
        <v>768.48476199999993</v>
      </c>
      <c r="T638" s="710">
        <v>767.94698399999993</v>
      </c>
      <c r="U638" s="711"/>
      <c r="V638" s="711"/>
    </row>
    <row r="639" spans="1:22" ht="10.5" customHeight="1" x14ac:dyDescent="0.25">
      <c r="A639" s="712"/>
      <c r="B639" s="713"/>
      <c r="C639" s="714"/>
      <c r="D639" s="714"/>
      <c r="E639" s="714"/>
      <c r="F639" s="714"/>
      <c r="G639" s="714"/>
      <c r="H639" s="714"/>
      <c r="I639" s="714"/>
      <c r="J639" s="714"/>
      <c r="K639" s="714"/>
      <c r="L639" s="714"/>
      <c r="M639" s="714"/>
      <c r="N639" s="715">
        <v>4.8552</v>
      </c>
      <c r="O639" s="715">
        <v>4.8552</v>
      </c>
      <c r="P639" s="715">
        <v>4.8585999999999991</v>
      </c>
      <c r="Q639" s="715">
        <v>4.8585999999999991</v>
      </c>
      <c r="R639" s="715">
        <v>4.8585999999999991</v>
      </c>
      <c r="S639" s="715">
        <v>4.8585999999999991</v>
      </c>
      <c r="T639" s="715">
        <v>4.8552</v>
      </c>
      <c r="U639" s="714"/>
      <c r="V639" s="714"/>
    </row>
    <row r="640" spans="1:22" ht="10.5" customHeight="1" x14ac:dyDescent="0.25">
      <c r="A640" s="716"/>
      <c r="B640" s="717"/>
      <c r="C640" s="718"/>
      <c r="D640" s="718"/>
      <c r="E640" s="718"/>
      <c r="F640" s="718"/>
      <c r="G640" s="718"/>
      <c r="H640" s="718"/>
      <c r="I640" s="718"/>
      <c r="J640" s="718"/>
      <c r="K640" s="718"/>
      <c r="L640" s="718"/>
      <c r="M640" s="718"/>
      <c r="N640" s="718"/>
      <c r="O640" s="718"/>
      <c r="P640" s="718"/>
      <c r="Q640" s="718"/>
      <c r="R640" s="718"/>
      <c r="S640" s="718"/>
      <c r="T640" s="718"/>
      <c r="U640" s="718"/>
      <c r="V640" s="718"/>
    </row>
    <row r="641" spans="1:22" ht="10.5" customHeight="1" x14ac:dyDescent="0.25">
      <c r="A641" s="707">
        <v>515612</v>
      </c>
      <c r="B641" s="708" t="s">
        <v>1240</v>
      </c>
      <c r="C641" s="707" t="s">
        <v>1066</v>
      </c>
      <c r="D641" s="709">
        <v>2</v>
      </c>
      <c r="E641" s="709">
        <v>110.21</v>
      </c>
      <c r="F641" s="709">
        <v>220.42</v>
      </c>
      <c r="G641" s="709"/>
      <c r="H641" s="711"/>
      <c r="I641" s="711"/>
      <c r="J641" s="711"/>
      <c r="K641" s="711"/>
      <c r="L641" s="711"/>
      <c r="M641" s="711"/>
      <c r="N641" s="710">
        <v>31.475975999999996</v>
      </c>
      <c r="O641" s="710">
        <v>31.475975999999996</v>
      </c>
      <c r="P641" s="710">
        <v>31.498017999999998</v>
      </c>
      <c r="Q641" s="710">
        <v>31.498017999999998</v>
      </c>
      <c r="R641" s="710">
        <v>31.498017999999998</v>
      </c>
      <c r="S641" s="710">
        <v>31.498017999999998</v>
      </c>
      <c r="T641" s="710">
        <v>31.475975999999996</v>
      </c>
      <c r="U641" s="711"/>
      <c r="V641" s="711"/>
    </row>
    <row r="642" spans="1:22" ht="10.5" customHeight="1" x14ac:dyDescent="0.25">
      <c r="A642" s="712"/>
      <c r="B642" s="713"/>
      <c r="C642" s="714"/>
      <c r="D642" s="714"/>
      <c r="E642" s="714"/>
      <c r="F642" s="714"/>
      <c r="G642" s="714"/>
      <c r="H642" s="714"/>
      <c r="I642" s="714"/>
      <c r="J642" s="714"/>
      <c r="K642" s="714"/>
      <c r="L642" s="714"/>
      <c r="M642" s="714"/>
      <c r="N642" s="715">
        <v>0.28559999999999997</v>
      </c>
      <c r="O642" s="715">
        <v>0.28559999999999997</v>
      </c>
      <c r="P642" s="715">
        <v>0.2858</v>
      </c>
      <c r="Q642" s="715">
        <v>0.2858</v>
      </c>
      <c r="R642" s="715">
        <v>0.2858</v>
      </c>
      <c r="S642" s="715">
        <v>0.2858</v>
      </c>
      <c r="T642" s="715">
        <v>0.28559999999999997</v>
      </c>
      <c r="U642" s="714"/>
      <c r="V642" s="714"/>
    </row>
    <row r="643" spans="1:22" ht="10.5" customHeight="1" x14ac:dyDescent="0.25">
      <c r="A643" s="716"/>
      <c r="B643" s="717"/>
      <c r="C643" s="718"/>
      <c r="D643" s="718"/>
      <c r="E643" s="718"/>
      <c r="F643" s="718"/>
      <c r="G643" s="718"/>
      <c r="H643" s="718"/>
      <c r="I643" s="718"/>
      <c r="J643" s="718"/>
      <c r="K643" s="718"/>
      <c r="L643" s="718"/>
      <c r="M643" s="718"/>
      <c r="N643" s="718"/>
      <c r="O643" s="718"/>
      <c r="P643" s="718"/>
      <c r="Q643" s="718"/>
      <c r="R643" s="718"/>
      <c r="S643" s="718"/>
      <c r="T643" s="718"/>
      <c r="U643" s="718"/>
      <c r="V643" s="718"/>
    </row>
    <row r="644" spans="1:22" ht="10.5" customHeight="1" x14ac:dyDescent="0.25">
      <c r="A644" s="707">
        <v>515613</v>
      </c>
      <c r="B644" s="708" t="s">
        <v>1242</v>
      </c>
      <c r="C644" s="707" t="s">
        <v>1066</v>
      </c>
      <c r="D644" s="709">
        <v>2</v>
      </c>
      <c r="E644" s="709">
        <v>249.78</v>
      </c>
      <c r="F644" s="709">
        <v>499.56</v>
      </c>
      <c r="G644" s="709"/>
      <c r="H644" s="711"/>
      <c r="I644" s="711"/>
      <c r="J644" s="711"/>
      <c r="K644" s="711"/>
      <c r="L644" s="711"/>
      <c r="M644" s="711"/>
      <c r="N644" s="710">
        <v>71.337168000000005</v>
      </c>
      <c r="O644" s="710">
        <v>71.337168000000005</v>
      </c>
      <c r="P644" s="710">
        <v>71.387124</v>
      </c>
      <c r="Q644" s="710">
        <v>71.387124</v>
      </c>
      <c r="R644" s="710">
        <v>71.387124</v>
      </c>
      <c r="S644" s="710">
        <v>71.387124</v>
      </c>
      <c r="T644" s="710">
        <v>71.337168000000005</v>
      </c>
      <c r="U644" s="711"/>
      <c r="V644" s="711"/>
    </row>
    <row r="645" spans="1:22" ht="10.5" customHeight="1" x14ac:dyDescent="0.25">
      <c r="A645" s="712"/>
      <c r="B645" s="713"/>
      <c r="C645" s="714"/>
      <c r="D645" s="714"/>
      <c r="E645" s="714"/>
      <c r="F645" s="714"/>
      <c r="G645" s="714"/>
      <c r="H645" s="714"/>
      <c r="I645" s="714"/>
      <c r="J645" s="714"/>
      <c r="K645" s="714"/>
      <c r="L645" s="714"/>
      <c r="M645" s="714"/>
      <c r="N645" s="715">
        <v>0.28559999999999997</v>
      </c>
      <c r="O645" s="715">
        <v>0.28559999999999997</v>
      </c>
      <c r="P645" s="715">
        <v>0.2858</v>
      </c>
      <c r="Q645" s="715">
        <v>0.2858</v>
      </c>
      <c r="R645" s="715">
        <v>0.2858</v>
      </c>
      <c r="S645" s="715">
        <v>0.2858</v>
      </c>
      <c r="T645" s="715">
        <v>0.28559999999999997</v>
      </c>
      <c r="U645" s="714"/>
      <c r="V645" s="714"/>
    </row>
    <row r="646" spans="1:22" ht="10.5" customHeight="1" x14ac:dyDescent="0.25">
      <c r="A646" s="716"/>
      <c r="B646" s="717"/>
      <c r="C646" s="718"/>
      <c r="D646" s="718"/>
      <c r="E646" s="718"/>
      <c r="F646" s="718"/>
      <c r="G646" s="718"/>
      <c r="H646" s="718"/>
      <c r="I646" s="718"/>
      <c r="J646" s="718"/>
      <c r="K646" s="718"/>
      <c r="L646" s="718"/>
      <c r="M646" s="718"/>
      <c r="N646" s="718"/>
      <c r="O646" s="718"/>
      <c r="P646" s="718"/>
      <c r="Q646" s="718"/>
      <c r="R646" s="718"/>
      <c r="S646" s="718"/>
      <c r="T646" s="718"/>
      <c r="U646" s="718"/>
      <c r="V646" s="718"/>
    </row>
    <row r="647" spans="1:22" ht="10.5" customHeight="1" x14ac:dyDescent="0.25">
      <c r="A647" s="707">
        <v>515614</v>
      </c>
      <c r="B647" s="708" t="s">
        <v>1244</v>
      </c>
      <c r="C647" s="707" t="s">
        <v>1066</v>
      </c>
      <c r="D647" s="709">
        <v>1</v>
      </c>
      <c r="E647" s="709">
        <v>448.57</v>
      </c>
      <c r="F647" s="709">
        <v>448.57</v>
      </c>
      <c r="G647" s="709"/>
      <c r="H647" s="711"/>
      <c r="I647" s="711"/>
      <c r="J647" s="711"/>
      <c r="K647" s="711"/>
      <c r="L647" s="711"/>
      <c r="M647" s="711"/>
      <c r="N647" s="710">
        <v>64.055796000000001</v>
      </c>
      <c r="O647" s="710">
        <v>64.055796000000001</v>
      </c>
      <c r="P647" s="710">
        <v>64.100652999999994</v>
      </c>
      <c r="Q647" s="710">
        <v>64.100652999999994</v>
      </c>
      <c r="R647" s="710">
        <v>64.100652999999994</v>
      </c>
      <c r="S647" s="710">
        <v>64.100652999999994</v>
      </c>
      <c r="T647" s="710">
        <v>64.055796000000001</v>
      </c>
      <c r="U647" s="711"/>
      <c r="V647" s="711"/>
    </row>
    <row r="648" spans="1:22" ht="10.5" customHeight="1" x14ac:dyDescent="0.25">
      <c r="A648" s="712"/>
      <c r="B648" s="713"/>
      <c r="C648" s="714"/>
      <c r="D648" s="714"/>
      <c r="E648" s="714"/>
      <c r="F648" s="714"/>
      <c r="G648" s="714"/>
      <c r="H648" s="714"/>
      <c r="I648" s="714"/>
      <c r="J648" s="714"/>
      <c r="K648" s="714"/>
      <c r="L648" s="714"/>
      <c r="M648" s="714"/>
      <c r="N648" s="715">
        <v>0.14279999999999998</v>
      </c>
      <c r="O648" s="715">
        <v>0.14279999999999998</v>
      </c>
      <c r="P648" s="715">
        <v>0.1429</v>
      </c>
      <c r="Q648" s="715">
        <v>0.1429</v>
      </c>
      <c r="R648" s="715">
        <v>0.1429</v>
      </c>
      <c r="S648" s="715">
        <v>0.1429</v>
      </c>
      <c r="T648" s="715">
        <v>0.14279999999999998</v>
      </c>
      <c r="U648" s="714"/>
      <c r="V648" s="714"/>
    </row>
    <row r="649" spans="1:22" ht="10.5" customHeight="1" x14ac:dyDescent="0.25">
      <c r="A649" s="716"/>
      <c r="B649" s="717"/>
      <c r="C649" s="718"/>
      <c r="D649" s="718"/>
      <c r="E649" s="718"/>
      <c r="F649" s="718"/>
      <c r="G649" s="718"/>
      <c r="H649" s="718"/>
      <c r="I649" s="718"/>
      <c r="J649" s="718"/>
      <c r="K649" s="718"/>
      <c r="L649" s="718"/>
      <c r="M649" s="718"/>
      <c r="N649" s="718"/>
      <c r="O649" s="718"/>
      <c r="P649" s="718"/>
      <c r="Q649" s="718"/>
      <c r="R649" s="718"/>
      <c r="S649" s="718"/>
      <c r="T649" s="718"/>
      <c r="U649" s="718"/>
      <c r="V649" s="718"/>
    </row>
    <row r="650" spans="1:22" ht="10.5" customHeight="1" x14ac:dyDescent="0.25">
      <c r="A650" s="707">
        <v>503134</v>
      </c>
      <c r="B650" s="708" t="s">
        <v>1246</v>
      </c>
      <c r="C650" s="707" t="s">
        <v>1066</v>
      </c>
      <c r="D650" s="709">
        <v>233</v>
      </c>
      <c r="E650" s="709">
        <v>8.7800000000000011</v>
      </c>
      <c r="F650" s="709">
        <v>2045.74</v>
      </c>
      <c r="G650" s="709"/>
      <c r="H650" s="711"/>
      <c r="I650" s="711"/>
      <c r="J650" s="711"/>
      <c r="K650" s="711"/>
      <c r="L650" s="711"/>
      <c r="M650" s="711"/>
      <c r="N650" s="710">
        <v>292.13167199999998</v>
      </c>
      <c r="O650" s="710">
        <v>292.13167199999998</v>
      </c>
      <c r="P650" s="710">
        <v>292.33624600000002</v>
      </c>
      <c r="Q650" s="710">
        <v>292.33624600000002</v>
      </c>
      <c r="R650" s="710">
        <v>292.33624600000002</v>
      </c>
      <c r="S650" s="710">
        <v>292.33624600000002</v>
      </c>
      <c r="T650" s="710">
        <v>292.13167199999998</v>
      </c>
      <c r="U650" s="711"/>
      <c r="V650" s="711"/>
    </row>
    <row r="651" spans="1:22" ht="10.5" customHeight="1" x14ac:dyDescent="0.25">
      <c r="A651" s="712"/>
      <c r="B651" s="713"/>
      <c r="C651" s="714"/>
      <c r="D651" s="714"/>
      <c r="E651" s="714"/>
      <c r="F651" s="714"/>
      <c r="G651" s="714"/>
      <c r="H651" s="714"/>
      <c r="I651" s="714"/>
      <c r="J651" s="714"/>
      <c r="K651" s="714"/>
      <c r="L651" s="714"/>
      <c r="M651" s="714"/>
      <c r="N651" s="715">
        <v>33.272399999999998</v>
      </c>
      <c r="O651" s="715">
        <v>33.272399999999998</v>
      </c>
      <c r="P651" s="715">
        <v>33.295699999999997</v>
      </c>
      <c r="Q651" s="715">
        <v>33.295699999999997</v>
      </c>
      <c r="R651" s="715">
        <v>33.295699999999997</v>
      </c>
      <c r="S651" s="715">
        <v>33.295699999999997</v>
      </c>
      <c r="T651" s="715">
        <v>33.272399999999998</v>
      </c>
      <c r="U651" s="714"/>
      <c r="V651" s="714"/>
    </row>
    <row r="652" spans="1:22" ht="10.5" customHeight="1" x14ac:dyDescent="0.25">
      <c r="A652" s="716"/>
      <c r="B652" s="717"/>
      <c r="C652" s="718"/>
      <c r="D652" s="718"/>
      <c r="E652" s="718"/>
      <c r="F652" s="718"/>
      <c r="G652" s="718"/>
      <c r="H652" s="718"/>
      <c r="I652" s="718"/>
      <c r="J652" s="718"/>
      <c r="K652" s="718"/>
      <c r="L652" s="718"/>
      <c r="M652" s="718"/>
      <c r="N652" s="718"/>
      <c r="O652" s="718"/>
      <c r="P652" s="718"/>
      <c r="Q652" s="718"/>
      <c r="R652" s="718"/>
      <c r="S652" s="718"/>
      <c r="T652" s="718"/>
      <c r="U652" s="718"/>
      <c r="V652" s="718"/>
    </row>
    <row r="653" spans="1:22" ht="10.5" customHeight="1" x14ac:dyDescent="0.25">
      <c r="A653" s="707">
        <v>515615</v>
      </c>
      <c r="B653" s="708" t="s">
        <v>1248</v>
      </c>
      <c r="C653" s="707" t="s">
        <v>1066</v>
      </c>
      <c r="D653" s="709">
        <v>70</v>
      </c>
      <c r="E653" s="709">
        <v>12.72</v>
      </c>
      <c r="F653" s="709">
        <v>890.4</v>
      </c>
      <c r="G653" s="709"/>
      <c r="H653" s="711"/>
      <c r="I653" s="711"/>
      <c r="J653" s="711"/>
      <c r="K653" s="711"/>
      <c r="L653" s="711"/>
      <c r="M653" s="711"/>
      <c r="N653" s="710">
        <v>127.14911999999998</v>
      </c>
      <c r="O653" s="710">
        <v>127.14911999999998</v>
      </c>
      <c r="P653" s="710">
        <v>127.23815999999999</v>
      </c>
      <c r="Q653" s="710">
        <v>127.23815999999999</v>
      </c>
      <c r="R653" s="710">
        <v>127.23815999999999</v>
      </c>
      <c r="S653" s="710">
        <v>127.23815999999999</v>
      </c>
      <c r="T653" s="710">
        <v>127.14911999999998</v>
      </c>
      <c r="U653" s="711"/>
      <c r="V653" s="711"/>
    </row>
    <row r="654" spans="1:22" ht="10.5" customHeight="1" x14ac:dyDescent="0.25">
      <c r="A654" s="712"/>
      <c r="B654" s="713"/>
      <c r="C654" s="714"/>
      <c r="D654" s="714"/>
      <c r="E654" s="714"/>
      <c r="F654" s="714"/>
      <c r="G654" s="714"/>
      <c r="H654" s="714"/>
      <c r="I654" s="714"/>
      <c r="J654" s="714"/>
      <c r="K654" s="714"/>
      <c r="L654" s="714"/>
      <c r="M654" s="714"/>
      <c r="N654" s="715">
        <v>9.9959999999999987</v>
      </c>
      <c r="O654" s="715">
        <v>9.9959999999999987</v>
      </c>
      <c r="P654" s="715">
        <v>10.003</v>
      </c>
      <c r="Q654" s="715">
        <v>10.003</v>
      </c>
      <c r="R654" s="715">
        <v>10.003</v>
      </c>
      <c r="S654" s="715">
        <v>10.003</v>
      </c>
      <c r="T654" s="715">
        <v>9.9959999999999987</v>
      </c>
      <c r="U654" s="714"/>
      <c r="V654" s="714"/>
    </row>
    <row r="655" spans="1:22" ht="10.5" customHeight="1" x14ac:dyDescent="0.25">
      <c r="A655" s="716"/>
      <c r="B655" s="717"/>
      <c r="C655" s="718"/>
      <c r="D655" s="718"/>
      <c r="E655" s="718"/>
      <c r="F655" s="718"/>
      <c r="G655" s="718"/>
      <c r="H655" s="718"/>
      <c r="I655" s="718"/>
      <c r="J655" s="718"/>
      <c r="K655" s="718"/>
      <c r="L655" s="718"/>
      <c r="M655" s="718"/>
      <c r="N655" s="718"/>
      <c r="O655" s="718"/>
      <c r="P655" s="718"/>
      <c r="Q655" s="718"/>
      <c r="R655" s="718"/>
      <c r="S655" s="718"/>
      <c r="T655" s="718"/>
      <c r="U655" s="718"/>
      <c r="V655" s="718"/>
    </row>
    <row r="656" spans="1:22" ht="10.5" customHeight="1" x14ac:dyDescent="0.25">
      <c r="A656" s="707">
        <v>515616</v>
      </c>
      <c r="B656" s="708" t="s">
        <v>1250</v>
      </c>
      <c r="C656" s="707" t="s">
        <v>1066</v>
      </c>
      <c r="D656" s="709">
        <v>4</v>
      </c>
      <c r="E656" s="709">
        <v>75.069999999999993</v>
      </c>
      <c r="F656" s="709">
        <v>300.27999999999997</v>
      </c>
      <c r="G656" s="709"/>
      <c r="H656" s="711"/>
      <c r="I656" s="711"/>
      <c r="J656" s="711"/>
      <c r="K656" s="711"/>
      <c r="L656" s="711"/>
      <c r="M656" s="711"/>
      <c r="N656" s="710">
        <v>42.879983999999993</v>
      </c>
      <c r="O656" s="710">
        <v>42.879983999999993</v>
      </c>
      <c r="P656" s="710">
        <v>42.910011999999995</v>
      </c>
      <c r="Q656" s="710">
        <v>42.910011999999995</v>
      </c>
      <c r="R656" s="710">
        <v>42.910011999999995</v>
      </c>
      <c r="S656" s="710">
        <v>42.910011999999995</v>
      </c>
      <c r="T656" s="710">
        <v>42.879983999999993</v>
      </c>
      <c r="U656" s="711"/>
      <c r="V656" s="711"/>
    </row>
    <row r="657" spans="1:22" ht="10.5" customHeight="1" x14ac:dyDescent="0.25">
      <c r="A657" s="712"/>
      <c r="B657" s="713"/>
      <c r="C657" s="714"/>
      <c r="D657" s="714"/>
      <c r="E657" s="714"/>
      <c r="F657" s="714"/>
      <c r="G657" s="714"/>
      <c r="H657" s="714"/>
      <c r="I657" s="714"/>
      <c r="J657" s="714"/>
      <c r="K657" s="714"/>
      <c r="L657" s="714"/>
      <c r="M657" s="714"/>
      <c r="N657" s="715">
        <v>0.57119999999999993</v>
      </c>
      <c r="O657" s="715">
        <v>0.57119999999999993</v>
      </c>
      <c r="P657" s="715">
        <v>0.5716</v>
      </c>
      <c r="Q657" s="715">
        <v>0.5716</v>
      </c>
      <c r="R657" s="715">
        <v>0.5716</v>
      </c>
      <c r="S657" s="715">
        <v>0.5716</v>
      </c>
      <c r="T657" s="715">
        <v>0.57119999999999993</v>
      </c>
      <c r="U657" s="714"/>
      <c r="V657" s="714"/>
    </row>
    <row r="658" spans="1:22" ht="10.5" customHeight="1" x14ac:dyDescent="0.25">
      <c r="A658" s="716"/>
      <c r="B658" s="717"/>
      <c r="C658" s="718"/>
      <c r="D658" s="718"/>
      <c r="E658" s="718"/>
      <c r="F658" s="718"/>
      <c r="G658" s="718"/>
      <c r="H658" s="718"/>
      <c r="I658" s="718"/>
      <c r="J658" s="718"/>
      <c r="K658" s="718"/>
      <c r="L658" s="718"/>
      <c r="M658" s="718"/>
      <c r="N658" s="718"/>
      <c r="O658" s="718"/>
      <c r="P658" s="718"/>
      <c r="Q658" s="718"/>
      <c r="R658" s="718"/>
      <c r="S658" s="718"/>
      <c r="T658" s="718"/>
      <c r="U658" s="718"/>
      <c r="V658" s="718"/>
    </row>
    <row r="659" spans="1:22" ht="10.5" customHeight="1" x14ac:dyDescent="0.25">
      <c r="A659" s="707">
        <v>515617</v>
      </c>
      <c r="B659" s="708" t="s">
        <v>1252</v>
      </c>
      <c r="C659" s="707" t="s">
        <v>1066</v>
      </c>
      <c r="D659" s="709">
        <v>2</v>
      </c>
      <c r="E659" s="709">
        <v>177.29</v>
      </c>
      <c r="F659" s="709">
        <v>354.58</v>
      </c>
      <c r="G659" s="709"/>
      <c r="H659" s="711"/>
      <c r="I659" s="711"/>
      <c r="J659" s="711"/>
      <c r="K659" s="711"/>
      <c r="L659" s="711"/>
      <c r="M659" s="711"/>
      <c r="N659" s="710">
        <v>50.634023999999997</v>
      </c>
      <c r="O659" s="710">
        <v>50.634023999999997</v>
      </c>
      <c r="P659" s="710">
        <v>50.669481999999995</v>
      </c>
      <c r="Q659" s="710">
        <v>50.669481999999995</v>
      </c>
      <c r="R659" s="710">
        <v>50.669481999999995</v>
      </c>
      <c r="S659" s="710">
        <v>50.669481999999995</v>
      </c>
      <c r="T659" s="710">
        <v>50.634023999999997</v>
      </c>
      <c r="U659" s="711"/>
      <c r="V659" s="711"/>
    </row>
    <row r="660" spans="1:22" ht="10.5" customHeight="1" x14ac:dyDescent="0.25">
      <c r="A660" s="712"/>
      <c r="B660" s="713"/>
      <c r="C660" s="714"/>
      <c r="D660" s="714"/>
      <c r="E660" s="714"/>
      <c r="F660" s="714"/>
      <c r="G660" s="714"/>
      <c r="H660" s="714"/>
      <c r="I660" s="714"/>
      <c r="J660" s="714"/>
      <c r="K660" s="714"/>
      <c r="L660" s="714"/>
      <c r="M660" s="714"/>
      <c r="N660" s="715">
        <v>0.28559999999999997</v>
      </c>
      <c r="O660" s="715">
        <v>0.28559999999999997</v>
      </c>
      <c r="P660" s="715">
        <v>0.2858</v>
      </c>
      <c r="Q660" s="715">
        <v>0.2858</v>
      </c>
      <c r="R660" s="715">
        <v>0.2858</v>
      </c>
      <c r="S660" s="715">
        <v>0.2858</v>
      </c>
      <c r="T660" s="715">
        <v>0.28559999999999997</v>
      </c>
      <c r="U660" s="714"/>
      <c r="V660" s="714"/>
    </row>
    <row r="661" spans="1:22" ht="10.5" customHeight="1" x14ac:dyDescent="0.25">
      <c r="A661" s="716"/>
      <c r="B661" s="717"/>
      <c r="C661" s="718"/>
      <c r="D661" s="718"/>
      <c r="E661" s="718"/>
      <c r="F661" s="718"/>
      <c r="G661" s="718"/>
      <c r="H661" s="718"/>
      <c r="I661" s="718"/>
      <c r="J661" s="718"/>
      <c r="K661" s="718"/>
      <c r="L661" s="718"/>
      <c r="M661" s="718"/>
      <c r="N661" s="718"/>
      <c r="O661" s="718"/>
      <c r="P661" s="718"/>
      <c r="Q661" s="718"/>
      <c r="R661" s="718"/>
      <c r="S661" s="718"/>
      <c r="T661" s="718"/>
      <c r="U661" s="718"/>
      <c r="V661" s="718"/>
    </row>
    <row r="662" spans="1:22" ht="10.5" customHeight="1" x14ac:dyDescent="0.25">
      <c r="A662" s="707">
        <v>515618</v>
      </c>
      <c r="B662" s="708" t="s">
        <v>1254</v>
      </c>
      <c r="C662" s="707" t="s">
        <v>1066</v>
      </c>
      <c r="D662" s="709">
        <v>1</v>
      </c>
      <c r="E662" s="709">
        <v>629.80999999999995</v>
      </c>
      <c r="F662" s="709">
        <v>629.80999999999995</v>
      </c>
      <c r="G662" s="709"/>
      <c r="H662" s="711"/>
      <c r="I662" s="711"/>
      <c r="J662" s="711"/>
      <c r="K662" s="711"/>
      <c r="L662" s="711"/>
      <c r="M662" s="711"/>
      <c r="N662" s="710">
        <v>89.93686799999999</v>
      </c>
      <c r="O662" s="710">
        <v>89.93686799999999</v>
      </c>
      <c r="P662" s="710">
        <v>89.999848999999998</v>
      </c>
      <c r="Q662" s="710">
        <v>89.999848999999998</v>
      </c>
      <c r="R662" s="710">
        <v>89.999848999999998</v>
      </c>
      <c r="S662" s="710">
        <v>89.999848999999998</v>
      </c>
      <c r="T662" s="710">
        <v>89.93686799999999</v>
      </c>
      <c r="U662" s="711"/>
      <c r="V662" s="711"/>
    </row>
    <row r="663" spans="1:22" ht="10.5" customHeight="1" x14ac:dyDescent="0.25">
      <c r="A663" s="712"/>
      <c r="B663" s="713"/>
      <c r="C663" s="714"/>
      <c r="D663" s="714"/>
      <c r="E663" s="714"/>
      <c r="F663" s="714"/>
      <c r="G663" s="714"/>
      <c r="H663" s="714"/>
      <c r="I663" s="714"/>
      <c r="J663" s="714"/>
      <c r="K663" s="714"/>
      <c r="L663" s="714"/>
      <c r="M663" s="714"/>
      <c r="N663" s="715">
        <v>0.14279999999999998</v>
      </c>
      <c r="O663" s="715">
        <v>0.14279999999999998</v>
      </c>
      <c r="P663" s="715">
        <v>0.1429</v>
      </c>
      <c r="Q663" s="715">
        <v>0.1429</v>
      </c>
      <c r="R663" s="715">
        <v>0.1429</v>
      </c>
      <c r="S663" s="715">
        <v>0.1429</v>
      </c>
      <c r="T663" s="715">
        <v>0.14279999999999998</v>
      </c>
      <c r="U663" s="714"/>
      <c r="V663" s="714"/>
    </row>
    <row r="664" spans="1:22" ht="10.5" customHeight="1" x14ac:dyDescent="0.25">
      <c r="A664" s="716"/>
      <c r="B664" s="717"/>
      <c r="C664" s="718"/>
      <c r="D664" s="718"/>
      <c r="E664" s="718"/>
      <c r="F664" s="718"/>
      <c r="G664" s="718"/>
      <c r="H664" s="718"/>
      <c r="I664" s="718"/>
      <c r="J664" s="718"/>
      <c r="K664" s="718"/>
      <c r="L664" s="718"/>
      <c r="M664" s="718"/>
      <c r="N664" s="718"/>
      <c r="O664" s="718"/>
      <c r="P664" s="718"/>
      <c r="Q664" s="718"/>
      <c r="R664" s="718"/>
      <c r="S664" s="718"/>
      <c r="T664" s="718"/>
      <c r="U664" s="718"/>
      <c r="V664" s="718"/>
    </row>
    <row r="665" spans="1:22" ht="10.5" customHeight="1" x14ac:dyDescent="0.25">
      <c r="A665" s="707">
        <v>515619</v>
      </c>
      <c r="B665" s="708" t="s">
        <v>1256</v>
      </c>
      <c r="C665" s="707" t="s">
        <v>1066</v>
      </c>
      <c r="D665" s="709">
        <v>1</v>
      </c>
      <c r="E665" s="709">
        <v>671.91000000000008</v>
      </c>
      <c r="F665" s="709">
        <v>671.91</v>
      </c>
      <c r="G665" s="709"/>
      <c r="H665" s="711"/>
      <c r="I665" s="711"/>
      <c r="J665" s="711"/>
      <c r="K665" s="711"/>
      <c r="L665" s="711"/>
      <c r="M665" s="711"/>
      <c r="N665" s="710">
        <v>95.948747999999995</v>
      </c>
      <c r="O665" s="710">
        <v>95.948747999999995</v>
      </c>
      <c r="P665" s="710">
        <v>96.015939000000003</v>
      </c>
      <c r="Q665" s="710">
        <v>96.015939000000003</v>
      </c>
      <c r="R665" s="710">
        <v>96.015939000000003</v>
      </c>
      <c r="S665" s="710">
        <v>96.015939000000003</v>
      </c>
      <c r="T665" s="710">
        <v>95.948747999999995</v>
      </c>
      <c r="U665" s="711"/>
      <c r="V665" s="711"/>
    </row>
    <row r="666" spans="1:22" ht="10.5" customHeight="1" x14ac:dyDescent="0.25">
      <c r="A666" s="712"/>
      <c r="B666" s="713"/>
      <c r="C666" s="714"/>
      <c r="D666" s="714"/>
      <c r="E666" s="714"/>
      <c r="F666" s="714"/>
      <c r="G666" s="714"/>
      <c r="H666" s="714"/>
      <c r="I666" s="714"/>
      <c r="J666" s="714"/>
      <c r="K666" s="714"/>
      <c r="L666" s="714"/>
      <c r="M666" s="714"/>
      <c r="N666" s="715">
        <v>0.14279999999999998</v>
      </c>
      <c r="O666" s="715">
        <v>0.14279999999999998</v>
      </c>
      <c r="P666" s="715">
        <v>0.1429</v>
      </c>
      <c r="Q666" s="715">
        <v>0.1429</v>
      </c>
      <c r="R666" s="715">
        <v>0.1429</v>
      </c>
      <c r="S666" s="715">
        <v>0.1429</v>
      </c>
      <c r="T666" s="715">
        <v>0.14279999999999998</v>
      </c>
      <c r="U666" s="714"/>
      <c r="V666" s="714"/>
    </row>
    <row r="667" spans="1:22" ht="10.5" customHeight="1" x14ac:dyDescent="0.25">
      <c r="A667" s="716"/>
      <c r="B667" s="717"/>
      <c r="C667" s="718"/>
      <c r="D667" s="718"/>
      <c r="E667" s="718"/>
      <c r="F667" s="718"/>
      <c r="G667" s="718"/>
      <c r="H667" s="718"/>
      <c r="I667" s="718"/>
      <c r="J667" s="718"/>
      <c r="K667" s="718"/>
      <c r="L667" s="718"/>
      <c r="M667" s="718"/>
      <c r="N667" s="718"/>
      <c r="O667" s="718"/>
      <c r="P667" s="718"/>
      <c r="Q667" s="718"/>
      <c r="R667" s="718"/>
      <c r="S667" s="718"/>
      <c r="T667" s="718"/>
      <c r="U667" s="718"/>
      <c r="V667" s="718"/>
    </row>
    <row r="668" spans="1:22" ht="10.5" customHeight="1" x14ac:dyDescent="0.25">
      <c r="A668" s="707">
        <v>515620</v>
      </c>
      <c r="B668" s="708" t="s">
        <v>1258</v>
      </c>
      <c r="C668" s="707" t="s">
        <v>683</v>
      </c>
      <c r="D668" s="709">
        <v>70</v>
      </c>
      <c r="E668" s="709">
        <v>7.77</v>
      </c>
      <c r="F668" s="709">
        <v>543.9</v>
      </c>
      <c r="G668" s="709"/>
      <c r="H668" s="711"/>
      <c r="I668" s="711"/>
      <c r="J668" s="711"/>
      <c r="K668" s="711"/>
      <c r="L668" s="711"/>
      <c r="M668" s="711"/>
      <c r="N668" s="710">
        <v>77.668919999999986</v>
      </c>
      <c r="O668" s="710">
        <v>77.668919999999986</v>
      </c>
      <c r="P668" s="710">
        <v>77.723309999999998</v>
      </c>
      <c r="Q668" s="710">
        <v>77.723309999999998</v>
      </c>
      <c r="R668" s="710">
        <v>77.723309999999998</v>
      </c>
      <c r="S668" s="710">
        <v>77.723309999999998</v>
      </c>
      <c r="T668" s="710">
        <v>77.668919999999986</v>
      </c>
      <c r="U668" s="711"/>
      <c r="V668" s="711"/>
    </row>
    <row r="669" spans="1:22" ht="10.5" customHeight="1" x14ac:dyDescent="0.25">
      <c r="A669" s="712"/>
      <c r="B669" s="713"/>
      <c r="C669" s="714"/>
      <c r="D669" s="714"/>
      <c r="E669" s="714"/>
      <c r="F669" s="714"/>
      <c r="G669" s="714"/>
      <c r="H669" s="714"/>
      <c r="I669" s="714"/>
      <c r="J669" s="714"/>
      <c r="K669" s="714"/>
      <c r="L669" s="714"/>
      <c r="M669" s="714"/>
      <c r="N669" s="715">
        <v>9.9959999999999987</v>
      </c>
      <c r="O669" s="715">
        <v>9.9959999999999987</v>
      </c>
      <c r="P669" s="715">
        <v>10.003</v>
      </c>
      <c r="Q669" s="715">
        <v>10.003</v>
      </c>
      <c r="R669" s="715">
        <v>10.003</v>
      </c>
      <c r="S669" s="715">
        <v>10.003</v>
      </c>
      <c r="T669" s="715">
        <v>9.9959999999999987</v>
      </c>
      <c r="U669" s="714"/>
      <c r="V669" s="714"/>
    </row>
    <row r="670" spans="1:22" ht="10.5" customHeight="1" x14ac:dyDescent="0.25">
      <c r="A670" s="716"/>
      <c r="B670" s="717"/>
      <c r="C670" s="718"/>
      <c r="D670" s="718"/>
      <c r="E670" s="718"/>
      <c r="F670" s="718"/>
      <c r="G670" s="718"/>
      <c r="H670" s="718"/>
      <c r="I670" s="718"/>
      <c r="J670" s="718"/>
      <c r="K670" s="718"/>
      <c r="L670" s="718"/>
      <c r="M670" s="718"/>
      <c r="N670" s="718"/>
      <c r="O670" s="718"/>
      <c r="P670" s="718"/>
      <c r="Q670" s="718"/>
      <c r="R670" s="718"/>
      <c r="S670" s="718"/>
      <c r="T670" s="718"/>
      <c r="U670" s="718"/>
      <c r="V670" s="718"/>
    </row>
    <row r="671" spans="1:22" ht="10.5" customHeight="1" x14ac:dyDescent="0.25">
      <c r="A671" s="707">
        <v>515621</v>
      </c>
      <c r="B671" s="708" t="s">
        <v>1260</v>
      </c>
      <c r="C671" s="707" t="s">
        <v>1066</v>
      </c>
      <c r="D671" s="709">
        <v>1</v>
      </c>
      <c r="E671" s="709">
        <v>282.77999999999997</v>
      </c>
      <c r="F671" s="709">
        <v>282.77999999999997</v>
      </c>
      <c r="G671" s="709"/>
      <c r="H671" s="711"/>
      <c r="I671" s="711"/>
      <c r="J671" s="711"/>
      <c r="K671" s="711"/>
      <c r="L671" s="711"/>
      <c r="M671" s="711"/>
      <c r="N671" s="710">
        <v>40.380983999999991</v>
      </c>
      <c r="O671" s="710">
        <v>40.380983999999991</v>
      </c>
      <c r="P671" s="710">
        <v>40.409261999999991</v>
      </c>
      <c r="Q671" s="710">
        <v>40.409261999999991</v>
      </c>
      <c r="R671" s="710">
        <v>40.409261999999991</v>
      </c>
      <c r="S671" s="710">
        <v>40.409261999999991</v>
      </c>
      <c r="T671" s="710">
        <v>40.380983999999991</v>
      </c>
      <c r="U671" s="711"/>
      <c r="V671" s="711"/>
    </row>
    <row r="672" spans="1:22" ht="10.5" customHeight="1" x14ac:dyDescent="0.25">
      <c r="A672" s="712"/>
      <c r="B672" s="713"/>
      <c r="C672" s="714"/>
      <c r="D672" s="714"/>
      <c r="E672" s="714"/>
      <c r="F672" s="714"/>
      <c r="G672" s="714"/>
      <c r="H672" s="714"/>
      <c r="I672" s="714"/>
      <c r="J672" s="714"/>
      <c r="K672" s="714"/>
      <c r="L672" s="714"/>
      <c r="M672" s="714"/>
      <c r="N672" s="715">
        <v>0.14279999999999998</v>
      </c>
      <c r="O672" s="715">
        <v>0.14279999999999998</v>
      </c>
      <c r="P672" s="715">
        <v>0.1429</v>
      </c>
      <c r="Q672" s="715">
        <v>0.1429</v>
      </c>
      <c r="R672" s="715">
        <v>0.1429</v>
      </c>
      <c r="S672" s="715">
        <v>0.1429</v>
      </c>
      <c r="T672" s="715">
        <v>0.14279999999999998</v>
      </c>
      <c r="U672" s="714"/>
      <c r="V672" s="714"/>
    </row>
    <row r="673" spans="1:22" ht="10.5" customHeight="1" x14ac:dyDescent="0.25">
      <c r="A673" s="716"/>
      <c r="B673" s="717"/>
      <c r="C673" s="718"/>
      <c r="D673" s="718"/>
      <c r="E673" s="718"/>
      <c r="F673" s="718"/>
      <c r="G673" s="718"/>
      <c r="H673" s="718"/>
      <c r="I673" s="718"/>
      <c r="J673" s="718"/>
      <c r="K673" s="718"/>
      <c r="L673" s="718"/>
      <c r="M673" s="718"/>
      <c r="N673" s="718"/>
      <c r="O673" s="718"/>
      <c r="P673" s="718"/>
      <c r="Q673" s="718"/>
      <c r="R673" s="718"/>
      <c r="S673" s="718"/>
      <c r="T673" s="718"/>
      <c r="U673" s="718"/>
      <c r="V673" s="718"/>
    </row>
    <row r="674" spans="1:22" ht="10.5" customHeight="1" x14ac:dyDescent="0.25">
      <c r="A674" s="707">
        <v>513618</v>
      </c>
      <c r="B674" s="708" t="s">
        <v>1262</v>
      </c>
      <c r="C674" s="707" t="s">
        <v>1066</v>
      </c>
      <c r="D674" s="709">
        <v>1</v>
      </c>
      <c r="E674" s="709">
        <v>831.32</v>
      </c>
      <c r="F674" s="709">
        <v>831.32</v>
      </c>
      <c r="G674" s="709"/>
      <c r="H674" s="711"/>
      <c r="I674" s="711"/>
      <c r="J674" s="711"/>
      <c r="K674" s="711"/>
      <c r="L674" s="711"/>
      <c r="M674" s="711"/>
      <c r="N674" s="710">
        <v>118.71249600000002</v>
      </c>
      <c r="O674" s="710">
        <v>118.71249600000002</v>
      </c>
      <c r="P674" s="710">
        <v>118.79562799999999</v>
      </c>
      <c r="Q674" s="710">
        <v>118.79562799999999</v>
      </c>
      <c r="R674" s="710">
        <v>118.79562799999999</v>
      </c>
      <c r="S674" s="710">
        <v>118.79562799999999</v>
      </c>
      <c r="T674" s="710">
        <v>118.71249600000002</v>
      </c>
      <c r="U674" s="711"/>
      <c r="V674" s="711"/>
    </row>
    <row r="675" spans="1:22" ht="10.5" customHeight="1" x14ac:dyDescent="0.25">
      <c r="A675" s="712"/>
      <c r="B675" s="713"/>
      <c r="C675" s="714"/>
      <c r="D675" s="714"/>
      <c r="E675" s="714"/>
      <c r="F675" s="714"/>
      <c r="G675" s="714"/>
      <c r="H675" s="714"/>
      <c r="I675" s="714"/>
      <c r="J675" s="714"/>
      <c r="K675" s="714"/>
      <c r="L675" s="714"/>
      <c r="M675" s="714"/>
      <c r="N675" s="715">
        <v>0.14279999999999998</v>
      </c>
      <c r="O675" s="715">
        <v>0.14279999999999998</v>
      </c>
      <c r="P675" s="715">
        <v>0.1429</v>
      </c>
      <c r="Q675" s="715">
        <v>0.1429</v>
      </c>
      <c r="R675" s="715">
        <v>0.1429</v>
      </c>
      <c r="S675" s="715">
        <v>0.1429</v>
      </c>
      <c r="T675" s="715">
        <v>0.14279999999999998</v>
      </c>
      <c r="U675" s="714"/>
      <c r="V675" s="714"/>
    </row>
    <row r="676" spans="1:22" ht="10.5" customHeight="1" x14ac:dyDescent="0.25">
      <c r="A676" s="716"/>
      <c r="B676" s="717"/>
      <c r="C676" s="718"/>
      <c r="D676" s="718"/>
      <c r="E676" s="718"/>
      <c r="F676" s="718"/>
      <c r="G676" s="718"/>
      <c r="H676" s="718"/>
      <c r="I676" s="718"/>
      <c r="J676" s="718"/>
      <c r="K676" s="718"/>
      <c r="L676" s="718"/>
      <c r="M676" s="718"/>
      <c r="N676" s="718"/>
      <c r="O676" s="718"/>
      <c r="P676" s="718"/>
      <c r="Q676" s="718"/>
      <c r="R676" s="718"/>
      <c r="S676" s="718"/>
      <c r="T676" s="718"/>
      <c r="U676" s="718"/>
      <c r="V676" s="718"/>
    </row>
    <row r="677" spans="1:22" ht="10.5" customHeight="1" x14ac:dyDescent="0.25">
      <c r="A677" s="707">
        <v>515622</v>
      </c>
      <c r="B677" s="708" t="s">
        <v>1264</v>
      </c>
      <c r="C677" s="707" t="s">
        <v>1066</v>
      </c>
      <c r="D677" s="709">
        <v>1</v>
      </c>
      <c r="E677" s="709">
        <v>301.14999999999998</v>
      </c>
      <c r="F677" s="709">
        <v>301.14999999999998</v>
      </c>
      <c r="G677" s="709"/>
      <c r="H677" s="711"/>
      <c r="I677" s="711"/>
      <c r="J677" s="711"/>
      <c r="K677" s="711"/>
      <c r="L677" s="711"/>
      <c r="M677" s="711"/>
      <c r="N677" s="710">
        <v>43.004219999999997</v>
      </c>
      <c r="O677" s="710">
        <v>43.004219999999997</v>
      </c>
      <c r="P677" s="710">
        <v>43.034334999999992</v>
      </c>
      <c r="Q677" s="710">
        <v>43.034334999999992</v>
      </c>
      <c r="R677" s="710">
        <v>43.034334999999992</v>
      </c>
      <c r="S677" s="710">
        <v>43.034334999999992</v>
      </c>
      <c r="T677" s="710">
        <v>43.004219999999997</v>
      </c>
      <c r="U677" s="711"/>
      <c r="V677" s="711"/>
    </row>
    <row r="678" spans="1:22" ht="10.5" customHeight="1" x14ac:dyDescent="0.25">
      <c r="A678" s="712"/>
      <c r="B678" s="713"/>
      <c r="C678" s="714"/>
      <c r="D678" s="714"/>
      <c r="E678" s="714"/>
      <c r="F678" s="714"/>
      <c r="G678" s="714"/>
      <c r="H678" s="714"/>
      <c r="I678" s="714"/>
      <c r="J678" s="714"/>
      <c r="K678" s="714"/>
      <c r="L678" s="714"/>
      <c r="M678" s="714"/>
      <c r="N678" s="715">
        <v>0.14279999999999998</v>
      </c>
      <c r="O678" s="715">
        <v>0.14279999999999998</v>
      </c>
      <c r="P678" s="715">
        <v>0.1429</v>
      </c>
      <c r="Q678" s="715">
        <v>0.1429</v>
      </c>
      <c r="R678" s="715">
        <v>0.1429</v>
      </c>
      <c r="S678" s="715">
        <v>0.1429</v>
      </c>
      <c r="T678" s="715">
        <v>0.14279999999999998</v>
      </c>
      <c r="U678" s="714"/>
      <c r="V678" s="714"/>
    </row>
    <row r="679" spans="1:22" ht="10.5" customHeight="1" x14ac:dyDescent="0.25">
      <c r="A679" s="716"/>
      <c r="B679" s="717"/>
      <c r="C679" s="718"/>
      <c r="D679" s="718"/>
      <c r="E679" s="718"/>
      <c r="F679" s="718"/>
      <c r="G679" s="718"/>
      <c r="H679" s="718"/>
      <c r="I679" s="718"/>
      <c r="J679" s="718"/>
      <c r="K679" s="718"/>
      <c r="L679" s="718"/>
      <c r="M679" s="718"/>
      <c r="N679" s="718"/>
      <c r="O679" s="718"/>
      <c r="P679" s="718"/>
      <c r="Q679" s="718"/>
      <c r="R679" s="718"/>
      <c r="S679" s="718"/>
      <c r="T679" s="718"/>
      <c r="U679" s="718"/>
      <c r="V679" s="718"/>
    </row>
    <row r="680" spans="1:22" s="105" customFormat="1" ht="10.5" customHeight="1" x14ac:dyDescent="0.25">
      <c r="A680" s="704"/>
      <c r="B680" s="719" t="s">
        <v>1767</v>
      </c>
      <c r="C680" s="704"/>
      <c r="D680" s="705"/>
      <c r="E680" s="706">
        <v>0</v>
      </c>
      <c r="F680" s="706">
        <v>24031.94</v>
      </c>
      <c r="G680" s="706"/>
      <c r="H680" s="705"/>
      <c r="I680" s="705"/>
      <c r="J680" s="705"/>
      <c r="K680" s="705"/>
      <c r="L680" s="705"/>
      <c r="M680" s="705"/>
      <c r="N680" s="705"/>
      <c r="O680" s="705"/>
      <c r="P680" s="705"/>
      <c r="Q680" s="705"/>
      <c r="R680" s="705"/>
      <c r="S680" s="705"/>
      <c r="T680" s="705"/>
      <c r="U680" s="705"/>
      <c r="V680" s="705"/>
    </row>
    <row r="681" spans="1:22" ht="10.5" customHeight="1" x14ac:dyDescent="0.25">
      <c r="A681" s="707">
        <v>505377</v>
      </c>
      <c r="B681" s="708" t="s">
        <v>1768</v>
      </c>
      <c r="C681" s="707" t="s">
        <v>571</v>
      </c>
      <c r="D681" s="709">
        <v>80</v>
      </c>
      <c r="E681" s="709">
        <v>134.81</v>
      </c>
      <c r="F681" s="709">
        <v>10784.8</v>
      </c>
      <c r="G681" s="709"/>
      <c r="H681" s="711"/>
      <c r="I681" s="711"/>
      <c r="J681" s="711"/>
      <c r="K681" s="711"/>
      <c r="L681" s="711"/>
      <c r="M681" s="711"/>
      <c r="N681" s="710">
        <v>1540.06944</v>
      </c>
      <c r="O681" s="710">
        <v>1540.06944</v>
      </c>
      <c r="P681" s="710">
        <v>1541.1479199999999</v>
      </c>
      <c r="Q681" s="710">
        <v>1541.1479199999999</v>
      </c>
      <c r="R681" s="710">
        <v>1541.1479199999999</v>
      </c>
      <c r="S681" s="710">
        <v>1541.1479199999999</v>
      </c>
      <c r="T681" s="710">
        <v>1540.06944</v>
      </c>
      <c r="U681" s="711"/>
      <c r="V681" s="711"/>
    </row>
    <row r="682" spans="1:22" ht="10.5" customHeight="1" x14ac:dyDescent="0.25">
      <c r="A682" s="712"/>
      <c r="B682" s="713"/>
      <c r="C682" s="714"/>
      <c r="D682" s="714"/>
      <c r="E682" s="714"/>
      <c r="F682" s="714"/>
      <c r="G682" s="714"/>
      <c r="H682" s="714"/>
      <c r="I682" s="714"/>
      <c r="J682" s="714"/>
      <c r="K682" s="714"/>
      <c r="L682" s="714"/>
      <c r="M682" s="714"/>
      <c r="N682" s="715">
        <v>11.423999999999999</v>
      </c>
      <c r="O682" s="715">
        <v>11.423999999999999</v>
      </c>
      <c r="P682" s="715">
        <v>11.431999999999999</v>
      </c>
      <c r="Q682" s="715">
        <v>11.431999999999999</v>
      </c>
      <c r="R682" s="715">
        <v>11.431999999999999</v>
      </c>
      <c r="S682" s="715">
        <v>11.431999999999999</v>
      </c>
      <c r="T682" s="715">
        <v>11.423999999999999</v>
      </c>
      <c r="U682" s="714"/>
      <c r="V682" s="714"/>
    </row>
    <row r="683" spans="1:22" ht="10.5" customHeight="1" x14ac:dyDescent="0.25">
      <c r="A683" s="716"/>
      <c r="B683" s="717"/>
      <c r="C683" s="718"/>
      <c r="D683" s="718"/>
      <c r="E683" s="718"/>
      <c r="F683" s="718"/>
      <c r="G683" s="718"/>
      <c r="H683" s="718"/>
      <c r="I683" s="718"/>
      <c r="J683" s="718"/>
      <c r="K683" s="718"/>
      <c r="L683" s="718"/>
      <c r="M683" s="718"/>
      <c r="N683" s="718"/>
      <c r="O683" s="718"/>
      <c r="P683" s="718"/>
      <c r="Q683" s="718"/>
      <c r="R683" s="718"/>
      <c r="S683" s="718"/>
      <c r="T683" s="718"/>
      <c r="U683" s="718"/>
      <c r="V683" s="718"/>
    </row>
    <row r="684" spans="1:22" ht="10.5" customHeight="1" x14ac:dyDescent="0.25">
      <c r="A684" s="707">
        <v>503167</v>
      </c>
      <c r="B684" s="708" t="s">
        <v>1769</v>
      </c>
      <c r="C684" s="707" t="s">
        <v>1770</v>
      </c>
      <c r="D684" s="709">
        <v>0.5</v>
      </c>
      <c r="E684" s="709">
        <v>15392.11</v>
      </c>
      <c r="F684" s="709">
        <v>7696.06</v>
      </c>
      <c r="G684" s="709"/>
      <c r="H684" s="711"/>
      <c r="I684" s="711"/>
      <c r="J684" s="711"/>
      <c r="K684" s="711"/>
      <c r="L684" s="711"/>
      <c r="M684" s="711"/>
      <c r="N684" s="710">
        <v>1098.9973680000001</v>
      </c>
      <c r="O684" s="710">
        <v>1098.9973680000001</v>
      </c>
      <c r="P684" s="710">
        <v>1099.7669740000001</v>
      </c>
      <c r="Q684" s="710">
        <v>1099.7669740000001</v>
      </c>
      <c r="R684" s="710">
        <v>1099.7669740000001</v>
      </c>
      <c r="S684" s="710">
        <v>1099.7669740000001</v>
      </c>
      <c r="T684" s="710">
        <v>1098.9973680000001</v>
      </c>
      <c r="U684" s="711"/>
      <c r="V684" s="711"/>
    </row>
    <row r="685" spans="1:22" ht="10.5" customHeight="1" x14ac:dyDescent="0.25">
      <c r="A685" s="712"/>
      <c r="B685" s="713"/>
      <c r="C685" s="714"/>
      <c r="D685" s="714"/>
      <c r="E685" s="714"/>
      <c r="F685" s="714"/>
      <c r="G685" s="714"/>
      <c r="H685" s="714"/>
      <c r="I685" s="714"/>
      <c r="J685" s="714"/>
      <c r="K685" s="714"/>
      <c r="L685" s="714"/>
      <c r="M685" s="714"/>
      <c r="N685" s="715">
        <v>7.1399999999999991E-2</v>
      </c>
      <c r="O685" s="715">
        <v>7.1399999999999991E-2</v>
      </c>
      <c r="P685" s="715">
        <v>7.145E-2</v>
      </c>
      <c r="Q685" s="715">
        <v>7.145E-2</v>
      </c>
      <c r="R685" s="715">
        <v>7.145E-2</v>
      </c>
      <c r="S685" s="715">
        <v>7.145E-2</v>
      </c>
      <c r="T685" s="715">
        <v>7.1399999999999991E-2</v>
      </c>
      <c r="U685" s="714"/>
      <c r="V685" s="714"/>
    </row>
    <row r="686" spans="1:22" ht="10.5" customHeight="1" x14ac:dyDescent="0.25">
      <c r="A686" s="716"/>
      <c r="B686" s="717"/>
      <c r="C686" s="718"/>
      <c r="D686" s="718"/>
      <c r="E686" s="718"/>
      <c r="F686" s="718"/>
      <c r="G686" s="718"/>
      <c r="H686" s="718"/>
      <c r="I686" s="718"/>
      <c r="J686" s="718"/>
      <c r="K686" s="718"/>
      <c r="L686" s="718"/>
      <c r="M686" s="718"/>
      <c r="N686" s="718"/>
      <c r="O686" s="718"/>
      <c r="P686" s="718"/>
      <c r="Q686" s="718"/>
      <c r="R686" s="718"/>
      <c r="S686" s="718"/>
      <c r="T686" s="718"/>
      <c r="U686" s="718"/>
      <c r="V686" s="718"/>
    </row>
    <row r="687" spans="1:22" ht="10.5" customHeight="1" x14ac:dyDescent="0.25">
      <c r="A687" s="707">
        <v>514056</v>
      </c>
      <c r="B687" s="708" t="s">
        <v>1771</v>
      </c>
      <c r="C687" s="707" t="s">
        <v>1770</v>
      </c>
      <c r="D687" s="709">
        <v>1</v>
      </c>
      <c r="E687" s="709">
        <v>1311.34</v>
      </c>
      <c r="F687" s="709">
        <v>1311.34</v>
      </c>
      <c r="G687" s="709"/>
      <c r="H687" s="711"/>
      <c r="I687" s="711"/>
      <c r="J687" s="711"/>
      <c r="K687" s="711"/>
      <c r="L687" s="711"/>
      <c r="M687" s="711"/>
      <c r="N687" s="710">
        <v>187.25935199999995</v>
      </c>
      <c r="O687" s="710">
        <v>187.25935199999995</v>
      </c>
      <c r="P687" s="710">
        <v>187.39048599999998</v>
      </c>
      <c r="Q687" s="710">
        <v>187.39048599999998</v>
      </c>
      <c r="R687" s="710">
        <v>187.39048599999998</v>
      </c>
      <c r="S687" s="710">
        <v>187.39048599999998</v>
      </c>
      <c r="T687" s="710">
        <v>187.25935199999995</v>
      </c>
      <c r="U687" s="711"/>
      <c r="V687" s="711"/>
    </row>
    <row r="688" spans="1:22" ht="10.5" customHeight="1" x14ac:dyDescent="0.25">
      <c r="A688" s="712"/>
      <c r="B688" s="713"/>
      <c r="C688" s="714"/>
      <c r="D688" s="714"/>
      <c r="E688" s="714"/>
      <c r="F688" s="714"/>
      <c r="G688" s="714"/>
      <c r="H688" s="714"/>
      <c r="I688" s="714"/>
      <c r="J688" s="714"/>
      <c r="K688" s="714"/>
      <c r="L688" s="714"/>
      <c r="M688" s="714"/>
      <c r="N688" s="715">
        <v>0.14279999999999998</v>
      </c>
      <c r="O688" s="715">
        <v>0.14279999999999998</v>
      </c>
      <c r="P688" s="715">
        <v>0.1429</v>
      </c>
      <c r="Q688" s="715">
        <v>0.1429</v>
      </c>
      <c r="R688" s="715">
        <v>0.1429</v>
      </c>
      <c r="S688" s="715">
        <v>0.1429</v>
      </c>
      <c r="T688" s="715">
        <v>0.14279999999999998</v>
      </c>
      <c r="U688" s="714"/>
      <c r="V688" s="714"/>
    </row>
    <row r="689" spans="1:22" ht="10.5" customHeight="1" x14ac:dyDescent="0.25">
      <c r="A689" s="716"/>
      <c r="B689" s="717"/>
      <c r="C689" s="718"/>
      <c r="D689" s="718"/>
      <c r="E689" s="718"/>
      <c r="F689" s="718"/>
      <c r="G689" s="718"/>
      <c r="H689" s="718"/>
      <c r="I689" s="718"/>
      <c r="J689" s="718"/>
      <c r="K689" s="718"/>
      <c r="L689" s="718"/>
      <c r="M689" s="718"/>
      <c r="N689" s="718"/>
      <c r="O689" s="718"/>
      <c r="P689" s="718"/>
      <c r="Q689" s="718"/>
      <c r="R689" s="718"/>
      <c r="S689" s="718"/>
      <c r="T689" s="718"/>
      <c r="U689" s="718"/>
      <c r="V689" s="718"/>
    </row>
    <row r="690" spans="1:22" ht="10.5" customHeight="1" x14ac:dyDescent="0.25">
      <c r="A690" s="707">
        <v>503346</v>
      </c>
      <c r="B690" s="708" t="s">
        <v>1772</v>
      </c>
      <c r="C690" s="707" t="s">
        <v>1770</v>
      </c>
      <c r="D690" s="709">
        <v>0</v>
      </c>
      <c r="E690" s="709">
        <v>1241.01</v>
      </c>
      <c r="F690" s="709">
        <v>0</v>
      </c>
      <c r="G690" s="709"/>
      <c r="H690" s="711"/>
      <c r="I690" s="711"/>
      <c r="J690" s="711"/>
      <c r="K690" s="711"/>
      <c r="L690" s="711"/>
      <c r="M690" s="711"/>
      <c r="N690" s="711"/>
      <c r="O690" s="711"/>
      <c r="P690" s="711"/>
      <c r="Q690" s="711"/>
      <c r="R690" s="711"/>
      <c r="S690" s="711"/>
      <c r="T690" s="711"/>
      <c r="U690" s="711"/>
      <c r="V690" s="711"/>
    </row>
    <row r="691" spans="1:22" ht="10.5" customHeight="1" x14ac:dyDescent="0.25">
      <c r="A691" s="712"/>
      <c r="B691" s="713"/>
      <c r="C691" s="714"/>
      <c r="D691" s="714"/>
      <c r="E691" s="714"/>
      <c r="F691" s="714"/>
      <c r="G691" s="714"/>
      <c r="H691" s="714"/>
      <c r="I691" s="714"/>
      <c r="J691" s="714"/>
      <c r="K691" s="714"/>
      <c r="L691" s="714"/>
      <c r="M691" s="714"/>
      <c r="N691" s="714"/>
      <c r="O691" s="714"/>
      <c r="P691" s="714"/>
      <c r="Q691" s="714"/>
      <c r="R691" s="714"/>
      <c r="S691" s="714"/>
      <c r="T691" s="714"/>
      <c r="U691" s="714"/>
      <c r="V691" s="714"/>
    </row>
    <row r="692" spans="1:22" ht="10.5" customHeight="1" x14ac:dyDescent="0.25">
      <c r="A692" s="716"/>
      <c r="B692" s="717"/>
      <c r="C692" s="718"/>
      <c r="D692" s="718"/>
      <c r="E692" s="718"/>
      <c r="F692" s="718"/>
      <c r="G692" s="718"/>
      <c r="H692" s="718"/>
      <c r="I692" s="718"/>
      <c r="J692" s="718"/>
      <c r="K692" s="718"/>
      <c r="L692" s="718"/>
      <c r="M692" s="718"/>
      <c r="N692" s="718"/>
      <c r="O692" s="718"/>
      <c r="P692" s="718"/>
      <c r="Q692" s="718"/>
      <c r="R692" s="718"/>
      <c r="S692" s="718"/>
      <c r="T692" s="718"/>
      <c r="U692" s="718"/>
      <c r="V692" s="718"/>
    </row>
    <row r="693" spans="1:22" ht="10.5" customHeight="1" x14ac:dyDescent="0.25">
      <c r="A693" s="707">
        <v>503347</v>
      </c>
      <c r="B693" s="708" t="s">
        <v>1773</v>
      </c>
      <c r="C693" s="707" t="s">
        <v>1770</v>
      </c>
      <c r="D693" s="709">
        <v>0</v>
      </c>
      <c r="E693" s="709">
        <v>7771.25</v>
      </c>
      <c r="F693" s="709">
        <v>0</v>
      </c>
      <c r="G693" s="709"/>
      <c r="H693" s="711"/>
      <c r="I693" s="711"/>
      <c r="J693" s="711"/>
      <c r="K693" s="711"/>
      <c r="L693" s="711"/>
      <c r="M693" s="711"/>
      <c r="N693" s="711"/>
      <c r="O693" s="711"/>
      <c r="P693" s="711"/>
      <c r="Q693" s="711"/>
      <c r="R693" s="711"/>
      <c r="S693" s="711"/>
      <c r="T693" s="711"/>
      <c r="U693" s="711"/>
      <c r="V693" s="711"/>
    </row>
    <row r="694" spans="1:22" ht="10.5" customHeight="1" x14ac:dyDescent="0.25">
      <c r="A694" s="712"/>
      <c r="B694" s="713"/>
      <c r="C694" s="714"/>
      <c r="D694" s="714"/>
      <c r="E694" s="714"/>
      <c r="F694" s="714"/>
      <c r="G694" s="714"/>
      <c r="H694" s="714"/>
      <c r="I694" s="714"/>
      <c r="J694" s="714"/>
      <c r="K694" s="714"/>
      <c r="L694" s="714"/>
      <c r="M694" s="714"/>
      <c r="N694" s="714"/>
      <c r="O694" s="714"/>
      <c r="P694" s="714"/>
      <c r="Q694" s="714"/>
      <c r="R694" s="714"/>
      <c r="S694" s="714"/>
      <c r="T694" s="714"/>
      <c r="U694" s="714"/>
      <c r="V694" s="714"/>
    </row>
    <row r="695" spans="1:22" ht="10.5" customHeight="1" x14ac:dyDescent="0.25">
      <c r="A695" s="716"/>
      <c r="B695" s="717"/>
      <c r="C695" s="718"/>
      <c r="D695" s="718"/>
      <c r="E695" s="718"/>
      <c r="F695" s="718"/>
      <c r="G695" s="718"/>
      <c r="H695" s="718"/>
      <c r="I695" s="718"/>
      <c r="J695" s="718"/>
      <c r="K695" s="718"/>
      <c r="L695" s="718"/>
      <c r="M695" s="718"/>
      <c r="N695" s="718"/>
      <c r="O695" s="718"/>
      <c r="P695" s="718"/>
      <c r="Q695" s="718"/>
      <c r="R695" s="718"/>
      <c r="S695" s="718"/>
      <c r="T695" s="718"/>
      <c r="U695" s="718"/>
      <c r="V695" s="718"/>
    </row>
    <row r="696" spans="1:22" ht="10.5" customHeight="1" x14ac:dyDescent="0.25">
      <c r="A696" s="707">
        <v>515640</v>
      </c>
      <c r="B696" s="708" t="s">
        <v>1774</v>
      </c>
      <c r="C696" s="707" t="s">
        <v>1770</v>
      </c>
      <c r="D696" s="709">
        <v>0</v>
      </c>
      <c r="E696" s="709">
        <v>985.08</v>
      </c>
      <c r="F696" s="709">
        <v>0</v>
      </c>
      <c r="G696" s="709"/>
      <c r="H696" s="711"/>
      <c r="I696" s="711"/>
      <c r="J696" s="711"/>
      <c r="K696" s="711"/>
      <c r="L696" s="711"/>
      <c r="M696" s="711"/>
      <c r="N696" s="711"/>
      <c r="O696" s="711"/>
      <c r="P696" s="711"/>
      <c r="Q696" s="711"/>
      <c r="R696" s="711"/>
      <c r="S696" s="711"/>
      <c r="T696" s="711"/>
      <c r="U696" s="711"/>
      <c r="V696" s="711"/>
    </row>
    <row r="697" spans="1:22" ht="10.5" customHeight="1" x14ac:dyDescent="0.25">
      <c r="A697" s="712"/>
      <c r="B697" s="713"/>
      <c r="C697" s="714"/>
      <c r="D697" s="714"/>
      <c r="E697" s="714"/>
      <c r="F697" s="714"/>
      <c r="G697" s="714"/>
      <c r="H697" s="714"/>
      <c r="I697" s="714"/>
      <c r="J697" s="714"/>
      <c r="K697" s="714"/>
      <c r="L697" s="714"/>
      <c r="M697" s="714"/>
      <c r="N697" s="714"/>
      <c r="O697" s="714"/>
      <c r="P697" s="714"/>
      <c r="Q697" s="714"/>
      <c r="R697" s="714"/>
      <c r="S697" s="714"/>
      <c r="T697" s="714"/>
      <c r="U697" s="714"/>
      <c r="V697" s="714"/>
    </row>
    <row r="698" spans="1:22" ht="10.5" customHeight="1" x14ac:dyDescent="0.25">
      <c r="A698" s="716"/>
      <c r="B698" s="717"/>
      <c r="C698" s="718"/>
      <c r="D698" s="718"/>
      <c r="E698" s="718"/>
      <c r="F698" s="718"/>
      <c r="G698" s="718"/>
      <c r="H698" s="718"/>
      <c r="I698" s="718"/>
      <c r="J698" s="718"/>
      <c r="K698" s="718"/>
      <c r="L698" s="718"/>
      <c r="M698" s="718"/>
      <c r="N698" s="718"/>
      <c r="O698" s="718"/>
      <c r="P698" s="718"/>
      <c r="Q698" s="718"/>
      <c r="R698" s="718"/>
      <c r="S698" s="718"/>
      <c r="T698" s="718"/>
      <c r="U698" s="718"/>
      <c r="V698" s="718"/>
    </row>
    <row r="699" spans="1:22" ht="10.5" customHeight="1" x14ac:dyDescent="0.25">
      <c r="A699" s="707">
        <v>515641</v>
      </c>
      <c r="B699" s="708" t="s">
        <v>1775</v>
      </c>
      <c r="C699" s="707" t="s">
        <v>1770</v>
      </c>
      <c r="D699" s="709">
        <v>1</v>
      </c>
      <c r="E699" s="709">
        <v>773.71</v>
      </c>
      <c r="F699" s="709">
        <v>773.71</v>
      </c>
      <c r="G699" s="709"/>
      <c r="H699" s="711"/>
      <c r="I699" s="711"/>
      <c r="J699" s="711"/>
      <c r="K699" s="711"/>
      <c r="L699" s="711"/>
      <c r="M699" s="711"/>
      <c r="N699" s="710">
        <v>110.485788</v>
      </c>
      <c r="O699" s="710">
        <v>110.485788</v>
      </c>
      <c r="P699" s="710">
        <v>110.563159</v>
      </c>
      <c r="Q699" s="710">
        <v>110.563159</v>
      </c>
      <c r="R699" s="710">
        <v>110.563159</v>
      </c>
      <c r="S699" s="710">
        <v>110.563159</v>
      </c>
      <c r="T699" s="710">
        <v>110.485788</v>
      </c>
      <c r="U699" s="711"/>
      <c r="V699" s="711"/>
    </row>
    <row r="700" spans="1:22" ht="10.5" customHeight="1" x14ac:dyDescent="0.25">
      <c r="A700" s="712"/>
      <c r="B700" s="713"/>
      <c r="C700" s="714"/>
      <c r="D700" s="714"/>
      <c r="E700" s="714"/>
      <c r="F700" s="714"/>
      <c r="G700" s="714"/>
      <c r="H700" s="714"/>
      <c r="I700" s="714"/>
      <c r="J700" s="714"/>
      <c r="K700" s="714"/>
      <c r="L700" s="714"/>
      <c r="M700" s="714"/>
      <c r="N700" s="715">
        <v>0.14279999999999998</v>
      </c>
      <c r="O700" s="715">
        <v>0.14279999999999998</v>
      </c>
      <c r="P700" s="715">
        <v>0.1429</v>
      </c>
      <c r="Q700" s="715">
        <v>0.1429</v>
      </c>
      <c r="R700" s="715">
        <v>0.1429</v>
      </c>
      <c r="S700" s="715">
        <v>0.1429</v>
      </c>
      <c r="T700" s="715">
        <v>0.14279999999999998</v>
      </c>
      <c r="U700" s="714"/>
      <c r="V700" s="714"/>
    </row>
    <row r="701" spans="1:22" ht="10.5" customHeight="1" x14ac:dyDescent="0.25">
      <c r="A701" s="716"/>
      <c r="B701" s="717"/>
      <c r="C701" s="718"/>
      <c r="D701" s="718"/>
      <c r="E701" s="718"/>
      <c r="F701" s="718"/>
      <c r="G701" s="718"/>
      <c r="H701" s="718"/>
      <c r="I701" s="718"/>
      <c r="J701" s="718"/>
      <c r="K701" s="718"/>
      <c r="L701" s="718"/>
      <c r="M701" s="718"/>
      <c r="N701" s="718"/>
      <c r="O701" s="718"/>
      <c r="P701" s="718"/>
      <c r="Q701" s="718"/>
      <c r="R701" s="718"/>
      <c r="S701" s="718"/>
      <c r="T701" s="718"/>
      <c r="U701" s="718"/>
      <c r="V701" s="718"/>
    </row>
    <row r="702" spans="1:22" ht="10.5" customHeight="1" x14ac:dyDescent="0.25">
      <c r="A702" s="707">
        <v>515641</v>
      </c>
      <c r="B702" s="708" t="s">
        <v>1776</v>
      </c>
      <c r="C702" s="707" t="s">
        <v>1770</v>
      </c>
      <c r="D702" s="709">
        <v>0</v>
      </c>
      <c r="E702" s="709">
        <v>773.71</v>
      </c>
      <c r="F702" s="709">
        <v>0</v>
      </c>
      <c r="G702" s="709"/>
      <c r="H702" s="711"/>
      <c r="I702" s="711"/>
      <c r="J702" s="711"/>
      <c r="K702" s="711"/>
      <c r="L702" s="711"/>
      <c r="M702" s="711"/>
      <c r="N702" s="711"/>
      <c r="O702" s="711"/>
      <c r="P702" s="711"/>
      <c r="Q702" s="711"/>
      <c r="R702" s="711"/>
      <c r="S702" s="711"/>
      <c r="T702" s="711"/>
      <c r="U702" s="711"/>
      <c r="V702" s="711"/>
    </row>
    <row r="703" spans="1:22" ht="10.5" customHeight="1" x14ac:dyDescent="0.25">
      <c r="A703" s="712"/>
      <c r="B703" s="713"/>
      <c r="C703" s="714"/>
      <c r="D703" s="714"/>
      <c r="E703" s="714"/>
      <c r="F703" s="714"/>
      <c r="G703" s="714"/>
      <c r="H703" s="714"/>
      <c r="I703" s="714"/>
      <c r="J703" s="714"/>
      <c r="K703" s="714"/>
      <c r="L703" s="714"/>
      <c r="M703" s="714"/>
      <c r="N703" s="714"/>
      <c r="O703" s="714"/>
      <c r="P703" s="714"/>
      <c r="Q703" s="714"/>
      <c r="R703" s="714"/>
      <c r="S703" s="714"/>
      <c r="T703" s="714"/>
      <c r="U703" s="714"/>
      <c r="V703" s="714"/>
    </row>
    <row r="704" spans="1:22" ht="10.5" customHeight="1" x14ac:dyDescent="0.25">
      <c r="A704" s="716"/>
      <c r="B704" s="717"/>
      <c r="C704" s="718"/>
      <c r="D704" s="718"/>
      <c r="E704" s="718"/>
      <c r="F704" s="718"/>
      <c r="G704" s="718"/>
      <c r="H704" s="718"/>
      <c r="I704" s="718"/>
      <c r="J704" s="718"/>
      <c r="K704" s="718"/>
      <c r="L704" s="718"/>
      <c r="M704" s="718"/>
      <c r="N704" s="718"/>
      <c r="O704" s="718"/>
      <c r="P704" s="718"/>
      <c r="Q704" s="718"/>
      <c r="R704" s="718"/>
      <c r="S704" s="718"/>
      <c r="T704" s="718"/>
      <c r="U704" s="718"/>
      <c r="V704" s="718"/>
    </row>
    <row r="705" spans="1:22" ht="10.5" customHeight="1" x14ac:dyDescent="0.25">
      <c r="A705" s="707">
        <v>515642</v>
      </c>
      <c r="B705" s="708" t="s">
        <v>1777</v>
      </c>
      <c r="C705" s="707" t="s">
        <v>1770</v>
      </c>
      <c r="D705" s="709">
        <v>1</v>
      </c>
      <c r="E705" s="709">
        <v>773.71</v>
      </c>
      <c r="F705" s="709">
        <v>773.71</v>
      </c>
      <c r="G705" s="709"/>
      <c r="H705" s="711"/>
      <c r="I705" s="711"/>
      <c r="J705" s="711"/>
      <c r="K705" s="711"/>
      <c r="L705" s="711"/>
      <c r="M705" s="711"/>
      <c r="N705" s="710">
        <v>110.485788</v>
      </c>
      <c r="O705" s="710">
        <v>110.485788</v>
      </c>
      <c r="P705" s="710">
        <v>110.563159</v>
      </c>
      <c r="Q705" s="710">
        <v>110.563159</v>
      </c>
      <c r="R705" s="710">
        <v>110.563159</v>
      </c>
      <c r="S705" s="710">
        <v>110.563159</v>
      </c>
      <c r="T705" s="710">
        <v>110.485788</v>
      </c>
      <c r="U705" s="711"/>
      <c r="V705" s="711"/>
    </row>
    <row r="706" spans="1:22" ht="10.5" customHeight="1" x14ac:dyDescent="0.25">
      <c r="A706" s="712"/>
      <c r="B706" s="713"/>
      <c r="C706" s="714"/>
      <c r="D706" s="714"/>
      <c r="E706" s="714"/>
      <c r="F706" s="714"/>
      <c r="G706" s="714"/>
      <c r="H706" s="714"/>
      <c r="I706" s="714"/>
      <c r="J706" s="714"/>
      <c r="K706" s="714"/>
      <c r="L706" s="714"/>
      <c r="M706" s="714"/>
      <c r="N706" s="715">
        <v>0.14279999999999998</v>
      </c>
      <c r="O706" s="715">
        <v>0.14279999999999998</v>
      </c>
      <c r="P706" s="715">
        <v>0.1429</v>
      </c>
      <c r="Q706" s="715">
        <v>0.1429</v>
      </c>
      <c r="R706" s="715">
        <v>0.1429</v>
      </c>
      <c r="S706" s="715">
        <v>0.1429</v>
      </c>
      <c r="T706" s="715">
        <v>0.14279999999999998</v>
      </c>
      <c r="U706" s="714"/>
      <c r="V706" s="714"/>
    </row>
    <row r="707" spans="1:22" ht="10.5" customHeight="1" x14ac:dyDescent="0.25">
      <c r="A707" s="716"/>
      <c r="B707" s="717"/>
      <c r="C707" s="718"/>
      <c r="D707" s="718"/>
      <c r="E707" s="718"/>
      <c r="F707" s="718"/>
      <c r="G707" s="718"/>
      <c r="H707" s="718"/>
      <c r="I707" s="718"/>
      <c r="J707" s="718"/>
      <c r="K707" s="718"/>
      <c r="L707" s="718"/>
      <c r="M707" s="718"/>
      <c r="N707" s="718"/>
      <c r="O707" s="718"/>
      <c r="P707" s="718"/>
      <c r="Q707" s="718"/>
      <c r="R707" s="718"/>
      <c r="S707" s="718"/>
      <c r="T707" s="718"/>
      <c r="U707" s="718"/>
      <c r="V707" s="718"/>
    </row>
    <row r="708" spans="1:22" ht="10.5" customHeight="1" x14ac:dyDescent="0.25">
      <c r="A708" s="707">
        <v>515643</v>
      </c>
      <c r="B708" s="708" t="s">
        <v>1778</v>
      </c>
      <c r="C708" s="707" t="s">
        <v>1770</v>
      </c>
      <c r="D708" s="709">
        <v>1</v>
      </c>
      <c r="E708" s="709">
        <v>473.38</v>
      </c>
      <c r="F708" s="709">
        <v>473.38</v>
      </c>
      <c r="G708" s="709"/>
      <c r="H708" s="711"/>
      <c r="I708" s="711"/>
      <c r="J708" s="711"/>
      <c r="K708" s="711"/>
      <c r="L708" s="711"/>
      <c r="M708" s="711"/>
      <c r="N708" s="710">
        <v>67.598663999999999</v>
      </c>
      <c r="O708" s="710">
        <v>67.598663999999999</v>
      </c>
      <c r="P708" s="710">
        <v>67.646001999999996</v>
      </c>
      <c r="Q708" s="710">
        <v>67.646001999999996</v>
      </c>
      <c r="R708" s="710">
        <v>67.646001999999996</v>
      </c>
      <c r="S708" s="710">
        <v>67.646001999999996</v>
      </c>
      <c r="T708" s="710">
        <v>67.598663999999999</v>
      </c>
      <c r="U708" s="711"/>
      <c r="V708" s="711"/>
    </row>
    <row r="709" spans="1:22" ht="10.5" customHeight="1" x14ac:dyDescent="0.25">
      <c r="A709" s="712"/>
      <c r="B709" s="713"/>
      <c r="C709" s="714"/>
      <c r="D709" s="714"/>
      <c r="E709" s="714"/>
      <c r="F709" s="714"/>
      <c r="G709" s="714"/>
      <c r="H709" s="714"/>
      <c r="I709" s="714"/>
      <c r="J709" s="714"/>
      <c r="K709" s="714"/>
      <c r="L709" s="714"/>
      <c r="M709" s="714"/>
      <c r="N709" s="715">
        <v>0.14279999999999998</v>
      </c>
      <c r="O709" s="715">
        <v>0.14279999999999998</v>
      </c>
      <c r="P709" s="715">
        <v>0.1429</v>
      </c>
      <c r="Q709" s="715">
        <v>0.1429</v>
      </c>
      <c r="R709" s="715">
        <v>0.1429</v>
      </c>
      <c r="S709" s="715">
        <v>0.1429</v>
      </c>
      <c r="T709" s="715">
        <v>0.14279999999999998</v>
      </c>
      <c r="U709" s="714"/>
      <c r="V709" s="714"/>
    </row>
    <row r="710" spans="1:22" ht="10.5" customHeight="1" x14ac:dyDescent="0.25">
      <c r="A710" s="716"/>
      <c r="B710" s="717"/>
      <c r="C710" s="718"/>
      <c r="D710" s="718"/>
      <c r="E710" s="718"/>
      <c r="F710" s="718"/>
      <c r="G710" s="718"/>
      <c r="H710" s="718"/>
      <c r="I710" s="718"/>
      <c r="J710" s="718"/>
      <c r="K710" s="718"/>
      <c r="L710" s="718"/>
      <c r="M710" s="718"/>
      <c r="N710" s="718"/>
      <c r="O710" s="718"/>
      <c r="P710" s="718"/>
      <c r="Q710" s="718"/>
      <c r="R710" s="718"/>
      <c r="S710" s="718"/>
      <c r="T710" s="718"/>
      <c r="U710" s="718"/>
      <c r="V710" s="718"/>
    </row>
    <row r="711" spans="1:22" ht="10.5" customHeight="1" x14ac:dyDescent="0.25">
      <c r="A711" s="707">
        <v>515644</v>
      </c>
      <c r="B711" s="708" t="s">
        <v>1779</v>
      </c>
      <c r="C711" s="707" t="s">
        <v>1770</v>
      </c>
      <c r="D711" s="709">
        <v>0</v>
      </c>
      <c r="E711" s="709">
        <v>1747.11</v>
      </c>
      <c r="F711" s="709">
        <v>0</v>
      </c>
      <c r="G711" s="709"/>
      <c r="H711" s="711"/>
      <c r="I711" s="711"/>
      <c r="J711" s="711"/>
      <c r="K711" s="711"/>
      <c r="L711" s="711"/>
      <c r="M711" s="711"/>
      <c r="N711" s="711"/>
      <c r="O711" s="711"/>
      <c r="P711" s="711"/>
      <c r="Q711" s="711"/>
      <c r="R711" s="711"/>
      <c r="S711" s="711"/>
      <c r="T711" s="711"/>
      <c r="U711" s="711"/>
      <c r="V711" s="711"/>
    </row>
    <row r="712" spans="1:22" ht="10.5" customHeight="1" x14ac:dyDescent="0.25">
      <c r="A712" s="712"/>
      <c r="B712" s="713"/>
      <c r="C712" s="714"/>
      <c r="D712" s="714"/>
      <c r="E712" s="714"/>
      <c r="F712" s="714"/>
      <c r="G712" s="714"/>
      <c r="H712" s="714"/>
      <c r="I712" s="714"/>
      <c r="J712" s="714"/>
      <c r="K712" s="714"/>
      <c r="L712" s="714"/>
      <c r="M712" s="714"/>
      <c r="N712" s="714"/>
      <c r="O712" s="714"/>
      <c r="P712" s="714"/>
      <c r="Q712" s="714"/>
      <c r="R712" s="714"/>
      <c r="S712" s="714"/>
      <c r="T712" s="714"/>
      <c r="U712" s="714"/>
      <c r="V712" s="714"/>
    </row>
    <row r="713" spans="1:22" ht="10.5" customHeight="1" x14ac:dyDescent="0.25">
      <c r="A713" s="716"/>
      <c r="B713" s="717"/>
      <c r="C713" s="718"/>
      <c r="D713" s="718"/>
      <c r="E713" s="718"/>
      <c r="F713" s="718"/>
      <c r="G713" s="718"/>
      <c r="H713" s="718"/>
      <c r="I713" s="718"/>
      <c r="J713" s="718"/>
      <c r="K713" s="718"/>
      <c r="L713" s="718"/>
      <c r="M713" s="718"/>
      <c r="N713" s="718"/>
      <c r="O713" s="718"/>
      <c r="P713" s="718"/>
      <c r="Q713" s="718"/>
      <c r="R713" s="718"/>
      <c r="S713" s="718"/>
      <c r="T713" s="718"/>
      <c r="U713" s="718"/>
      <c r="V713" s="718"/>
    </row>
    <row r="714" spans="1:22" ht="10.5" customHeight="1" x14ac:dyDescent="0.25">
      <c r="A714" s="707">
        <v>515535</v>
      </c>
      <c r="B714" s="708" t="s">
        <v>1780</v>
      </c>
      <c r="C714" s="707" t="s">
        <v>1770</v>
      </c>
      <c r="D714" s="709">
        <v>1</v>
      </c>
      <c r="E714" s="709">
        <v>471.83</v>
      </c>
      <c r="F714" s="709">
        <v>471.83</v>
      </c>
      <c r="G714" s="709"/>
      <c r="H714" s="711"/>
      <c r="I714" s="711"/>
      <c r="J714" s="711"/>
      <c r="K714" s="711"/>
      <c r="L714" s="711"/>
      <c r="M714" s="711"/>
      <c r="N714" s="710">
        <v>67.377324000000002</v>
      </c>
      <c r="O714" s="710">
        <v>67.377324000000002</v>
      </c>
      <c r="P714" s="710">
        <v>67.424506999999991</v>
      </c>
      <c r="Q714" s="710">
        <v>67.424506999999991</v>
      </c>
      <c r="R714" s="710">
        <v>67.424506999999991</v>
      </c>
      <c r="S714" s="710">
        <v>67.424506999999991</v>
      </c>
      <c r="T714" s="710">
        <v>67.377324000000002</v>
      </c>
      <c r="U714" s="711"/>
      <c r="V714" s="711"/>
    </row>
    <row r="715" spans="1:22" ht="10.5" customHeight="1" x14ac:dyDescent="0.25">
      <c r="A715" s="712"/>
      <c r="B715" s="713"/>
      <c r="C715" s="714"/>
      <c r="D715" s="714"/>
      <c r="E715" s="714"/>
      <c r="F715" s="714"/>
      <c r="G715" s="714"/>
      <c r="H715" s="714"/>
      <c r="I715" s="714"/>
      <c r="J715" s="714"/>
      <c r="K715" s="714"/>
      <c r="L715" s="714"/>
      <c r="M715" s="714"/>
      <c r="N715" s="715">
        <v>0.14279999999999998</v>
      </c>
      <c r="O715" s="715">
        <v>0.14279999999999998</v>
      </c>
      <c r="P715" s="715">
        <v>0.1429</v>
      </c>
      <c r="Q715" s="715">
        <v>0.1429</v>
      </c>
      <c r="R715" s="715">
        <v>0.1429</v>
      </c>
      <c r="S715" s="715">
        <v>0.1429</v>
      </c>
      <c r="T715" s="715">
        <v>0.14279999999999998</v>
      </c>
      <c r="U715" s="714"/>
      <c r="V715" s="714"/>
    </row>
    <row r="716" spans="1:22" ht="10.5" customHeight="1" x14ac:dyDescent="0.25">
      <c r="A716" s="716"/>
      <c r="B716" s="717"/>
      <c r="C716" s="718"/>
      <c r="D716" s="718"/>
      <c r="E716" s="718"/>
      <c r="F716" s="718"/>
      <c r="G716" s="718"/>
      <c r="H716" s="718"/>
      <c r="I716" s="718"/>
      <c r="J716" s="718"/>
      <c r="K716" s="718"/>
      <c r="L716" s="718"/>
      <c r="M716" s="718"/>
      <c r="N716" s="718"/>
      <c r="O716" s="718"/>
      <c r="P716" s="718"/>
      <c r="Q716" s="718"/>
      <c r="R716" s="718"/>
      <c r="S716" s="718"/>
      <c r="T716" s="718"/>
      <c r="U716" s="718"/>
      <c r="V716" s="718"/>
    </row>
    <row r="717" spans="1:22" ht="10.5" customHeight="1" x14ac:dyDescent="0.25">
      <c r="A717" s="707">
        <v>515645</v>
      </c>
      <c r="B717" s="708" t="s">
        <v>1781</v>
      </c>
      <c r="C717" s="707" t="s">
        <v>1770</v>
      </c>
      <c r="D717" s="709">
        <v>1</v>
      </c>
      <c r="E717" s="709">
        <v>1747.11</v>
      </c>
      <c r="F717" s="709">
        <v>1747.11</v>
      </c>
      <c r="G717" s="709"/>
      <c r="H717" s="711"/>
      <c r="I717" s="711"/>
      <c r="J717" s="711"/>
      <c r="K717" s="711"/>
      <c r="L717" s="711"/>
      <c r="M717" s="711"/>
      <c r="N717" s="710">
        <v>249.48730799999998</v>
      </c>
      <c r="O717" s="710">
        <v>249.48730799999998</v>
      </c>
      <c r="P717" s="710">
        <v>249.66201899999996</v>
      </c>
      <c r="Q717" s="710">
        <v>249.66201899999996</v>
      </c>
      <c r="R717" s="710">
        <v>249.66201899999996</v>
      </c>
      <c r="S717" s="710">
        <v>249.66201899999996</v>
      </c>
      <c r="T717" s="710">
        <v>249.48730799999998</v>
      </c>
      <c r="U717" s="711"/>
      <c r="V717" s="711"/>
    </row>
    <row r="718" spans="1:22" ht="10.5" customHeight="1" x14ac:dyDescent="0.25">
      <c r="A718" s="712"/>
      <c r="B718" s="713"/>
      <c r="C718" s="714"/>
      <c r="D718" s="714"/>
      <c r="E718" s="714"/>
      <c r="F718" s="714"/>
      <c r="G718" s="714"/>
      <c r="H718" s="714"/>
      <c r="I718" s="714"/>
      <c r="J718" s="714"/>
      <c r="K718" s="714"/>
      <c r="L718" s="714"/>
      <c r="M718" s="714"/>
      <c r="N718" s="715">
        <v>0.14279999999999998</v>
      </c>
      <c r="O718" s="715">
        <v>0.14279999999999998</v>
      </c>
      <c r="P718" s="715">
        <v>0.1429</v>
      </c>
      <c r="Q718" s="715">
        <v>0.1429</v>
      </c>
      <c r="R718" s="715">
        <v>0.1429</v>
      </c>
      <c r="S718" s="715">
        <v>0.1429</v>
      </c>
      <c r="T718" s="715">
        <v>0.14279999999999998</v>
      </c>
      <c r="U718" s="714"/>
      <c r="V718" s="714"/>
    </row>
    <row r="719" spans="1:22" ht="10.5" customHeight="1" x14ac:dyDescent="0.25">
      <c r="A719" s="716"/>
      <c r="B719" s="717"/>
      <c r="C719" s="718"/>
      <c r="D719" s="718"/>
      <c r="E719" s="718"/>
      <c r="F719" s="718"/>
      <c r="G719" s="718"/>
      <c r="H719" s="718"/>
      <c r="I719" s="718"/>
      <c r="J719" s="718"/>
      <c r="K719" s="718"/>
      <c r="L719" s="718"/>
      <c r="M719" s="718"/>
      <c r="N719" s="718"/>
      <c r="O719" s="718"/>
      <c r="P719" s="718"/>
      <c r="Q719" s="718"/>
      <c r="R719" s="718"/>
      <c r="S719" s="718"/>
      <c r="T719" s="718"/>
      <c r="U719" s="718"/>
      <c r="V719" s="718"/>
    </row>
    <row r="720" spans="1:22" s="105" customFormat="1" ht="10.5" customHeight="1" x14ac:dyDescent="0.25">
      <c r="A720" s="704"/>
      <c r="B720" s="719" t="s">
        <v>1782</v>
      </c>
      <c r="C720" s="704"/>
      <c r="D720" s="705"/>
      <c r="E720" s="706">
        <v>0</v>
      </c>
      <c r="F720" s="706">
        <v>18519.080000000002</v>
      </c>
      <c r="G720" s="706"/>
      <c r="H720" s="705"/>
      <c r="I720" s="705"/>
      <c r="J720" s="705"/>
      <c r="K720" s="705"/>
      <c r="L720" s="705"/>
      <c r="M720" s="705"/>
      <c r="N720" s="705"/>
      <c r="O720" s="705"/>
      <c r="P720" s="705"/>
      <c r="Q720" s="705"/>
      <c r="R720" s="705"/>
      <c r="S720" s="705"/>
      <c r="T720" s="705"/>
      <c r="U720" s="705"/>
      <c r="V720" s="705"/>
    </row>
    <row r="721" spans="1:22" ht="10.5" customHeight="1" x14ac:dyDescent="0.25">
      <c r="A721" s="707">
        <v>515601</v>
      </c>
      <c r="B721" s="708" t="s">
        <v>1783</v>
      </c>
      <c r="C721" s="707" t="s">
        <v>1066</v>
      </c>
      <c r="D721" s="709">
        <v>0.5</v>
      </c>
      <c r="E721" s="709">
        <v>37038.159999999996</v>
      </c>
      <c r="F721" s="709">
        <v>18519.080000000002</v>
      </c>
      <c r="G721" s="709"/>
      <c r="H721" s="711"/>
      <c r="I721" s="711"/>
      <c r="J721" s="711"/>
      <c r="K721" s="711"/>
      <c r="L721" s="711"/>
      <c r="M721" s="711"/>
      <c r="N721" s="710">
        <v>9259.5400000000009</v>
      </c>
      <c r="O721" s="710">
        <v>9259.5400000000009</v>
      </c>
      <c r="P721" s="711"/>
      <c r="Q721" s="711"/>
      <c r="R721" s="711"/>
      <c r="S721" s="711"/>
      <c r="T721" s="711"/>
      <c r="U721" s="711"/>
      <c r="V721" s="711"/>
    </row>
    <row r="722" spans="1:22" ht="10.5" customHeight="1" x14ac:dyDescent="0.25">
      <c r="A722" s="712"/>
      <c r="B722" s="713"/>
      <c r="C722" s="714"/>
      <c r="D722" s="714"/>
      <c r="E722" s="714"/>
      <c r="F722" s="714"/>
      <c r="G722" s="714"/>
      <c r="H722" s="714"/>
      <c r="I722" s="714"/>
      <c r="J722" s="714"/>
      <c r="K722" s="714"/>
      <c r="L722" s="714"/>
      <c r="M722" s="714"/>
      <c r="N722" s="715">
        <v>0.25</v>
      </c>
      <c r="O722" s="715">
        <v>0.25</v>
      </c>
      <c r="P722" s="714"/>
      <c r="Q722" s="714"/>
      <c r="R722" s="714"/>
      <c r="S722" s="714"/>
      <c r="T722" s="714"/>
      <c r="U722" s="714"/>
      <c r="V722" s="714"/>
    </row>
    <row r="723" spans="1:22" ht="10.5" customHeight="1" x14ac:dyDescent="0.25">
      <c r="A723" s="716"/>
      <c r="B723" s="717"/>
      <c r="C723" s="718"/>
      <c r="D723" s="718"/>
      <c r="E723" s="718"/>
      <c r="F723" s="718"/>
      <c r="G723" s="718"/>
      <c r="H723" s="718"/>
      <c r="I723" s="718"/>
      <c r="J723" s="718"/>
      <c r="K723" s="718"/>
      <c r="L723" s="718"/>
      <c r="M723" s="718"/>
      <c r="N723" s="718"/>
      <c r="O723" s="718"/>
      <c r="P723" s="718"/>
      <c r="Q723" s="718"/>
      <c r="R723" s="718"/>
      <c r="S723" s="718"/>
      <c r="T723" s="718"/>
      <c r="U723" s="718"/>
      <c r="V723" s="718"/>
    </row>
    <row r="724" spans="1:22" s="105" customFormat="1" ht="10.5" customHeight="1" x14ac:dyDescent="0.25">
      <c r="A724" s="704"/>
      <c r="B724" s="719" t="s">
        <v>1118</v>
      </c>
      <c r="C724" s="704"/>
      <c r="D724" s="705"/>
      <c r="E724" s="706">
        <v>0</v>
      </c>
      <c r="F724" s="706">
        <v>0</v>
      </c>
      <c r="G724" s="706"/>
      <c r="H724" s="705"/>
      <c r="I724" s="705"/>
      <c r="J724" s="705"/>
      <c r="K724" s="705"/>
      <c r="L724" s="705"/>
      <c r="M724" s="705"/>
      <c r="N724" s="705"/>
      <c r="O724" s="705"/>
      <c r="P724" s="705"/>
      <c r="Q724" s="705"/>
      <c r="R724" s="705"/>
      <c r="S724" s="705"/>
      <c r="T724" s="705"/>
      <c r="U724" s="705"/>
      <c r="V724" s="705"/>
    </row>
    <row r="725" spans="1:22" s="105" customFormat="1" ht="10.5" customHeight="1" x14ac:dyDescent="0.25">
      <c r="A725" s="704"/>
      <c r="B725" s="719" t="s">
        <v>1119</v>
      </c>
      <c r="C725" s="704"/>
      <c r="D725" s="705"/>
      <c r="E725" s="706">
        <v>0</v>
      </c>
      <c r="F725" s="706">
        <v>50998.95</v>
      </c>
      <c r="G725" s="706"/>
      <c r="H725" s="705"/>
      <c r="I725" s="705"/>
      <c r="J725" s="705"/>
      <c r="K725" s="705"/>
      <c r="L725" s="705"/>
      <c r="M725" s="705"/>
      <c r="N725" s="705"/>
      <c r="O725" s="705"/>
      <c r="P725" s="705"/>
      <c r="Q725" s="705"/>
      <c r="R725" s="705"/>
      <c r="S725" s="705"/>
      <c r="T725" s="705"/>
      <c r="U725" s="705"/>
      <c r="V725" s="705"/>
    </row>
    <row r="726" spans="1:22" ht="10.5" customHeight="1" x14ac:dyDescent="0.25">
      <c r="A726" s="707">
        <v>515683</v>
      </c>
      <c r="B726" s="708" t="s">
        <v>1120</v>
      </c>
      <c r="C726" s="707" t="s">
        <v>1066</v>
      </c>
      <c r="D726" s="709">
        <v>1</v>
      </c>
      <c r="E726" s="709">
        <v>4335.59</v>
      </c>
      <c r="F726" s="709">
        <v>4335.59</v>
      </c>
      <c r="G726" s="709"/>
      <c r="H726" s="711"/>
      <c r="I726" s="711"/>
      <c r="J726" s="711"/>
      <c r="K726" s="710">
        <v>481.68404900000002</v>
      </c>
      <c r="L726" s="710">
        <v>481.68404900000002</v>
      </c>
      <c r="M726" s="710">
        <v>481.68404900000002</v>
      </c>
      <c r="N726" s="710">
        <v>481.68404900000002</v>
      </c>
      <c r="O726" s="710">
        <v>481.68404900000002</v>
      </c>
      <c r="P726" s="710">
        <v>481.68404900000002</v>
      </c>
      <c r="Q726" s="710">
        <v>481.68404900000002</v>
      </c>
      <c r="R726" s="710">
        <v>481.68404900000002</v>
      </c>
      <c r="S726" s="710">
        <v>482.11760799999996</v>
      </c>
      <c r="T726" s="711"/>
      <c r="U726" s="711"/>
      <c r="V726" s="711"/>
    </row>
    <row r="727" spans="1:22" ht="10.5" customHeight="1" x14ac:dyDescent="0.25">
      <c r="A727" s="712"/>
      <c r="B727" s="713"/>
      <c r="C727" s="714"/>
      <c r="D727" s="714"/>
      <c r="E727" s="714"/>
      <c r="F727" s="714"/>
      <c r="G727" s="714"/>
      <c r="H727" s="714"/>
      <c r="I727" s="714"/>
      <c r="J727" s="714"/>
      <c r="K727" s="715">
        <v>0.11109999999999999</v>
      </c>
      <c r="L727" s="715">
        <v>0.11109999999999999</v>
      </c>
      <c r="M727" s="715">
        <v>0.11109999999999999</v>
      </c>
      <c r="N727" s="715">
        <v>0.11109999999999999</v>
      </c>
      <c r="O727" s="715">
        <v>0.11109999999999999</v>
      </c>
      <c r="P727" s="715">
        <v>0.11109999999999999</v>
      </c>
      <c r="Q727" s="715">
        <v>0.11109999999999999</v>
      </c>
      <c r="R727" s="715">
        <v>0.11109999999999999</v>
      </c>
      <c r="S727" s="715">
        <v>0.11119999999999999</v>
      </c>
      <c r="T727" s="714"/>
      <c r="U727" s="714"/>
      <c r="V727" s="714"/>
    </row>
    <row r="728" spans="1:22" ht="10.5" customHeight="1" x14ac:dyDescent="0.25">
      <c r="A728" s="716"/>
      <c r="B728" s="717"/>
      <c r="C728" s="718"/>
      <c r="D728" s="718"/>
      <c r="E728" s="718"/>
      <c r="F728" s="718"/>
      <c r="G728" s="718"/>
      <c r="H728" s="718"/>
      <c r="I728" s="718"/>
      <c r="J728" s="718"/>
      <c r="K728" s="718"/>
      <c r="L728" s="718"/>
      <c r="M728" s="718"/>
      <c r="N728" s="718"/>
      <c r="O728" s="718"/>
      <c r="P728" s="718"/>
      <c r="Q728" s="718"/>
      <c r="R728" s="718"/>
      <c r="S728" s="718"/>
      <c r="T728" s="718"/>
      <c r="U728" s="718"/>
      <c r="V728" s="718"/>
    </row>
    <row r="729" spans="1:22" ht="10.5" customHeight="1" x14ac:dyDescent="0.25">
      <c r="A729" s="707">
        <v>503198</v>
      </c>
      <c r="B729" s="708" t="s">
        <v>1121</v>
      </c>
      <c r="C729" s="707" t="s">
        <v>1066</v>
      </c>
      <c r="D729" s="709">
        <v>1</v>
      </c>
      <c r="E729" s="709">
        <v>674.04</v>
      </c>
      <c r="F729" s="709">
        <v>674.04</v>
      </c>
      <c r="G729" s="709"/>
      <c r="H729" s="711"/>
      <c r="I729" s="711"/>
      <c r="J729" s="711"/>
      <c r="K729" s="710">
        <v>74.885843999999992</v>
      </c>
      <c r="L729" s="710">
        <v>74.885843999999992</v>
      </c>
      <c r="M729" s="710">
        <v>74.885843999999992</v>
      </c>
      <c r="N729" s="710">
        <v>74.885843999999992</v>
      </c>
      <c r="O729" s="710">
        <v>74.885843999999992</v>
      </c>
      <c r="P729" s="710">
        <v>74.885843999999992</v>
      </c>
      <c r="Q729" s="710">
        <v>74.885843999999992</v>
      </c>
      <c r="R729" s="710">
        <v>74.885843999999992</v>
      </c>
      <c r="S729" s="710">
        <v>74.953247999999988</v>
      </c>
      <c r="T729" s="711"/>
      <c r="U729" s="711"/>
      <c r="V729" s="711"/>
    </row>
    <row r="730" spans="1:22" ht="10.5" customHeight="1" x14ac:dyDescent="0.25">
      <c r="A730" s="712"/>
      <c r="B730" s="713"/>
      <c r="C730" s="714"/>
      <c r="D730" s="714"/>
      <c r="E730" s="714"/>
      <c r="F730" s="714"/>
      <c r="G730" s="714"/>
      <c r="H730" s="714"/>
      <c r="I730" s="714"/>
      <c r="J730" s="714"/>
      <c r="K730" s="715">
        <v>0.11109999999999999</v>
      </c>
      <c r="L730" s="715">
        <v>0.11109999999999999</v>
      </c>
      <c r="M730" s="715">
        <v>0.11109999999999999</v>
      </c>
      <c r="N730" s="715">
        <v>0.11109999999999999</v>
      </c>
      <c r="O730" s="715">
        <v>0.11109999999999999</v>
      </c>
      <c r="P730" s="715">
        <v>0.11109999999999999</v>
      </c>
      <c r="Q730" s="715">
        <v>0.11109999999999999</v>
      </c>
      <c r="R730" s="715">
        <v>0.11109999999999999</v>
      </c>
      <c r="S730" s="715">
        <v>0.11119999999999999</v>
      </c>
      <c r="T730" s="714"/>
      <c r="U730" s="714"/>
      <c r="V730" s="714"/>
    </row>
    <row r="731" spans="1:22" ht="10.5" customHeight="1" x14ac:dyDescent="0.25">
      <c r="A731" s="716"/>
      <c r="B731" s="717"/>
      <c r="C731" s="718"/>
      <c r="D731" s="718"/>
      <c r="E731" s="718"/>
      <c r="F731" s="718"/>
      <c r="G731" s="718"/>
      <c r="H731" s="718"/>
      <c r="I731" s="718"/>
      <c r="J731" s="718"/>
      <c r="K731" s="718"/>
      <c r="L731" s="718"/>
      <c r="M731" s="718"/>
      <c r="N731" s="718"/>
      <c r="O731" s="718"/>
      <c r="P731" s="718"/>
      <c r="Q731" s="718"/>
      <c r="R731" s="718"/>
      <c r="S731" s="718"/>
      <c r="T731" s="718"/>
      <c r="U731" s="718"/>
      <c r="V731" s="718"/>
    </row>
    <row r="732" spans="1:22" ht="10.5" customHeight="1" x14ac:dyDescent="0.25">
      <c r="A732" s="707">
        <v>505244</v>
      </c>
      <c r="B732" s="708" t="s">
        <v>1784</v>
      </c>
      <c r="C732" s="707" t="s">
        <v>1144</v>
      </c>
      <c r="D732" s="709">
        <v>204</v>
      </c>
      <c r="E732" s="709">
        <v>21</v>
      </c>
      <c r="F732" s="709">
        <v>4284</v>
      </c>
      <c r="G732" s="709"/>
      <c r="H732" s="711"/>
      <c r="I732" s="711"/>
      <c r="J732" s="711"/>
      <c r="K732" s="710">
        <v>475.95239999999995</v>
      </c>
      <c r="L732" s="710">
        <v>475.95239999999995</v>
      </c>
      <c r="M732" s="710">
        <v>475.95239999999995</v>
      </c>
      <c r="N732" s="710">
        <v>475.95239999999995</v>
      </c>
      <c r="O732" s="710">
        <v>475.95239999999995</v>
      </c>
      <c r="P732" s="710">
        <v>475.95239999999995</v>
      </c>
      <c r="Q732" s="710">
        <v>475.95239999999995</v>
      </c>
      <c r="R732" s="710">
        <v>475.95239999999995</v>
      </c>
      <c r="S732" s="710">
        <v>476.38079999999997</v>
      </c>
      <c r="T732" s="711"/>
      <c r="U732" s="711"/>
      <c r="V732" s="711"/>
    </row>
    <row r="733" spans="1:22" ht="10.5" customHeight="1" x14ac:dyDescent="0.25">
      <c r="A733" s="712"/>
      <c r="B733" s="713"/>
      <c r="C733" s="714"/>
      <c r="D733" s="714"/>
      <c r="E733" s="714"/>
      <c r="F733" s="714"/>
      <c r="G733" s="714"/>
      <c r="H733" s="714"/>
      <c r="I733" s="714"/>
      <c r="J733" s="714"/>
      <c r="K733" s="715">
        <v>22.664400000000001</v>
      </c>
      <c r="L733" s="715">
        <v>22.664400000000001</v>
      </c>
      <c r="M733" s="715">
        <v>22.664400000000001</v>
      </c>
      <c r="N733" s="715">
        <v>22.664400000000001</v>
      </c>
      <c r="O733" s="715">
        <v>22.664400000000001</v>
      </c>
      <c r="P733" s="715">
        <v>22.664400000000001</v>
      </c>
      <c r="Q733" s="715">
        <v>22.664400000000001</v>
      </c>
      <c r="R733" s="715">
        <v>22.664400000000001</v>
      </c>
      <c r="S733" s="715">
        <v>22.684799999999999</v>
      </c>
      <c r="T733" s="714"/>
      <c r="U733" s="714"/>
      <c r="V733" s="714"/>
    </row>
    <row r="734" spans="1:22" ht="10.5" customHeight="1" x14ac:dyDescent="0.25">
      <c r="A734" s="716"/>
      <c r="B734" s="717"/>
      <c r="C734" s="718"/>
      <c r="D734" s="718"/>
      <c r="E734" s="718"/>
      <c r="F734" s="718"/>
      <c r="G734" s="718"/>
      <c r="H734" s="718"/>
      <c r="I734" s="718"/>
      <c r="J734" s="718"/>
      <c r="K734" s="718"/>
      <c r="L734" s="718"/>
      <c r="M734" s="718"/>
      <c r="N734" s="718"/>
      <c r="O734" s="718"/>
      <c r="P734" s="718"/>
      <c r="Q734" s="718"/>
      <c r="R734" s="718"/>
      <c r="S734" s="718"/>
      <c r="T734" s="718"/>
      <c r="U734" s="718"/>
      <c r="V734" s="718"/>
    </row>
    <row r="735" spans="1:22" ht="10.5" customHeight="1" x14ac:dyDescent="0.25">
      <c r="A735" s="707">
        <v>505194</v>
      </c>
      <c r="B735" s="708" t="s">
        <v>1785</v>
      </c>
      <c r="C735" s="707" t="s">
        <v>1144</v>
      </c>
      <c r="D735" s="709">
        <v>398</v>
      </c>
      <c r="E735" s="709">
        <v>15.96</v>
      </c>
      <c r="F735" s="709">
        <v>6352.08</v>
      </c>
      <c r="G735" s="709"/>
      <c r="H735" s="711"/>
      <c r="I735" s="711"/>
      <c r="J735" s="711"/>
      <c r="K735" s="710">
        <v>705.71608800000001</v>
      </c>
      <c r="L735" s="710">
        <v>705.71608800000001</v>
      </c>
      <c r="M735" s="710">
        <v>705.71608800000001</v>
      </c>
      <c r="N735" s="710">
        <v>705.71608800000001</v>
      </c>
      <c r="O735" s="710">
        <v>705.71608800000001</v>
      </c>
      <c r="P735" s="710">
        <v>705.71608800000001</v>
      </c>
      <c r="Q735" s="710">
        <v>705.71608800000001</v>
      </c>
      <c r="R735" s="710">
        <v>705.71608800000001</v>
      </c>
      <c r="S735" s="710">
        <v>706.35129600000005</v>
      </c>
      <c r="T735" s="711"/>
      <c r="U735" s="711"/>
      <c r="V735" s="711"/>
    </row>
    <row r="736" spans="1:22" ht="10.5" customHeight="1" x14ac:dyDescent="0.25">
      <c r="A736" s="712"/>
      <c r="B736" s="713"/>
      <c r="C736" s="714"/>
      <c r="D736" s="714"/>
      <c r="E736" s="714"/>
      <c r="F736" s="714"/>
      <c r="G736" s="714"/>
      <c r="H736" s="714"/>
      <c r="I736" s="714"/>
      <c r="J736" s="714"/>
      <c r="K736" s="715">
        <v>44.217799999999997</v>
      </c>
      <c r="L736" s="715">
        <v>44.217799999999997</v>
      </c>
      <c r="M736" s="715">
        <v>44.217799999999997</v>
      </c>
      <c r="N736" s="715">
        <v>44.217799999999997</v>
      </c>
      <c r="O736" s="715">
        <v>44.217799999999997</v>
      </c>
      <c r="P736" s="715">
        <v>44.217799999999997</v>
      </c>
      <c r="Q736" s="715">
        <v>44.217799999999997</v>
      </c>
      <c r="R736" s="715">
        <v>44.217799999999997</v>
      </c>
      <c r="S736" s="715">
        <v>44.257599999999996</v>
      </c>
      <c r="T736" s="714"/>
      <c r="U736" s="714"/>
      <c r="V736" s="714"/>
    </row>
    <row r="737" spans="1:22" ht="10.5" customHeight="1" x14ac:dyDescent="0.25">
      <c r="A737" s="716"/>
      <c r="B737" s="717"/>
      <c r="C737" s="718"/>
      <c r="D737" s="718"/>
      <c r="E737" s="718"/>
      <c r="F737" s="718"/>
      <c r="G737" s="718"/>
      <c r="H737" s="718"/>
      <c r="I737" s="718"/>
      <c r="J737" s="718"/>
      <c r="K737" s="718"/>
      <c r="L737" s="718"/>
      <c r="M737" s="718"/>
      <c r="N737" s="718"/>
      <c r="O737" s="718"/>
      <c r="P737" s="718"/>
      <c r="Q737" s="718"/>
      <c r="R737" s="718"/>
      <c r="S737" s="718"/>
      <c r="T737" s="718"/>
      <c r="U737" s="718"/>
      <c r="V737" s="718"/>
    </row>
    <row r="738" spans="1:22" ht="10.5" customHeight="1" x14ac:dyDescent="0.25">
      <c r="A738" s="707">
        <v>505153</v>
      </c>
      <c r="B738" s="708" t="s">
        <v>1786</v>
      </c>
      <c r="C738" s="707" t="s">
        <v>1050</v>
      </c>
      <c r="D738" s="709">
        <v>2</v>
      </c>
      <c r="E738" s="709">
        <v>17.739999999999998</v>
      </c>
      <c r="F738" s="709">
        <v>35.479999999999997</v>
      </c>
      <c r="G738" s="709"/>
      <c r="H738" s="711"/>
      <c r="I738" s="711"/>
      <c r="J738" s="711"/>
      <c r="K738" s="710">
        <v>3.9418279999999992</v>
      </c>
      <c r="L738" s="710">
        <v>3.9418279999999992</v>
      </c>
      <c r="M738" s="710">
        <v>3.9418279999999992</v>
      </c>
      <c r="N738" s="710">
        <v>3.9418279999999992</v>
      </c>
      <c r="O738" s="710">
        <v>3.9418279999999992</v>
      </c>
      <c r="P738" s="710">
        <v>3.9418279999999992</v>
      </c>
      <c r="Q738" s="710">
        <v>3.9418279999999992</v>
      </c>
      <c r="R738" s="710">
        <v>3.9418279999999992</v>
      </c>
      <c r="S738" s="710">
        <v>3.9453759999999996</v>
      </c>
      <c r="T738" s="711"/>
      <c r="U738" s="711"/>
      <c r="V738" s="711"/>
    </row>
    <row r="739" spans="1:22" ht="10.5" customHeight="1" x14ac:dyDescent="0.25">
      <c r="A739" s="712"/>
      <c r="B739" s="713"/>
      <c r="C739" s="714"/>
      <c r="D739" s="714"/>
      <c r="E739" s="714"/>
      <c r="F739" s="714"/>
      <c r="G739" s="714"/>
      <c r="H739" s="714"/>
      <c r="I739" s="714"/>
      <c r="J739" s="714"/>
      <c r="K739" s="715">
        <v>0.22219999999999998</v>
      </c>
      <c r="L739" s="715">
        <v>0.22219999999999998</v>
      </c>
      <c r="M739" s="715">
        <v>0.22219999999999998</v>
      </c>
      <c r="N739" s="715">
        <v>0.22219999999999998</v>
      </c>
      <c r="O739" s="715">
        <v>0.22219999999999998</v>
      </c>
      <c r="P739" s="715">
        <v>0.22219999999999998</v>
      </c>
      <c r="Q739" s="715">
        <v>0.22219999999999998</v>
      </c>
      <c r="R739" s="715">
        <v>0.22219999999999998</v>
      </c>
      <c r="S739" s="715">
        <v>0.22239999999999999</v>
      </c>
      <c r="T739" s="714"/>
      <c r="U739" s="714"/>
      <c r="V739" s="714"/>
    </row>
    <row r="740" spans="1:22" ht="10.5" customHeight="1" x14ac:dyDescent="0.25">
      <c r="A740" s="716"/>
      <c r="B740" s="717"/>
      <c r="C740" s="718"/>
      <c r="D740" s="718"/>
      <c r="E740" s="718"/>
      <c r="F740" s="718"/>
      <c r="G740" s="718"/>
      <c r="H740" s="718"/>
      <c r="I740" s="718"/>
      <c r="J740" s="718"/>
      <c r="K740" s="718"/>
      <c r="L740" s="718"/>
      <c r="M740" s="718"/>
      <c r="N740" s="718"/>
      <c r="O740" s="718"/>
      <c r="P740" s="718"/>
      <c r="Q740" s="718"/>
      <c r="R740" s="718"/>
      <c r="S740" s="718"/>
      <c r="T740" s="718"/>
      <c r="U740" s="718"/>
      <c r="V740" s="718"/>
    </row>
    <row r="741" spans="1:22" ht="10.5" customHeight="1" x14ac:dyDescent="0.25">
      <c r="A741" s="707">
        <v>515582</v>
      </c>
      <c r="B741" s="708" t="s">
        <v>1787</v>
      </c>
      <c r="C741" s="707" t="s">
        <v>683</v>
      </c>
      <c r="D741" s="709">
        <v>470</v>
      </c>
      <c r="E741" s="709">
        <v>8.59</v>
      </c>
      <c r="F741" s="709">
        <v>4037.3</v>
      </c>
      <c r="G741" s="709"/>
      <c r="H741" s="711"/>
      <c r="I741" s="711"/>
      <c r="J741" s="711"/>
      <c r="K741" s="710">
        <v>448.54402999999996</v>
      </c>
      <c r="L741" s="710">
        <v>448.54402999999996</v>
      </c>
      <c r="M741" s="710">
        <v>448.54402999999996</v>
      </c>
      <c r="N741" s="710">
        <v>448.54402999999996</v>
      </c>
      <c r="O741" s="710">
        <v>448.54402999999996</v>
      </c>
      <c r="P741" s="710">
        <v>448.54402999999996</v>
      </c>
      <c r="Q741" s="710">
        <v>448.54402999999996</v>
      </c>
      <c r="R741" s="710">
        <v>448.54402999999996</v>
      </c>
      <c r="S741" s="710">
        <v>448.94775999999996</v>
      </c>
      <c r="T741" s="711"/>
      <c r="U741" s="711"/>
      <c r="V741" s="711"/>
    </row>
    <row r="742" spans="1:22" ht="10.5" customHeight="1" x14ac:dyDescent="0.25">
      <c r="A742" s="712"/>
      <c r="B742" s="713"/>
      <c r="C742" s="714"/>
      <c r="D742" s="714"/>
      <c r="E742" s="714"/>
      <c r="F742" s="714"/>
      <c r="G742" s="714"/>
      <c r="H742" s="714"/>
      <c r="I742" s="714"/>
      <c r="J742" s="714"/>
      <c r="K742" s="715">
        <v>52.216999999999999</v>
      </c>
      <c r="L742" s="715">
        <v>52.216999999999999</v>
      </c>
      <c r="M742" s="715">
        <v>52.216999999999999</v>
      </c>
      <c r="N742" s="715">
        <v>52.216999999999999</v>
      </c>
      <c r="O742" s="715">
        <v>52.216999999999999</v>
      </c>
      <c r="P742" s="715">
        <v>52.216999999999999</v>
      </c>
      <c r="Q742" s="715">
        <v>52.216999999999999</v>
      </c>
      <c r="R742" s="715">
        <v>52.216999999999999</v>
      </c>
      <c r="S742" s="715">
        <v>52.263999999999996</v>
      </c>
      <c r="T742" s="714"/>
      <c r="U742" s="714"/>
      <c r="V742" s="714"/>
    </row>
    <row r="743" spans="1:22" ht="10.5" customHeight="1" x14ac:dyDescent="0.25">
      <c r="A743" s="716"/>
      <c r="B743" s="717"/>
      <c r="C743" s="718"/>
      <c r="D743" s="718"/>
      <c r="E743" s="718"/>
      <c r="F743" s="718"/>
      <c r="G743" s="718"/>
      <c r="H743" s="718"/>
      <c r="I743" s="718"/>
      <c r="J743" s="718"/>
      <c r="K743" s="718"/>
      <c r="L743" s="718"/>
      <c r="M743" s="718"/>
      <c r="N743" s="718"/>
      <c r="O743" s="718"/>
      <c r="P743" s="718"/>
      <c r="Q743" s="718"/>
      <c r="R743" s="718"/>
      <c r="S743" s="718"/>
      <c r="T743" s="718"/>
      <c r="U743" s="718"/>
      <c r="V743" s="718"/>
    </row>
    <row r="744" spans="1:22" ht="10.5" customHeight="1" x14ac:dyDescent="0.25">
      <c r="A744" s="707">
        <v>515684</v>
      </c>
      <c r="B744" s="708" t="s">
        <v>1788</v>
      </c>
      <c r="C744" s="707" t="s">
        <v>683</v>
      </c>
      <c r="D744" s="709">
        <v>780</v>
      </c>
      <c r="E744" s="709">
        <v>5.84</v>
      </c>
      <c r="F744" s="709">
        <v>4555.2</v>
      </c>
      <c r="G744" s="709"/>
      <c r="H744" s="711"/>
      <c r="I744" s="711"/>
      <c r="J744" s="711"/>
      <c r="K744" s="710">
        <v>506.08271999999999</v>
      </c>
      <c r="L744" s="710">
        <v>506.08271999999999</v>
      </c>
      <c r="M744" s="710">
        <v>506.08271999999999</v>
      </c>
      <c r="N744" s="710">
        <v>506.08271999999999</v>
      </c>
      <c r="O744" s="710">
        <v>506.08271999999999</v>
      </c>
      <c r="P744" s="710">
        <v>506.08271999999999</v>
      </c>
      <c r="Q744" s="710">
        <v>506.08271999999999</v>
      </c>
      <c r="R744" s="710">
        <v>506.08271999999999</v>
      </c>
      <c r="S744" s="710">
        <v>506.53823999999992</v>
      </c>
      <c r="T744" s="711"/>
      <c r="U744" s="711"/>
      <c r="V744" s="711"/>
    </row>
    <row r="745" spans="1:22" ht="10.5" customHeight="1" x14ac:dyDescent="0.25">
      <c r="A745" s="712"/>
      <c r="B745" s="713"/>
      <c r="C745" s="714"/>
      <c r="D745" s="714"/>
      <c r="E745" s="714"/>
      <c r="F745" s="714"/>
      <c r="G745" s="714"/>
      <c r="H745" s="714"/>
      <c r="I745" s="714"/>
      <c r="J745" s="714"/>
      <c r="K745" s="715">
        <v>86.657999999999987</v>
      </c>
      <c r="L745" s="715">
        <v>86.657999999999987</v>
      </c>
      <c r="M745" s="715">
        <v>86.657999999999987</v>
      </c>
      <c r="N745" s="715">
        <v>86.657999999999987</v>
      </c>
      <c r="O745" s="715">
        <v>86.657999999999987</v>
      </c>
      <c r="P745" s="715">
        <v>86.657999999999987</v>
      </c>
      <c r="Q745" s="715">
        <v>86.657999999999987</v>
      </c>
      <c r="R745" s="715">
        <v>86.657999999999987</v>
      </c>
      <c r="S745" s="715">
        <v>86.73599999999999</v>
      </c>
      <c r="T745" s="714"/>
      <c r="U745" s="714"/>
      <c r="V745" s="714"/>
    </row>
    <row r="746" spans="1:22" ht="10.5" customHeight="1" x14ac:dyDescent="0.25">
      <c r="A746" s="716"/>
      <c r="B746" s="717"/>
      <c r="C746" s="718"/>
      <c r="D746" s="718"/>
      <c r="E746" s="718"/>
      <c r="F746" s="718"/>
      <c r="G746" s="718"/>
      <c r="H746" s="718"/>
      <c r="I746" s="718"/>
      <c r="J746" s="718"/>
      <c r="K746" s="718"/>
      <c r="L746" s="718"/>
      <c r="M746" s="718"/>
      <c r="N746" s="718"/>
      <c r="O746" s="718"/>
      <c r="P746" s="718"/>
      <c r="Q746" s="718"/>
      <c r="R746" s="718"/>
      <c r="S746" s="718"/>
      <c r="T746" s="718"/>
      <c r="U746" s="718"/>
      <c r="V746" s="718"/>
    </row>
    <row r="747" spans="1:22" ht="10.5" customHeight="1" x14ac:dyDescent="0.25">
      <c r="A747" s="707">
        <v>515584</v>
      </c>
      <c r="B747" s="708" t="s">
        <v>1789</v>
      </c>
      <c r="C747" s="707" t="s">
        <v>683</v>
      </c>
      <c r="D747" s="709">
        <v>462</v>
      </c>
      <c r="E747" s="709">
        <v>3.57</v>
      </c>
      <c r="F747" s="709">
        <v>1649.34</v>
      </c>
      <c r="G747" s="709"/>
      <c r="H747" s="711"/>
      <c r="I747" s="711"/>
      <c r="J747" s="711"/>
      <c r="K747" s="710">
        <v>183.24167399999999</v>
      </c>
      <c r="L747" s="710">
        <v>183.24167399999999</v>
      </c>
      <c r="M747" s="710">
        <v>183.24167399999999</v>
      </c>
      <c r="N747" s="710">
        <v>183.24167399999999</v>
      </c>
      <c r="O747" s="710">
        <v>183.24167399999999</v>
      </c>
      <c r="P747" s="710">
        <v>183.24167399999999</v>
      </c>
      <c r="Q747" s="710">
        <v>183.24167399999999</v>
      </c>
      <c r="R747" s="710">
        <v>183.24167399999999</v>
      </c>
      <c r="S747" s="710">
        <v>183.40660799999998</v>
      </c>
      <c r="T747" s="711"/>
      <c r="U747" s="711"/>
      <c r="V747" s="711"/>
    </row>
    <row r="748" spans="1:22" ht="10.5" customHeight="1" x14ac:dyDescent="0.25">
      <c r="A748" s="712"/>
      <c r="B748" s="713"/>
      <c r="C748" s="714"/>
      <c r="D748" s="714"/>
      <c r="E748" s="714"/>
      <c r="F748" s="714"/>
      <c r="G748" s="714"/>
      <c r="H748" s="714"/>
      <c r="I748" s="714"/>
      <c r="J748" s="714"/>
      <c r="K748" s="715">
        <v>51.328199999999995</v>
      </c>
      <c r="L748" s="715">
        <v>51.328199999999995</v>
      </c>
      <c r="M748" s="715">
        <v>51.328199999999995</v>
      </c>
      <c r="N748" s="715">
        <v>51.328199999999995</v>
      </c>
      <c r="O748" s="715">
        <v>51.328199999999995</v>
      </c>
      <c r="P748" s="715">
        <v>51.328199999999995</v>
      </c>
      <c r="Q748" s="715">
        <v>51.328199999999995</v>
      </c>
      <c r="R748" s="715">
        <v>51.328199999999995</v>
      </c>
      <c r="S748" s="715">
        <v>51.374399999999994</v>
      </c>
      <c r="T748" s="714"/>
      <c r="U748" s="714"/>
      <c r="V748" s="714"/>
    </row>
    <row r="749" spans="1:22" ht="10.5" customHeight="1" x14ac:dyDescent="0.25">
      <c r="A749" s="716"/>
      <c r="B749" s="717"/>
      <c r="C749" s="718"/>
      <c r="D749" s="718"/>
      <c r="E749" s="718"/>
      <c r="F749" s="718"/>
      <c r="G749" s="718"/>
      <c r="H749" s="718"/>
      <c r="I749" s="718"/>
      <c r="J749" s="718"/>
      <c r="K749" s="718"/>
      <c r="L749" s="718"/>
      <c r="M749" s="718"/>
      <c r="N749" s="718"/>
      <c r="O749" s="718"/>
      <c r="P749" s="718"/>
      <c r="Q749" s="718"/>
      <c r="R749" s="718"/>
      <c r="S749" s="718"/>
      <c r="T749" s="718"/>
      <c r="U749" s="718"/>
      <c r="V749" s="718"/>
    </row>
    <row r="750" spans="1:22" ht="10.5" customHeight="1" x14ac:dyDescent="0.25">
      <c r="A750" s="707">
        <v>502906</v>
      </c>
      <c r="B750" s="708" t="s">
        <v>1790</v>
      </c>
      <c r="C750" s="707" t="s">
        <v>683</v>
      </c>
      <c r="D750" s="709">
        <v>0</v>
      </c>
      <c r="E750" s="709">
        <v>6.32</v>
      </c>
      <c r="F750" s="709">
        <v>0</v>
      </c>
      <c r="G750" s="709"/>
      <c r="H750" s="711"/>
      <c r="I750" s="711"/>
      <c r="J750" s="711"/>
      <c r="K750" s="711"/>
      <c r="L750" s="711"/>
      <c r="M750" s="711"/>
      <c r="N750" s="711"/>
      <c r="O750" s="711"/>
      <c r="P750" s="711"/>
      <c r="Q750" s="711"/>
      <c r="R750" s="711"/>
      <c r="S750" s="711"/>
      <c r="T750" s="711"/>
      <c r="U750" s="711"/>
      <c r="V750" s="711"/>
    </row>
    <row r="751" spans="1:22" ht="10.5" customHeight="1" x14ac:dyDescent="0.25">
      <c r="A751" s="712"/>
      <c r="B751" s="713"/>
      <c r="C751" s="714"/>
      <c r="D751" s="714"/>
      <c r="E751" s="714"/>
      <c r="F751" s="714"/>
      <c r="G751" s="714"/>
      <c r="H751" s="714"/>
      <c r="I751" s="714"/>
      <c r="J751" s="714"/>
      <c r="K751" s="714"/>
      <c r="L751" s="714"/>
      <c r="M751" s="714"/>
      <c r="N751" s="714"/>
      <c r="O751" s="714"/>
      <c r="P751" s="714"/>
      <c r="Q751" s="714"/>
      <c r="R751" s="714"/>
      <c r="S751" s="714"/>
      <c r="T751" s="714"/>
      <c r="U751" s="714"/>
      <c r="V751" s="714"/>
    </row>
    <row r="752" spans="1:22" ht="10.5" customHeight="1" x14ac:dyDescent="0.25">
      <c r="A752" s="716"/>
      <c r="B752" s="717"/>
      <c r="C752" s="718"/>
      <c r="D752" s="718"/>
      <c r="E752" s="718"/>
      <c r="F752" s="718"/>
      <c r="G752" s="718"/>
      <c r="H752" s="718"/>
      <c r="I752" s="718"/>
      <c r="J752" s="718"/>
      <c r="K752" s="718"/>
      <c r="L752" s="718"/>
      <c r="M752" s="718"/>
      <c r="N752" s="718"/>
      <c r="O752" s="718"/>
      <c r="P752" s="718"/>
      <c r="Q752" s="718"/>
      <c r="R752" s="718"/>
      <c r="S752" s="718"/>
      <c r="T752" s="718"/>
      <c r="U752" s="718"/>
      <c r="V752" s="718"/>
    </row>
    <row r="753" spans="1:22" ht="10.5" customHeight="1" x14ac:dyDescent="0.25">
      <c r="A753" s="707">
        <v>502907</v>
      </c>
      <c r="B753" s="708" t="s">
        <v>1791</v>
      </c>
      <c r="C753" s="707" t="s">
        <v>683</v>
      </c>
      <c r="D753" s="709">
        <v>0</v>
      </c>
      <c r="E753" s="709">
        <v>10.91</v>
      </c>
      <c r="F753" s="709">
        <v>0</v>
      </c>
      <c r="G753" s="709"/>
      <c r="H753" s="711"/>
      <c r="I753" s="711"/>
      <c r="J753" s="711"/>
      <c r="K753" s="711"/>
      <c r="L753" s="711"/>
      <c r="M753" s="711"/>
      <c r="N753" s="711"/>
      <c r="O753" s="711"/>
      <c r="P753" s="711"/>
      <c r="Q753" s="711"/>
      <c r="R753" s="711"/>
      <c r="S753" s="711"/>
      <c r="T753" s="711"/>
      <c r="U753" s="711"/>
      <c r="V753" s="711"/>
    </row>
    <row r="754" spans="1:22" ht="10.5" customHeight="1" x14ac:dyDescent="0.25">
      <c r="A754" s="712"/>
      <c r="B754" s="713"/>
      <c r="C754" s="714"/>
      <c r="D754" s="714"/>
      <c r="E754" s="714"/>
      <c r="F754" s="714"/>
      <c r="G754" s="714"/>
      <c r="H754" s="714"/>
      <c r="I754" s="714"/>
      <c r="J754" s="714"/>
      <c r="K754" s="714"/>
      <c r="L754" s="714"/>
      <c r="M754" s="714"/>
      <c r="N754" s="714"/>
      <c r="O754" s="714"/>
      <c r="P754" s="714"/>
      <c r="Q754" s="714"/>
      <c r="R754" s="714"/>
      <c r="S754" s="714"/>
      <c r="T754" s="714"/>
      <c r="U754" s="714"/>
      <c r="V754" s="714"/>
    </row>
    <row r="755" spans="1:22" ht="10.5" customHeight="1" x14ac:dyDescent="0.25">
      <c r="A755" s="716"/>
      <c r="B755" s="717"/>
      <c r="C755" s="718"/>
      <c r="D755" s="718"/>
      <c r="E755" s="718"/>
      <c r="F755" s="718"/>
      <c r="G755" s="718"/>
      <c r="H755" s="718"/>
      <c r="I755" s="718"/>
      <c r="J755" s="718"/>
      <c r="K755" s="718"/>
      <c r="L755" s="718"/>
      <c r="M755" s="718"/>
      <c r="N755" s="718"/>
      <c r="O755" s="718"/>
      <c r="P755" s="718"/>
      <c r="Q755" s="718"/>
      <c r="R755" s="718"/>
      <c r="S755" s="718"/>
      <c r="T755" s="718"/>
      <c r="U755" s="718"/>
      <c r="V755" s="718"/>
    </row>
    <row r="756" spans="1:22" ht="10.5" customHeight="1" x14ac:dyDescent="0.25">
      <c r="A756" s="707">
        <v>515585</v>
      </c>
      <c r="B756" s="708" t="s">
        <v>1792</v>
      </c>
      <c r="C756" s="707" t="s">
        <v>683</v>
      </c>
      <c r="D756" s="709">
        <v>30</v>
      </c>
      <c r="E756" s="709">
        <v>11.41</v>
      </c>
      <c r="F756" s="709">
        <v>342.3</v>
      </c>
      <c r="G756" s="709"/>
      <c r="H756" s="711"/>
      <c r="I756" s="711"/>
      <c r="J756" s="711"/>
      <c r="K756" s="710">
        <v>38.029530000000001</v>
      </c>
      <c r="L756" s="710">
        <v>38.029530000000001</v>
      </c>
      <c r="M756" s="710">
        <v>38.029530000000001</v>
      </c>
      <c r="N756" s="710">
        <v>38.029530000000001</v>
      </c>
      <c r="O756" s="710">
        <v>38.029530000000001</v>
      </c>
      <c r="P756" s="710">
        <v>38.029530000000001</v>
      </c>
      <c r="Q756" s="710">
        <v>38.029530000000001</v>
      </c>
      <c r="R756" s="710">
        <v>38.029530000000001</v>
      </c>
      <c r="S756" s="710">
        <v>38.063759999999995</v>
      </c>
      <c r="T756" s="711"/>
      <c r="U756" s="711"/>
      <c r="V756" s="711"/>
    </row>
    <row r="757" spans="1:22" ht="10.5" customHeight="1" x14ac:dyDescent="0.25">
      <c r="A757" s="712"/>
      <c r="B757" s="713"/>
      <c r="C757" s="714"/>
      <c r="D757" s="714"/>
      <c r="E757" s="714"/>
      <c r="F757" s="714"/>
      <c r="G757" s="714"/>
      <c r="H757" s="714"/>
      <c r="I757" s="714"/>
      <c r="J757" s="714"/>
      <c r="K757" s="715">
        <v>3.3329999999999997</v>
      </c>
      <c r="L757" s="715">
        <v>3.3329999999999997</v>
      </c>
      <c r="M757" s="715">
        <v>3.3329999999999997</v>
      </c>
      <c r="N757" s="715">
        <v>3.3329999999999997</v>
      </c>
      <c r="O757" s="715">
        <v>3.3329999999999997</v>
      </c>
      <c r="P757" s="715">
        <v>3.3329999999999997</v>
      </c>
      <c r="Q757" s="715">
        <v>3.3329999999999997</v>
      </c>
      <c r="R757" s="715">
        <v>3.3329999999999997</v>
      </c>
      <c r="S757" s="715">
        <v>3.3359999999999999</v>
      </c>
      <c r="T757" s="714"/>
      <c r="U757" s="714"/>
      <c r="V757" s="714"/>
    </row>
    <row r="758" spans="1:22" ht="10.5" customHeight="1" x14ac:dyDescent="0.25">
      <c r="A758" s="716"/>
      <c r="B758" s="717"/>
      <c r="C758" s="718"/>
      <c r="D758" s="718"/>
      <c r="E758" s="718"/>
      <c r="F758" s="718"/>
      <c r="G758" s="718"/>
      <c r="H758" s="718"/>
      <c r="I758" s="718"/>
      <c r="J758" s="718"/>
      <c r="K758" s="718"/>
      <c r="L758" s="718"/>
      <c r="M758" s="718"/>
      <c r="N758" s="718"/>
      <c r="O758" s="718"/>
      <c r="P758" s="718"/>
      <c r="Q758" s="718"/>
      <c r="R758" s="718"/>
      <c r="S758" s="718"/>
      <c r="T758" s="718"/>
      <c r="U758" s="718"/>
      <c r="V758" s="718"/>
    </row>
    <row r="759" spans="1:22" ht="10.5" customHeight="1" x14ac:dyDescent="0.25">
      <c r="A759" s="707">
        <v>502894</v>
      </c>
      <c r="B759" s="708" t="s">
        <v>1793</v>
      </c>
      <c r="C759" s="707" t="s">
        <v>1050</v>
      </c>
      <c r="D759" s="709">
        <v>155</v>
      </c>
      <c r="E759" s="709">
        <v>9.7100000000000009</v>
      </c>
      <c r="F759" s="709">
        <v>1505.05</v>
      </c>
      <c r="G759" s="709"/>
      <c r="H759" s="711"/>
      <c r="I759" s="711"/>
      <c r="J759" s="711"/>
      <c r="K759" s="710">
        <v>167.21105499999999</v>
      </c>
      <c r="L759" s="710">
        <v>167.21105499999999</v>
      </c>
      <c r="M759" s="710">
        <v>167.21105499999999</v>
      </c>
      <c r="N759" s="710">
        <v>167.21105499999999</v>
      </c>
      <c r="O759" s="710">
        <v>167.21105499999999</v>
      </c>
      <c r="P759" s="710">
        <v>167.21105499999999</v>
      </c>
      <c r="Q759" s="710">
        <v>167.21105499999999</v>
      </c>
      <c r="R759" s="710">
        <v>167.21105499999999</v>
      </c>
      <c r="S759" s="710">
        <v>167.36156</v>
      </c>
      <c r="T759" s="711"/>
      <c r="U759" s="711"/>
      <c r="V759" s="711"/>
    </row>
    <row r="760" spans="1:22" ht="10.5" customHeight="1" x14ac:dyDescent="0.25">
      <c r="A760" s="712"/>
      <c r="B760" s="713"/>
      <c r="C760" s="714"/>
      <c r="D760" s="714"/>
      <c r="E760" s="714"/>
      <c r="F760" s="714"/>
      <c r="G760" s="714"/>
      <c r="H760" s="714"/>
      <c r="I760" s="714"/>
      <c r="J760" s="714"/>
      <c r="K760" s="715">
        <v>17.220500000000001</v>
      </c>
      <c r="L760" s="715">
        <v>17.220500000000001</v>
      </c>
      <c r="M760" s="715">
        <v>17.220500000000001</v>
      </c>
      <c r="N760" s="715">
        <v>17.220500000000001</v>
      </c>
      <c r="O760" s="715">
        <v>17.220500000000001</v>
      </c>
      <c r="P760" s="715">
        <v>17.220500000000001</v>
      </c>
      <c r="Q760" s="715">
        <v>17.220500000000001</v>
      </c>
      <c r="R760" s="715">
        <v>17.220500000000001</v>
      </c>
      <c r="S760" s="715">
        <v>17.236000000000001</v>
      </c>
      <c r="T760" s="714"/>
      <c r="U760" s="714"/>
      <c r="V760" s="714"/>
    </row>
    <row r="761" spans="1:22" ht="10.5" customHeight="1" x14ac:dyDescent="0.25">
      <c r="A761" s="716"/>
      <c r="B761" s="717"/>
      <c r="C761" s="718"/>
      <c r="D761" s="718"/>
      <c r="E761" s="718"/>
      <c r="F761" s="718"/>
      <c r="G761" s="718"/>
      <c r="H761" s="718"/>
      <c r="I761" s="718"/>
      <c r="J761" s="718"/>
      <c r="K761" s="718"/>
      <c r="L761" s="718"/>
      <c r="M761" s="718"/>
      <c r="N761" s="718"/>
      <c r="O761" s="718"/>
      <c r="P761" s="718"/>
      <c r="Q761" s="718"/>
      <c r="R761" s="718"/>
      <c r="S761" s="718"/>
      <c r="T761" s="718"/>
      <c r="U761" s="718"/>
      <c r="V761" s="718"/>
    </row>
    <row r="762" spans="1:22" ht="10.5" customHeight="1" x14ac:dyDescent="0.25">
      <c r="A762" s="707">
        <v>502895</v>
      </c>
      <c r="B762" s="708" t="s">
        <v>1794</v>
      </c>
      <c r="C762" s="707" t="s">
        <v>1050</v>
      </c>
      <c r="D762" s="709">
        <v>35</v>
      </c>
      <c r="E762" s="709">
        <v>17.46</v>
      </c>
      <c r="F762" s="709">
        <v>611.1</v>
      </c>
      <c r="G762" s="709"/>
      <c r="H762" s="711"/>
      <c r="I762" s="711"/>
      <c r="J762" s="711"/>
      <c r="K762" s="710">
        <v>67.893209999999996</v>
      </c>
      <c r="L762" s="710">
        <v>67.893209999999996</v>
      </c>
      <c r="M762" s="710">
        <v>67.893209999999996</v>
      </c>
      <c r="N762" s="710">
        <v>67.893209999999996</v>
      </c>
      <c r="O762" s="710">
        <v>67.893209999999996</v>
      </c>
      <c r="P762" s="710">
        <v>67.893209999999996</v>
      </c>
      <c r="Q762" s="710">
        <v>67.893209999999996</v>
      </c>
      <c r="R762" s="710">
        <v>67.893209999999996</v>
      </c>
      <c r="S762" s="710">
        <v>67.954319999999996</v>
      </c>
      <c r="T762" s="711"/>
      <c r="U762" s="711"/>
      <c r="V762" s="711"/>
    </row>
    <row r="763" spans="1:22" ht="10.5" customHeight="1" x14ac:dyDescent="0.25">
      <c r="A763" s="712"/>
      <c r="B763" s="713"/>
      <c r="C763" s="714"/>
      <c r="D763" s="714"/>
      <c r="E763" s="714"/>
      <c r="F763" s="714"/>
      <c r="G763" s="714"/>
      <c r="H763" s="714"/>
      <c r="I763" s="714"/>
      <c r="J763" s="714"/>
      <c r="K763" s="715">
        <v>3.8884999999999996</v>
      </c>
      <c r="L763" s="715">
        <v>3.8884999999999996</v>
      </c>
      <c r="M763" s="715">
        <v>3.8884999999999996</v>
      </c>
      <c r="N763" s="715">
        <v>3.8884999999999996</v>
      </c>
      <c r="O763" s="715">
        <v>3.8884999999999996</v>
      </c>
      <c r="P763" s="715">
        <v>3.8884999999999996</v>
      </c>
      <c r="Q763" s="715">
        <v>3.8884999999999996</v>
      </c>
      <c r="R763" s="715">
        <v>3.8884999999999996</v>
      </c>
      <c r="S763" s="715">
        <v>3.8919999999999999</v>
      </c>
      <c r="T763" s="714"/>
      <c r="U763" s="714"/>
      <c r="V763" s="714"/>
    </row>
    <row r="764" spans="1:22" ht="10.5" customHeight="1" x14ac:dyDescent="0.25">
      <c r="A764" s="716"/>
      <c r="B764" s="717"/>
      <c r="C764" s="718"/>
      <c r="D764" s="718"/>
      <c r="E764" s="718"/>
      <c r="F764" s="718"/>
      <c r="G764" s="718"/>
      <c r="H764" s="718"/>
      <c r="I764" s="718"/>
      <c r="J764" s="718"/>
      <c r="K764" s="718"/>
      <c r="L764" s="718"/>
      <c r="M764" s="718"/>
      <c r="N764" s="718"/>
      <c r="O764" s="718"/>
      <c r="P764" s="718"/>
      <c r="Q764" s="718"/>
      <c r="R764" s="718"/>
      <c r="S764" s="718"/>
      <c r="T764" s="718"/>
      <c r="U764" s="718"/>
      <c r="V764" s="718"/>
    </row>
    <row r="765" spans="1:22" ht="10.5" customHeight="1" x14ac:dyDescent="0.25">
      <c r="A765" s="707">
        <v>502896</v>
      </c>
      <c r="B765" s="708" t="s">
        <v>1795</v>
      </c>
      <c r="C765" s="707" t="s">
        <v>1050</v>
      </c>
      <c r="D765" s="709">
        <v>0</v>
      </c>
      <c r="E765" s="709">
        <v>20.78</v>
      </c>
      <c r="F765" s="709">
        <v>0</v>
      </c>
      <c r="G765" s="709"/>
      <c r="H765" s="711"/>
      <c r="I765" s="711"/>
      <c r="J765" s="711"/>
      <c r="K765" s="711"/>
      <c r="L765" s="711"/>
      <c r="M765" s="711"/>
      <c r="N765" s="711"/>
      <c r="O765" s="711"/>
      <c r="P765" s="711"/>
      <c r="Q765" s="711"/>
      <c r="R765" s="711"/>
      <c r="S765" s="711"/>
      <c r="T765" s="711"/>
      <c r="U765" s="711"/>
      <c r="V765" s="711"/>
    </row>
    <row r="766" spans="1:22" ht="10.5" customHeight="1" x14ac:dyDescent="0.25">
      <c r="A766" s="712"/>
      <c r="B766" s="713"/>
      <c r="C766" s="714"/>
      <c r="D766" s="714"/>
      <c r="E766" s="714"/>
      <c r="F766" s="714"/>
      <c r="G766" s="714"/>
      <c r="H766" s="714"/>
      <c r="I766" s="714"/>
      <c r="J766" s="714"/>
      <c r="K766" s="714"/>
      <c r="L766" s="714"/>
      <c r="M766" s="714"/>
      <c r="N766" s="714"/>
      <c r="O766" s="714"/>
      <c r="P766" s="714"/>
      <c r="Q766" s="714"/>
      <c r="R766" s="714"/>
      <c r="S766" s="714"/>
      <c r="T766" s="714"/>
      <c r="U766" s="714"/>
      <c r="V766" s="714"/>
    </row>
    <row r="767" spans="1:22" ht="10.5" customHeight="1" x14ac:dyDescent="0.25">
      <c r="A767" s="716"/>
      <c r="B767" s="717"/>
      <c r="C767" s="718"/>
      <c r="D767" s="718"/>
      <c r="E767" s="718"/>
      <c r="F767" s="718"/>
      <c r="G767" s="718"/>
      <c r="H767" s="718"/>
      <c r="I767" s="718"/>
      <c r="J767" s="718"/>
      <c r="K767" s="718"/>
      <c r="L767" s="718"/>
      <c r="M767" s="718"/>
      <c r="N767" s="718"/>
      <c r="O767" s="718"/>
      <c r="P767" s="718"/>
      <c r="Q767" s="718"/>
      <c r="R767" s="718"/>
      <c r="S767" s="718"/>
      <c r="T767" s="718"/>
      <c r="U767" s="718"/>
      <c r="V767" s="718"/>
    </row>
    <row r="768" spans="1:22" ht="10.5" customHeight="1" x14ac:dyDescent="0.25">
      <c r="A768" s="707">
        <v>515587</v>
      </c>
      <c r="B768" s="708" t="s">
        <v>1796</v>
      </c>
      <c r="C768" s="707" t="s">
        <v>1050</v>
      </c>
      <c r="D768" s="709">
        <v>0</v>
      </c>
      <c r="E768" s="709">
        <v>74.72999999999999</v>
      </c>
      <c r="F768" s="709">
        <v>0</v>
      </c>
      <c r="G768" s="709"/>
      <c r="H768" s="711"/>
      <c r="I768" s="711"/>
      <c r="J768" s="711"/>
      <c r="K768" s="711"/>
      <c r="L768" s="711"/>
      <c r="M768" s="711"/>
      <c r="N768" s="711"/>
      <c r="O768" s="711"/>
      <c r="P768" s="711"/>
      <c r="Q768" s="711"/>
      <c r="R768" s="711"/>
      <c r="S768" s="711"/>
      <c r="T768" s="711"/>
      <c r="U768" s="711"/>
      <c r="V768" s="711"/>
    </row>
    <row r="769" spans="1:22" ht="10.5" customHeight="1" x14ac:dyDescent="0.25">
      <c r="A769" s="712"/>
      <c r="B769" s="713"/>
      <c r="C769" s="714"/>
      <c r="D769" s="714"/>
      <c r="E769" s="714"/>
      <c r="F769" s="714"/>
      <c r="G769" s="714"/>
      <c r="H769" s="714"/>
      <c r="I769" s="714"/>
      <c r="J769" s="714"/>
      <c r="K769" s="714"/>
      <c r="L769" s="714"/>
      <c r="M769" s="714"/>
      <c r="N769" s="714"/>
      <c r="O769" s="714"/>
      <c r="P769" s="714"/>
      <c r="Q769" s="714"/>
      <c r="R769" s="714"/>
      <c r="S769" s="714"/>
      <c r="T769" s="714"/>
      <c r="U769" s="714"/>
      <c r="V769" s="714"/>
    </row>
    <row r="770" spans="1:22" ht="10.5" customHeight="1" x14ac:dyDescent="0.25">
      <c r="A770" s="716"/>
      <c r="B770" s="717"/>
      <c r="C770" s="718"/>
      <c r="D770" s="718"/>
      <c r="E770" s="718"/>
      <c r="F770" s="718"/>
      <c r="G770" s="718"/>
      <c r="H770" s="718"/>
      <c r="I770" s="718"/>
      <c r="J770" s="718"/>
      <c r="K770" s="718"/>
      <c r="L770" s="718"/>
      <c r="M770" s="718"/>
      <c r="N770" s="718"/>
      <c r="O770" s="718"/>
      <c r="P770" s="718"/>
      <c r="Q770" s="718"/>
      <c r="R770" s="718"/>
      <c r="S770" s="718"/>
      <c r="T770" s="718"/>
      <c r="U770" s="718"/>
      <c r="V770" s="718"/>
    </row>
    <row r="771" spans="1:22" ht="10.5" customHeight="1" x14ac:dyDescent="0.25">
      <c r="A771" s="707">
        <v>506620</v>
      </c>
      <c r="B771" s="708" t="s">
        <v>1797</v>
      </c>
      <c r="C771" s="707" t="s">
        <v>1050</v>
      </c>
      <c r="D771" s="709">
        <v>35</v>
      </c>
      <c r="E771" s="709">
        <v>21.380000000000003</v>
      </c>
      <c r="F771" s="709">
        <v>748.3</v>
      </c>
      <c r="G771" s="709"/>
      <c r="H771" s="711"/>
      <c r="I771" s="711"/>
      <c r="J771" s="711"/>
      <c r="K771" s="710">
        <v>83.136129999999994</v>
      </c>
      <c r="L771" s="710">
        <v>83.136129999999994</v>
      </c>
      <c r="M771" s="710">
        <v>83.136129999999994</v>
      </c>
      <c r="N771" s="710">
        <v>83.136129999999994</v>
      </c>
      <c r="O771" s="710">
        <v>83.136129999999994</v>
      </c>
      <c r="P771" s="710">
        <v>83.136129999999994</v>
      </c>
      <c r="Q771" s="710">
        <v>83.136129999999994</v>
      </c>
      <c r="R771" s="710">
        <v>83.136129999999994</v>
      </c>
      <c r="S771" s="710">
        <v>83.21096</v>
      </c>
      <c r="T771" s="711"/>
      <c r="U771" s="711"/>
      <c r="V771" s="711"/>
    </row>
    <row r="772" spans="1:22" ht="10.5" customHeight="1" x14ac:dyDescent="0.25">
      <c r="A772" s="712"/>
      <c r="B772" s="713"/>
      <c r="C772" s="714"/>
      <c r="D772" s="714"/>
      <c r="E772" s="714"/>
      <c r="F772" s="714"/>
      <c r="G772" s="714"/>
      <c r="H772" s="714"/>
      <c r="I772" s="714"/>
      <c r="J772" s="714"/>
      <c r="K772" s="715">
        <v>3.8884999999999996</v>
      </c>
      <c r="L772" s="715">
        <v>3.8884999999999996</v>
      </c>
      <c r="M772" s="715">
        <v>3.8884999999999996</v>
      </c>
      <c r="N772" s="715">
        <v>3.8884999999999996</v>
      </c>
      <c r="O772" s="715">
        <v>3.8884999999999996</v>
      </c>
      <c r="P772" s="715">
        <v>3.8884999999999996</v>
      </c>
      <c r="Q772" s="715">
        <v>3.8884999999999996</v>
      </c>
      <c r="R772" s="715">
        <v>3.8884999999999996</v>
      </c>
      <c r="S772" s="715">
        <v>3.8919999999999999</v>
      </c>
      <c r="T772" s="714"/>
      <c r="U772" s="714"/>
      <c r="V772" s="714"/>
    </row>
    <row r="773" spans="1:22" ht="10.5" customHeight="1" x14ac:dyDescent="0.25">
      <c r="A773" s="716"/>
      <c r="B773" s="717"/>
      <c r="C773" s="718"/>
      <c r="D773" s="718"/>
      <c r="E773" s="718"/>
      <c r="F773" s="718"/>
      <c r="G773" s="718"/>
      <c r="H773" s="718"/>
      <c r="I773" s="718"/>
      <c r="J773" s="718"/>
      <c r="K773" s="718"/>
      <c r="L773" s="718"/>
      <c r="M773" s="718"/>
      <c r="N773" s="718"/>
      <c r="O773" s="718"/>
      <c r="P773" s="718"/>
      <c r="Q773" s="718"/>
      <c r="R773" s="718"/>
      <c r="S773" s="718"/>
      <c r="T773" s="718"/>
      <c r="U773" s="718"/>
      <c r="V773" s="718"/>
    </row>
    <row r="774" spans="1:22" ht="10.5" customHeight="1" x14ac:dyDescent="0.25">
      <c r="A774" s="707">
        <v>506621</v>
      </c>
      <c r="B774" s="708" t="s">
        <v>1798</v>
      </c>
      <c r="C774" s="707" t="s">
        <v>1050</v>
      </c>
      <c r="D774" s="709">
        <v>35</v>
      </c>
      <c r="E774" s="709">
        <v>10.43</v>
      </c>
      <c r="F774" s="709">
        <v>365.05</v>
      </c>
      <c r="G774" s="709"/>
      <c r="H774" s="711"/>
      <c r="I774" s="711"/>
      <c r="J774" s="711"/>
      <c r="K774" s="710">
        <v>40.557054999999998</v>
      </c>
      <c r="L774" s="710">
        <v>40.557054999999998</v>
      </c>
      <c r="M774" s="710">
        <v>40.557054999999998</v>
      </c>
      <c r="N774" s="710">
        <v>40.557054999999998</v>
      </c>
      <c r="O774" s="710">
        <v>40.557054999999998</v>
      </c>
      <c r="P774" s="710">
        <v>40.557054999999998</v>
      </c>
      <c r="Q774" s="710">
        <v>40.557054999999998</v>
      </c>
      <c r="R774" s="710">
        <v>40.557054999999998</v>
      </c>
      <c r="S774" s="710">
        <v>40.593559999999997</v>
      </c>
      <c r="T774" s="711"/>
      <c r="U774" s="711"/>
      <c r="V774" s="711"/>
    </row>
    <row r="775" spans="1:22" ht="10.5" customHeight="1" x14ac:dyDescent="0.25">
      <c r="A775" s="712"/>
      <c r="B775" s="713"/>
      <c r="C775" s="714"/>
      <c r="D775" s="714"/>
      <c r="E775" s="714"/>
      <c r="F775" s="714"/>
      <c r="G775" s="714"/>
      <c r="H775" s="714"/>
      <c r="I775" s="714"/>
      <c r="J775" s="714"/>
      <c r="K775" s="715">
        <v>3.8884999999999996</v>
      </c>
      <c r="L775" s="715">
        <v>3.8884999999999996</v>
      </c>
      <c r="M775" s="715">
        <v>3.8884999999999996</v>
      </c>
      <c r="N775" s="715">
        <v>3.8884999999999996</v>
      </c>
      <c r="O775" s="715">
        <v>3.8884999999999996</v>
      </c>
      <c r="P775" s="715">
        <v>3.8884999999999996</v>
      </c>
      <c r="Q775" s="715">
        <v>3.8884999999999996</v>
      </c>
      <c r="R775" s="715">
        <v>3.8884999999999996</v>
      </c>
      <c r="S775" s="715">
        <v>3.8919999999999999</v>
      </c>
      <c r="T775" s="714"/>
      <c r="U775" s="714"/>
      <c r="V775" s="714"/>
    </row>
    <row r="776" spans="1:22" ht="10.5" customHeight="1" x14ac:dyDescent="0.25">
      <c r="A776" s="716"/>
      <c r="B776" s="717"/>
      <c r="C776" s="718"/>
      <c r="D776" s="718"/>
      <c r="E776" s="718"/>
      <c r="F776" s="718"/>
      <c r="G776" s="718"/>
      <c r="H776" s="718"/>
      <c r="I776" s="718"/>
      <c r="J776" s="718"/>
      <c r="K776" s="718"/>
      <c r="L776" s="718"/>
      <c r="M776" s="718"/>
      <c r="N776" s="718"/>
      <c r="O776" s="718"/>
      <c r="P776" s="718"/>
      <c r="Q776" s="718"/>
      <c r="R776" s="718"/>
      <c r="S776" s="718"/>
      <c r="T776" s="718"/>
      <c r="U776" s="718"/>
      <c r="V776" s="718"/>
    </row>
    <row r="777" spans="1:22" ht="10.5" customHeight="1" x14ac:dyDescent="0.25">
      <c r="A777" s="707">
        <v>515651</v>
      </c>
      <c r="B777" s="708" t="s">
        <v>1799</v>
      </c>
      <c r="C777" s="707" t="s">
        <v>1050</v>
      </c>
      <c r="D777" s="709">
        <v>15</v>
      </c>
      <c r="E777" s="709">
        <v>111.37</v>
      </c>
      <c r="F777" s="709">
        <v>1670.55</v>
      </c>
      <c r="G777" s="709"/>
      <c r="H777" s="711"/>
      <c r="I777" s="711"/>
      <c r="J777" s="711"/>
      <c r="K777" s="710">
        <v>185.598105</v>
      </c>
      <c r="L777" s="710">
        <v>185.598105</v>
      </c>
      <c r="M777" s="710">
        <v>185.598105</v>
      </c>
      <c r="N777" s="710">
        <v>185.598105</v>
      </c>
      <c r="O777" s="710">
        <v>185.598105</v>
      </c>
      <c r="P777" s="710">
        <v>185.598105</v>
      </c>
      <c r="Q777" s="710">
        <v>185.598105</v>
      </c>
      <c r="R777" s="710">
        <v>185.598105</v>
      </c>
      <c r="S777" s="710">
        <v>185.76516000000001</v>
      </c>
      <c r="T777" s="711"/>
      <c r="U777" s="711"/>
      <c r="V777" s="711"/>
    </row>
    <row r="778" spans="1:22" ht="10.5" customHeight="1" x14ac:dyDescent="0.25">
      <c r="A778" s="712"/>
      <c r="B778" s="713"/>
      <c r="C778" s="714"/>
      <c r="D778" s="714"/>
      <c r="E778" s="714"/>
      <c r="F778" s="714"/>
      <c r="G778" s="714"/>
      <c r="H778" s="714"/>
      <c r="I778" s="714"/>
      <c r="J778" s="714"/>
      <c r="K778" s="715">
        <v>1.6664999999999999</v>
      </c>
      <c r="L778" s="715">
        <v>1.6664999999999999</v>
      </c>
      <c r="M778" s="715">
        <v>1.6664999999999999</v>
      </c>
      <c r="N778" s="715">
        <v>1.6664999999999999</v>
      </c>
      <c r="O778" s="715">
        <v>1.6664999999999999</v>
      </c>
      <c r="P778" s="715">
        <v>1.6664999999999999</v>
      </c>
      <c r="Q778" s="715">
        <v>1.6664999999999999</v>
      </c>
      <c r="R778" s="715">
        <v>1.6664999999999999</v>
      </c>
      <c r="S778" s="715">
        <v>1.6679999999999999</v>
      </c>
      <c r="T778" s="714"/>
      <c r="U778" s="714"/>
      <c r="V778" s="714"/>
    </row>
    <row r="779" spans="1:22" ht="10.5" customHeight="1" x14ac:dyDescent="0.25">
      <c r="A779" s="716"/>
      <c r="B779" s="717"/>
      <c r="C779" s="718"/>
      <c r="D779" s="718"/>
      <c r="E779" s="718"/>
      <c r="F779" s="718"/>
      <c r="G779" s="718"/>
      <c r="H779" s="718"/>
      <c r="I779" s="718"/>
      <c r="J779" s="718"/>
      <c r="K779" s="718"/>
      <c r="L779" s="718"/>
      <c r="M779" s="718"/>
      <c r="N779" s="718"/>
      <c r="O779" s="718"/>
      <c r="P779" s="718"/>
      <c r="Q779" s="718"/>
      <c r="R779" s="718"/>
      <c r="S779" s="718"/>
      <c r="T779" s="718"/>
      <c r="U779" s="718"/>
      <c r="V779" s="718"/>
    </row>
    <row r="780" spans="1:22" ht="10.5" customHeight="1" x14ac:dyDescent="0.25">
      <c r="A780" s="707">
        <v>502071</v>
      </c>
      <c r="B780" s="708" t="s">
        <v>1800</v>
      </c>
      <c r="C780" s="707" t="s">
        <v>1050</v>
      </c>
      <c r="D780" s="709">
        <v>1</v>
      </c>
      <c r="E780" s="709">
        <v>2932.01</v>
      </c>
      <c r="F780" s="709">
        <v>2932.01</v>
      </c>
      <c r="G780" s="709"/>
      <c r="H780" s="711"/>
      <c r="I780" s="711"/>
      <c r="J780" s="711"/>
      <c r="K780" s="710">
        <v>325.74631100000005</v>
      </c>
      <c r="L780" s="710">
        <v>325.74631100000005</v>
      </c>
      <c r="M780" s="710">
        <v>325.74631100000005</v>
      </c>
      <c r="N780" s="710">
        <v>325.74631100000005</v>
      </c>
      <c r="O780" s="710">
        <v>325.74631100000005</v>
      </c>
      <c r="P780" s="710">
        <v>325.74631100000005</v>
      </c>
      <c r="Q780" s="710">
        <v>325.74631100000005</v>
      </c>
      <c r="R780" s="710">
        <v>325.74631100000005</v>
      </c>
      <c r="S780" s="710">
        <v>326.039512</v>
      </c>
      <c r="T780" s="711"/>
      <c r="U780" s="711"/>
      <c r="V780" s="711"/>
    </row>
    <row r="781" spans="1:22" ht="10.5" customHeight="1" x14ac:dyDescent="0.25">
      <c r="A781" s="712"/>
      <c r="B781" s="713"/>
      <c r="C781" s="714"/>
      <c r="D781" s="714"/>
      <c r="E781" s="714"/>
      <c r="F781" s="714"/>
      <c r="G781" s="714"/>
      <c r="H781" s="714"/>
      <c r="I781" s="714"/>
      <c r="J781" s="714"/>
      <c r="K781" s="715">
        <v>0.11109999999999999</v>
      </c>
      <c r="L781" s="715">
        <v>0.11109999999999999</v>
      </c>
      <c r="M781" s="715">
        <v>0.11109999999999999</v>
      </c>
      <c r="N781" s="715">
        <v>0.11109999999999999</v>
      </c>
      <c r="O781" s="715">
        <v>0.11109999999999999</v>
      </c>
      <c r="P781" s="715">
        <v>0.11109999999999999</v>
      </c>
      <c r="Q781" s="715">
        <v>0.11109999999999999</v>
      </c>
      <c r="R781" s="715">
        <v>0.11109999999999999</v>
      </c>
      <c r="S781" s="715">
        <v>0.11119999999999999</v>
      </c>
      <c r="T781" s="714"/>
      <c r="U781" s="714"/>
      <c r="V781" s="714"/>
    </row>
    <row r="782" spans="1:22" ht="10.5" customHeight="1" x14ac:dyDescent="0.25">
      <c r="A782" s="716"/>
      <c r="B782" s="717"/>
      <c r="C782" s="718"/>
      <c r="D782" s="718"/>
      <c r="E782" s="718"/>
      <c r="F782" s="718"/>
      <c r="G782" s="718"/>
      <c r="H782" s="718"/>
      <c r="I782" s="718"/>
      <c r="J782" s="718"/>
      <c r="K782" s="718"/>
      <c r="L782" s="718"/>
      <c r="M782" s="718"/>
      <c r="N782" s="718"/>
      <c r="O782" s="718"/>
      <c r="P782" s="718"/>
      <c r="Q782" s="718"/>
      <c r="R782" s="718"/>
      <c r="S782" s="718"/>
      <c r="T782" s="718"/>
      <c r="U782" s="718"/>
      <c r="V782" s="718"/>
    </row>
    <row r="783" spans="1:22" ht="10.5" customHeight="1" x14ac:dyDescent="0.25">
      <c r="A783" s="707">
        <v>515600</v>
      </c>
      <c r="B783" s="708" t="s">
        <v>1801</v>
      </c>
      <c r="C783" s="707" t="s">
        <v>1050</v>
      </c>
      <c r="D783" s="709">
        <v>1</v>
      </c>
      <c r="E783" s="709">
        <v>55.48</v>
      </c>
      <c r="F783" s="709">
        <v>55.48</v>
      </c>
      <c r="G783" s="709"/>
      <c r="H783" s="711"/>
      <c r="I783" s="711"/>
      <c r="J783" s="711"/>
      <c r="K783" s="710">
        <v>6.1638279999999996</v>
      </c>
      <c r="L783" s="710">
        <v>6.1638279999999996</v>
      </c>
      <c r="M783" s="710">
        <v>6.1638279999999996</v>
      </c>
      <c r="N783" s="710">
        <v>6.1638279999999996</v>
      </c>
      <c r="O783" s="710">
        <v>6.1638279999999996</v>
      </c>
      <c r="P783" s="710">
        <v>6.1638279999999996</v>
      </c>
      <c r="Q783" s="710">
        <v>6.1638279999999996</v>
      </c>
      <c r="R783" s="710">
        <v>6.1638279999999996</v>
      </c>
      <c r="S783" s="710">
        <v>6.1693759999999997</v>
      </c>
      <c r="T783" s="711"/>
      <c r="U783" s="711"/>
      <c r="V783" s="711"/>
    </row>
    <row r="784" spans="1:22" ht="10.5" customHeight="1" x14ac:dyDescent="0.25">
      <c r="A784" s="712"/>
      <c r="B784" s="713"/>
      <c r="C784" s="714"/>
      <c r="D784" s="714"/>
      <c r="E784" s="714"/>
      <c r="F784" s="714"/>
      <c r="G784" s="714"/>
      <c r="H784" s="714"/>
      <c r="I784" s="714"/>
      <c r="J784" s="714"/>
      <c r="K784" s="715">
        <v>0.11109999999999999</v>
      </c>
      <c r="L784" s="715">
        <v>0.11109999999999999</v>
      </c>
      <c r="M784" s="715">
        <v>0.11109999999999999</v>
      </c>
      <c r="N784" s="715">
        <v>0.11109999999999999</v>
      </c>
      <c r="O784" s="715">
        <v>0.11109999999999999</v>
      </c>
      <c r="P784" s="715">
        <v>0.11109999999999999</v>
      </c>
      <c r="Q784" s="715">
        <v>0.11109999999999999</v>
      </c>
      <c r="R784" s="715">
        <v>0.11109999999999999</v>
      </c>
      <c r="S784" s="715">
        <v>0.11119999999999999</v>
      </c>
      <c r="T784" s="714"/>
      <c r="U784" s="714"/>
      <c r="V784" s="714"/>
    </row>
    <row r="785" spans="1:22" ht="10.5" customHeight="1" x14ac:dyDescent="0.25">
      <c r="A785" s="716"/>
      <c r="B785" s="717"/>
      <c r="C785" s="718"/>
      <c r="D785" s="718"/>
      <c r="E785" s="718"/>
      <c r="F785" s="718"/>
      <c r="G785" s="718"/>
      <c r="H785" s="718"/>
      <c r="I785" s="718"/>
      <c r="J785" s="718"/>
      <c r="K785" s="718"/>
      <c r="L785" s="718"/>
      <c r="M785" s="718"/>
      <c r="N785" s="718"/>
      <c r="O785" s="718"/>
      <c r="P785" s="718"/>
      <c r="Q785" s="718"/>
      <c r="R785" s="718"/>
      <c r="S785" s="718"/>
      <c r="T785" s="718"/>
      <c r="U785" s="718"/>
      <c r="V785" s="718"/>
    </row>
    <row r="786" spans="1:22" ht="10.5" customHeight="1" x14ac:dyDescent="0.25">
      <c r="A786" s="707">
        <v>506518</v>
      </c>
      <c r="B786" s="708" t="s">
        <v>1802</v>
      </c>
      <c r="C786" s="707" t="s">
        <v>1050</v>
      </c>
      <c r="D786" s="709">
        <v>1</v>
      </c>
      <c r="E786" s="709">
        <v>126.61</v>
      </c>
      <c r="F786" s="709">
        <v>126.61</v>
      </c>
      <c r="G786" s="709"/>
      <c r="H786" s="711"/>
      <c r="I786" s="711"/>
      <c r="J786" s="711"/>
      <c r="K786" s="710">
        <v>14.066370999999998</v>
      </c>
      <c r="L786" s="710">
        <v>14.066370999999998</v>
      </c>
      <c r="M786" s="710">
        <v>14.066370999999998</v>
      </c>
      <c r="N786" s="710">
        <v>14.066370999999998</v>
      </c>
      <c r="O786" s="710">
        <v>14.066370999999998</v>
      </c>
      <c r="P786" s="710">
        <v>14.066370999999998</v>
      </c>
      <c r="Q786" s="710">
        <v>14.066370999999998</v>
      </c>
      <c r="R786" s="710">
        <v>14.066370999999998</v>
      </c>
      <c r="S786" s="710">
        <v>14.079032</v>
      </c>
      <c r="T786" s="711"/>
      <c r="U786" s="711"/>
      <c r="V786" s="711"/>
    </row>
    <row r="787" spans="1:22" ht="10.5" customHeight="1" x14ac:dyDescent="0.25">
      <c r="A787" s="712"/>
      <c r="B787" s="713"/>
      <c r="C787" s="714"/>
      <c r="D787" s="714"/>
      <c r="E787" s="714"/>
      <c r="F787" s="714"/>
      <c r="G787" s="714"/>
      <c r="H787" s="714"/>
      <c r="I787" s="714"/>
      <c r="J787" s="714"/>
      <c r="K787" s="715">
        <v>0.11109999999999999</v>
      </c>
      <c r="L787" s="715">
        <v>0.11109999999999999</v>
      </c>
      <c r="M787" s="715">
        <v>0.11109999999999999</v>
      </c>
      <c r="N787" s="715">
        <v>0.11109999999999999</v>
      </c>
      <c r="O787" s="715">
        <v>0.11109999999999999</v>
      </c>
      <c r="P787" s="715">
        <v>0.11109999999999999</v>
      </c>
      <c r="Q787" s="715">
        <v>0.11109999999999999</v>
      </c>
      <c r="R787" s="715">
        <v>0.11109999999999999</v>
      </c>
      <c r="S787" s="715">
        <v>0.11119999999999999</v>
      </c>
      <c r="T787" s="714"/>
      <c r="U787" s="714"/>
      <c r="V787" s="714"/>
    </row>
    <row r="788" spans="1:22" ht="10.5" customHeight="1" x14ac:dyDescent="0.25">
      <c r="A788" s="716"/>
      <c r="B788" s="717"/>
      <c r="C788" s="718"/>
      <c r="D788" s="718"/>
      <c r="E788" s="718"/>
      <c r="F788" s="718"/>
      <c r="G788" s="718"/>
      <c r="H788" s="718"/>
      <c r="I788" s="718"/>
      <c r="J788" s="718"/>
      <c r="K788" s="718"/>
      <c r="L788" s="718"/>
      <c r="M788" s="718"/>
      <c r="N788" s="718"/>
      <c r="O788" s="718"/>
      <c r="P788" s="718"/>
      <c r="Q788" s="718"/>
      <c r="R788" s="718"/>
      <c r="S788" s="718"/>
      <c r="T788" s="718"/>
      <c r="U788" s="718"/>
      <c r="V788" s="718"/>
    </row>
    <row r="789" spans="1:22" ht="10.5" customHeight="1" x14ac:dyDescent="0.25">
      <c r="A789" s="707">
        <v>504690</v>
      </c>
      <c r="B789" s="708" t="s">
        <v>1803</v>
      </c>
      <c r="C789" s="707" t="s">
        <v>1050</v>
      </c>
      <c r="D789" s="709">
        <v>15</v>
      </c>
      <c r="E789" s="709">
        <v>8.49</v>
      </c>
      <c r="F789" s="709">
        <v>127.35</v>
      </c>
      <c r="G789" s="709"/>
      <c r="H789" s="711"/>
      <c r="I789" s="711"/>
      <c r="J789" s="711"/>
      <c r="K789" s="710">
        <v>14.148584999999999</v>
      </c>
      <c r="L789" s="710">
        <v>14.148584999999999</v>
      </c>
      <c r="M789" s="710">
        <v>14.148584999999999</v>
      </c>
      <c r="N789" s="710">
        <v>14.148584999999999</v>
      </c>
      <c r="O789" s="710">
        <v>14.148584999999999</v>
      </c>
      <c r="P789" s="710">
        <v>14.148584999999999</v>
      </c>
      <c r="Q789" s="710">
        <v>14.148584999999999</v>
      </c>
      <c r="R789" s="710">
        <v>14.148584999999999</v>
      </c>
      <c r="S789" s="710">
        <v>14.161319999999998</v>
      </c>
      <c r="T789" s="711"/>
      <c r="U789" s="711"/>
      <c r="V789" s="711"/>
    </row>
    <row r="790" spans="1:22" ht="10.5" customHeight="1" x14ac:dyDescent="0.25">
      <c r="A790" s="712"/>
      <c r="B790" s="713"/>
      <c r="C790" s="714"/>
      <c r="D790" s="714"/>
      <c r="E790" s="714"/>
      <c r="F790" s="714"/>
      <c r="G790" s="714"/>
      <c r="H790" s="714"/>
      <c r="I790" s="714"/>
      <c r="J790" s="714"/>
      <c r="K790" s="715">
        <v>1.6664999999999999</v>
      </c>
      <c r="L790" s="715">
        <v>1.6664999999999999</v>
      </c>
      <c r="M790" s="715">
        <v>1.6664999999999999</v>
      </c>
      <c r="N790" s="715">
        <v>1.6664999999999999</v>
      </c>
      <c r="O790" s="715">
        <v>1.6664999999999999</v>
      </c>
      <c r="P790" s="715">
        <v>1.6664999999999999</v>
      </c>
      <c r="Q790" s="715">
        <v>1.6664999999999999</v>
      </c>
      <c r="R790" s="715">
        <v>1.6664999999999999</v>
      </c>
      <c r="S790" s="715">
        <v>1.6679999999999999</v>
      </c>
      <c r="T790" s="714"/>
      <c r="U790" s="714"/>
      <c r="V790" s="714"/>
    </row>
    <row r="791" spans="1:22" ht="10.5" customHeight="1" x14ac:dyDescent="0.25">
      <c r="A791" s="716"/>
      <c r="B791" s="717"/>
      <c r="C791" s="718"/>
      <c r="D791" s="718"/>
      <c r="E791" s="718"/>
      <c r="F791" s="718"/>
      <c r="G791" s="718"/>
      <c r="H791" s="718"/>
      <c r="I791" s="718"/>
      <c r="J791" s="718"/>
      <c r="K791" s="718"/>
      <c r="L791" s="718"/>
      <c r="M791" s="718"/>
      <c r="N791" s="718"/>
      <c r="O791" s="718"/>
      <c r="P791" s="718"/>
      <c r="Q791" s="718"/>
      <c r="R791" s="718"/>
      <c r="S791" s="718"/>
      <c r="T791" s="718"/>
      <c r="U791" s="718"/>
      <c r="V791" s="718"/>
    </row>
    <row r="792" spans="1:22" ht="10.5" customHeight="1" x14ac:dyDescent="0.25">
      <c r="A792" s="707">
        <v>515666</v>
      </c>
      <c r="B792" s="708" t="s">
        <v>1122</v>
      </c>
      <c r="C792" s="707" t="s">
        <v>1050</v>
      </c>
      <c r="D792" s="709">
        <v>34</v>
      </c>
      <c r="E792" s="709">
        <v>423.70000000000005</v>
      </c>
      <c r="F792" s="709">
        <v>14405.8</v>
      </c>
      <c r="G792" s="709"/>
      <c r="H792" s="711"/>
      <c r="I792" s="711"/>
      <c r="J792" s="711"/>
      <c r="K792" s="710">
        <v>1600.4843799999999</v>
      </c>
      <c r="L792" s="710">
        <v>1600.4843799999999</v>
      </c>
      <c r="M792" s="710">
        <v>1600.4843799999999</v>
      </c>
      <c r="N792" s="710">
        <v>1600.4843799999999</v>
      </c>
      <c r="O792" s="710">
        <v>1600.4843799999999</v>
      </c>
      <c r="P792" s="710">
        <v>1600.4843799999999</v>
      </c>
      <c r="Q792" s="710">
        <v>1600.4843799999999</v>
      </c>
      <c r="R792" s="710">
        <v>1600.4843799999999</v>
      </c>
      <c r="S792" s="710">
        <v>1601.9249599999998</v>
      </c>
      <c r="T792" s="711"/>
      <c r="U792" s="711"/>
      <c r="V792" s="711"/>
    </row>
    <row r="793" spans="1:22" ht="10.5" customHeight="1" x14ac:dyDescent="0.25">
      <c r="A793" s="712"/>
      <c r="B793" s="713"/>
      <c r="C793" s="714"/>
      <c r="D793" s="714"/>
      <c r="E793" s="714"/>
      <c r="F793" s="714"/>
      <c r="G793" s="714"/>
      <c r="H793" s="714"/>
      <c r="I793" s="714"/>
      <c r="J793" s="714"/>
      <c r="K793" s="715">
        <v>3.7774000000000001</v>
      </c>
      <c r="L793" s="715">
        <v>3.7774000000000001</v>
      </c>
      <c r="M793" s="715">
        <v>3.7774000000000001</v>
      </c>
      <c r="N793" s="715">
        <v>3.7774000000000001</v>
      </c>
      <c r="O793" s="715">
        <v>3.7774000000000001</v>
      </c>
      <c r="P793" s="715">
        <v>3.7774000000000001</v>
      </c>
      <c r="Q793" s="715">
        <v>3.7774000000000001</v>
      </c>
      <c r="R793" s="715">
        <v>3.7774000000000001</v>
      </c>
      <c r="S793" s="715">
        <v>3.7807999999999997</v>
      </c>
      <c r="T793" s="714"/>
      <c r="U793" s="714"/>
      <c r="V793" s="714"/>
    </row>
    <row r="794" spans="1:22" ht="10.5" customHeight="1" x14ac:dyDescent="0.25">
      <c r="A794" s="716"/>
      <c r="B794" s="717"/>
      <c r="C794" s="718"/>
      <c r="D794" s="718"/>
      <c r="E794" s="718"/>
      <c r="F794" s="718"/>
      <c r="G794" s="718"/>
      <c r="H794" s="718"/>
      <c r="I794" s="718"/>
      <c r="J794" s="718"/>
      <c r="K794" s="718"/>
      <c r="L794" s="718"/>
      <c r="M794" s="718"/>
      <c r="N794" s="718"/>
      <c r="O794" s="718"/>
      <c r="P794" s="718"/>
      <c r="Q794" s="718"/>
      <c r="R794" s="718"/>
      <c r="S794" s="718"/>
      <c r="T794" s="718"/>
      <c r="U794" s="718"/>
      <c r="V794" s="718"/>
    </row>
    <row r="795" spans="1:22" ht="10.5" customHeight="1" x14ac:dyDescent="0.25">
      <c r="A795" s="707">
        <v>515667</v>
      </c>
      <c r="B795" s="708" t="s">
        <v>1804</v>
      </c>
      <c r="C795" s="707" t="s">
        <v>1050</v>
      </c>
      <c r="D795" s="709">
        <v>34</v>
      </c>
      <c r="E795" s="709">
        <v>35.229999999999997</v>
      </c>
      <c r="F795" s="709">
        <v>1197.82</v>
      </c>
      <c r="G795" s="709"/>
      <c r="H795" s="711"/>
      <c r="I795" s="711"/>
      <c r="J795" s="711"/>
      <c r="K795" s="710">
        <v>133.07780199999999</v>
      </c>
      <c r="L795" s="710">
        <v>133.07780199999999</v>
      </c>
      <c r="M795" s="710">
        <v>133.07780199999999</v>
      </c>
      <c r="N795" s="710">
        <v>133.07780199999999</v>
      </c>
      <c r="O795" s="710">
        <v>133.07780199999999</v>
      </c>
      <c r="P795" s="710">
        <v>133.07780199999999</v>
      </c>
      <c r="Q795" s="710">
        <v>133.07780199999999</v>
      </c>
      <c r="R795" s="710">
        <v>133.07780199999999</v>
      </c>
      <c r="S795" s="710">
        <v>133.19758399999998</v>
      </c>
      <c r="T795" s="711"/>
      <c r="U795" s="711"/>
      <c r="V795" s="711"/>
    </row>
    <row r="796" spans="1:22" ht="10.5" customHeight="1" x14ac:dyDescent="0.25">
      <c r="A796" s="712"/>
      <c r="B796" s="713"/>
      <c r="C796" s="714"/>
      <c r="D796" s="714"/>
      <c r="E796" s="714"/>
      <c r="F796" s="714"/>
      <c r="G796" s="714"/>
      <c r="H796" s="714"/>
      <c r="I796" s="714"/>
      <c r="J796" s="714"/>
      <c r="K796" s="715">
        <v>3.7774000000000001</v>
      </c>
      <c r="L796" s="715">
        <v>3.7774000000000001</v>
      </c>
      <c r="M796" s="715">
        <v>3.7774000000000001</v>
      </c>
      <c r="N796" s="715">
        <v>3.7774000000000001</v>
      </c>
      <c r="O796" s="715">
        <v>3.7774000000000001</v>
      </c>
      <c r="P796" s="715">
        <v>3.7774000000000001</v>
      </c>
      <c r="Q796" s="715">
        <v>3.7774000000000001</v>
      </c>
      <c r="R796" s="715">
        <v>3.7774000000000001</v>
      </c>
      <c r="S796" s="715">
        <v>3.7807999999999997</v>
      </c>
      <c r="T796" s="714"/>
      <c r="U796" s="714"/>
      <c r="V796" s="714"/>
    </row>
    <row r="797" spans="1:22" ht="10.5" customHeight="1" x14ac:dyDescent="0.25">
      <c r="A797" s="716"/>
      <c r="B797" s="717"/>
      <c r="C797" s="718"/>
      <c r="D797" s="718"/>
      <c r="E797" s="718"/>
      <c r="F797" s="718"/>
      <c r="G797" s="718"/>
      <c r="H797" s="718"/>
      <c r="I797" s="718"/>
      <c r="J797" s="718"/>
      <c r="K797" s="718"/>
      <c r="L797" s="718"/>
      <c r="M797" s="718"/>
      <c r="N797" s="718"/>
      <c r="O797" s="718"/>
      <c r="P797" s="718"/>
      <c r="Q797" s="718"/>
      <c r="R797" s="718"/>
      <c r="S797" s="718"/>
      <c r="T797" s="718"/>
      <c r="U797" s="718"/>
      <c r="V797" s="718"/>
    </row>
    <row r="798" spans="1:22" ht="10.5" customHeight="1" x14ac:dyDescent="0.25">
      <c r="A798" s="707">
        <v>515658</v>
      </c>
      <c r="B798" s="708" t="s">
        <v>1805</v>
      </c>
      <c r="C798" s="707" t="s">
        <v>1050</v>
      </c>
      <c r="D798" s="709">
        <v>150</v>
      </c>
      <c r="E798" s="709">
        <v>6.59</v>
      </c>
      <c r="F798" s="709">
        <v>988.5</v>
      </c>
      <c r="G798" s="709"/>
      <c r="H798" s="711"/>
      <c r="I798" s="711"/>
      <c r="J798" s="711"/>
      <c r="K798" s="710">
        <v>109.82234999999999</v>
      </c>
      <c r="L798" s="710">
        <v>109.82234999999999</v>
      </c>
      <c r="M798" s="710">
        <v>109.82234999999999</v>
      </c>
      <c r="N798" s="710">
        <v>109.82234999999999</v>
      </c>
      <c r="O798" s="710">
        <v>109.82234999999999</v>
      </c>
      <c r="P798" s="710">
        <v>109.82234999999999</v>
      </c>
      <c r="Q798" s="710">
        <v>109.82234999999999</v>
      </c>
      <c r="R798" s="710">
        <v>109.82234999999999</v>
      </c>
      <c r="S798" s="710">
        <v>109.92119999999998</v>
      </c>
      <c r="T798" s="711"/>
      <c r="U798" s="711"/>
      <c r="V798" s="711"/>
    </row>
    <row r="799" spans="1:22" ht="10.5" customHeight="1" x14ac:dyDescent="0.25">
      <c r="A799" s="712"/>
      <c r="B799" s="713"/>
      <c r="C799" s="714"/>
      <c r="D799" s="714"/>
      <c r="E799" s="714"/>
      <c r="F799" s="714"/>
      <c r="G799" s="714"/>
      <c r="H799" s="714"/>
      <c r="I799" s="714"/>
      <c r="J799" s="714"/>
      <c r="K799" s="715">
        <v>16.664999999999999</v>
      </c>
      <c r="L799" s="715">
        <v>16.664999999999999</v>
      </c>
      <c r="M799" s="715">
        <v>16.664999999999999</v>
      </c>
      <c r="N799" s="715">
        <v>16.664999999999999</v>
      </c>
      <c r="O799" s="715">
        <v>16.664999999999999</v>
      </c>
      <c r="P799" s="715">
        <v>16.664999999999999</v>
      </c>
      <c r="Q799" s="715">
        <v>16.664999999999999</v>
      </c>
      <c r="R799" s="715">
        <v>16.664999999999999</v>
      </c>
      <c r="S799" s="715">
        <v>16.679999999999996</v>
      </c>
      <c r="T799" s="714"/>
      <c r="U799" s="714"/>
      <c r="V799" s="714"/>
    </row>
    <row r="800" spans="1:22" ht="10.5" customHeight="1" x14ac:dyDescent="0.25">
      <c r="A800" s="716"/>
      <c r="B800" s="717"/>
      <c r="C800" s="718"/>
      <c r="D800" s="718"/>
      <c r="E800" s="718"/>
      <c r="F800" s="718"/>
      <c r="G800" s="718"/>
      <c r="H800" s="718"/>
      <c r="I800" s="718"/>
      <c r="J800" s="718"/>
      <c r="K800" s="718"/>
      <c r="L800" s="718"/>
      <c r="M800" s="718"/>
      <c r="N800" s="718"/>
      <c r="O800" s="718"/>
      <c r="P800" s="718"/>
      <c r="Q800" s="718"/>
      <c r="R800" s="718"/>
      <c r="S800" s="718"/>
      <c r="T800" s="718"/>
      <c r="U800" s="718"/>
      <c r="V800" s="718"/>
    </row>
    <row r="801" spans="1:22" s="105" customFormat="1" ht="10.5" customHeight="1" x14ac:dyDescent="0.25">
      <c r="A801" s="704"/>
      <c r="B801" s="719" t="s">
        <v>1123</v>
      </c>
      <c r="C801" s="704"/>
      <c r="D801" s="705"/>
      <c r="E801" s="706">
        <v>0</v>
      </c>
      <c r="F801" s="706">
        <v>32647.389999999996</v>
      </c>
      <c r="G801" s="706"/>
      <c r="H801" s="705"/>
      <c r="I801" s="705"/>
      <c r="J801" s="705"/>
      <c r="K801" s="705"/>
      <c r="L801" s="705"/>
      <c r="M801" s="705"/>
      <c r="N801" s="705"/>
      <c r="O801" s="705"/>
      <c r="P801" s="705"/>
      <c r="Q801" s="705"/>
      <c r="R801" s="705"/>
      <c r="S801" s="705"/>
      <c r="T801" s="705"/>
      <c r="U801" s="705"/>
      <c r="V801" s="705"/>
    </row>
    <row r="802" spans="1:22" ht="10.5" customHeight="1" x14ac:dyDescent="0.25">
      <c r="A802" s="707">
        <v>502862</v>
      </c>
      <c r="B802" s="708" t="s">
        <v>1806</v>
      </c>
      <c r="C802" s="707" t="s">
        <v>1050</v>
      </c>
      <c r="D802" s="709">
        <v>324</v>
      </c>
      <c r="E802" s="709">
        <v>20.67</v>
      </c>
      <c r="F802" s="709">
        <v>6697.08</v>
      </c>
      <c r="G802" s="709"/>
      <c r="H802" s="711"/>
      <c r="I802" s="711"/>
      <c r="J802" s="710">
        <v>669.70800000000008</v>
      </c>
      <c r="K802" s="710">
        <v>669.70800000000008</v>
      </c>
      <c r="L802" s="710">
        <v>669.70800000000008</v>
      </c>
      <c r="M802" s="710">
        <v>669.70800000000008</v>
      </c>
      <c r="N802" s="710">
        <v>669.70800000000008</v>
      </c>
      <c r="O802" s="710">
        <v>669.70800000000008</v>
      </c>
      <c r="P802" s="710">
        <v>669.70800000000008</v>
      </c>
      <c r="Q802" s="710">
        <v>669.70800000000008</v>
      </c>
      <c r="R802" s="710">
        <v>669.70800000000008</v>
      </c>
      <c r="S802" s="710">
        <v>669.70800000000008</v>
      </c>
      <c r="T802" s="711"/>
      <c r="U802" s="711"/>
      <c r="V802" s="711"/>
    </row>
    <row r="803" spans="1:22" ht="10.5" customHeight="1" x14ac:dyDescent="0.25">
      <c r="A803" s="712"/>
      <c r="B803" s="713"/>
      <c r="C803" s="714"/>
      <c r="D803" s="714"/>
      <c r="E803" s="714"/>
      <c r="F803" s="714"/>
      <c r="G803" s="714"/>
      <c r="H803" s="714"/>
      <c r="I803" s="714"/>
      <c r="J803" s="715">
        <v>32.4</v>
      </c>
      <c r="K803" s="715">
        <v>32.4</v>
      </c>
      <c r="L803" s="715">
        <v>32.4</v>
      </c>
      <c r="M803" s="715">
        <v>32.4</v>
      </c>
      <c r="N803" s="715">
        <v>32.4</v>
      </c>
      <c r="O803" s="715">
        <v>32.4</v>
      </c>
      <c r="P803" s="715">
        <v>32.4</v>
      </c>
      <c r="Q803" s="715">
        <v>32.4</v>
      </c>
      <c r="R803" s="715">
        <v>32.4</v>
      </c>
      <c r="S803" s="715">
        <v>32.4</v>
      </c>
      <c r="T803" s="714"/>
      <c r="U803" s="714"/>
      <c r="V803" s="714"/>
    </row>
    <row r="804" spans="1:22" ht="10.5" customHeight="1" x14ac:dyDescent="0.25">
      <c r="A804" s="716"/>
      <c r="B804" s="717"/>
      <c r="C804" s="718"/>
      <c r="D804" s="718"/>
      <c r="E804" s="718"/>
      <c r="F804" s="718"/>
      <c r="G804" s="718"/>
      <c r="H804" s="718"/>
      <c r="I804" s="718"/>
      <c r="J804" s="718"/>
      <c r="K804" s="718"/>
      <c r="L804" s="718"/>
      <c r="M804" s="718"/>
      <c r="N804" s="718"/>
      <c r="O804" s="718"/>
      <c r="P804" s="718"/>
      <c r="Q804" s="718"/>
      <c r="R804" s="718"/>
      <c r="S804" s="718"/>
      <c r="T804" s="718"/>
      <c r="U804" s="718"/>
      <c r="V804" s="718"/>
    </row>
    <row r="805" spans="1:22" ht="10.5" customHeight="1" x14ac:dyDescent="0.25">
      <c r="A805" s="707">
        <v>502863</v>
      </c>
      <c r="B805" s="708" t="s">
        <v>1807</v>
      </c>
      <c r="C805" s="707" t="s">
        <v>1050</v>
      </c>
      <c r="D805" s="709">
        <v>16</v>
      </c>
      <c r="E805" s="709">
        <v>23.21</v>
      </c>
      <c r="F805" s="709">
        <v>371.36</v>
      </c>
      <c r="G805" s="709"/>
      <c r="H805" s="711"/>
      <c r="I805" s="711"/>
      <c r="J805" s="710">
        <v>37.136000000000003</v>
      </c>
      <c r="K805" s="710">
        <v>37.136000000000003</v>
      </c>
      <c r="L805" s="710">
        <v>37.136000000000003</v>
      </c>
      <c r="M805" s="710">
        <v>37.136000000000003</v>
      </c>
      <c r="N805" s="710">
        <v>37.136000000000003</v>
      </c>
      <c r="O805" s="710">
        <v>37.136000000000003</v>
      </c>
      <c r="P805" s="710">
        <v>37.136000000000003</v>
      </c>
      <c r="Q805" s="710">
        <v>37.136000000000003</v>
      </c>
      <c r="R805" s="710">
        <v>37.136000000000003</v>
      </c>
      <c r="S805" s="710">
        <v>37.136000000000003</v>
      </c>
      <c r="T805" s="711"/>
      <c r="U805" s="711"/>
      <c r="V805" s="711"/>
    </row>
    <row r="806" spans="1:22" ht="10.5" customHeight="1" x14ac:dyDescent="0.25">
      <c r="A806" s="712"/>
      <c r="B806" s="713"/>
      <c r="C806" s="714"/>
      <c r="D806" s="714"/>
      <c r="E806" s="714"/>
      <c r="F806" s="714"/>
      <c r="G806" s="714"/>
      <c r="H806" s="714"/>
      <c r="I806" s="714"/>
      <c r="J806" s="715">
        <v>1.6</v>
      </c>
      <c r="K806" s="715">
        <v>1.6</v>
      </c>
      <c r="L806" s="715">
        <v>1.6</v>
      </c>
      <c r="M806" s="715">
        <v>1.6</v>
      </c>
      <c r="N806" s="715">
        <v>1.6</v>
      </c>
      <c r="O806" s="715">
        <v>1.6</v>
      </c>
      <c r="P806" s="715">
        <v>1.6</v>
      </c>
      <c r="Q806" s="715">
        <v>1.6</v>
      </c>
      <c r="R806" s="715">
        <v>1.6</v>
      </c>
      <c r="S806" s="715">
        <v>1.6</v>
      </c>
      <c r="T806" s="714"/>
      <c r="U806" s="714"/>
      <c r="V806" s="714"/>
    </row>
    <row r="807" spans="1:22" ht="10.5" customHeight="1" x14ac:dyDescent="0.25">
      <c r="A807" s="716"/>
      <c r="B807" s="717"/>
      <c r="C807" s="718"/>
      <c r="D807" s="718"/>
      <c r="E807" s="718"/>
      <c r="F807" s="718"/>
      <c r="G807" s="718"/>
      <c r="H807" s="718"/>
      <c r="I807" s="718"/>
      <c r="J807" s="718"/>
      <c r="K807" s="718"/>
      <c r="L807" s="718"/>
      <c r="M807" s="718"/>
      <c r="N807" s="718"/>
      <c r="O807" s="718"/>
      <c r="P807" s="718"/>
      <c r="Q807" s="718"/>
      <c r="R807" s="718"/>
      <c r="S807" s="718"/>
      <c r="T807" s="718"/>
      <c r="U807" s="718"/>
      <c r="V807" s="718"/>
    </row>
    <row r="808" spans="1:22" ht="10.5" customHeight="1" x14ac:dyDescent="0.25">
      <c r="A808" s="707">
        <v>502864</v>
      </c>
      <c r="B808" s="708" t="s">
        <v>1808</v>
      </c>
      <c r="C808" s="707" t="s">
        <v>1050</v>
      </c>
      <c r="D808" s="709">
        <v>145</v>
      </c>
      <c r="E808" s="709">
        <v>26.47</v>
      </c>
      <c r="F808" s="709">
        <v>3838.15</v>
      </c>
      <c r="G808" s="709"/>
      <c r="H808" s="711"/>
      <c r="I808" s="711"/>
      <c r="J808" s="710">
        <v>383.815</v>
      </c>
      <c r="K808" s="710">
        <v>383.815</v>
      </c>
      <c r="L808" s="710">
        <v>383.815</v>
      </c>
      <c r="M808" s="710">
        <v>383.815</v>
      </c>
      <c r="N808" s="710">
        <v>383.815</v>
      </c>
      <c r="O808" s="710">
        <v>383.815</v>
      </c>
      <c r="P808" s="710">
        <v>383.815</v>
      </c>
      <c r="Q808" s="710">
        <v>383.815</v>
      </c>
      <c r="R808" s="710">
        <v>383.815</v>
      </c>
      <c r="S808" s="710">
        <v>383.815</v>
      </c>
      <c r="T808" s="711"/>
      <c r="U808" s="711"/>
      <c r="V808" s="711"/>
    </row>
    <row r="809" spans="1:22" ht="10.5" customHeight="1" x14ac:dyDescent="0.25">
      <c r="A809" s="712"/>
      <c r="B809" s="713"/>
      <c r="C809" s="714"/>
      <c r="D809" s="714"/>
      <c r="E809" s="714"/>
      <c r="F809" s="714"/>
      <c r="G809" s="714"/>
      <c r="H809" s="714"/>
      <c r="I809" s="714"/>
      <c r="J809" s="715">
        <v>14.5</v>
      </c>
      <c r="K809" s="715">
        <v>14.5</v>
      </c>
      <c r="L809" s="715">
        <v>14.5</v>
      </c>
      <c r="M809" s="715">
        <v>14.5</v>
      </c>
      <c r="N809" s="715">
        <v>14.5</v>
      </c>
      <c r="O809" s="715">
        <v>14.5</v>
      </c>
      <c r="P809" s="715">
        <v>14.5</v>
      </c>
      <c r="Q809" s="715">
        <v>14.5</v>
      </c>
      <c r="R809" s="715">
        <v>14.5</v>
      </c>
      <c r="S809" s="715">
        <v>14.5</v>
      </c>
      <c r="T809" s="714"/>
      <c r="U809" s="714"/>
      <c r="V809" s="714"/>
    </row>
    <row r="810" spans="1:22" ht="10.5" customHeight="1" x14ac:dyDescent="0.25">
      <c r="A810" s="716"/>
      <c r="B810" s="717"/>
      <c r="C810" s="718"/>
      <c r="D810" s="718"/>
      <c r="E810" s="718"/>
      <c r="F810" s="718"/>
      <c r="G810" s="718"/>
      <c r="H810" s="718"/>
      <c r="I810" s="718"/>
      <c r="J810" s="718"/>
      <c r="K810" s="718"/>
      <c r="L810" s="718"/>
      <c r="M810" s="718"/>
      <c r="N810" s="718"/>
      <c r="O810" s="718"/>
      <c r="P810" s="718"/>
      <c r="Q810" s="718"/>
      <c r="R810" s="718"/>
      <c r="S810" s="718"/>
      <c r="T810" s="718"/>
      <c r="U810" s="718"/>
      <c r="V810" s="718"/>
    </row>
    <row r="811" spans="1:22" ht="10.5" customHeight="1" x14ac:dyDescent="0.25">
      <c r="A811" s="707">
        <v>515591</v>
      </c>
      <c r="B811" s="708" t="s">
        <v>1809</v>
      </c>
      <c r="C811" s="707" t="s">
        <v>683</v>
      </c>
      <c r="D811" s="709">
        <v>50</v>
      </c>
      <c r="E811" s="709">
        <v>6.7</v>
      </c>
      <c r="F811" s="709">
        <v>335</v>
      </c>
      <c r="G811" s="709"/>
      <c r="H811" s="711"/>
      <c r="I811" s="711"/>
      <c r="J811" s="710">
        <v>33.5</v>
      </c>
      <c r="K811" s="710">
        <v>33.5</v>
      </c>
      <c r="L811" s="710">
        <v>33.5</v>
      </c>
      <c r="M811" s="710">
        <v>33.5</v>
      </c>
      <c r="N811" s="710">
        <v>33.5</v>
      </c>
      <c r="O811" s="710">
        <v>33.5</v>
      </c>
      <c r="P811" s="710">
        <v>33.5</v>
      </c>
      <c r="Q811" s="710">
        <v>33.5</v>
      </c>
      <c r="R811" s="710">
        <v>33.5</v>
      </c>
      <c r="S811" s="710">
        <v>33.5</v>
      </c>
      <c r="T811" s="711"/>
      <c r="U811" s="711"/>
      <c r="V811" s="711"/>
    </row>
    <row r="812" spans="1:22" ht="10.5" customHeight="1" x14ac:dyDescent="0.25">
      <c r="A812" s="712"/>
      <c r="B812" s="713"/>
      <c r="C812" s="714"/>
      <c r="D812" s="714"/>
      <c r="E812" s="714"/>
      <c r="F812" s="714"/>
      <c r="G812" s="714"/>
      <c r="H812" s="714"/>
      <c r="I812" s="714"/>
      <c r="J812" s="715">
        <v>5</v>
      </c>
      <c r="K812" s="715">
        <v>5</v>
      </c>
      <c r="L812" s="715">
        <v>5</v>
      </c>
      <c r="M812" s="715">
        <v>5</v>
      </c>
      <c r="N812" s="715">
        <v>5</v>
      </c>
      <c r="O812" s="715">
        <v>5</v>
      </c>
      <c r="P812" s="715">
        <v>5</v>
      </c>
      <c r="Q812" s="715">
        <v>5</v>
      </c>
      <c r="R812" s="715">
        <v>5</v>
      </c>
      <c r="S812" s="715">
        <v>5</v>
      </c>
      <c r="T812" s="714"/>
      <c r="U812" s="714"/>
      <c r="V812" s="714"/>
    </row>
    <row r="813" spans="1:22" ht="10.5" customHeight="1" x14ac:dyDescent="0.25">
      <c r="A813" s="716"/>
      <c r="B813" s="717"/>
      <c r="C813" s="718"/>
      <c r="D813" s="718"/>
      <c r="E813" s="718"/>
      <c r="F813" s="718"/>
      <c r="G813" s="718"/>
      <c r="H813" s="718"/>
      <c r="I813" s="718"/>
      <c r="J813" s="718"/>
      <c r="K813" s="718"/>
      <c r="L813" s="718"/>
      <c r="M813" s="718"/>
      <c r="N813" s="718"/>
      <c r="O813" s="718"/>
      <c r="P813" s="718"/>
      <c r="Q813" s="718"/>
      <c r="R813" s="718"/>
      <c r="S813" s="718"/>
      <c r="T813" s="718"/>
      <c r="U813" s="718"/>
      <c r="V813" s="718"/>
    </row>
    <row r="814" spans="1:22" ht="10.5" customHeight="1" x14ac:dyDescent="0.25">
      <c r="A814" s="707">
        <v>507037</v>
      </c>
      <c r="B814" s="708" t="s">
        <v>1810</v>
      </c>
      <c r="C814" s="707" t="s">
        <v>683</v>
      </c>
      <c r="D814" s="709">
        <v>50</v>
      </c>
      <c r="E814" s="709">
        <v>8.84</v>
      </c>
      <c r="F814" s="709">
        <v>442</v>
      </c>
      <c r="G814" s="709"/>
      <c r="H814" s="711"/>
      <c r="I814" s="711"/>
      <c r="J814" s="710">
        <v>44.2</v>
      </c>
      <c r="K814" s="710">
        <v>44.2</v>
      </c>
      <c r="L814" s="710">
        <v>44.2</v>
      </c>
      <c r="M814" s="710">
        <v>44.2</v>
      </c>
      <c r="N814" s="710">
        <v>44.2</v>
      </c>
      <c r="O814" s="710">
        <v>44.2</v>
      </c>
      <c r="P814" s="710">
        <v>44.2</v>
      </c>
      <c r="Q814" s="710">
        <v>44.2</v>
      </c>
      <c r="R814" s="710">
        <v>44.2</v>
      </c>
      <c r="S814" s="710">
        <v>44.2</v>
      </c>
      <c r="T814" s="711"/>
      <c r="U814" s="711"/>
      <c r="V814" s="711"/>
    </row>
    <row r="815" spans="1:22" ht="10.5" customHeight="1" x14ac:dyDescent="0.25">
      <c r="A815" s="712"/>
      <c r="B815" s="713"/>
      <c r="C815" s="714"/>
      <c r="D815" s="714"/>
      <c r="E815" s="714"/>
      <c r="F815" s="714"/>
      <c r="G815" s="714"/>
      <c r="H815" s="714"/>
      <c r="I815" s="714"/>
      <c r="J815" s="715">
        <v>5</v>
      </c>
      <c r="K815" s="715">
        <v>5</v>
      </c>
      <c r="L815" s="715">
        <v>5</v>
      </c>
      <c r="M815" s="715">
        <v>5</v>
      </c>
      <c r="N815" s="715">
        <v>5</v>
      </c>
      <c r="O815" s="715">
        <v>5</v>
      </c>
      <c r="P815" s="715">
        <v>5</v>
      </c>
      <c r="Q815" s="715">
        <v>5</v>
      </c>
      <c r="R815" s="715">
        <v>5</v>
      </c>
      <c r="S815" s="715">
        <v>5</v>
      </c>
      <c r="T815" s="714"/>
      <c r="U815" s="714"/>
      <c r="V815" s="714"/>
    </row>
    <row r="816" spans="1:22" ht="10.5" customHeight="1" x14ac:dyDescent="0.25">
      <c r="A816" s="716"/>
      <c r="B816" s="717"/>
      <c r="C816" s="718"/>
      <c r="D816" s="718"/>
      <c r="E816" s="718"/>
      <c r="F816" s="718"/>
      <c r="G816" s="718"/>
      <c r="H816" s="718"/>
      <c r="I816" s="718"/>
      <c r="J816" s="718"/>
      <c r="K816" s="718"/>
      <c r="L816" s="718"/>
      <c r="M816" s="718"/>
      <c r="N816" s="718"/>
      <c r="O816" s="718"/>
      <c r="P816" s="718"/>
      <c r="Q816" s="718"/>
      <c r="R816" s="718"/>
      <c r="S816" s="718"/>
      <c r="T816" s="718"/>
      <c r="U816" s="718"/>
      <c r="V816" s="718"/>
    </row>
    <row r="817" spans="1:22" ht="10.5" customHeight="1" x14ac:dyDescent="0.25">
      <c r="A817" s="707">
        <v>507036</v>
      </c>
      <c r="B817" s="708" t="s">
        <v>1811</v>
      </c>
      <c r="C817" s="707" t="s">
        <v>683</v>
      </c>
      <c r="D817" s="709">
        <v>864</v>
      </c>
      <c r="E817" s="709">
        <v>9.1</v>
      </c>
      <c r="F817" s="709">
        <v>7862.4</v>
      </c>
      <c r="G817" s="709"/>
      <c r="H817" s="711"/>
      <c r="I817" s="711"/>
      <c r="J817" s="710">
        <v>786.24</v>
      </c>
      <c r="K817" s="710">
        <v>786.24</v>
      </c>
      <c r="L817" s="710">
        <v>786.24</v>
      </c>
      <c r="M817" s="710">
        <v>786.24</v>
      </c>
      <c r="N817" s="710">
        <v>786.24</v>
      </c>
      <c r="O817" s="710">
        <v>786.24</v>
      </c>
      <c r="P817" s="710">
        <v>786.24</v>
      </c>
      <c r="Q817" s="710">
        <v>786.24</v>
      </c>
      <c r="R817" s="710">
        <v>786.24</v>
      </c>
      <c r="S817" s="710">
        <v>786.24</v>
      </c>
      <c r="T817" s="711"/>
      <c r="U817" s="711"/>
      <c r="V817" s="711"/>
    </row>
    <row r="818" spans="1:22" ht="10.5" customHeight="1" x14ac:dyDescent="0.25">
      <c r="A818" s="712"/>
      <c r="B818" s="713"/>
      <c r="C818" s="714"/>
      <c r="D818" s="714"/>
      <c r="E818" s="714"/>
      <c r="F818" s="714"/>
      <c r="G818" s="714"/>
      <c r="H818" s="714"/>
      <c r="I818" s="714"/>
      <c r="J818" s="715">
        <v>86.4</v>
      </c>
      <c r="K818" s="715">
        <v>86.4</v>
      </c>
      <c r="L818" s="715">
        <v>86.4</v>
      </c>
      <c r="M818" s="715">
        <v>86.4</v>
      </c>
      <c r="N818" s="715">
        <v>86.4</v>
      </c>
      <c r="O818" s="715">
        <v>86.4</v>
      </c>
      <c r="P818" s="715">
        <v>86.4</v>
      </c>
      <c r="Q818" s="715">
        <v>86.4</v>
      </c>
      <c r="R818" s="715">
        <v>86.4</v>
      </c>
      <c r="S818" s="715">
        <v>86.4</v>
      </c>
      <c r="T818" s="714"/>
      <c r="U818" s="714"/>
      <c r="V818" s="714"/>
    </row>
    <row r="819" spans="1:22" ht="10.5" customHeight="1" x14ac:dyDescent="0.25">
      <c r="A819" s="716"/>
      <c r="B819" s="717"/>
      <c r="C819" s="718"/>
      <c r="D819" s="718"/>
      <c r="E819" s="718"/>
      <c r="F819" s="718"/>
      <c r="G819" s="718"/>
      <c r="H819" s="718"/>
      <c r="I819" s="718"/>
      <c r="J819" s="718"/>
      <c r="K819" s="718"/>
      <c r="L819" s="718"/>
      <c r="M819" s="718"/>
      <c r="N819" s="718"/>
      <c r="O819" s="718"/>
      <c r="P819" s="718"/>
      <c r="Q819" s="718"/>
      <c r="R819" s="718"/>
      <c r="S819" s="718"/>
      <c r="T819" s="718"/>
      <c r="U819" s="718"/>
      <c r="V819" s="718"/>
    </row>
    <row r="820" spans="1:22" ht="10.5" customHeight="1" x14ac:dyDescent="0.25">
      <c r="A820" s="707">
        <v>515592</v>
      </c>
      <c r="B820" s="708" t="s">
        <v>1812</v>
      </c>
      <c r="C820" s="707" t="s">
        <v>683</v>
      </c>
      <c r="D820" s="709">
        <v>84</v>
      </c>
      <c r="E820" s="709">
        <v>16.57</v>
      </c>
      <c r="F820" s="709">
        <v>1391.88</v>
      </c>
      <c r="G820" s="709"/>
      <c r="H820" s="711"/>
      <c r="I820" s="711"/>
      <c r="J820" s="710">
        <v>139.18800000000002</v>
      </c>
      <c r="K820" s="710">
        <v>139.18800000000002</v>
      </c>
      <c r="L820" s="710">
        <v>139.18800000000002</v>
      </c>
      <c r="M820" s="710">
        <v>139.18800000000002</v>
      </c>
      <c r="N820" s="710">
        <v>139.18800000000002</v>
      </c>
      <c r="O820" s="710">
        <v>139.18800000000002</v>
      </c>
      <c r="P820" s="710">
        <v>139.18800000000002</v>
      </c>
      <c r="Q820" s="710">
        <v>139.18800000000002</v>
      </c>
      <c r="R820" s="710">
        <v>139.18800000000002</v>
      </c>
      <c r="S820" s="710">
        <v>139.18800000000002</v>
      </c>
      <c r="T820" s="711"/>
      <c r="U820" s="711"/>
      <c r="V820" s="711"/>
    </row>
    <row r="821" spans="1:22" ht="10.5" customHeight="1" x14ac:dyDescent="0.25">
      <c r="A821" s="712"/>
      <c r="B821" s="713"/>
      <c r="C821" s="714"/>
      <c r="D821" s="714"/>
      <c r="E821" s="714"/>
      <c r="F821" s="714"/>
      <c r="G821" s="714"/>
      <c r="H821" s="714"/>
      <c r="I821" s="714"/>
      <c r="J821" s="715">
        <v>8.4</v>
      </c>
      <c r="K821" s="715">
        <v>8.4</v>
      </c>
      <c r="L821" s="715">
        <v>8.4</v>
      </c>
      <c r="M821" s="715">
        <v>8.4</v>
      </c>
      <c r="N821" s="715">
        <v>8.4</v>
      </c>
      <c r="O821" s="715">
        <v>8.4</v>
      </c>
      <c r="P821" s="715">
        <v>8.4</v>
      </c>
      <c r="Q821" s="715">
        <v>8.4</v>
      </c>
      <c r="R821" s="715">
        <v>8.4</v>
      </c>
      <c r="S821" s="715">
        <v>8.4</v>
      </c>
      <c r="T821" s="714"/>
      <c r="U821" s="714"/>
      <c r="V821" s="714"/>
    </row>
    <row r="822" spans="1:22" ht="10.5" customHeight="1" x14ac:dyDescent="0.25">
      <c r="A822" s="716"/>
      <c r="B822" s="717"/>
      <c r="C822" s="718"/>
      <c r="D822" s="718"/>
      <c r="E822" s="718"/>
      <c r="F822" s="718"/>
      <c r="G822" s="718"/>
      <c r="H822" s="718"/>
      <c r="I822" s="718"/>
      <c r="J822" s="718"/>
      <c r="K822" s="718"/>
      <c r="L822" s="718"/>
      <c r="M822" s="718"/>
      <c r="N822" s="718"/>
      <c r="O822" s="718"/>
      <c r="P822" s="718"/>
      <c r="Q822" s="718"/>
      <c r="R822" s="718"/>
      <c r="S822" s="718"/>
      <c r="T822" s="718"/>
      <c r="U822" s="718"/>
      <c r="V822" s="718"/>
    </row>
    <row r="823" spans="1:22" ht="10.5" customHeight="1" x14ac:dyDescent="0.25">
      <c r="A823" s="707">
        <v>502863</v>
      </c>
      <c r="B823" s="708" t="s">
        <v>1813</v>
      </c>
      <c r="C823" s="707" t="s">
        <v>1050</v>
      </c>
      <c r="D823" s="709">
        <v>10</v>
      </c>
      <c r="E823" s="709">
        <v>23.21</v>
      </c>
      <c r="F823" s="709">
        <v>232.1</v>
      </c>
      <c r="G823" s="709"/>
      <c r="H823" s="711"/>
      <c r="I823" s="711"/>
      <c r="J823" s="710">
        <v>23.21</v>
      </c>
      <c r="K823" s="710">
        <v>23.21</v>
      </c>
      <c r="L823" s="710">
        <v>23.21</v>
      </c>
      <c r="M823" s="710">
        <v>23.21</v>
      </c>
      <c r="N823" s="710">
        <v>23.21</v>
      </c>
      <c r="O823" s="710">
        <v>23.21</v>
      </c>
      <c r="P823" s="710">
        <v>23.21</v>
      </c>
      <c r="Q823" s="710">
        <v>23.21</v>
      </c>
      <c r="R823" s="710">
        <v>23.21</v>
      </c>
      <c r="S823" s="710">
        <v>23.21</v>
      </c>
      <c r="T823" s="711"/>
      <c r="U823" s="711"/>
      <c r="V823" s="711"/>
    </row>
    <row r="824" spans="1:22" ht="10.5" customHeight="1" x14ac:dyDescent="0.25">
      <c r="A824" s="712"/>
      <c r="B824" s="713"/>
      <c r="C824" s="714"/>
      <c r="D824" s="714"/>
      <c r="E824" s="714"/>
      <c r="F824" s="714"/>
      <c r="G824" s="714"/>
      <c r="H824" s="714"/>
      <c r="I824" s="714"/>
      <c r="J824" s="715">
        <v>1</v>
      </c>
      <c r="K824" s="715">
        <v>1</v>
      </c>
      <c r="L824" s="715">
        <v>1</v>
      </c>
      <c r="M824" s="715">
        <v>1</v>
      </c>
      <c r="N824" s="715">
        <v>1</v>
      </c>
      <c r="O824" s="715">
        <v>1</v>
      </c>
      <c r="P824" s="715">
        <v>1</v>
      </c>
      <c r="Q824" s="715">
        <v>1</v>
      </c>
      <c r="R824" s="715">
        <v>1</v>
      </c>
      <c r="S824" s="715">
        <v>1</v>
      </c>
      <c r="T824" s="714"/>
      <c r="U824" s="714"/>
      <c r="V824" s="714"/>
    </row>
    <row r="825" spans="1:22" ht="10.5" customHeight="1" x14ac:dyDescent="0.25">
      <c r="A825" s="716"/>
      <c r="B825" s="717"/>
      <c r="C825" s="718"/>
      <c r="D825" s="718"/>
      <c r="E825" s="718"/>
      <c r="F825" s="718"/>
      <c r="G825" s="718"/>
      <c r="H825" s="718"/>
      <c r="I825" s="718"/>
      <c r="J825" s="718"/>
      <c r="K825" s="718"/>
      <c r="L825" s="718"/>
      <c r="M825" s="718"/>
      <c r="N825" s="718"/>
      <c r="O825" s="718"/>
      <c r="P825" s="718"/>
      <c r="Q825" s="718"/>
      <c r="R825" s="718"/>
      <c r="S825" s="718"/>
      <c r="T825" s="718"/>
      <c r="U825" s="718"/>
      <c r="V825" s="718"/>
    </row>
    <row r="826" spans="1:22" ht="10.5" customHeight="1" x14ac:dyDescent="0.25">
      <c r="A826" s="707">
        <v>502864</v>
      </c>
      <c r="B826" s="708" t="s">
        <v>1814</v>
      </c>
      <c r="C826" s="707" t="s">
        <v>1050</v>
      </c>
      <c r="D826" s="709">
        <v>10</v>
      </c>
      <c r="E826" s="709">
        <v>26.47</v>
      </c>
      <c r="F826" s="709">
        <v>264.7</v>
      </c>
      <c r="G826" s="709"/>
      <c r="H826" s="711"/>
      <c r="I826" s="711"/>
      <c r="J826" s="710">
        <v>26.47</v>
      </c>
      <c r="K826" s="710">
        <v>26.47</v>
      </c>
      <c r="L826" s="710">
        <v>26.47</v>
      </c>
      <c r="M826" s="710">
        <v>26.47</v>
      </c>
      <c r="N826" s="710">
        <v>26.47</v>
      </c>
      <c r="O826" s="710">
        <v>26.47</v>
      </c>
      <c r="P826" s="710">
        <v>26.47</v>
      </c>
      <c r="Q826" s="710">
        <v>26.47</v>
      </c>
      <c r="R826" s="710">
        <v>26.47</v>
      </c>
      <c r="S826" s="710">
        <v>26.47</v>
      </c>
      <c r="T826" s="711"/>
      <c r="U826" s="711"/>
      <c r="V826" s="711"/>
    </row>
    <row r="827" spans="1:22" ht="10.5" customHeight="1" x14ac:dyDescent="0.25">
      <c r="A827" s="712"/>
      <c r="B827" s="713"/>
      <c r="C827" s="714"/>
      <c r="D827" s="714"/>
      <c r="E827" s="714"/>
      <c r="F827" s="714"/>
      <c r="G827" s="714"/>
      <c r="H827" s="714"/>
      <c r="I827" s="714"/>
      <c r="J827" s="715">
        <v>1</v>
      </c>
      <c r="K827" s="715">
        <v>1</v>
      </c>
      <c r="L827" s="715">
        <v>1</v>
      </c>
      <c r="M827" s="715">
        <v>1</v>
      </c>
      <c r="N827" s="715">
        <v>1</v>
      </c>
      <c r="O827" s="715">
        <v>1</v>
      </c>
      <c r="P827" s="715">
        <v>1</v>
      </c>
      <c r="Q827" s="715">
        <v>1</v>
      </c>
      <c r="R827" s="715">
        <v>1</v>
      </c>
      <c r="S827" s="715">
        <v>1</v>
      </c>
      <c r="T827" s="714"/>
      <c r="U827" s="714"/>
      <c r="V827" s="714"/>
    </row>
    <row r="828" spans="1:22" ht="10.5" customHeight="1" x14ac:dyDescent="0.25">
      <c r="A828" s="716"/>
      <c r="B828" s="717"/>
      <c r="C828" s="718"/>
      <c r="D828" s="718"/>
      <c r="E828" s="718"/>
      <c r="F828" s="718"/>
      <c r="G828" s="718"/>
      <c r="H828" s="718"/>
      <c r="I828" s="718"/>
      <c r="J828" s="718"/>
      <c r="K828" s="718"/>
      <c r="L828" s="718"/>
      <c r="M828" s="718"/>
      <c r="N828" s="718"/>
      <c r="O828" s="718"/>
      <c r="P828" s="718"/>
      <c r="Q828" s="718"/>
      <c r="R828" s="718"/>
      <c r="S828" s="718"/>
      <c r="T828" s="718"/>
      <c r="U828" s="718"/>
      <c r="V828" s="718"/>
    </row>
    <row r="829" spans="1:22" ht="10.5" customHeight="1" x14ac:dyDescent="0.25">
      <c r="A829" s="707">
        <v>502864</v>
      </c>
      <c r="B829" s="708" t="s">
        <v>1815</v>
      </c>
      <c r="C829" s="707" t="s">
        <v>1050</v>
      </c>
      <c r="D829" s="709">
        <v>5</v>
      </c>
      <c r="E829" s="709">
        <v>26.47</v>
      </c>
      <c r="F829" s="709">
        <v>132.35</v>
      </c>
      <c r="G829" s="709"/>
      <c r="H829" s="711"/>
      <c r="I829" s="711"/>
      <c r="J829" s="710">
        <v>13.234999999999999</v>
      </c>
      <c r="K829" s="710">
        <v>13.234999999999999</v>
      </c>
      <c r="L829" s="710">
        <v>13.234999999999999</v>
      </c>
      <c r="M829" s="710">
        <v>13.234999999999999</v>
      </c>
      <c r="N829" s="710">
        <v>13.234999999999999</v>
      </c>
      <c r="O829" s="710">
        <v>13.234999999999999</v>
      </c>
      <c r="P829" s="710">
        <v>13.234999999999999</v>
      </c>
      <c r="Q829" s="710">
        <v>13.234999999999999</v>
      </c>
      <c r="R829" s="710">
        <v>13.234999999999999</v>
      </c>
      <c r="S829" s="710">
        <v>13.234999999999999</v>
      </c>
      <c r="T829" s="711"/>
      <c r="U829" s="711"/>
      <c r="V829" s="711"/>
    </row>
    <row r="830" spans="1:22" ht="10.5" customHeight="1" x14ac:dyDescent="0.25">
      <c r="A830" s="712"/>
      <c r="B830" s="713"/>
      <c r="C830" s="714"/>
      <c r="D830" s="714"/>
      <c r="E830" s="714"/>
      <c r="F830" s="714"/>
      <c r="G830" s="714"/>
      <c r="H830" s="714"/>
      <c r="I830" s="714"/>
      <c r="J830" s="715">
        <v>0.5</v>
      </c>
      <c r="K830" s="715">
        <v>0.5</v>
      </c>
      <c r="L830" s="715">
        <v>0.5</v>
      </c>
      <c r="M830" s="715">
        <v>0.5</v>
      </c>
      <c r="N830" s="715">
        <v>0.5</v>
      </c>
      <c r="O830" s="715">
        <v>0.5</v>
      </c>
      <c r="P830" s="715">
        <v>0.5</v>
      </c>
      <c r="Q830" s="715">
        <v>0.5</v>
      </c>
      <c r="R830" s="715">
        <v>0.5</v>
      </c>
      <c r="S830" s="715">
        <v>0.5</v>
      </c>
      <c r="T830" s="714"/>
      <c r="U830" s="714"/>
      <c r="V830" s="714"/>
    </row>
    <row r="831" spans="1:22" ht="10.5" customHeight="1" x14ac:dyDescent="0.25">
      <c r="A831" s="716"/>
      <c r="B831" s="717"/>
      <c r="C831" s="718"/>
      <c r="D831" s="718"/>
      <c r="E831" s="718"/>
      <c r="F831" s="718"/>
      <c r="G831" s="718"/>
      <c r="H831" s="718"/>
      <c r="I831" s="718"/>
      <c r="J831" s="718"/>
      <c r="K831" s="718"/>
      <c r="L831" s="718"/>
      <c r="M831" s="718"/>
      <c r="N831" s="718"/>
      <c r="O831" s="718"/>
      <c r="P831" s="718"/>
      <c r="Q831" s="718"/>
      <c r="R831" s="718"/>
      <c r="S831" s="718"/>
      <c r="T831" s="718"/>
      <c r="U831" s="718"/>
      <c r="V831" s="718"/>
    </row>
    <row r="832" spans="1:22" ht="10.5" customHeight="1" x14ac:dyDescent="0.25">
      <c r="A832" s="707">
        <v>505267</v>
      </c>
      <c r="B832" s="708" t="s">
        <v>1816</v>
      </c>
      <c r="C832" s="707" t="s">
        <v>1050</v>
      </c>
      <c r="D832" s="709">
        <v>175</v>
      </c>
      <c r="E832" s="709">
        <v>20.64</v>
      </c>
      <c r="F832" s="709">
        <v>3612</v>
      </c>
      <c r="G832" s="709"/>
      <c r="H832" s="711"/>
      <c r="I832" s="711"/>
      <c r="J832" s="710">
        <v>361.2</v>
      </c>
      <c r="K832" s="710">
        <v>361.2</v>
      </c>
      <c r="L832" s="710">
        <v>361.2</v>
      </c>
      <c r="M832" s="710">
        <v>361.2</v>
      </c>
      <c r="N832" s="710">
        <v>361.2</v>
      </c>
      <c r="O832" s="710">
        <v>361.2</v>
      </c>
      <c r="P832" s="710">
        <v>361.2</v>
      </c>
      <c r="Q832" s="710">
        <v>361.2</v>
      </c>
      <c r="R832" s="710">
        <v>361.2</v>
      </c>
      <c r="S832" s="710">
        <v>361.2</v>
      </c>
      <c r="T832" s="711"/>
      <c r="U832" s="711"/>
      <c r="V832" s="711"/>
    </row>
    <row r="833" spans="1:22" ht="10.5" customHeight="1" x14ac:dyDescent="0.25">
      <c r="A833" s="712"/>
      <c r="B833" s="713"/>
      <c r="C833" s="714"/>
      <c r="D833" s="714"/>
      <c r="E833" s="714"/>
      <c r="F833" s="714"/>
      <c r="G833" s="714"/>
      <c r="H833" s="714"/>
      <c r="I833" s="714"/>
      <c r="J833" s="715">
        <v>17.5</v>
      </c>
      <c r="K833" s="715">
        <v>17.5</v>
      </c>
      <c r="L833" s="715">
        <v>17.5</v>
      </c>
      <c r="M833" s="715">
        <v>17.5</v>
      </c>
      <c r="N833" s="715">
        <v>17.5</v>
      </c>
      <c r="O833" s="715">
        <v>17.5</v>
      </c>
      <c r="P833" s="715">
        <v>17.5</v>
      </c>
      <c r="Q833" s="715">
        <v>17.5</v>
      </c>
      <c r="R833" s="715">
        <v>17.5</v>
      </c>
      <c r="S833" s="715">
        <v>17.5</v>
      </c>
      <c r="T833" s="714"/>
      <c r="U833" s="714"/>
      <c r="V833" s="714"/>
    </row>
    <row r="834" spans="1:22" ht="10.5" customHeight="1" x14ac:dyDescent="0.25">
      <c r="A834" s="716"/>
      <c r="B834" s="717"/>
      <c r="C834" s="718"/>
      <c r="D834" s="718"/>
      <c r="E834" s="718"/>
      <c r="F834" s="718"/>
      <c r="G834" s="718"/>
      <c r="H834" s="718"/>
      <c r="I834" s="718"/>
      <c r="J834" s="718"/>
      <c r="K834" s="718"/>
      <c r="L834" s="718"/>
      <c r="M834" s="718"/>
      <c r="N834" s="718"/>
      <c r="O834" s="718"/>
      <c r="P834" s="718"/>
      <c r="Q834" s="718"/>
      <c r="R834" s="718"/>
      <c r="S834" s="718"/>
      <c r="T834" s="718"/>
      <c r="U834" s="718"/>
      <c r="V834" s="718"/>
    </row>
    <row r="835" spans="1:22" ht="10.5" customHeight="1" x14ac:dyDescent="0.25">
      <c r="A835" s="707">
        <v>505192</v>
      </c>
      <c r="B835" s="708" t="s">
        <v>1817</v>
      </c>
      <c r="C835" s="707" t="s">
        <v>1050</v>
      </c>
      <c r="D835" s="709">
        <v>99</v>
      </c>
      <c r="E835" s="709">
        <v>23.38</v>
      </c>
      <c r="F835" s="709">
        <v>2314.62</v>
      </c>
      <c r="G835" s="709"/>
      <c r="H835" s="711"/>
      <c r="I835" s="711"/>
      <c r="J835" s="710">
        <v>231.46199999999996</v>
      </c>
      <c r="K835" s="710">
        <v>231.46199999999996</v>
      </c>
      <c r="L835" s="710">
        <v>231.46199999999996</v>
      </c>
      <c r="M835" s="710">
        <v>231.46199999999996</v>
      </c>
      <c r="N835" s="710">
        <v>231.46199999999996</v>
      </c>
      <c r="O835" s="710">
        <v>231.46199999999996</v>
      </c>
      <c r="P835" s="710">
        <v>231.46199999999996</v>
      </c>
      <c r="Q835" s="710">
        <v>231.46199999999996</v>
      </c>
      <c r="R835" s="710">
        <v>231.46199999999996</v>
      </c>
      <c r="S835" s="710">
        <v>231.46199999999996</v>
      </c>
      <c r="T835" s="711"/>
      <c r="U835" s="711"/>
      <c r="V835" s="711"/>
    </row>
    <row r="836" spans="1:22" ht="10.5" customHeight="1" x14ac:dyDescent="0.25">
      <c r="A836" s="712"/>
      <c r="B836" s="713"/>
      <c r="C836" s="714"/>
      <c r="D836" s="714"/>
      <c r="E836" s="714"/>
      <c r="F836" s="714"/>
      <c r="G836" s="714"/>
      <c r="H836" s="714"/>
      <c r="I836" s="714"/>
      <c r="J836" s="715">
        <v>9.9</v>
      </c>
      <c r="K836" s="715">
        <v>9.9</v>
      </c>
      <c r="L836" s="715">
        <v>9.9</v>
      </c>
      <c r="M836" s="715">
        <v>9.9</v>
      </c>
      <c r="N836" s="715">
        <v>9.9</v>
      </c>
      <c r="O836" s="715">
        <v>9.9</v>
      </c>
      <c r="P836" s="715">
        <v>9.9</v>
      </c>
      <c r="Q836" s="715">
        <v>9.9</v>
      </c>
      <c r="R836" s="715">
        <v>9.9</v>
      </c>
      <c r="S836" s="715">
        <v>9.9</v>
      </c>
      <c r="T836" s="714"/>
      <c r="U836" s="714"/>
      <c r="V836" s="714"/>
    </row>
    <row r="837" spans="1:22" ht="10.5" customHeight="1" x14ac:dyDescent="0.25">
      <c r="A837" s="716"/>
      <c r="B837" s="717"/>
      <c r="C837" s="718"/>
      <c r="D837" s="718"/>
      <c r="E837" s="718"/>
      <c r="F837" s="718"/>
      <c r="G837" s="718"/>
      <c r="H837" s="718"/>
      <c r="I837" s="718"/>
      <c r="J837" s="718"/>
      <c r="K837" s="718"/>
      <c r="L837" s="718"/>
      <c r="M837" s="718"/>
      <c r="N837" s="718"/>
      <c r="O837" s="718"/>
      <c r="P837" s="718"/>
      <c r="Q837" s="718"/>
      <c r="R837" s="718"/>
      <c r="S837" s="718"/>
      <c r="T837" s="718"/>
      <c r="U837" s="718"/>
      <c r="V837" s="718"/>
    </row>
    <row r="838" spans="1:22" ht="10.5" customHeight="1" x14ac:dyDescent="0.25">
      <c r="A838" s="707">
        <v>505268</v>
      </c>
      <c r="B838" s="708" t="s">
        <v>1818</v>
      </c>
      <c r="C838" s="707" t="s">
        <v>683</v>
      </c>
      <c r="D838" s="709">
        <v>0</v>
      </c>
      <c r="E838" s="709">
        <v>3.76</v>
      </c>
      <c r="F838" s="709">
        <v>0</v>
      </c>
      <c r="G838" s="709"/>
      <c r="H838" s="711"/>
      <c r="I838" s="711"/>
      <c r="J838" s="711"/>
      <c r="K838" s="711"/>
      <c r="L838" s="711"/>
      <c r="M838" s="711"/>
      <c r="N838" s="711"/>
      <c r="O838" s="711"/>
      <c r="P838" s="711"/>
      <c r="Q838" s="711"/>
      <c r="R838" s="711"/>
      <c r="S838" s="711"/>
      <c r="T838" s="711"/>
      <c r="U838" s="711"/>
      <c r="V838" s="711"/>
    </row>
    <row r="839" spans="1:22" ht="10.5" customHeight="1" x14ac:dyDescent="0.25">
      <c r="A839" s="712"/>
      <c r="B839" s="713"/>
      <c r="C839" s="714"/>
      <c r="D839" s="714"/>
      <c r="E839" s="714"/>
      <c r="F839" s="714"/>
      <c r="G839" s="714"/>
      <c r="H839" s="714"/>
      <c r="I839" s="714"/>
      <c r="J839" s="714"/>
      <c r="K839" s="714"/>
      <c r="L839" s="714"/>
      <c r="M839" s="714"/>
      <c r="N839" s="714"/>
      <c r="O839" s="714"/>
      <c r="P839" s="714"/>
      <c r="Q839" s="714"/>
      <c r="R839" s="714"/>
      <c r="S839" s="714"/>
      <c r="T839" s="714"/>
      <c r="U839" s="714"/>
      <c r="V839" s="714"/>
    </row>
    <row r="840" spans="1:22" ht="10.5" customHeight="1" x14ac:dyDescent="0.25">
      <c r="A840" s="716"/>
      <c r="B840" s="717"/>
      <c r="C840" s="718"/>
      <c r="D840" s="718"/>
      <c r="E840" s="718"/>
      <c r="F840" s="718"/>
      <c r="G840" s="718"/>
      <c r="H840" s="718"/>
      <c r="I840" s="718"/>
      <c r="J840" s="718"/>
      <c r="K840" s="718"/>
      <c r="L840" s="718"/>
      <c r="M840" s="718"/>
      <c r="N840" s="718"/>
      <c r="O840" s="718"/>
      <c r="P840" s="718"/>
      <c r="Q840" s="718"/>
      <c r="R840" s="718"/>
      <c r="S840" s="718"/>
      <c r="T840" s="718"/>
      <c r="U840" s="718"/>
      <c r="V840" s="718"/>
    </row>
    <row r="841" spans="1:22" ht="10.5" customHeight="1" x14ac:dyDescent="0.25">
      <c r="A841" s="707">
        <v>515593</v>
      </c>
      <c r="B841" s="708" t="s">
        <v>1819</v>
      </c>
      <c r="C841" s="707" t="s">
        <v>683</v>
      </c>
      <c r="D841" s="709">
        <v>175</v>
      </c>
      <c r="E841" s="709">
        <v>5.99</v>
      </c>
      <c r="F841" s="709">
        <v>1048.25</v>
      </c>
      <c r="G841" s="709"/>
      <c r="H841" s="711"/>
      <c r="I841" s="711"/>
      <c r="J841" s="710">
        <v>104.825</v>
      </c>
      <c r="K841" s="710">
        <v>104.825</v>
      </c>
      <c r="L841" s="710">
        <v>104.825</v>
      </c>
      <c r="M841" s="710">
        <v>104.825</v>
      </c>
      <c r="N841" s="710">
        <v>104.825</v>
      </c>
      <c r="O841" s="710">
        <v>104.825</v>
      </c>
      <c r="P841" s="710">
        <v>104.825</v>
      </c>
      <c r="Q841" s="710">
        <v>104.825</v>
      </c>
      <c r="R841" s="710">
        <v>104.825</v>
      </c>
      <c r="S841" s="710">
        <v>104.825</v>
      </c>
      <c r="T841" s="711"/>
      <c r="U841" s="711"/>
      <c r="V841" s="711"/>
    </row>
    <row r="842" spans="1:22" ht="10.5" customHeight="1" x14ac:dyDescent="0.25">
      <c r="A842" s="712"/>
      <c r="B842" s="713"/>
      <c r="C842" s="714"/>
      <c r="D842" s="714"/>
      <c r="E842" s="714"/>
      <c r="F842" s="714"/>
      <c r="G842" s="714"/>
      <c r="H842" s="714"/>
      <c r="I842" s="714"/>
      <c r="J842" s="715">
        <v>17.5</v>
      </c>
      <c r="K842" s="715">
        <v>17.5</v>
      </c>
      <c r="L842" s="715">
        <v>17.5</v>
      </c>
      <c r="M842" s="715">
        <v>17.5</v>
      </c>
      <c r="N842" s="715">
        <v>17.5</v>
      </c>
      <c r="O842" s="715">
        <v>17.5</v>
      </c>
      <c r="P842" s="715">
        <v>17.5</v>
      </c>
      <c r="Q842" s="715">
        <v>17.5</v>
      </c>
      <c r="R842" s="715">
        <v>17.5</v>
      </c>
      <c r="S842" s="715">
        <v>17.5</v>
      </c>
      <c r="T842" s="714"/>
      <c r="U842" s="714"/>
      <c r="V842" s="714"/>
    </row>
    <row r="843" spans="1:22" ht="10.5" customHeight="1" x14ac:dyDescent="0.25">
      <c r="A843" s="716"/>
      <c r="B843" s="717"/>
      <c r="C843" s="718"/>
      <c r="D843" s="718"/>
      <c r="E843" s="718"/>
      <c r="F843" s="718"/>
      <c r="G843" s="718"/>
      <c r="H843" s="718"/>
      <c r="I843" s="718"/>
      <c r="J843" s="718"/>
      <c r="K843" s="718"/>
      <c r="L843" s="718"/>
      <c r="M843" s="718"/>
      <c r="N843" s="718"/>
      <c r="O843" s="718"/>
      <c r="P843" s="718"/>
      <c r="Q843" s="718"/>
      <c r="R843" s="718"/>
      <c r="S843" s="718"/>
      <c r="T843" s="718"/>
      <c r="U843" s="718"/>
      <c r="V843" s="718"/>
    </row>
    <row r="844" spans="1:22" ht="10.5" customHeight="1" x14ac:dyDescent="0.25">
      <c r="A844" s="707">
        <v>515594</v>
      </c>
      <c r="B844" s="708" t="s">
        <v>1820</v>
      </c>
      <c r="C844" s="707" t="s">
        <v>683</v>
      </c>
      <c r="D844" s="709">
        <v>0</v>
      </c>
      <c r="E844" s="709">
        <v>7.46</v>
      </c>
      <c r="F844" s="709">
        <v>0</v>
      </c>
      <c r="G844" s="709"/>
      <c r="H844" s="711"/>
      <c r="I844" s="711"/>
      <c r="J844" s="711"/>
      <c r="K844" s="711"/>
      <c r="L844" s="711"/>
      <c r="M844" s="711"/>
      <c r="N844" s="711"/>
      <c r="O844" s="711"/>
      <c r="P844" s="711"/>
      <c r="Q844" s="711"/>
      <c r="R844" s="711"/>
      <c r="S844" s="711"/>
      <c r="T844" s="711"/>
      <c r="U844" s="711"/>
      <c r="V844" s="711"/>
    </row>
    <row r="845" spans="1:22" ht="10.5" customHeight="1" x14ac:dyDescent="0.25">
      <c r="A845" s="712"/>
      <c r="B845" s="713"/>
      <c r="C845" s="714"/>
      <c r="D845" s="714"/>
      <c r="E845" s="714"/>
      <c r="F845" s="714"/>
      <c r="G845" s="714"/>
      <c r="H845" s="714"/>
      <c r="I845" s="714"/>
      <c r="J845" s="714"/>
      <c r="K845" s="714"/>
      <c r="L845" s="714"/>
      <c r="M845" s="714"/>
      <c r="N845" s="714"/>
      <c r="O845" s="714"/>
      <c r="P845" s="714"/>
      <c r="Q845" s="714"/>
      <c r="R845" s="714"/>
      <c r="S845" s="714"/>
      <c r="T845" s="714"/>
      <c r="U845" s="714"/>
      <c r="V845" s="714"/>
    </row>
    <row r="846" spans="1:22" ht="10.5" customHeight="1" x14ac:dyDescent="0.25">
      <c r="A846" s="716"/>
      <c r="B846" s="717"/>
      <c r="C846" s="718"/>
      <c r="D846" s="718"/>
      <c r="E846" s="718"/>
      <c r="F846" s="718"/>
      <c r="G846" s="718"/>
      <c r="H846" s="718"/>
      <c r="I846" s="718"/>
      <c r="J846" s="718"/>
      <c r="K846" s="718"/>
      <c r="L846" s="718"/>
      <c r="M846" s="718"/>
      <c r="N846" s="718"/>
      <c r="O846" s="718"/>
      <c r="P846" s="718"/>
      <c r="Q846" s="718"/>
      <c r="R846" s="718"/>
      <c r="S846" s="718"/>
      <c r="T846" s="718"/>
      <c r="U846" s="718"/>
      <c r="V846" s="718"/>
    </row>
    <row r="847" spans="1:22" ht="10.5" customHeight="1" x14ac:dyDescent="0.25">
      <c r="A847" s="707">
        <v>515638</v>
      </c>
      <c r="B847" s="708" t="s">
        <v>1821</v>
      </c>
      <c r="C847" s="707" t="s">
        <v>1066</v>
      </c>
      <c r="D847" s="709">
        <v>10</v>
      </c>
      <c r="E847" s="709">
        <v>179.89999999999998</v>
      </c>
      <c r="F847" s="709">
        <v>1799</v>
      </c>
      <c r="G847" s="709"/>
      <c r="H847" s="711"/>
      <c r="I847" s="711"/>
      <c r="J847" s="710">
        <v>179.9</v>
      </c>
      <c r="K847" s="710">
        <v>179.9</v>
      </c>
      <c r="L847" s="710">
        <v>179.9</v>
      </c>
      <c r="M847" s="710">
        <v>179.9</v>
      </c>
      <c r="N847" s="710">
        <v>179.9</v>
      </c>
      <c r="O847" s="710">
        <v>179.9</v>
      </c>
      <c r="P847" s="710">
        <v>179.9</v>
      </c>
      <c r="Q847" s="710">
        <v>179.9</v>
      </c>
      <c r="R847" s="710">
        <v>179.9</v>
      </c>
      <c r="S847" s="710">
        <v>179.9</v>
      </c>
      <c r="T847" s="711"/>
      <c r="U847" s="711"/>
      <c r="V847" s="711"/>
    </row>
    <row r="848" spans="1:22" ht="10.5" customHeight="1" x14ac:dyDescent="0.25">
      <c r="A848" s="712"/>
      <c r="B848" s="713"/>
      <c r="C848" s="714"/>
      <c r="D848" s="714"/>
      <c r="E848" s="714"/>
      <c r="F848" s="714"/>
      <c r="G848" s="714"/>
      <c r="H848" s="714"/>
      <c r="I848" s="714"/>
      <c r="J848" s="715">
        <v>1</v>
      </c>
      <c r="K848" s="715">
        <v>1</v>
      </c>
      <c r="L848" s="715">
        <v>1</v>
      </c>
      <c r="M848" s="715">
        <v>1</v>
      </c>
      <c r="N848" s="715">
        <v>1</v>
      </c>
      <c r="O848" s="715">
        <v>1</v>
      </c>
      <c r="P848" s="715">
        <v>1</v>
      </c>
      <c r="Q848" s="715">
        <v>1</v>
      </c>
      <c r="R848" s="715">
        <v>1</v>
      </c>
      <c r="S848" s="715">
        <v>1</v>
      </c>
      <c r="T848" s="714"/>
      <c r="U848" s="714"/>
      <c r="V848" s="714"/>
    </row>
    <row r="849" spans="1:22" ht="10.5" customHeight="1" x14ac:dyDescent="0.25">
      <c r="A849" s="716"/>
      <c r="B849" s="717"/>
      <c r="C849" s="718"/>
      <c r="D849" s="718"/>
      <c r="E849" s="718"/>
      <c r="F849" s="718"/>
      <c r="G849" s="718"/>
      <c r="H849" s="718"/>
      <c r="I849" s="718"/>
      <c r="J849" s="718"/>
      <c r="K849" s="718"/>
      <c r="L849" s="718"/>
      <c r="M849" s="718"/>
      <c r="N849" s="718"/>
      <c r="O849" s="718"/>
      <c r="P849" s="718"/>
      <c r="Q849" s="718"/>
      <c r="R849" s="718"/>
      <c r="S849" s="718"/>
      <c r="T849" s="718"/>
      <c r="U849" s="718"/>
      <c r="V849" s="718"/>
    </row>
    <row r="850" spans="1:22" ht="10.5" customHeight="1" x14ac:dyDescent="0.25">
      <c r="A850" s="707">
        <v>515658</v>
      </c>
      <c r="B850" s="708" t="s">
        <v>1805</v>
      </c>
      <c r="C850" s="707" t="s">
        <v>1050</v>
      </c>
      <c r="D850" s="709">
        <v>350</v>
      </c>
      <c r="E850" s="709">
        <v>6.59</v>
      </c>
      <c r="F850" s="709">
        <v>2306.5</v>
      </c>
      <c r="G850" s="709"/>
      <c r="H850" s="711"/>
      <c r="I850" s="711"/>
      <c r="J850" s="710">
        <v>230.65</v>
      </c>
      <c r="K850" s="710">
        <v>230.65</v>
      </c>
      <c r="L850" s="710">
        <v>230.65</v>
      </c>
      <c r="M850" s="710">
        <v>230.65</v>
      </c>
      <c r="N850" s="710">
        <v>230.65</v>
      </c>
      <c r="O850" s="710">
        <v>230.65</v>
      </c>
      <c r="P850" s="710">
        <v>230.65</v>
      </c>
      <c r="Q850" s="710">
        <v>230.65</v>
      </c>
      <c r="R850" s="710">
        <v>230.65</v>
      </c>
      <c r="S850" s="710">
        <v>230.65</v>
      </c>
      <c r="T850" s="711"/>
      <c r="U850" s="711"/>
      <c r="V850" s="711"/>
    </row>
    <row r="851" spans="1:22" ht="10.5" customHeight="1" x14ac:dyDescent="0.25">
      <c r="A851" s="712"/>
      <c r="B851" s="713"/>
      <c r="C851" s="714"/>
      <c r="D851" s="714"/>
      <c r="E851" s="714"/>
      <c r="F851" s="714"/>
      <c r="G851" s="714"/>
      <c r="H851" s="714"/>
      <c r="I851" s="714"/>
      <c r="J851" s="715">
        <v>35</v>
      </c>
      <c r="K851" s="715">
        <v>35</v>
      </c>
      <c r="L851" s="715">
        <v>35</v>
      </c>
      <c r="M851" s="715">
        <v>35</v>
      </c>
      <c r="N851" s="715">
        <v>35</v>
      </c>
      <c r="O851" s="715">
        <v>35</v>
      </c>
      <c r="P851" s="715">
        <v>35</v>
      </c>
      <c r="Q851" s="715">
        <v>35</v>
      </c>
      <c r="R851" s="715">
        <v>35</v>
      </c>
      <c r="S851" s="715">
        <v>35</v>
      </c>
      <c r="T851" s="714"/>
      <c r="U851" s="714"/>
      <c r="V851" s="714"/>
    </row>
    <row r="852" spans="1:22" ht="10.5" customHeight="1" x14ac:dyDescent="0.25">
      <c r="A852" s="716"/>
      <c r="B852" s="717"/>
      <c r="C852" s="718"/>
      <c r="D852" s="718"/>
      <c r="E852" s="718"/>
      <c r="F852" s="718"/>
      <c r="G852" s="718"/>
      <c r="H852" s="718"/>
      <c r="I852" s="718"/>
      <c r="J852" s="718"/>
      <c r="K852" s="718"/>
      <c r="L852" s="718"/>
      <c r="M852" s="718"/>
      <c r="N852" s="718"/>
      <c r="O852" s="718"/>
      <c r="P852" s="718"/>
      <c r="Q852" s="718"/>
      <c r="R852" s="718"/>
      <c r="S852" s="718"/>
      <c r="T852" s="718"/>
      <c r="U852" s="718"/>
      <c r="V852" s="718"/>
    </row>
    <row r="853" spans="1:22" s="105" customFormat="1" ht="10.5" customHeight="1" x14ac:dyDescent="0.25">
      <c r="A853" s="704"/>
      <c r="B853" s="719" t="s">
        <v>1124</v>
      </c>
      <c r="C853" s="704"/>
      <c r="D853" s="705"/>
      <c r="E853" s="706">
        <v>0</v>
      </c>
      <c r="F853" s="706">
        <v>18322.55</v>
      </c>
      <c r="G853" s="706"/>
      <c r="H853" s="705"/>
      <c r="I853" s="705"/>
      <c r="J853" s="705"/>
      <c r="K853" s="705"/>
      <c r="L853" s="705"/>
      <c r="M853" s="705"/>
      <c r="N853" s="705"/>
      <c r="O853" s="705"/>
      <c r="P853" s="705"/>
      <c r="Q853" s="705"/>
      <c r="R853" s="705"/>
      <c r="S853" s="705"/>
      <c r="T853" s="705"/>
      <c r="U853" s="705"/>
      <c r="V853" s="705"/>
    </row>
    <row r="854" spans="1:22" ht="10.5" customHeight="1" x14ac:dyDescent="0.25">
      <c r="A854" s="707">
        <v>515683</v>
      </c>
      <c r="B854" s="708" t="s">
        <v>1125</v>
      </c>
      <c r="C854" s="707" t="s">
        <v>1050</v>
      </c>
      <c r="D854" s="709">
        <v>1</v>
      </c>
      <c r="E854" s="709">
        <v>4335.59</v>
      </c>
      <c r="F854" s="709">
        <v>4335.59</v>
      </c>
      <c r="G854" s="709"/>
      <c r="H854" s="711"/>
      <c r="I854" s="711"/>
      <c r="J854" s="711"/>
      <c r="K854" s="710">
        <v>481.68404900000002</v>
      </c>
      <c r="L854" s="710">
        <v>481.68404900000002</v>
      </c>
      <c r="M854" s="710">
        <v>481.68404900000002</v>
      </c>
      <c r="N854" s="710">
        <v>481.68404900000002</v>
      </c>
      <c r="O854" s="710">
        <v>481.68404900000002</v>
      </c>
      <c r="P854" s="710">
        <v>481.68404900000002</v>
      </c>
      <c r="Q854" s="710">
        <v>481.68404900000002</v>
      </c>
      <c r="R854" s="710">
        <v>481.68404900000002</v>
      </c>
      <c r="S854" s="710">
        <v>482.11760799999996</v>
      </c>
      <c r="T854" s="711"/>
      <c r="U854" s="711"/>
      <c r="V854" s="711"/>
    </row>
    <row r="855" spans="1:22" ht="10.5" customHeight="1" x14ac:dyDescent="0.25">
      <c r="A855" s="712"/>
      <c r="B855" s="713"/>
      <c r="C855" s="714"/>
      <c r="D855" s="714"/>
      <c r="E855" s="714"/>
      <c r="F855" s="714"/>
      <c r="G855" s="714"/>
      <c r="H855" s="714"/>
      <c r="I855" s="714"/>
      <c r="J855" s="714"/>
      <c r="K855" s="715">
        <v>0.11109999999999999</v>
      </c>
      <c r="L855" s="715">
        <v>0.11109999999999999</v>
      </c>
      <c r="M855" s="715">
        <v>0.11109999999999999</v>
      </c>
      <c r="N855" s="715">
        <v>0.11109999999999999</v>
      </c>
      <c r="O855" s="715">
        <v>0.11109999999999999</v>
      </c>
      <c r="P855" s="715">
        <v>0.11109999999999999</v>
      </c>
      <c r="Q855" s="715">
        <v>0.11109999999999999</v>
      </c>
      <c r="R855" s="715">
        <v>0.11109999999999999</v>
      </c>
      <c r="S855" s="715">
        <v>0.11119999999999999</v>
      </c>
      <c r="T855" s="714"/>
      <c r="U855" s="714"/>
      <c r="V855" s="714"/>
    </row>
    <row r="856" spans="1:22" ht="10.5" customHeight="1" x14ac:dyDescent="0.25">
      <c r="A856" s="716"/>
      <c r="B856" s="717"/>
      <c r="C856" s="718"/>
      <c r="D856" s="718"/>
      <c r="E856" s="718"/>
      <c r="F856" s="718"/>
      <c r="G856" s="718"/>
      <c r="H856" s="718"/>
      <c r="I856" s="718"/>
      <c r="J856" s="718"/>
      <c r="K856" s="718"/>
      <c r="L856" s="718"/>
      <c r="M856" s="718"/>
      <c r="N856" s="718"/>
      <c r="O856" s="718"/>
      <c r="P856" s="718"/>
      <c r="Q856" s="718"/>
      <c r="R856" s="718"/>
      <c r="S856" s="718"/>
      <c r="T856" s="718"/>
      <c r="U856" s="718"/>
      <c r="V856" s="718"/>
    </row>
    <row r="857" spans="1:22" ht="10.5" customHeight="1" x14ac:dyDescent="0.25">
      <c r="A857" s="707">
        <v>502194</v>
      </c>
      <c r="B857" s="708" t="s">
        <v>1126</v>
      </c>
      <c r="C857" s="707" t="s">
        <v>1050</v>
      </c>
      <c r="D857" s="709">
        <v>0</v>
      </c>
      <c r="E857" s="709">
        <v>3028.1600000000003</v>
      </c>
      <c r="F857" s="709">
        <v>0</v>
      </c>
      <c r="G857" s="709"/>
      <c r="H857" s="711"/>
      <c r="I857" s="711"/>
      <c r="J857" s="711"/>
      <c r="K857" s="711"/>
      <c r="L857" s="711"/>
      <c r="M857" s="711"/>
      <c r="N857" s="711"/>
      <c r="O857" s="711"/>
      <c r="P857" s="711"/>
      <c r="Q857" s="711"/>
      <c r="R857" s="711"/>
      <c r="S857" s="711"/>
      <c r="T857" s="711"/>
      <c r="U857" s="711"/>
      <c r="V857" s="711"/>
    </row>
    <row r="858" spans="1:22" ht="10.5" customHeight="1" x14ac:dyDescent="0.25">
      <c r="A858" s="712"/>
      <c r="B858" s="713"/>
      <c r="C858" s="714"/>
      <c r="D858" s="714"/>
      <c r="E858" s="714"/>
      <c r="F858" s="714"/>
      <c r="G858" s="714"/>
      <c r="H858" s="714"/>
      <c r="I858" s="714"/>
      <c r="J858" s="714"/>
      <c r="K858" s="714"/>
      <c r="L858" s="714"/>
      <c r="M858" s="714"/>
      <c r="N858" s="714"/>
      <c r="O858" s="714"/>
      <c r="P858" s="714"/>
      <c r="Q858" s="714"/>
      <c r="R858" s="714"/>
      <c r="S858" s="714"/>
      <c r="T858" s="714"/>
      <c r="U858" s="714"/>
      <c r="V858" s="714"/>
    </row>
    <row r="859" spans="1:22" ht="10.5" customHeight="1" x14ac:dyDescent="0.25">
      <c r="A859" s="716"/>
      <c r="B859" s="717"/>
      <c r="C859" s="718"/>
      <c r="D859" s="718"/>
      <c r="E859" s="718"/>
      <c r="F859" s="718"/>
      <c r="G859" s="718"/>
      <c r="H859" s="718"/>
      <c r="I859" s="718"/>
      <c r="J859" s="718"/>
      <c r="K859" s="718"/>
      <c r="L859" s="718"/>
      <c r="M859" s="718"/>
      <c r="N859" s="718"/>
      <c r="O859" s="718"/>
      <c r="P859" s="718"/>
      <c r="Q859" s="718"/>
      <c r="R859" s="718"/>
      <c r="S859" s="718"/>
      <c r="T859" s="718"/>
      <c r="U859" s="718"/>
      <c r="V859" s="718"/>
    </row>
    <row r="860" spans="1:22" ht="10.5" customHeight="1" x14ac:dyDescent="0.25">
      <c r="A860" s="707">
        <v>503198</v>
      </c>
      <c r="B860" s="708" t="s">
        <v>1127</v>
      </c>
      <c r="C860" s="707" t="s">
        <v>1050</v>
      </c>
      <c r="D860" s="709">
        <v>1</v>
      </c>
      <c r="E860" s="709">
        <v>674.04</v>
      </c>
      <c r="F860" s="709">
        <v>674.04</v>
      </c>
      <c r="G860" s="709"/>
      <c r="H860" s="711"/>
      <c r="I860" s="711"/>
      <c r="J860" s="711"/>
      <c r="K860" s="710">
        <v>74.885843999999992</v>
      </c>
      <c r="L860" s="710">
        <v>74.885843999999992</v>
      </c>
      <c r="M860" s="710">
        <v>74.885843999999992</v>
      </c>
      <c r="N860" s="710">
        <v>74.885843999999992</v>
      </c>
      <c r="O860" s="710">
        <v>74.885843999999992</v>
      </c>
      <c r="P860" s="710">
        <v>74.885843999999992</v>
      </c>
      <c r="Q860" s="710">
        <v>74.885843999999992</v>
      </c>
      <c r="R860" s="710">
        <v>74.885843999999992</v>
      </c>
      <c r="S860" s="710">
        <v>74.953247999999988</v>
      </c>
      <c r="T860" s="711"/>
      <c r="U860" s="711"/>
      <c r="V860" s="711"/>
    </row>
    <row r="861" spans="1:22" ht="10.5" customHeight="1" x14ac:dyDescent="0.25">
      <c r="A861" s="712"/>
      <c r="B861" s="713"/>
      <c r="C861" s="714"/>
      <c r="D861" s="714"/>
      <c r="E861" s="714"/>
      <c r="F861" s="714"/>
      <c r="G861" s="714"/>
      <c r="H861" s="714"/>
      <c r="I861" s="714"/>
      <c r="J861" s="714"/>
      <c r="K861" s="715">
        <v>0.11109999999999999</v>
      </c>
      <c r="L861" s="715">
        <v>0.11109999999999999</v>
      </c>
      <c r="M861" s="715">
        <v>0.11109999999999999</v>
      </c>
      <c r="N861" s="715">
        <v>0.11109999999999999</v>
      </c>
      <c r="O861" s="715">
        <v>0.11109999999999999</v>
      </c>
      <c r="P861" s="715">
        <v>0.11109999999999999</v>
      </c>
      <c r="Q861" s="715">
        <v>0.11109999999999999</v>
      </c>
      <c r="R861" s="715">
        <v>0.11109999999999999</v>
      </c>
      <c r="S861" s="715">
        <v>0.11119999999999999</v>
      </c>
      <c r="T861" s="714"/>
      <c r="U861" s="714"/>
      <c r="V861" s="714"/>
    </row>
    <row r="862" spans="1:22" ht="10.5" customHeight="1" x14ac:dyDescent="0.25">
      <c r="A862" s="716"/>
      <c r="B862" s="717"/>
      <c r="C862" s="718"/>
      <c r="D862" s="718"/>
      <c r="E862" s="718"/>
      <c r="F862" s="718"/>
      <c r="G862" s="718"/>
      <c r="H862" s="718"/>
      <c r="I862" s="718"/>
      <c r="J862" s="718"/>
      <c r="K862" s="718"/>
      <c r="L862" s="718"/>
      <c r="M862" s="718"/>
      <c r="N862" s="718"/>
      <c r="O862" s="718"/>
      <c r="P862" s="718"/>
      <c r="Q862" s="718"/>
      <c r="R862" s="718"/>
      <c r="S862" s="718"/>
      <c r="T862" s="718"/>
      <c r="U862" s="718"/>
      <c r="V862" s="718"/>
    </row>
    <row r="863" spans="1:22" ht="10.5" customHeight="1" x14ac:dyDescent="0.25">
      <c r="A863" s="707">
        <v>504456</v>
      </c>
      <c r="B863" s="708" t="s">
        <v>1822</v>
      </c>
      <c r="C863" s="707" t="s">
        <v>683</v>
      </c>
      <c r="D863" s="709">
        <v>103</v>
      </c>
      <c r="E863" s="709">
        <v>11.100000000000001</v>
      </c>
      <c r="F863" s="709">
        <v>1143.3</v>
      </c>
      <c r="G863" s="709"/>
      <c r="H863" s="711"/>
      <c r="I863" s="711"/>
      <c r="J863" s="711"/>
      <c r="K863" s="710">
        <v>127.02062999999998</v>
      </c>
      <c r="L863" s="710">
        <v>127.02062999999998</v>
      </c>
      <c r="M863" s="710">
        <v>127.02062999999998</v>
      </c>
      <c r="N863" s="710">
        <v>127.02062999999998</v>
      </c>
      <c r="O863" s="710">
        <v>127.02062999999998</v>
      </c>
      <c r="P863" s="710">
        <v>127.02062999999998</v>
      </c>
      <c r="Q863" s="710">
        <v>127.02062999999998</v>
      </c>
      <c r="R863" s="710">
        <v>127.02062999999998</v>
      </c>
      <c r="S863" s="710">
        <v>127.13495999999999</v>
      </c>
      <c r="T863" s="711"/>
      <c r="U863" s="711"/>
      <c r="V863" s="711"/>
    </row>
    <row r="864" spans="1:22" ht="10.5" customHeight="1" x14ac:dyDescent="0.25">
      <c r="A864" s="712"/>
      <c r="B864" s="713"/>
      <c r="C864" s="714"/>
      <c r="D864" s="714"/>
      <c r="E864" s="714"/>
      <c r="F864" s="714"/>
      <c r="G864" s="714"/>
      <c r="H864" s="714"/>
      <c r="I864" s="714"/>
      <c r="J864" s="714"/>
      <c r="K864" s="715">
        <v>11.443299999999999</v>
      </c>
      <c r="L864" s="715">
        <v>11.443299999999999</v>
      </c>
      <c r="M864" s="715">
        <v>11.443299999999999</v>
      </c>
      <c r="N864" s="715">
        <v>11.443299999999999</v>
      </c>
      <c r="O864" s="715">
        <v>11.443299999999999</v>
      </c>
      <c r="P864" s="715">
        <v>11.443299999999999</v>
      </c>
      <c r="Q864" s="715">
        <v>11.443299999999999</v>
      </c>
      <c r="R864" s="715">
        <v>11.443299999999999</v>
      </c>
      <c r="S864" s="715">
        <v>11.4536</v>
      </c>
      <c r="T864" s="714"/>
      <c r="U864" s="714"/>
      <c r="V864" s="714"/>
    </row>
    <row r="865" spans="1:22" ht="10.5" customHeight="1" x14ac:dyDescent="0.25">
      <c r="A865" s="716"/>
      <c r="B865" s="717"/>
      <c r="C865" s="718"/>
      <c r="D865" s="718"/>
      <c r="E865" s="718"/>
      <c r="F865" s="718"/>
      <c r="G865" s="718"/>
      <c r="H865" s="718"/>
      <c r="I865" s="718"/>
      <c r="J865" s="718"/>
      <c r="K865" s="718"/>
      <c r="L865" s="718"/>
      <c r="M865" s="718"/>
      <c r="N865" s="718"/>
      <c r="O865" s="718"/>
      <c r="P865" s="718"/>
      <c r="Q865" s="718"/>
      <c r="R865" s="718"/>
      <c r="S865" s="718"/>
      <c r="T865" s="718"/>
      <c r="U865" s="718"/>
      <c r="V865" s="718"/>
    </row>
    <row r="866" spans="1:22" ht="10.5" customHeight="1" x14ac:dyDescent="0.25">
      <c r="A866" s="707">
        <v>502919</v>
      </c>
      <c r="B866" s="708" t="s">
        <v>1823</v>
      </c>
      <c r="C866" s="707" t="s">
        <v>683</v>
      </c>
      <c r="D866" s="709">
        <v>0</v>
      </c>
      <c r="E866" s="709">
        <v>8.16</v>
      </c>
      <c r="F866" s="709">
        <v>0</v>
      </c>
      <c r="G866" s="709"/>
      <c r="H866" s="711"/>
      <c r="I866" s="711"/>
      <c r="J866" s="711"/>
      <c r="K866" s="711"/>
      <c r="L866" s="711"/>
      <c r="M866" s="711"/>
      <c r="N866" s="711"/>
      <c r="O866" s="711"/>
      <c r="P866" s="711"/>
      <c r="Q866" s="711"/>
      <c r="R866" s="711"/>
      <c r="S866" s="711"/>
      <c r="T866" s="711"/>
      <c r="U866" s="711"/>
      <c r="V866" s="711"/>
    </row>
    <row r="867" spans="1:22" ht="10.5" customHeight="1" x14ac:dyDescent="0.25">
      <c r="A867" s="712"/>
      <c r="B867" s="713"/>
      <c r="C867" s="714"/>
      <c r="D867" s="714"/>
      <c r="E867" s="714"/>
      <c r="F867" s="714"/>
      <c r="G867" s="714"/>
      <c r="H867" s="714"/>
      <c r="I867" s="714"/>
      <c r="J867" s="714"/>
      <c r="K867" s="714"/>
      <c r="L867" s="714"/>
      <c r="M867" s="714"/>
      <c r="N867" s="714"/>
      <c r="O867" s="714"/>
      <c r="P867" s="714"/>
      <c r="Q867" s="714"/>
      <c r="R867" s="714"/>
      <c r="S867" s="714"/>
      <c r="T867" s="714"/>
      <c r="U867" s="714"/>
      <c r="V867" s="714"/>
    </row>
    <row r="868" spans="1:22" ht="10.5" customHeight="1" x14ac:dyDescent="0.25">
      <c r="A868" s="716"/>
      <c r="B868" s="717"/>
      <c r="C868" s="718"/>
      <c r="D868" s="718"/>
      <c r="E868" s="718"/>
      <c r="F868" s="718"/>
      <c r="G868" s="718"/>
      <c r="H868" s="718"/>
      <c r="I868" s="718"/>
      <c r="J868" s="718"/>
      <c r="K868" s="718"/>
      <c r="L868" s="718"/>
      <c r="M868" s="718"/>
      <c r="N868" s="718"/>
      <c r="O868" s="718"/>
      <c r="P868" s="718"/>
      <c r="Q868" s="718"/>
      <c r="R868" s="718"/>
      <c r="S868" s="718"/>
      <c r="T868" s="718"/>
      <c r="U868" s="718"/>
      <c r="V868" s="718"/>
    </row>
    <row r="869" spans="1:22" ht="10.5" customHeight="1" x14ac:dyDescent="0.25">
      <c r="A869" s="707">
        <v>502919</v>
      </c>
      <c r="B869" s="708" t="s">
        <v>1824</v>
      </c>
      <c r="C869" s="707" t="s">
        <v>683</v>
      </c>
      <c r="D869" s="709">
        <v>30</v>
      </c>
      <c r="E869" s="709">
        <v>8.16</v>
      </c>
      <c r="F869" s="709">
        <v>244.8</v>
      </c>
      <c r="G869" s="709"/>
      <c r="H869" s="711"/>
      <c r="I869" s="711"/>
      <c r="J869" s="711"/>
      <c r="K869" s="710">
        <v>27.197279999999999</v>
      </c>
      <c r="L869" s="710">
        <v>27.197279999999999</v>
      </c>
      <c r="M869" s="710">
        <v>27.197279999999999</v>
      </c>
      <c r="N869" s="710">
        <v>27.197279999999999</v>
      </c>
      <c r="O869" s="710">
        <v>27.197279999999999</v>
      </c>
      <c r="P869" s="710">
        <v>27.197279999999999</v>
      </c>
      <c r="Q869" s="710">
        <v>27.197279999999999</v>
      </c>
      <c r="R869" s="710">
        <v>27.197279999999999</v>
      </c>
      <c r="S869" s="710">
        <v>27.22176</v>
      </c>
      <c r="T869" s="711"/>
      <c r="U869" s="711"/>
      <c r="V869" s="711"/>
    </row>
    <row r="870" spans="1:22" ht="10.5" customHeight="1" x14ac:dyDescent="0.25">
      <c r="A870" s="712"/>
      <c r="B870" s="713"/>
      <c r="C870" s="714"/>
      <c r="D870" s="714"/>
      <c r="E870" s="714"/>
      <c r="F870" s="714"/>
      <c r="G870" s="714"/>
      <c r="H870" s="714"/>
      <c r="I870" s="714"/>
      <c r="J870" s="714"/>
      <c r="K870" s="715">
        <v>3.3329999999999997</v>
      </c>
      <c r="L870" s="715">
        <v>3.3329999999999997</v>
      </c>
      <c r="M870" s="715">
        <v>3.3329999999999997</v>
      </c>
      <c r="N870" s="715">
        <v>3.3329999999999997</v>
      </c>
      <c r="O870" s="715">
        <v>3.3329999999999997</v>
      </c>
      <c r="P870" s="715">
        <v>3.3329999999999997</v>
      </c>
      <c r="Q870" s="715">
        <v>3.3329999999999997</v>
      </c>
      <c r="R870" s="715">
        <v>3.3329999999999997</v>
      </c>
      <c r="S870" s="715">
        <v>3.3359999999999999</v>
      </c>
      <c r="T870" s="714"/>
      <c r="U870" s="714"/>
      <c r="V870" s="714"/>
    </row>
    <row r="871" spans="1:22" ht="10.5" customHeight="1" x14ac:dyDescent="0.25">
      <c r="A871" s="716"/>
      <c r="B871" s="717"/>
      <c r="C871" s="718"/>
      <c r="D871" s="718"/>
      <c r="E871" s="718"/>
      <c r="F871" s="718"/>
      <c r="G871" s="718"/>
      <c r="H871" s="718"/>
      <c r="I871" s="718"/>
      <c r="J871" s="718"/>
      <c r="K871" s="718"/>
      <c r="L871" s="718"/>
      <c r="M871" s="718"/>
      <c r="N871" s="718"/>
      <c r="O871" s="718"/>
      <c r="P871" s="718"/>
      <c r="Q871" s="718"/>
      <c r="R871" s="718"/>
      <c r="S871" s="718"/>
      <c r="T871" s="718"/>
      <c r="U871" s="718"/>
      <c r="V871" s="718"/>
    </row>
    <row r="872" spans="1:22" ht="10.5" customHeight="1" x14ac:dyDescent="0.25">
      <c r="A872" s="707">
        <v>502920</v>
      </c>
      <c r="B872" s="708" t="s">
        <v>1825</v>
      </c>
      <c r="C872" s="707" t="s">
        <v>683</v>
      </c>
      <c r="D872" s="709">
        <v>36</v>
      </c>
      <c r="E872" s="709">
        <v>10.899999999999999</v>
      </c>
      <c r="F872" s="709">
        <v>392.4</v>
      </c>
      <c r="G872" s="709"/>
      <c r="H872" s="711"/>
      <c r="I872" s="711"/>
      <c r="J872" s="711"/>
      <c r="K872" s="710">
        <v>43.595639999999996</v>
      </c>
      <c r="L872" s="710">
        <v>43.595639999999996</v>
      </c>
      <c r="M872" s="710">
        <v>43.595639999999996</v>
      </c>
      <c r="N872" s="710">
        <v>43.595639999999996</v>
      </c>
      <c r="O872" s="710">
        <v>43.595639999999996</v>
      </c>
      <c r="P872" s="710">
        <v>43.595639999999996</v>
      </c>
      <c r="Q872" s="710">
        <v>43.595639999999996</v>
      </c>
      <c r="R872" s="710">
        <v>43.595639999999996</v>
      </c>
      <c r="S872" s="710">
        <v>43.634879999999995</v>
      </c>
      <c r="T872" s="711"/>
      <c r="U872" s="711"/>
      <c r="V872" s="711"/>
    </row>
    <row r="873" spans="1:22" ht="10.5" customHeight="1" x14ac:dyDescent="0.25">
      <c r="A873" s="712"/>
      <c r="B873" s="713"/>
      <c r="C873" s="714"/>
      <c r="D873" s="714"/>
      <c r="E873" s="714"/>
      <c r="F873" s="714"/>
      <c r="G873" s="714"/>
      <c r="H873" s="714"/>
      <c r="I873" s="714"/>
      <c r="J873" s="714"/>
      <c r="K873" s="715">
        <v>3.9995999999999996</v>
      </c>
      <c r="L873" s="715">
        <v>3.9995999999999996</v>
      </c>
      <c r="M873" s="715">
        <v>3.9995999999999996</v>
      </c>
      <c r="N873" s="715">
        <v>3.9995999999999996</v>
      </c>
      <c r="O873" s="715">
        <v>3.9995999999999996</v>
      </c>
      <c r="P873" s="715">
        <v>3.9995999999999996</v>
      </c>
      <c r="Q873" s="715">
        <v>3.9995999999999996</v>
      </c>
      <c r="R873" s="715">
        <v>3.9995999999999996</v>
      </c>
      <c r="S873" s="715">
        <v>4.0031999999999996</v>
      </c>
      <c r="T873" s="714"/>
      <c r="U873" s="714"/>
      <c r="V873" s="714"/>
    </row>
    <row r="874" spans="1:22" ht="10.5" customHeight="1" x14ac:dyDescent="0.25">
      <c r="A874" s="716"/>
      <c r="B874" s="717"/>
      <c r="C874" s="718"/>
      <c r="D874" s="718"/>
      <c r="E874" s="718"/>
      <c r="F874" s="718"/>
      <c r="G874" s="718"/>
      <c r="H874" s="718"/>
      <c r="I874" s="718"/>
      <c r="J874" s="718"/>
      <c r="K874" s="718"/>
      <c r="L874" s="718"/>
      <c r="M874" s="718"/>
      <c r="N874" s="718"/>
      <c r="O874" s="718"/>
      <c r="P874" s="718"/>
      <c r="Q874" s="718"/>
      <c r="R874" s="718"/>
      <c r="S874" s="718"/>
      <c r="T874" s="718"/>
      <c r="U874" s="718"/>
      <c r="V874" s="718"/>
    </row>
    <row r="875" spans="1:22" ht="10.5" customHeight="1" x14ac:dyDescent="0.25">
      <c r="A875" s="707">
        <v>502978</v>
      </c>
      <c r="B875" s="708" t="s">
        <v>1826</v>
      </c>
      <c r="C875" s="707" t="s">
        <v>683</v>
      </c>
      <c r="D875" s="709">
        <v>24</v>
      </c>
      <c r="E875" s="709">
        <v>22.200000000000003</v>
      </c>
      <c r="F875" s="709">
        <v>532.79999999999995</v>
      </c>
      <c r="G875" s="709"/>
      <c r="H875" s="711"/>
      <c r="I875" s="711"/>
      <c r="J875" s="711"/>
      <c r="K875" s="710">
        <v>59.194079999999992</v>
      </c>
      <c r="L875" s="710">
        <v>59.194079999999992</v>
      </c>
      <c r="M875" s="710">
        <v>59.194079999999992</v>
      </c>
      <c r="N875" s="710">
        <v>59.194079999999992</v>
      </c>
      <c r="O875" s="710">
        <v>59.194079999999992</v>
      </c>
      <c r="P875" s="710">
        <v>59.194079999999992</v>
      </c>
      <c r="Q875" s="710">
        <v>59.194079999999992</v>
      </c>
      <c r="R875" s="710">
        <v>59.194079999999992</v>
      </c>
      <c r="S875" s="710">
        <v>59.247359999999986</v>
      </c>
      <c r="T875" s="711"/>
      <c r="U875" s="711"/>
      <c r="V875" s="711"/>
    </row>
    <row r="876" spans="1:22" ht="10.5" customHeight="1" x14ac:dyDescent="0.25">
      <c r="A876" s="712"/>
      <c r="B876" s="713"/>
      <c r="C876" s="714"/>
      <c r="D876" s="714"/>
      <c r="E876" s="714"/>
      <c r="F876" s="714"/>
      <c r="G876" s="714"/>
      <c r="H876" s="714"/>
      <c r="I876" s="714"/>
      <c r="J876" s="714"/>
      <c r="K876" s="715">
        <v>2.6663999999999999</v>
      </c>
      <c r="L876" s="715">
        <v>2.6663999999999999</v>
      </c>
      <c r="M876" s="715">
        <v>2.6663999999999999</v>
      </c>
      <c r="N876" s="715">
        <v>2.6663999999999999</v>
      </c>
      <c r="O876" s="715">
        <v>2.6663999999999999</v>
      </c>
      <c r="P876" s="715">
        <v>2.6663999999999999</v>
      </c>
      <c r="Q876" s="715">
        <v>2.6663999999999999</v>
      </c>
      <c r="R876" s="715">
        <v>2.6663999999999999</v>
      </c>
      <c r="S876" s="715">
        <v>2.6688000000000001</v>
      </c>
      <c r="T876" s="714"/>
      <c r="U876" s="714"/>
      <c r="V876" s="714"/>
    </row>
    <row r="877" spans="1:22" ht="10.5" customHeight="1" x14ac:dyDescent="0.25">
      <c r="A877" s="716"/>
      <c r="B877" s="717"/>
      <c r="C877" s="718"/>
      <c r="D877" s="718"/>
      <c r="E877" s="718"/>
      <c r="F877" s="718"/>
      <c r="G877" s="718"/>
      <c r="H877" s="718"/>
      <c r="I877" s="718"/>
      <c r="J877" s="718"/>
      <c r="K877" s="718"/>
      <c r="L877" s="718"/>
      <c r="M877" s="718"/>
      <c r="N877" s="718"/>
      <c r="O877" s="718"/>
      <c r="P877" s="718"/>
      <c r="Q877" s="718"/>
      <c r="R877" s="718"/>
      <c r="S877" s="718"/>
      <c r="T877" s="718"/>
      <c r="U877" s="718"/>
      <c r="V877" s="718"/>
    </row>
    <row r="878" spans="1:22" ht="10.5" customHeight="1" x14ac:dyDescent="0.25">
      <c r="A878" s="707">
        <v>502945</v>
      </c>
      <c r="B878" s="708" t="s">
        <v>1827</v>
      </c>
      <c r="C878" s="707" t="s">
        <v>683</v>
      </c>
      <c r="D878" s="709">
        <v>30</v>
      </c>
      <c r="E878" s="709">
        <v>14.36</v>
      </c>
      <c r="F878" s="709">
        <v>430.8</v>
      </c>
      <c r="G878" s="709"/>
      <c r="H878" s="711"/>
      <c r="I878" s="711"/>
      <c r="J878" s="711"/>
      <c r="K878" s="710">
        <v>47.861879999999999</v>
      </c>
      <c r="L878" s="710">
        <v>47.861879999999999</v>
      </c>
      <c r="M878" s="710">
        <v>47.861879999999999</v>
      </c>
      <c r="N878" s="710">
        <v>47.861879999999999</v>
      </c>
      <c r="O878" s="710">
        <v>47.861879999999999</v>
      </c>
      <c r="P878" s="710">
        <v>47.861879999999999</v>
      </c>
      <c r="Q878" s="710">
        <v>47.861879999999999</v>
      </c>
      <c r="R878" s="710">
        <v>47.861879999999999</v>
      </c>
      <c r="S878" s="710">
        <v>47.904960000000003</v>
      </c>
      <c r="T878" s="711"/>
      <c r="U878" s="711"/>
      <c r="V878" s="711"/>
    </row>
    <row r="879" spans="1:22" ht="10.5" customHeight="1" x14ac:dyDescent="0.25">
      <c r="A879" s="712"/>
      <c r="B879" s="713"/>
      <c r="C879" s="714"/>
      <c r="D879" s="714"/>
      <c r="E879" s="714"/>
      <c r="F879" s="714"/>
      <c r="G879" s="714"/>
      <c r="H879" s="714"/>
      <c r="I879" s="714"/>
      <c r="J879" s="714"/>
      <c r="K879" s="715">
        <v>3.3329999999999997</v>
      </c>
      <c r="L879" s="715">
        <v>3.3329999999999997</v>
      </c>
      <c r="M879" s="715">
        <v>3.3329999999999997</v>
      </c>
      <c r="N879" s="715">
        <v>3.3329999999999997</v>
      </c>
      <c r="O879" s="715">
        <v>3.3329999999999997</v>
      </c>
      <c r="P879" s="715">
        <v>3.3329999999999997</v>
      </c>
      <c r="Q879" s="715">
        <v>3.3329999999999997</v>
      </c>
      <c r="R879" s="715">
        <v>3.3329999999999997</v>
      </c>
      <c r="S879" s="715">
        <v>3.3359999999999999</v>
      </c>
      <c r="T879" s="714"/>
      <c r="U879" s="714"/>
      <c r="V879" s="714"/>
    </row>
    <row r="880" spans="1:22" ht="10.5" customHeight="1" x14ac:dyDescent="0.25">
      <c r="A880" s="716"/>
      <c r="B880" s="717"/>
      <c r="C880" s="718"/>
      <c r="D880" s="718"/>
      <c r="E880" s="718"/>
      <c r="F880" s="718"/>
      <c r="G880" s="718"/>
      <c r="H880" s="718"/>
      <c r="I880" s="718"/>
      <c r="J880" s="718"/>
      <c r="K880" s="718"/>
      <c r="L880" s="718"/>
      <c r="M880" s="718"/>
      <c r="N880" s="718"/>
      <c r="O880" s="718"/>
      <c r="P880" s="718"/>
      <c r="Q880" s="718"/>
      <c r="R880" s="718"/>
      <c r="S880" s="718"/>
      <c r="T880" s="718"/>
      <c r="U880" s="718"/>
      <c r="V880" s="718"/>
    </row>
    <row r="881" spans="1:22" ht="10.5" customHeight="1" x14ac:dyDescent="0.25">
      <c r="A881" s="707">
        <v>515685</v>
      </c>
      <c r="B881" s="708" t="s">
        <v>1828</v>
      </c>
      <c r="C881" s="707" t="s">
        <v>683</v>
      </c>
      <c r="D881" s="709">
        <v>36</v>
      </c>
      <c r="E881" s="709">
        <v>16.87</v>
      </c>
      <c r="F881" s="709">
        <v>607.32000000000005</v>
      </c>
      <c r="G881" s="709"/>
      <c r="H881" s="711"/>
      <c r="I881" s="711"/>
      <c r="J881" s="711"/>
      <c r="K881" s="710">
        <v>67.473252000000002</v>
      </c>
      <c r="L881" s="710">
        <v>67.473252000000002</v>
      </c>
      <c r="M881" s="710">
        <v>67.473252000000002</v>
      </c>
      <c r="N881" s="710">
        <v>67.473252000000002</v>
      </c>
      <c r="O881" s="710">
        <v>67.473252000000002</v>
      </c>
      <c r="P881" s="710">
        <v>67.473252000000002</v>
      </c>
      <c r="Q881" s="710">
        <v>67.473252000000002</v>
      </c>
      <c r="R881" s="710">
        <v>67.473252000000002</v>
      </c>
      <c r="S881" s="710">
        <v>67.533984000000004</v>
      </c>
      <c r="T881" s="711"/>
      <c r="U881" s="711"/>
      <c r="V881" s="711"/>
    </row>
    <row r="882" spans="1:22" ht="10.5" customHeight="1" x14ac:dyDescent="0.25">
      <c r="A882" s="712"/>
      <c r="B882" s="713"/>
      <c r="C882" s="714"/>
      <c r="D882" s="714"/>
      <c r="E882" s="714"/>
      <c r="F882" s="714"/>
      <c r="G882" s="714"/>
      <c r="H882" s="714"/>
      <c r="I882" s="714"/>
      <c r="J882" s="714"/>
      <c r="K882" s="715">
        <v>3.9995999999999996</v>
      </c>
      <c r="L882" s="715">
        <v>3.9995999999999996</v>
      </c>
      <c r="M882" s="715">
        <v>3.9995999999999996</v>
      </c>
      <c r="N882" s="715">
        <v>3.9995999999999996</v>
      </c>
      <c r="O882" s="715">
        <v>3.9995999999999996</v>
      </c>
      <c r="P882" s="715">
        <v>3.9995999999999996</v>
      </c>
      <c r="Q882" s="715">
        <v>3.9995999999999996</v>
      </c>
      <c r="R882" s="715">
        <v>3.9995999999999996</v>
      </c>
      <c r="S882" s="715">
        <v>4.0031999999999996</v>
      </c>
      <c r="T882" s="714"/>
      <c r="U882" s="714"/>
      <c r="V882" s="714"/>
    </row>
    <row r="883" spans="1:22" ht="10.5" customHeight="1" x14ac:dyDescent="0.25">
      <c r="A883" s="716"/>
      <c r="B883" s="717"/>
      <c r="C883" s="718"/>
      <c r="D883" s="718"/>
      <c r="E883" s="718"/>
      <c r="F883" s="718"/>
      <c r="G883" s="718"/>
      <c r="H883" s="718"/>
      <c r="I883" s="718"/>
      <c r="J883" s="718"/>
      <c r="K883" s="718"/>
      <c r="L883" s="718"/>
      <c r="M883" s="718"/>
      <c r="N883" s="718"/>
      <c r="O883" s="718"/>
      <c r="P883" s="718"/>
      <c r="Q883" s="718"/>
      <c r="R883" s="718"/>
      <c r="S883" s="718"/>
      <c r="T883" s="718"/>
      <c r="U883" s="718"/>
      <c r="V883" s="718"/>
    </row>
    <row r="884" spans="1:22" ht="10.5" customHeight="1" x14ac:dyDescent="0.25">
      <c r="A884" s="707">
        <v>515652</v>
      </c>
      <c r="B884" s="708" t="s">
        <v>1829</v>
      </c>
      <c r="C884" s="707" t="s">
        <v>1050</v>
      </c>
      <c r="D884" s="709">
        <v>2</v>
      </c>
      <c r="E884" s="709">
        <v>256.57</v>
      </c>
      <c r="F884" s="709">
        <v>513.14</v>
      </c>
      <c r="G884" s="709"/>
      <c r="H884" s="711"/>
      <c r="I884" s="711"/>
      <c r="J884" s="711"/>
      <c r="K884" s="710">
        <v>57.009853999999997</v>
      </c>
      <c r="L884" s="710">
        <v>57.009853999999997</v>
      </c>
      <c r="M884" s="710">
        <v>57.009853999999997</v>
      </c>
      <c r="N884" s="710">
        <v>57.009853999999997</v>
      </c>
      <c r="O884" s="710">
        <v>57.009853999999997</v>
      </c>
      <c r="P884" s="710">
        <v>57.009853999999997</v>
      </c>
      <c r="Q884" s="710">
        <v>57.009853999999997</v>
      </c>
      <c r="R884" s="710">
        <v>57.009853999999997</v>
      </c>
      <c r="S884" s="710">
        <v>57.061167999999995</v>
      </c>
      <c r="T884" s="711"/>
      <c r="U884" s="711"/>
      <c r="V884" s="711"/>
    </row>
    <row r="885" spans="1:22" ht="10.5" customHeight="1" x14ac:dyDescent="0.25">
      <c r="A885" s="712"/>
      <c r="B885" s="713"/>
      <c r="C885" s="714"/>
      <c r="D885" s="714"/>
      <c r="E885" s="714"/>
      <c r="F885" s="714"/>
      <c r="G885" s="714"/>
      <c r="H885" s="714"/>
      <c r="I885" s="714"/>
      <c r="J885" s="714"/>
      <c r="K885" s="715">
        <v>0.22219999999999998</v>
      </c>
      <c r="L885" s="715">
        <v>0.22219999999999998</v>
      </c>
      <c r="M885" s="715">
        <v>0.22219999999999998</v>
      </c>
      <c r="N885" s="715">
        <v>0.22219999999999998</v>
      </c>
      <c r="O885" s="715">
        <v>0.22219999999999998</v>
      </c>
      <c r="P885" s="715">
        <v>0.22219999999999998</v>
      </c>
      <c r="Q885" s="715">
        <v>0.22219999999999998</v>
      </c>
      <c r="R885" s="715">
        <v>0.22219999999999998</v>
      </c>
      <c r="S885" s="715">
        <v>0.22239999999999999</v>
      </c>
      <c r="T885" s="714"/>
      <c r="U885" s="714"/>
      <c r="V885" s="714"/>
    </row>
    <row r="886" spans="1:22" ht="10.5" customHeight="1" x14ac:dyDescent="0.25">
      <c r="A886" s="716"/>
      <c r="B886" s="717"/>
      <c r="C886" s="718"/>
      <c r="D886" s="718"/>
      <c r="E886" s="718"/>
      <c r="F886" s="718"/>
      <c r="G886" s="718"/>
      <c r="H886" s="718"/>
      <c r="I886" s="718"/>
      <c r="J886" s="718"/>
      <c r="K886" s="718"/>
      <c r="L886" s="718"/>
      <c r="M886" s="718"/>
      <c r="N886" s="718"/>
      <c r="O886" s="718"/>
      <c r="P886" s="718"/>
      <c r="Q886" s="718"/>
      <c r="R886" s="718"/>
      <c r="S886" s="718"/>
      <c r="T886" s="718"/>
      <c r="U886" s="718"/>
      <c r="V886" s="718"/>
    </row>
    <row r="887" spans="1:22" ht="10.5" customHeight="1" x14ac:dyDescent="0.25">
      <c r="A887" s="707">
        <v>515652</v>
      </c>
      <c r="B887" s="708" t="s">
        <v>1830</v>
      </c>
      <c r="C887" s="707" t="s">
        <v>1050</v>
      </c>
      <c r="D887" s="709">
        <v>2</v>
      </c>
      <c r="E887" s="709">
        <v>256.57</v>
      </c>
      <c r="F887" s="709">
        <v>513.14</v>
      </c>
      <c r="G887" s="709"/>
      <c r="H887" s="711"/>
      <c r="I887" s="711"/>
      <c r="J887" s="711"/>
      <c r="K887" s="710">
        <v>57.009853999999997</v>
      </c>
      <c r="L887" s="710">
        <v>57.009853999999997</v>
      </c>
      <c r="M887" s="710">
        <v>57.009853999999997</v>
      </c>
      <c r="N887" s="710">
        <v>57.009853999999997</v>
      </c>
      <c r="O887" s="710">
        <v>57.009853999999997</v>
      </c>
      <c r="P887" s="710">
        <v>57.009853999999997</v>
      </c>
      <c r="Q887" s="710">
        <v>57.009853999999997</v>
      </c>
      <c r="R887" s="710">
        <v>57.009853999999997</v>
      </c>
      <c r="S887" s="710">
        <v>57.061167999999995</v>
      </c>
      <c r="T887" s="711"/>
      <c r="U887" s="711"/>
      <c r="V887" s="711"/>
    </row>
    <row r="888" spans="1:22" ht="10.5" customHeight="1" x14ac:dyDescent="0.25">
      <c r="A888" s="712"/>
      <c r="B888" s="713"/>
      <c r="C888" s="714"/>
      <c r="D888" s="714"/>
      <c r="E888" s="714"/>
      <c r="F888" s="714"/>
      <c r="G888" s="714"/>
      <c r="H888" s="714"/>
      <c r="I888" s="714"/>
      <c r="J888" s="714"/>
      <c r="K888" s="715">
        <v>0.22219999999999998</v>
      </c>
      <c r="L888" s="715">
        <v>0.22219999999999998</v>
      </c>
      <c r="M888" s="715">
        <v>0.22219999999999998</v>
      </c>
      <c r="N888" s="715">
        <v>0.22219999999999998</v>
      </c>
      <c r="O888" s="715">
        <v>0.22219999999999998</v>
      </c>
      <c r="P888" s="715">
        <v>0.22219999999999998</v>
      </c>
      <c r="Q888" s="715">
        <v>0.22219999999999998</v>
      </c>
      <c r="R888" s="715">
        <v>0.22219999999999998</v>
      </c>
      <c r="S888" s="715">
        <v>0.22239999999999999</v>
      </c>
      <c r="T888" s="714"/>
      <c r="U888" s="714"/>
      <c r="V888" s="714"/>
    </row>
    <row r="889" spans="1:22" ht="10.5" customHeight="1" x14ac:dyDescent="0.25">
      <c r="A889" s="716"/>
      <c r="B889" s="717"/>
      <c r="C889" s="718"/>
      <c r="D889" s="718"/>
      <c r="E889" s="718"/>
      <c r="F889" s="718"/>
      <c r="G889" s="718"/>
      <c r="H889" s="718"/>
      <c r="I889" s="718"/>
      <c r="J889" s="718"/>
      <c r="K889" s="718"/>
      <c r="L889" s="718"/>
      <c r="M889" s="718"/>
      <c r="N889" s="718"/>
      <c r="O889" s="718"/>
      <c r="P889" s="718"/>
      <c r="Q889" s="718"/>
      <c r="R889" s="718"/>
      <c r="S889" s="718"/>
      <c r="T889" s="718"/>
      <c r="U889" s="718"/>
      <c r="V889" s="718"/>
    </row>
    <row r="890" spans="1:22" ht="10.5" customHeight="1" x14ac:dyDescent="0.25">
      <c r="A890" s="707">
        <v>505606</v>
      </c>
      <c r="B890" s="708" t="s">
        <v>1831</v>
      </c>
      <c r="C890" s="707" t="s">
        <v>1050</v>
      </c>
      <c r="D890" s="709">
        <v>1</v>
      </c>
      <c r="E890" s="709">
        <v>582.03</v>
      </c>
      <c r="F890" s="709">
        <v>582.03</v>
      </c>
      <c r="G890" s="709"/>
      <c r="H890" s="711"/>
      <c r="I890" s="711"/>
      <c r="J890" s="711"/>
      <c r="K890" s="710">
        <v>64.663533000000001</v>
      </c>
      <c r="L890" s="710">
        <v>64.663533000000001</v>
      </c>
      <c r="M890" s="710">
        <v>64.663533000000001</v>
      </c>
      <c r="N890" s="710">
        <v>64.663533000000001</v>
      </c>
      <c r="O890" s="710">
        <v>64.663533000000001</v>
      </c>
      <c r="P890" s="710">
        <v>64.663533000000001</v>
      </c>
      <c r="Q890" s="710">
        <v>64.663533000000001</v>
      </c>
      <c r="R890" s="710">
        <v>64.663533000000001</v>
      </c>
      <c r="S890" s="710">
        <v>64.721735999999993</v>
      </c>
      <c r="T890" s="711"/>
      <c r="U890" s="711"/>
      <c r="V890" s="711"/>
    </row>
    <row r="891" spans="1:22" ht="10.5" customHeight="1" x14ac:dyDescent="0.25">
      <c r="A891" s="712"/>
      <c r="B891" s="713"/>
      <c r="C891" s="714"/>
      <c r="D891" s="714"/>
      <c r="E891" s="714"/>
      <c r="F891" s="714"/>
      <c r="G891" s="714"/>
      <c r="H891" s="714"/>
      <c r="I891" s="714"/>
      <c r="J891" s="714"/>
      <c r="K891" s="715">
        <v>0.11109999999999999</v>
      </c>
      <c r="L891" s="715">
        <v>0.11109999999999999</v>
      </c>
      <c r="M891" s="715">
        <v>0.11109999999999999</v>
      </c>
      <c r="N891" s="715">
        <v>0.11109999999999999</v>
      </c>
      <c r="O891" s="715">
        <v>0.11109999999999999</v>
      </c>
      <c r="P891" s="715">
        <v>0.11109999999999999</v>
      </c>
      <c r="Q891" s="715">
        <v>0.11109999999999999</v>
      </c>
      <c r="R891" s="715">
        <v>0.11109999999999999</v>
      </c>
      <c r="S891" s="715">
        <v>0.11119999999999999</v>
      </c>
      <c r="T891" s="714"/>
      <c r="U891" s="714"/>
      <c r="V891" s="714"/>
    </row>
    <row r="892" spans="1:22" ht="10.5" customHeight="1" x14ac:dyDescent="0.25">
      <c r="A892" s="716"/>
      <c r="B892" s="717"/>
      <c r="C892" s="718"/>
      <c r="D892" s="718"/>
      <c r="E892" s="718"/>
      <c r="F892" s="718"/>
      <c r="G892" s="718"/>
      <c r="H892" s="718"/>
      <c r="I892" s="718"/>
      <c r="J892" s="718"/>
      <c r="K892" s="718"/>
      <c r="L892" s="718"/>
      <c r="M892" s="718"/>
      <c r="N892" s="718"/>
      <c r="O892" s="718"/>
      <c r="P892" s="718"/>
      <c r="Q892" s="718"/>
      <c r="R892" s="718"/>
      <c r="S892" s="718"/>
      <c r="T892" s="718"/>
      <c r="U892" s="718"/>
      <c r="V892" s="718"/>
    </row>
    <row r="893" spans="1:22" ht="10.5" customHeight="1" x14ac:dyDescent="0.25">
      <c r="A893" s="707">
        <v>514183</v>
      </c>
      <c r="B893" s="708" t="s">
        <v>1832</v>
      </c>
      <c r="C893" s="707" t="s">
        <v>1050</v>
      </c>
      <c r="D893" s="709">
        <v>89</v>
      </c>
      <c r="E893" s="709">
        <v>28.07</v>
      </c>
      <c r="F893" s="709">
        <v>2498.23</v>
      </c>
      <c r="G893" s="709"/>
      <c r="H893" s="711"/>
      <c r="I893" s="711"/>
      <c r="J893" s="711"/>
      <c r="K893" s="710">
        <v>277.55335300000002</v>
      </c>
      <c r="L893" s="710">
        <v>277.55335300000002</v>
      </c>
      <c r="M893" s="710">
        <v>277.55335300000002</v>
      </c>
      <c r="N893" s="710">
        <v>277.55335300000002</v>
      </c>
      <c r="O893" s="710">
        <v>277.55335300000002</v>
      </c>
      <c r="P893" s="710">
        <v>277.55335300000002</v>
      </c>
      <c r="Q893" s="710">
        <v>277.55335300000002</v>
      </c>
      <c r="R893" s="710">
        <v>277.55335300000002</v>
      </c>
      <c r="S893" s="710">
        <v>277.80317600000001</v>
      </c>
      <c r="T893" s="711"/>
      <c r="U893" s="711"/>
      <c r="V893" s="711"/>
    </row>
    <row r="894" spans="1:22" ht="10.5" customHeight="1" x14ac:dyDescent="0.25">
      <c r="A894" s="712"/>
      <c r="B894" s="713"/>
      <c r="C894" s="714"/>
      <c r="D894" s="714"/>
      <c r="E894" s="714"/>
      <c r="F894" s="714"/>
      <c r="G894" s="714"/>
      <c r="H894" s="714"/>
      <c r="I894" s="714"/>
      <c r="J894" s="714"/>
      <c r="K894" s="715">
        <v>9.8879000000000001</v>
      </c>
      <c r="L894" s="715">
        <v>9.8879000000000001</v>
      </c>
      <c r="M894" s="715">
        <v>9.8879000000000001</v>
      </c>
      <c r="N894" s="715">
        <v>9.8879000000000001</v>
      </c>
      <c r="O894" s="715">
        <v>9.8879000000000001</v>
      </c>
      <c r="P894" s="715">
        <v>9.8879000000000001</v>
      </c>
      <c r="Q894" s="715">
        <v>9.8879000000000001</v>
      </c>
      <c r="R894" s="715">
        <v>9.8879000000000001</v>
      </c>
      <c r="S894" s="715">
        <v>9.8967999999999989</v>
      </c>
      <c r="T894" s="714"/>
      <c r="U894" s="714"/>
      <c r="V894" s="714"/>
    </row>
    <row r="895" spans="1:22" ht="10.5" customHeight="1" x14ac:dyDescent="0.25">
      <c r="A895" s="716"/>
      <c r="B895" s="717"/>
      <c r="C895" s="718"/>
      <c r="D895" s="718"/>
      <c r="E895" s="718"/>
      <c r="F895" s="718"/>
      <c r="G895" s="718"/>
      <c r="H895" s="718"/>
      <c r="I895" s="718"/>
      <c r="J895" s="718"/>
      <c r="K895" s="718"/>
      <c r="L895" s="718"/>
      <c r="M895" s="718"/>
      <c r="N895" s="718"/>
      <c r="O895" s="718"/>
      <c r="P895" s="718"/>
      <c r="Q895" s="718"/>
      <c r="R895" s="718"/>
      <c r="S895" s="718"/>
      <c r="T895" s="718"/>
      <c r="U895" s="718"/>
      <c r="V895" s="718"/>
    </row>
    <row r="896" spans="1:22" ht="10.5" customHeight="1" x14ac:dyDescent="0.25">
      <c r="A896" s="707">
        <v>503440</v>
      </c>
      <c r="B896" s="708" t="s">
        <v>1833</v>
      </c>
      <c r="C896" s="707" t="s">
        <v>1050</v>
      </c>
      <c r="D896" s="709">
        <v>9</v>
      </c>
      <c r="E896" s="709">
        <v>301.98</v>
      </c>
      <c r="F896" s="709">
        <v>2717.82</v>
      </c>
      <c r="G896" s="709"/>
      <c r="H896" s="711"/>
      <c r="I896" s="711"/>
      <c r="J896" s="711"/>
      <c r="K896" s="710">
        <v>301.94980200000003</v>
      </c>
      <c r="L896" s="710">
        <v>301.94980200000003</v>
      </c>
      <c r="M896" s="710">
        <v>301.94980200000003</v>
      </c>
      <c r="N896" s="710">
        <v>301.94980200000003</v>
      </c>
      <c r="O896" s="710">
        <v>301.94980200000003</v>
      </c>
      <c r="P896" s="710">
        <v>301.94980200000003</v>
      </c>
      <c r="Q896" s="710">
        <v>301.94980200000003</v>
      </c>
      <c r="R896" s="710">
        <v>301.94980200000003</v>
      </c>
      <c r="S896" s="710">
        <v>302.22158400000001</v>
      </c>
      <c r="T896" s="711"/>
      <c r="U896" s="711"/>
      <c r="V896" s="711"/>
    </row>
    <row r="897" spans="1:23" ht="10.5" customHeight="1" x14ac:dyDescent="0.25">
      <c r="A897" s="712"/>
      <c r="B897" s="713"/>
      <c r="C897" s="714"/>
      <c r="D897" s="714"/>
      <c r="E897" s="714"/>
      <c r="F897" s="714"/>
      <c r="G897" s="714"/>
      <c r="H897" s="714"/>
      <c r="I897" s="714"/>
      <c r="J897" s="714"/>
      <c r="K897" s="715">
        <v>0.9998999999999999</v>
      </c>
      <c r="L897" s="715">
        <v>0.9998999999999999</v>
      </c>
      <c r="M897" s="715">
        <v>0.9998999999999999</v>
      </c>
      <c r="N897" s="715">
        <v>0.9998999999999999</v>
      </c>
      <c r="O897" s="715">
        <v>0.9998999999999999</v>
      </c>
      <c r="P897" s="715">
        <v>0.9998999999999999</v>
      </c>
      <c r="Q897" s="715">
        <v>0.9998999999999999</v>
      </c>
      <c r="R897" s="715">
        <v>0.9998999999999999</v>
      </c>
      <c r="S897" s="715">
        <v>1.0007999999999999</v>
      </c>
      <c r="T897" s="714"/>
      <c r="U897" s="714"/>
      <c r="V897" s="714"/>
    </row>
    <row r="898" spans="1:23" ht="10.5" customHeight="1" x14ac:dyDescent="0.25">
      <c r="A898" s="716"/>
      <c r="B898" s="717"/>
      <c r="C898" s="718"/>
      <c r="D898" s="718"/>
      <c r="E898" s="718"/>
      <c r="F898" s="718"/>
      <c r="G898" s="718"/>
      <c r="H898" s="718"/>
      <c r="I898" s="718"/>
      <c r="J898" s="718"/>
      <c r="K898" s="718"/>
      <c r="L898" s="718"/>
      <c r="M898" s="718"/>
      <c r="N898" s="718"/>
      <c r="O898" s="718"/>
      <c r="P898" s="718"/>
      <c r="Q898" s="718"/>
      <c r="R898" s="718"/>
      <c r="S898" s="718"/>
      <c r="T898" s="718"/>
      <c r="U898" s="718"/>
      <c r="V898" s="718"/>
    </row>
    <row r="899" spans="1:23" ht="10.5" customHeight="1" x14ac:dyDescent="0.25">
      <c r="A899" s="707">
        <v>515639</v>
      </c>
      <c r="B899" s="708" t="s">
        <v>1834</v>
      </c>
      <c r="C899" s="707" t="s">
        <v>1050</v>
      </c>
      <c r="D899" s="709">
        <v>2</v>
      </c>
      <c r="E899" s="709">
        <v>250.57000000000002</v>
      </c>
      <c r="F899" s="709">
        <v>501.14</v>
      </c>
      <c r="G899" s="709"/>
      <c r="H899" s="711"/>
      <c r="I899" s="711"/>
      <c r="J899" s="711"/>
      <c r="K899" s="710">
        <v>55.676653999999999</v>
      </c>
      <c r="L899" s="710">
        <v>55.676653999999999</v>
      </c>
      <c r="M899" s="710">
        <v>55.676653999999999</v>
      </c>
      <c r="N899" s="710">
        <v>55.676653999999999</v>
      </c>
      <c r="O899" s="710">
        <v>55.676653999999999</v>
      </c>
      <c r="P899" s="710">
        <v>55.676653999999999</v>
      </c>
      <c r="Q899" s="710">
        <v>55.676653999999999</v>
      </c>
      <c r="R899" s="710">
        <v>55.676653999999999</v>
      </c>
      <c r="S899" s="710">
        <v>55.726767999999993</v>
      </c>
      <c r="T899" s="711"/>
      <c r="U899" s="711"/>
      <c r="V899" s="711"/>
    </row>
    <row r="900" spans="1:23" ht="10.5" customHeight="1" x14ac:dyDescent="0.25">
      <c r="A900" s="712"/>
      <c r="B900" s="713"/>
      <c r="C900" s="714"/>
      <c r="D900" s="714"/>
      <c r="E900" s="714"/>
      <c r="F900" s="714"/>
      <c r="G900" s="714"/>
      <c r="H900" s="714"/>
      <c r="I900" s="714"/>
      <c r="J900" s="714"/>
      <c r="K900" s="715">
        <v>0.22219999999999998</v>
      </c>
      <c r="L900" s="715">
        <v>0.22219999999999998</v>
      </c>
      <c r="M900" s="715">
        <v>0.22219999999999998</v>
      </c>
      <c r="N900" s="715">
        <v>0.22219999999999998</v>
      </c>
      <c r="O900" s="715">
        <v>0.22219999999999998</v>
      </c>
      <c r="P900" s="715">
        <v>0.22219999999999998</v>
      </c>
      <c r="Q900" s="715">
        <v>0.22219999999999998</v>
      </c>
      <c r="R900" s="715">
        <v>0.22219999999999998</v>
      </c>
      <c r="S900" s="715">
        <v>0.22239999999999999</v>
      </c>
      <c r="T900" s="714"/>
      <c r="U900" s="714"/>
      <c r="V900" s="714"/>
    </row>
    <row r="901" spans="1:23" ht="10.5" customHeight="1" x14ac:dyDescent="0.25">
      <c r="A901" s="716"/>
      <c r="B901" s="717"/>
      <c r="C901" s="718"/>
      <c r="D901" s="718"/>
      <c r="E901" s="718"/>
      <c r="F901" s="718"/>
      <c r="G901" s="718"/>
      <c r="H901" s="718"/>
      <c r="I901" s="718"/>
      <c r="J901" s="718"/>
      <c r="K901" s="718"/>
      <c r="L901" s="718"/>
      <c r="M901" s="718"/>
      <c r="N901" s="718"/>
      <c r="O901" s="718"/>
      <c r="P901" s="718"/>
      <c r="Q901" s="718"/>
      <c r="R901" s="718"/>
      <c r="S901" s="718"/>
      <c r="T901" s="718"/>
      <c r="U901" s="718"/>
      <c r="V901" s="718"/>
    </row>
    <row r="902" spans="1:23" ht="10.5" customHeight="1" x14ac:dyDescent="0.25">
      <c r="A902" s="707">
        <v>515658</v>
      </c>
      <c r="B902" s="708" t="s">
        <v>1835</v>
      </c>
      <c r="C902" s="707" t="s">
        <v>1050</v>
      </c>
      <c r="D902" s="709">
        <v>400</v>
      </c>
      <c r="E902" s="709">
        <v>6.59</v>
      </c>
      <c r="F902" s="709">
        <v>2636</v>
      </c>
      <c r="G902" s="709"/>
      <c r="H902" s="711"/>
      <c r="I902" s="711"/>
      <c r="J902" s="711"/>
      <c r="K902" s="710">
        <v>292.8596</v>
      </c>
      <c r="L902" s="710">
        <v>292.8596</v>
      </c>
      <c r="M902" s="710">
        <v>292.8596</v>
      </c>
      <c r="N902" s="710">
        <v>292.8596</v>
      </c>
      <c r="O902" s="710">
        <v>292.8596</v>
      </c>
      <c r="P902" s="710">
        <v>292.8596</v>
      </c>
      <c r="Q902" s="710">
        <v>292.8596</v>
      </c>
      <c r="R902" s="710">
        <v>292.8596</v>
      </c>
      <c r="S902" s="710">
        <v>293.1232</v>
      </c>
      <c r="T902" s="711"/>
      <c r="U902" s="711"/>
      <c r="V902" s="711"/>
    </row>
    <row r="903" spans="1:23" ht="10.5" customHeight="1" x14ac:dyDescent="0.25">
      <c r="A903" s="712"/>
      <c r="B903" s="713"/>
      <c r="C903" s="714"/>
      <c r="D903" s="714"/>
      <c r="E903" s="714"/>
      <c r="F903" s="714"/>
      <c r="G903" s="714"/>
      <c r="H903" s="714"/>
      <c r="I903" s="714"/>
      <c r="J903" s="714"/>
      <c r="K903" s="715">
        <v>44.44</v>
      </c>
      <c r="L903" s="715">
        <v>44.44</v>
      </c>
      <c r="M903" s="715">
        <v>44.44</v>
      </c>
      <c r="N903" s="715">
        <v>44.44</v>
      </c>
      <c r="O903" s="715">
        <v>44.44</v>
      </c>
      <c r="P903" s="715">
        <v>44.44</v>
      </c>
      <c r="Q903" s="715">
        <v>44.44</v>
      </c>
      <c r="R903" s="715">
        <v>44.44</v>
      </c>
      <c r="S903" s="715">
        <v>44.48</v>
      </c>
      <c r="T903" s="714"/>
      <c r="U903" s="714"/>
      <c r="V903" s="714"/>
    </row>
    <row r="904" spans="1:23" ht="10.5" customHeight="1" x14ac:dyDescent="0.25">
      <c r="A904" s="716"/>
      <c r="B904" s="717"/>
      <c r="C904" s="718"/>
      <c r="D904" s="718"/>
      <c r="E904" s="718"/>
      <c r="F904" s="718"/>
      <c r="G904" s="718"/>
      <c r="H904" s="718"/>
      <c r="I904" s="718"/>
      <c r="J904" s="718"/>
      <c r="K904" s="718"/>
      <c r="L904" s="718"/>
      <c r="M904" s="718"/>
      <c r="N904" s="718"/>
      <c r="O904" s="718"/>
      <c r="P904" s="718"/>
      <c r="Q904" s="718"/>
      <c r="R904" s="718"/>
      <c r="S904" s="718"/>
      <c r="T904" s="718"/>
      <c r="U904" s="718"/>
      <c r="V904" s="718"/>
    </row>
    <row r="905" spans="1:23" ht="10.5" customHeight="1" x14ac:dyDescent="0.25">
      <c r="A905" s="720"/>
      <c r="B905" s="721"/>
      <c r="C905" s="721"/>
      <c r="D905" s="721"/>
      <c r="E905" s="721"/>
      <c r="F905" s="722">
        <v>1886398.03</v>
      </c>
      <c r="G905" s="722" t="s">
        <v>1853</v>
      </c>
      <c r="H905" s="722" t="s">
        <v>1854</v>
      </c>
      <c r="I905" s="722" t="s">
        <v>1855</v>
      </c>
      <c r="J905" s="722" t="s">
        <v>1856</v>
      </c>
      <c r="K905" s="722" t="s">
        <v>1857</v>
      </c>
      <c r="L905" s="722" t="s">
        <v>1858</v>
      </c>
      <c r="M905" s="722" t="s">
        <v>1859</v>
      </c>
      <c r="N905" s="722" t="s">
        <v>1860</v>
      </c>
      <c r="O905" s="722" t="s">
        <v>1861</v>
      </c>
      <c r="P905" s="722" t="s">
        <v>1862</v>
      </c>
      <c r="Q905" s="722" t="s">
        <v>1863</v>
      </c>
      <c r="R905" s="722" t="s">
        <v>1864</v>
      </c>
      <c r="S905" s="722" t="s">
        <v>1865</v>
      </c>
      <c r="T905" s="722" t="s">
        <v>1866</v>
      </c>
      <c r="U905" s="722" t="s">
        <v>1867</v>
      </c>
      <c r="V905" s="722" t="s">
        <v>1868</v>
      </c>
    </row>
    <row r="906" spans="1:23" ht="10.5" customHeight="1" x14ac:dyDescent="0.25">
      <c r="A906" s="720"/>
      <c r="B906" s="723" t="s">
        <v>1836</v>
      </c>
      <c r="C906" s="723"/>
      <c r="D906" s="723"/>
      <c r="E906" s="723"/>
      <c r="F906" s="732"/>
      <c r="G906" s="731">
        <v>0</v>
      </c>
      <c r="H906" s="732">
        <v>28746.145000000004</v>
      </c>
      <c r="I906" s="732">
        <v>73609.095000000001</v>
      </c>
      <c r="J906" s="732">
        <v>165712.14211199997</v>
      </c>
      <c r="K906" s="732">
        <v>136155.29976200001</v>
      </c>
      <c r="L906" s="732">
        <v>159768.9049109999</v>
      </c>
      <c r="M906" s="732">
        <v>177075.42953099989</v>
      </c>
      <c r="N906" s="732">
        <v>205194.30708999981</v>
      </c>
      <c r="O906" s="732">
        <v>219905.37196399987</v>
      </c>
      <c r="P906" s="732">
        <v>211134.92262699993</v>
      </c>
      <c r="Q906" s="732">
        <v>126499.104439</v>
      </c>
      <c r="R906" s="732">
        <v>112238.03112800003</v>
      </c>
      <c r="S906" s="732">
        <v>94949.332143000051</v>
      </c>
      <c r="T906" s="732">
        <v>90761.851172999988</v>
      </c>
      <c r="U906" s="732">
        <v>45837.005935000001</v>
      </c>
      <c r="V906" s="732">
        <v>38811.087184999997</v>
      </c>
      <c r="W906" s="733"/>
    </row>
    <row r="907" spans="1:23" ht="10.5" customHeight="1" x14ac:dyDescent="0.25">
      <c r="A907" s="720"/>
      <c r="B907" s="723" t="s">
        <v>1837</v>
      </c>
      <c r="C907" s="723"/>
      <c r="D907" s="723"/>
      <c r="E907" s="723"/>
      <c r="F907" s="723"/>
      <c r="G907" s="723"/>
      <c r="H907" s="724">
        <v>1.5238642398285369</v>
      </c>
      <c r="I907" s="724">
        <v>3.9020977455113215</v>
      </c>
      <c r="J907" s="724">
        <v>8.7845798965343445</v>
      </c>
      <c r="K907" s="724">
        <v>7.2177397132883971</v>
      </c>
      <c r="L907" s="724">
        <v>8.4695224639839051</v>
      </c>
      <c r="M907" s="724">
        <v>9.3869600537591644</v>
      </c>
      <c r="N907" s="724">
        <v>10.877572168054044</v>
      </c>
      <c r="O907" s="724">
        <v>11.65742162930481</v>
      </c>
      <c r="P907" s="724">
        <v>11.192490623360113</v>
      </c>
      <c r="Q907" s="724">
        <v>6.7058543545552771</v>
      </c>
      <c r="R907" s="724">
        <v>5.9498594327942547</v>
      </c>
      <c r="S907" s="724">
        <v>5.0333667992115121</v>
      </c>
      <c r="T907" s="724">
        <v>4.8113839035868775</v>
      </c>
      <c r="U907" s="724">
        <v>2.4298692643884912</v>
      </c>
      <c r="V907" s="724">
        <v>2.0574177118388945</v>
      </c>
    </row>
    <row r="908" spans="1:23" ht="10.5" customHeight="1" x14ac:dyDescent="0.25">
      <c r="A908" s="720"/>
      <c r="B908" s="723" t="s">
        <v>1838</v>
      </c>
      <c r="C908" s="723"/>
      <c r="D908" s="723"/>
      <c r="E908" s="723"/>
      <c r="F908" s="723"/>
      <c r="G908" s="731">
        <v>0</v>
      </c>
      <c r="H908" s="731">
        <v>28746.145000000004</v>
      </c>
      <c r="I908" s="731">
        <v>102355.24</v>
      </c>
      <c r="J908" s="731">
        <v>268067.38211199996</v>
      </c>
      <c r="K908" s="731">
        <v>404222.681874</v>
      </c>
      <c r="L908" s="731">
        <v>563991.58678499993</v>
      </c>
      <c r="M908" s="731">
        <v>741067.01631599979</v>
      </c>
      <c r="N908" s="731">
        <v>946261.32340599957</v>
      </c>
      <c r="O908" s="731">
        <v>1166166.6953699994</v>
      </c>
      <c r="P908" s="731">
        <v>1377301.6179969993</v>
      </c>
      <c r="Q908" s="731">
        <v>1503800.7224359992</v>
      </c>
      <c r="R908" s="731">
        <v>1616038.7535639992</v>
      </c>
      <c r="S908" s="731">
        <v>1710988.0857069993</v>
      </c>
      <c r="T908" s="731">
        <v>1801749.9368799992</v>
      </c>
      <c r="U908" s="731">
        <v>1847586.942815</v>
      </c>
      <c r="V908" s="731">
        <v>1886398.03</v>
      </c>
      <c r="W908" s="731"/>
    </row>
    <row r="909" spans="1:23" ht="10.5" customHeight="1" x14ac:dyDescent="0.25">
      <c r="A909" s="720"/>
      <c r="B909" s="723" t="s">
        <v>1839</v>
      </c>
      <c r="C909" s="723"/>
      <c r="D909" s="723"/>
      <c r="E909" s="723"/>
      <c r="F909" s="723"/>
      <c r="G909" s="723"/>
      <c r="H909" s="724">
        <v>1.5238642398285369</v>
      </c>
      <c r="I909" s="724">
        <v>5.4259619853398586</v>
      </c>
      <c r="J909" s="724">
        <v>14.210541881874203</v>
      </c>
      <c r="K909" s="724">
        <v>21.428281595162602</v>
      </c>
      <c r="L909" s="724">
        <v>29.897804059146509</v>
      </c>
      <c r="M909" s="724">
        <v>39.284764112905677</v>
      </c>
      <c r="N909" s="724">
        <v>50.162336280959721</v>
      </c>
      <c r="O909" s="724">
        <v>61.819757910264528</v>
      </c>
      <c r="P909" s="724">
        <v>73.012248533624643</v>
      </c>
      <c r="Q909" s="724">
        <v>79.718102888179914</v>
      </c>
      <c r="R909" s="724">
        <v>85.667962320974169</v>
      </c>
      <c r="S909" s="724">
        <v>90.701329120185676</v>
      </c>
      <c r="T909" s="724">
        <v>95.512713023772548</v>
      </c>
      <c r="U909" s="724">
        <v>97.942582288161034</v>
      </c>
      <c r="V909" s="724">
        <v>99.999999999999929</v>
      </c>
    </row>
    <row r="912" spans="1:23" x14ac:dyDescent="0.25">
      <c r="F912" s="1"/>
      <c r="G912" s="759" t="s">
        <v>1853</v>
      </c>
      <c r="H912" s="759" t="s">
        <v>1854</v>
      </c>
      <c r="I912" s="759" t="s">
        <v>1855</v>
      </c>
      <c r="J912" s="759" t="s">
        <v>1856</v>
      </c>
      <c r="K912" s="759" t="s">
        <v>1857</v>
      </c>
      <c r="L912" s="759" t="s">
        <v>1858</v>
      </c>
      <c r="M912" s="759" t="s">
        <v>1859</v>
      </c>
      <c r="N912" s="759" t="s">
        <v>1860</v>
      </c>
      <c r="O912" s="759" t="s">
        <v>1861</v>
      </c>
      <c r="P912" s="759" t="s">
        <v>1862</v>
      </c>
      <c r="Q912" s="759" t="s">
        <v>1863</v>
      </c>
      <c r="R912" s="759" t="s">
        <v>1864</v>
      </c>
      <c r="S912" s="759" t="s">
        <v>1865</v>
      </c>
      <c r="T912" s="759" t="s">
        <v>1866</v>
      </c>
      <c r="U912" s="759" t="s">
        <v>1867</v>
      </c>
      <c r="V912" s="759" t="s">
        <v>1868</v>
      </c>
    </row>
    <row r="913" spans="1:24" x14ac:dyDescent="0.25">
      <c r="A913" s="749"/>
      <c r="F913" s="1" t="s">
        <v>500</v>
      </c>
      <c r="G913" s="762">
        <v>1500000</v>
      </c>
      <c r="H913" s="762"/>
      <c r="I913" s="762"/>
      <c r="J913" s="762"/>
      <c r="K913" s="762"/>
      <c r="L913" s="762"/>
      <c r="M913" s="762"/>
      <c r="N913" s="762"/>
      <c r="O913" s="762"/>
      <c r="P913" s="762"/>
      <c r="Q913" s="762"/>
      <c r="R913" s="762"/>
      <c r="S913" s="762"/>
      <c r="T913" s="762"/>
      <c r="U913" s="762"/>
      <c r="V913" s="762"/>
    </row>
    <row r="914" spans="1:24" x14ac:dyDescent="0.25">
      <c r="F914" s="760"/>
      <c r="G914" s="762"/>
      <c r="H914" s="762"/>
      <c r="I914" s="762">
        <v>18824.644255687501</v>
      </c>
      <c r="J914" s="762">
        <v>18824.644255687501</v>
      </c>
      <c r="K914" s="762">
        <v>18824.644255687501</v>
      </c>
      <c r="L914" s="762">
        <v>18824.644255687501</v>
      </c>
      <c r="M914" s="762">
        <v>18824.644255687501</v>
      </c>
      <c r="N914" s="762">
        <v>18824.644255687501</v>
      </c>
      <c r="O914" s="762">
        <v>18824.644255687501</v>
      </c>
      <c r="P914" s="762">
        <v>18824.644255687501</v>
      </c>
      <c r="Q914" s="762">
        <v>18824.644255687501</v>
      </c>
      <c r="R914" s="762">
        <v>18824.644255687501</v>
      </c>
      <c r="S914" s="762">
        <v>18824.644255687501</v>
      </c>
      <c r="T914" s="762">
        <v>18824.644255687501</v>
      </c>
      <c r="U914" s="762"/>
      <c r="V914" s="762"/>
    </row>
    <row r="915" spans="1:24" x14ac:dyDescent="0.25">
      <c r="F915" s="760"/>
      <c r="G915" s="762">
        <v>42998.54</v>
      </c>
      <c r="H915" s="762"/>
      <c r="I915" s="762"/>
      <c r="J915" s="762"/>
      <c r="K915" s="762"/>
      <c r="L915" s="762"/>
      <c r="M915" s="762"/>
      <c r="N915" s="762"/>
      <c r="O915" s="762"/>
      <c r="P915" s="762"/>
      <c r="Q915" s="762"/>
      <c r="R915" s="762"/>
      <c r="S915" s="762"/>
      <c r="T915" s="762"/>
      <c r="U915" s="762"/>
      <c r="V915" s="762"/>
    </row>
    <row r="916" spans="1:24" x14ac:dyDescent="0.25">
      <c r="F916" s="760"/>
      <c r="G916" s="762">
        <v>5740.5</v>
      </c>
      <c r="H916" s="762">
        <v>5740.5</v>
      </c>
      <c r="I916" s="762">
        <v>5740.5</v>
      </c>
      <c r="J916" s="762">
        <v>5740.5</v>
      </c>
      <c r="K916" s="762">
        <v>5740.5</v>
      </c>
      <c r="L916" s="762">
        <v>5740.5</v>
      </c>
      <c r="M916" s="762">
        <v>5740.5</v>
      </c>
      <c r="N916" s="762">
        <v>5740.5</v>
      </c>
      <c r="O916" s="762">
        <v>5740.5</v>
      </c>
      <c r="P916" s="762">
        <v>5740.5</v>
      </c>
      <c r="Q916" s="762">
        <v>5740.5</v>
      </c>
      <c r="R916" s="762">
        <v>5740.5</v>
      </c>
      <c r="S916" s="762">
        <v>5740.5</v>
      </c>
      <c r="T916" s="762">
        <v>5740.5</v>
      </c>
      <c r="U916" s="762"/>
      <c r="V916" s="762"/>
    </row>
    <row r="917" spans="1:24" x14ac:dyDescent="0.25">
      <c r="F917" s="760"/>
      <c r="G917" s="762"/>
      <c r="H917" s="762">
        <v>12340.733333333335</v>
      </c>
      <c r="I917" s="762">
        <v>12340.733333333335</v>
      </c>
      <c r="J917" s="762">
        <v>12340.733333333335</v>
      </c>
      <c r="K917" s="762"/>
      <c r="L917" s="762"/>
      <c r="M917" s="762"/>
      <c r="N917" s="762"/>
      <c r="O917" s="762"/>
      <c r="P917" s="762"/>
      <c r="Q917" s="762"/>
      <c r="R917" s="762"/>
      <c r="S917" s="762"/>
      <c r="T917" s="762"/>
      <c r="U917" s="762"/>
      <c r="V917" s="762"/>
    </row>
    <row r="918" spans="1:24" x14ac:dyDescent="0.25">
      <c r="F918" s="761"/>
      <c r="G918" s="762"/>
      <c r="H918" s="762">
        <v>28746.145000000004</v>
      </c>
      <c r="I918" s="762">
        <v>73609.095000000001</v>
      </c>
      <c r="J918" s="762">
        <v>165712.14211199997</v>
      </c>
      <c r="K918" s="762">
        <v>136155.29976200001</v>
      </c>
      <c r="L918" s="762">
        <v>159768.9049109999</v>
      </c>
      <c r="M918" s="762">
        <v>177075.42953099989</v>
      </c>
      <c r="N918" s="762">
        <v>205194.30708999981</v>
      </c>
      <c r="O918" s="762">
        <v>219905.37196399987</v>
      </c>
      <c r="P918" s="762">
        <v>211134.92262699993</v>
      </c>
      <c r="Q918" s="762">
        <v>126499.104439</v>
      </c>
      <c r="R918" s="762">
        <v>112238.03112800003</v>
      </c>
      <c r="S918" s="762">
        <v>94949.332143000051</v>
      </c>
      <c r="T918" s="762">
        <v>90761.851172999988</v>
      </c>
      <c r="U918" s="762">
        <v>45837.005935000001</v>
      </c>
      <c r="V918" s="762">
        <v>38811.087184999997</v>
      </c>
      <c r="X918">
        <f>+X919/12</f>
        <v>11373.208244312555</v>
      </c>
    </row>
    <row r="919" spans="1:24" x14ac:dyDescent="0.25">
      <c r="F919" t="s">
        <v>1845</v>
      </c>
      <c r="G919" s="763">
        <f>SUM(G913:G918)</f>
        <v>1548739.04</v>
      </c>
      <c r="H919" s="763">
        <f t="shared" ref="H919:V919" si="0">SUM(H913:H918)</f>
        <v>46827.378333333341</v>
      </c>
      <c r="I919" s="763">
        <f t="shared" si="0"/>
        <v>110514.97258902084</v>
      </c>
      <c r="J919" s="763">
        <f t="shared" si="0"/>
        <v>202618.01970102079</v>
      </c>
      <c r="K919" s="763">
        <f t="shared" si="0"/>
        <v>160720.44401768752</v>
      </c>
      <c r="L919" s="763">
        <f t="shared" si="0"/>
        <v>184334.04916668741</v>
      </c>
      <c r="M919" s="763">
        <f t="shared" si="0"/>
        <v>201640.5737866874</v>
      </c>
      <c r="N919" s="763">
        <f t="shared" si="0"/>
        <v>229759.45134568732</v>
      </c>
      <c r="O919" s="763">
        <f t="shared" si="0"/>
        <v>244470.51621968739</v>
      </c>
      <c r="P919" s="763">
        <f t="shared" si="0"/>
        <v>235700.06688268745</v>
      </c>
      <c r="Q919" s="763">
        <f t="shared" si="0"/>
        <v>151064.2486946875</v>
      </c>
      <c r="R919" s="763">
        <f t="shared" si="0"/>
        <v>136803.17538368754</v>
      </c>
      <c r="S919" s="763">
        <f t="shared" si="0"/>
        <v>119514.47639868755</v>
      </c>
      <c r="T919" s="763">
        <f t="shared" si="0"/>
        <v>115326.99542868749</v>
      </c>
      <c r="U919" s="763">
        <f t="shared" si="0"/>
        <v>45837.005935000001</v>
      </c>
      <c r="V919" s="763">
        <f t="shared" si="0"/>
        <v>38811.087184999997</v>
      </c>
      <c r="X919" s="44">
        <f>+X920-V920</f>
        <v>136478.49893175066</v>
      </c>
    </row>
    <row r="920" spans="1:24" x14ac:dyDescent="0.25">
      <c r="F920" t="s">
        <v>1846</v>
      </c>
      <c r="G920" s="763">
        <f>+G919</f>
        <v>1548739.04</v>
      </c>
      <c r="H920" s="764">
        <f>+G920+H919</f>
        <v>1595566.4183333335</v>
      </c>
      <c r="I920" s="763">
        <f t="shared" ref="I920:V920" si="1">+H920+I919</f>
        <v>1706081.3909223543</v>
      </c>
      <c r="J920" s="763">
        <f t="shared" si="1"/>
        <v>1908699.4106233751</v>
      </c>
      <c r="K920" s="763">
        <f t="shared" si="1"/>
        <v>2069419.8546410627</v>
      </c>
      <c r="L920" s="763">
        <f t="shared" si="1"/>
        <v>2253753.90380775</v>
      </c>
      <c r="M920" s="763">
        <f t="shared" si="1"/>
        <v>2455394.4775944375</v>
      </c>
      <c r="N920" s="763">
        <f t="shared" si="1"/>
        <v>2685153.9289401248</v>
      </c>
      <c r="O920" s="763">
        <f t="shared" si="1"/>
        <v>2929624.445159812</v>
      </c>
      <c r="P920" s="763">
        <f t="shared" si="1"/>
        <v>3165324.5120424996</v>
      </c>
      <c r="Q920" s="763">
        <f t="shared" si="1"/>
        <v>3316388.7607371872</v>
      </c>
      <c r="R920" s="763">
        <f t="shared" si="1"/>
        <v>3453191.9361208747</v>
      </c>
      <c r="S920" s="763">
        <f t="shared" si="1"/>
        <v>3572706.4125195621</v>
      </c>
      <c r="T920" s="763">
        <f t="shared" si="1"/>
        <v>3688033.4079482495</v>
      </c>
      <c r="U920" s="763">
        <f t="shared" si="1"/>
        <v>3733870.4138832493</v>
      </c>
      <c r="V920" s="763">
        <f t="shared" si="1"/>
        <v>3772681.5010682493</v>
      </c>
      <c r="X920">
        <v>3909160</v>
      </c>
    </row>
  </sheetData>
  <mergeCells count="2">
    <mergeCell ref="A1:V1"/>
    <mergeCell ref="A2:V2"/>
  </mergeCells>
  <phoneticPr fontId="16" type="noConversion"/>
  <printOptions horizontalCentered="1" verticalCentered="1"/>
  <pageMargins left="0" right="0" top="0.74803149606299213" bottom="0" header="0.31496062992125984" footer="0.31496062992125984"/>
  <pageSetup paperSize="9" scale="35" fitToHeight="6" orientation="portrait" r:id="rId1"/>
  <headerFooter>
    <oddFooter>&amp;R&amp;8Pag. &amp;P de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4"/>
  <dimension ref="A1:L64"/>
  <sheetViews>
    <sheetView showGridLines="0" topLeftCell="A45" zoomScaleNormal="100" workbookViewId="0">
      <selection activeCell="H65" sqref="H65"/>
    </sheetView>
  </sheetViews>
  <sheetFormatPr baseColWidth="10" defaultRowHeight="11.25" x14ac:dyDescent="0.2"/>
  <cols>
    <col min="1" max="1" width="19.5703125" style="421" customWidth="1"/>
    <col min="2" max="2" width="25.5703125" style="421" customWidth="1"/>
    <col min="3" max="3" width="12.5703125" style="421" customWidth="1"/>
    <col min="4" max="4" width="18.28515625" style="421" customWidth="1"/>
    <col min="5" max="5" width="13.7109375" style="421" customWidth="1"/>
    <col min="6" max="6" width="5.5703125" style="421" customWidth="1"/>
    <col min="7" max="7" width="4.85546875" style="421" customWidth="1"/>
    <col min="8" max="16384" width="11.42578125" style="421"/>
  </cols>
  <sheetData>
    <row r="1" spans="1:7" ht="54" customHeight="1" x14ac:dyDescent="0.2">
      <c r="A1" s="1395"/>
      <c r="B1" s="1396"/>
      <c r="C1" s="1086"/>
      <c r="D1" s="1086"/>
      <c r="E1" s="1086"/>
      <c r="F1" s="1086"/>
      <c r="G1" s="1086"/>
    </row>
    <row r="2" spans="1:7" ht="7.5" customHeight="1" x14ac:dyDescent="0.2">
      <c r="A2" s="863"/>
      <c r="B2" s="1086"/>
      <c r="C2" s="1397"/>
      <c r="D2" s="1397"/>
      <c r="E2" s="1397"/>
      <c r="F2" s="1397"/>
      <c r="G2" s="1398"/>
    </row>
    <row r="3" spans="1:7" ht="30.75" customHeight="1" x14ac:dyDescent="0.2">
      <c r="A3" s="867" t="s">
        <v>412</v>
      </c>
      <c r="B3" s="868"/>
      <c r="C3" s="868"/>
      <c r="D3" s="868"/>
      <c r="E3" s="868"/>
      <c r="F3" s="868"/>
      <c r="G3" s="869"/>
    </row>
    <row r="4" spans="1:7" ht="6.75" customHeight="1" thickBot="1" x14ac:dyDescent="0.25">
      <c r="A4" s="863"/>
      <c r="B4" s="1086"/>
      <c r="C4" s="1086"/>
      <c r="D4" s="1086"/>
      <c r="E4" s="1086"/>
      <c r="F4" s="1086"/>
      <c r="G4" s="864"/>
    </row>
    <row r="5" spans="1:7" ht="12" thickBot="1" x14ac:dyDescent="0.25">
      <c r="A5" s="858" t="s">
        <v>407</v>
      </c>
      <c r="B5" s="859"/>
      <c r="C5" s="859"/>
      <c r="D5" s="859"/>
      <c r="E5" s="859"/>
      <c r="F5" s="859"/>
      <c r="G5" s="860"/>
    </row>
    <row r="6" spans="1:7" ht="6.75" customHeight="1" thickBot="1" x14ac:dyDescent="0.25">
      <c r="A6" s="863"/>
      <c r="B6" s="1086"/>
      <c r="C6" s="1086"/>
      <c r="D6" s="1086"/>
      <c r="E6" s="1086"/>
      <c r="F6" s="1086"/>
      <c r="G6" s="864"/>
    </row>
    <row r="7" spans="1:7" ht="12" thickBot="1" x14ac:dyDescent="0.25">
      <c r="A7" s="858" t="s">
        <v>128</v>
      </c>
      <c r="B7" s="859"/>
      <c r="C7" s="859"/>
      <c r="D7" s="859"/>
      <c r="E7" s="859"/>
      <c r="F7" s="859"/>
      <c r="G7" s="860"/>
    </row>
    <row r="8" spans="1:7" ht="8.25" customHeight="1" x14ac:dyDescent="0.2">
      <c r="A8" s="863"/>
      <c r="B8" s="1086"/>
      <c r="C8" s="1086"/>
      <c r="D8" s="1086"/>
      <c r="E8" s="1086"/>
      <c r="F8" s="1086"/>
      <c r="G8" s="864"/>
    </row>
    <row r="9" spans="1:7" x14ac:dyDescent="0.2">
      <c r="A9" s="1399" t="s">
        <v>2</v>
      </c>
      <c r="B9" s="1400"/>
      <c r="C9" s="1084" t="s">
        <v>13</v>
      </c>
      <c r="D9" s="1084"/>
      <c r="E9" s="1084"/>
      <c r="F9" s="1084"/>
      <c r="G9" s="1085"/>
    </row>
    <row r="10" spans="1:7" x14ac:dyDescent="0.2">
      <c r="A10" s="1399" t="s">
        <v>229</v>
      </c>
      <c r="B10" s="1400"/>
      <c r="C10" s="1401" t="s">
        <v>280</v>
      </c>
      <c r="D10" s="1402"/>
      <c r="E10" s="1402"/>
      <c r="F10" s="1402"/>
      <c r="G10" s="1403"/>
    </row>
    <row r="11" spans="1:7" x14ac:dyDescent="0.2">
      <c r="A11" s="1399" t="s">
        <v>129</v>
      </c>
      <c r="B11" s="1400"/>
      <c r="C11" s="35">
        <v>43625</v>
      </c>
      <c r="D11" s="1404" t="s">
        <v>130</v>
      </c>
      <c r="E11" s="1404"/>
      <c r="F11" s="1087">
        <v>43625</v>
      </c>
      <c r="G11" s="864"/>
    </row>
    <row r="12" spans="1:7" ht="28.5" customHeight="1" x14ac:dyDescent="0.2">
      <c r="A12" s="407" t="s">
        <v>131</v>
      </c>
      <c r="B12" s="387" t="s">
        <v>134</v>
      </c>
      <c r="C12" s="407" t="s">
        <v>132</v>
      </c>
      <c r="D12" s="405" t="s">
        <v>15</v>
      </c>
      <c r="E12" s="407" t="s">
        <v>133</v>
      </c>
      <c r="F12" s="1019" t="s">
        <v>16</v>
      </c>
      <c r="G12" s="1021"/>
    </row>
    <row r="13" spans="1:7" x14ac:dyDescent="0.2">
      <c r="A13" s="407" t="s">
        <v>8</v>
      </c>
      <c r="B13" s="1086" t="s">
        <v>496</v>
      </c>
      <c r="C13" s="1086"/>
      <c r="D13" s="1086"/>
      <c r="E13" s="1086"/>
      <c r="F13" s="1086"/>
      <c r="G13" s="864"/>
    </row>
    <row r="14" spans="1:7" ht="12" thickBot="1" x14ac:dyDescent="0.25">
      <c r="A14" s="1387"/>
      <c r="B14" s="879"/>
      <c r="C14" s="879"/>
      <c r="D14" s="879"/>
      <c r="E14" s="879"/>
      <c r="F14" s="879"/>
      <c r="G14" s="1388"/>
    </row>
    <row r="15" spans="1:7" ht="12" thickBot="1" x14ac:dyDescent="0.25">
      <c r="A15" s="858" t="s">
        <v>9</v>
      </c>
      <c r="B15" s="859"/>
      <c r="C15" s="859"/>
      <c r="D15" s="859"/>
      <c r="E15" s="859"/>
      <c r="F15" s="859"/>
      <c r="G15" s="860"/>
    </row>
    <row r="16" spans="1:7" x14ac:dyDescent="0.2">
      <c r="A16" s="1083" t="s">
        <v>135</v>
      </c>
      <c r="B16" s="1084"/>
      <c r="C16" s="1084" t="s">
        <v>10</v>
      </c>
      <c r="D16" s="1084"/>
      <c r="E16" s="1084" t="s">
        <v>136</v>
      </c>
      <c r="F16" s="1084"/>
      <c r="G16" s="1085"/>
    </row>
    <row r="17" spans="1:10" ht="12" thickBot="1" x14ac:dyDescent="0.25">
      <c r="A17" s="863" t="s">
        <v>496</v>
      </c>
      <c r="B17" s="1086"/>
      <c r="C17" s="1086" t="s">
        <v>13</v>
      </c>
      <c r="D17" s="1086"/>
      <c r="E17" s="1087">
        <v>43609</v>
      </c>
      <c r="F17" s="1087"/>
      <c r="G17" s="1088"/>
    </row>
    <row r="18" spans="1:10" ht="12" thickBot="1" x14ac:dyDescent="0.25">
      <c r="A18" s="858" t="s">
        <v>137</v>
      </c>
      <c r="B18" s="859"/>
      <c r="C18" s="859"/>
      <c r="D18" s="859"/>
      <c r="E18" s="859"/>
      <c r="F18" s="859"/>
      <c r="G18" s="860"/>
      <c r="H18" s="37"/>
      <c r="I18" s="37"/>
      <c r="J18" s="37"/>
    </row>
    <row r="19" spans="1:10" ht="15.75" customHeight="1" x14ac:dyDescent="0.2">
      <c r="A19" s="999" t="s">
        <v>18</v>
      </c>
      <c r="B19" s="1000"/>
      <c r="C19" s="1004" t="s">
        <v>25</v>
      </c>
      <c r="D19" s="1004"/>
      <c r="E19" s="1004"/>
      <c r="F19" s="1004"/>
      <c r="G19" s="1005"/>
      <c r="H19" s="422"/>
      <c r="I19" s="37"/>
      <c r="J19" s="37"/>
    </row>
    <row r="20" spans="1:10" ht="21.75" customHeight="1" x14ac:dyDescent="0.2">
      <c r="A20" s="999" t="s">
        <v>19</v>
      </c>
      <c r="B20" s="1000"/>
      <c r="C20" s="1004" t="s">
        <v>26</v>
      </c>
      <c r="D20" s="1004"/>
      <c r="E20" s="1004"/>
      <c r="F20" s="1004"/>
      <c r="G20" s="1005"/>
      <c r="H20" s="422"/>
      <c r="I20" s="37"/>
      <c r="J20" s="37"/>
    </row>
    <row r="21" spans="1:10" ht="15.75" customHeight="1" x14ac:dyDescent="0.2">
      <c r="A21" s="999" t="s">
        <v>20</v>
      </c>
      <c r="B21" s="1000"/>
      <c r="C21" s="1004" t="s">
        <v>27</v>
      </c>
      <c r="D21" s="1004"/>
      <c r="E21" s="1004"/>
      <c r="F21" s="1004"/>
      <c r="G21" s="1005"/>
      <c r="H21" s="422"/>
      <c r="I21" s="37"/>
      <c r="J21" s="37"/>
    </row>
    <row r="22" spans="1:10" ht="15.75" customHeight="1" x14ac:dyDescent="0.2">
      <c r="A22" s="999" t="s">
        <v>21</v>
      </c>
      <c r="B22" s="1000"/>
      <c r="C22" s="1004" t="s">
        <v>28</v>
      </c>
      <c r="D22" s="1004"/>
      <c r="E22" s="1004"/>
      <c r="F22" s="1004"/>
      <c r="G22" s="1005"/>
      <c r="H22" s="422"/>
      <c r="I22" s="37"/>
      <c r="J22" s="37"/>
    </row>
    <row r="23" spans="1:10" ht="15.75" customHeight="1" x14ac:dyDescent="0.2">
      <c r="A23" s="999" t="s">
        <v>22</v>
      </c>
      <c r="B23" s="1000"/>
      <c r="C23" s="1004" t="s">
        <v>29</v>
      </c>
      <c r="D23" s="1004"/>
      <c r="E23" s="1004"/>
      <c r="F23" s="1004"/>
      <c r="G23" s="1005"/>
      <c r="H23" s="422"/>
      <c r="I23" s="37"/>
      <c r="J23" s="37"/>
    </row>
    <row r="24" spans="1:10" ht="15.75" customHeight="1" x14ac:dyDescent="0.2">
      <c r="A24" s="999" t="s">
        <v>23</v>
      </c>
      <c r="B24" s="1000"/>
      <c r="C24" s="1004">
        <v>43358</v>
      </c>
      <c r="D24" s="1004"/>
      <c r="E24" s="1004"/>
      <c r="F24" s="1004"/>
      <c r="G24" s="1005"/>
      <c r="H24" s="422"/>
      <c r="I24" s="37"/>
      <c r="J24" s="37"/>
    </row>
    <row r="25" spans="1:10" ht="15.75" customHeight="1" x14ac:dyDescent="0.2">
      <c r="A25" s="999" t="s">
        <v>24</v>
      </c>
      <c r="B25" s="1000"/>
      <c r="C25" s="1004" t="s">
        <v>29</v>
      </c>
      <c r="D25" s="1004"/>
      <c r="E25" s="1004"/>
      <c r="F25" s="1004"/>
      <c r="G25" s="1005"/>
      <c r="H25" s="422"/>
      <c r="I25" s="37"/>
      <c r="J25" s="37"/>
    </row>
    <row r="26" spans="1:10" ht="5.25" customHeight="1" thickBot="1" x14ac:dyDescent="0.25">
      <c r="A26" s="1387"/>
      <c r="B26" s="879"/>
      <c r="C26" s="879"/>
      <c r="D26" s="879"/>
      <c r="E26" s="879"/>
      <c r="F26" s="879"/>
      <c r="G26" s="1388"/>
      <c r="H26" s="37"/>
      <c r="I26" s="37"/>
      <c r="J26" s="37"/>
    </row>
    <row r="27" spans="1:10" x14ac:dyDescent="0.2">
      <c r="A27" s="1080" t="s">
        <v>408</v>
      </c>
      <c r="B27" s="1081"/>
      <c r="C27" s="1081"/>
      <c r="D27" s="1081"/>
      <c r="E27" s="1081"/>
      <c r="F27" s="1081"/>
      <c r="G27" s="1082"/>
      <c r="H27" s="37"/>
      <c r="I27" s="37"/>
      <c r="J27" s="37"/>
    </row>
    <row r="28" spans="1:10" s="423" customFormat="1" ht="21.75" customHeight="1" x14ac:dyDescent="0.2">
      <c r="A28" s="1389" t="s">
        <v>1553</v>
      </c>
      <c r="B28" s="1390"/>
      <c r="C28" s="1390"/>
      <c r="D28" s="1390"/>
      <c r="E28" s="1390"/>
      <c r="F28" s="1390"/>
      <c r="G28" s="1391"/>
    </row>
    <row r="29" spans="1:10" s="423" customFormat="1" ht="117" customHeight="1" thickBot="1" x14ac:dyDescent="0.25">
      <c r="A29" s="1392"/>
      <c r="B29" s="1393"/>
      <c r="C29" s="1393"/>
      <c r="D29" s="1393"/>
      <c r="E29" s="1393"/>
      <c r="F29" s="1393"/>
      <c r="G29" s="1394"/>
    </row>
    <row r="30" spans="1:10" s="423" customFormat="1" ht="20.100000000000001" customHeight="1" x14ac:dyDescent="0.2">
      <c r="A30" s="1080" t="s">
        <v>409</v>
      </c>
      <c r="B30" s="1081"/>
      <c r="C30" s="1081"/>
      <c r="D30" s="1081"/>
      <c r="E30" s="1081"/>
      <c r="F30" s="1081"/>
      <c r="G30" s="1082"/>
    </row>
    <row r="31" spans="1:10" s="423" customFormat="1" ht="20.100000000000001" customHeight="1" x14ac:dyDescent="0.2">
      <c r="A31" s="1383" t="s">
        <v>1551</v>
      </c>
      <c r="B31" s="1383"/>
      <c r="C31" s="1383"/>
      <c r="D31" s="1383"/>
      <c r="E31" s="1383"/>
      <c r="F31" s="1383"/>
      <c r="G31" s="1384"/>
    </row>
    <row r="32" spans="1:10" s="423" customFormat="1" ht="20.100000000000001" customHeight="1" thickBot="1" x14ac:dyDescent="0.25">
      <c r="A32" s="1385"/>
      <c r="B32" s="1385"/>
      <c r="C32" s="1385"/>
      <c r="D32" s="1385"/>
      <c r="E32" s="1385"/>
      <c r="F32" s="1385"/>
      <c r="G32" s="1386"/>
    </row>
    <row r="33" spans="1:12" s="423" customFormat="1" ht="20.100000000000001" customHeight="1" x14ac:dyDescent="0.2">
      <c r="A33" s="1080" t="s">
        <v>410</v>
      </c>
      <c r="B33" s="1081"/>
      <c r="C33" s="1081"/>
      <c r="D33" s="1081"/>
      <c r="E33" s="1081"/>
      <c r="F33" s="1081"/>
      <c r="G33" s="1082"/>
    </row>
    <row r="34" spans="1:12" s="423" customFormat="1" ht="15.75" customHeight="1" x14ac:dyDescent="0.2">
      <c r="A34" s="426" t="s">
        <v>425</v>
      </c>
      <c r="B34" s="426" t="s">
        <v>318</v>
      </c>
      <c r="C34" s="1380" t="s">
        <v>319</v>
      </c>
      <c r="D34" s="1380"/>
      <c r="E34" s="1379" t="s">
        <v>426</v>
      </c>
      <c r="F34" s="1380"/>
      <c r="G34" s="1380"/>
    </row>
    <row r="35" spans="1:12" s="423" customFormat="1" ht="15.75" customHeight="1" x14ac:dyDescent="0.2">
      <c r="A35" s="427" t="s">
        <v>419</v>
      </c>
      <c r="B35" s="427" t="s">
        <v>414</v>
      </c>
      <c r="C35" s="1366" t="s">
        <v>415</v>
      </c>
      <c r="D35" s="1366"/>
      <c r="E35" s="1381" t="s">
        <v>416</v>
      </c>
      <c r="F35" s="1382"/>
      <c r="G35" s="1382"/>
    </row>
    <row r="36" spans="1:12" s="423" customFormat="1" ht="20.100000000000001" customHeight="1" x14ac:dyDescent="0.2">
      <c r="A36" s="427" t="s">
        <v>420</v>
      </c>
      <c r="B36" s="427" t="s">
        <v>29</v>
      </c>
      <c r="C36" s="994" t="s">
        <v>222</v>
      </c>
      <c r="D36" s="994"/>
      <c r="E36" s="1381" t="s">
        <v>427</v>
      </c>
      <c r="F36" s="1382"/>
      <c r="G36" s="1382"/>
      <c r="L36" s="424"/>
    </row>
    <row r="37" spans="1:12" s="423" customFormat="1" ht="20.100000000000001" customHeight="1" x14ac:dyDescent="0.2">
      <c r="A37" s="427" t="s">
        <v>418</v>
      </c>
      <c r="B37" s="427" t="s">
        <v>167</v>
      </c>
      <c r="C37" s="994" t="s">
        <v>417</v>
      </c>
      <c r="D37" s="994"/>
      <c r="E37" s="1381" t="s">
        <v>428</v>
      </c>
      <c r="F37" s="1382"/>
      <c r="G37" s="1382"/>
      <c r="L37" s="425"/>
    </row>
    <row r="38" spans="1:12" s="423" customFormat="1" ht="20.100000000000001" customHeight="1" x14ac:dyDescent="0.2">
      <c r="A38" s="427" t="s">
        <v>418</v>
      </c>
      <c r="B38" s="427" t="s">
        <v>123</v>
      </c>
      <c r="C38" s="994" t="s">
        <v>178</v>
      </c>
      <c r="D38" s="994"/>
      <c r="E38" s="1382" t="s">
        <v>1552</v>
      </c>
      <c r="F38" s="1382"/>
      <c r="G38" s="1382"/>
      <c r="L38" s="425"/>
    </row>
    <row r="39" spans="1:12" s="423" customFormat="1" ht="20.100000000000001" customHeight="1" x14ac:dyDescent="0.2">
      <c r="A39" s="427" t="s">
        <v>418</v>
      </c>
      <c r="B39" s="427" t="s">
        <v>498</v>
      </c>
      <c r="C39" s="994" t="s">
        <v>184</v>
      </c>
      <c r="D39" s="994"/>
      <c r="E39" s="1381" t="s">
        <v>424</v>
      </c>
      <c r="F39" s="1382"/>
      <c r="G39" s="1382"/>
      <c r="L39" s="425"/>
    </row>
    <row r="40" spans="1:12" s="423" customFormat="1" ht="20.100000000000001" customHeight="1" x14ac:dyDescent="0.2">
      <c r="A40" s="427" t="s">
        <v>421</v>
      </c>
      <c r="B40" s="427" t="s">
        <v>124</v>
      </c>
      <c r="C40" s="994" t="s">
        <v>181</v>
      </c>
      <c r="D40" s="994"/>
      <c r="E40" s="1382" t="s">
        <v>1552</v>
      </c>
      <c r="F40" s="1382"/>
      <c r="G40" s="1382"/>
      <c r="L40" s="425"/>
    </row>
    <row r="41" spans="1:12" s="423" customFormat="1" ht="45" customHeight="1" x14ac:dyDescent="0.2">
      <c r="A41" s="389" t="s">
        <v>423</v>
      </c>
      <c r="B41" s="427" t="s">
        <v>1554</v>
      </c>
      <c r="C41" s="1366" t="s">
        <v>422</v>
      </c>
      <c r="D41" s="1366"/>
      <c r="E41" s="1382" t="s">
        <v>1552</v>
      </c>
      <c r="F41" s="1382"/>
      <c r="G41" s="1382"/>
      <c r="L41" s="425"/>
    </row>
    <row r="42" spans="1:12" s="423" customFormat="1" ht="20.100000000000001" customHeight="1" x14ac:dyDescent="0.2">
      <c r="A42" s="1367" t="s">
        <v>413</v>
      </c>
      <c r="B42" s="1368"/>
      <c r="C42" s="1368"/>
      <c r="D42" s="1368"/>
      <c r="E42" s="1368"/>
      <c r="F42" s="1368"/>
      <c r="G42" s="1369"/>
    </row>
    <row r="43" spans="1:12" s="423" customFormat="1" ht="20.100000000000001" customHeight="1" x14ac:dyDescent="0.2">
      <c r="A43" s="1370"/>
      <c r="B43" s="1371"/>
      <c r="C43" s="1371"/>
      <c r="D43" s="1371"/>
      <c r="E43" s="1371"/>
      <c r="F43" s="1371"/>
      <c r="G43" s="1372"/>
    </row>
    <row r="44" spans="1:12" s="423" customFormat="1" ht="20.100000000000001" customHeight="1" x14ac:dyDescent="0.2">
      <c r="A44" s="1373"/>
      <c r="B44" s="1374"/>
      <c r="C44" s="1374"/>
      <c r="D44" s="1374"/>
      <c r="E44" s="1374"/>
      <c r="F44" s="1374"/>
      <c r="G44" s="1375"/>
    </row>
    <row r="45" spans="1:12" s="423" customFormat="1" ht="20.100000000000001" customHeight="1" x14ac:dyDescent="0.2">
      <c r="A45" s="1373"/>
      <c r="B45" s="1374"/>
      <c r="C45" s="1374"/>
      <c r="D45" s="1374"/>
      <c r="E45" s="1374"/>
      <c r="F45" s="1374"/>
      <c r="G45" s="1375"/>
    </row>
    <row r="46" spans="1:12" s="423" customFormat="1" ht="20.100000000000001" customHeight="1" x14ac:dyDescent="0.2">
      <c r="A46" s="1373"/>
      <c r="B46" s="1374"/>
      <c r="C46" s="1374"/>
      <c r="D46" s="1374"/>
      <c r="E46" s="1374"/>
      <c r="F46" s="1374"/>
      <c r="G46" s="1375"/>
    </row>
    <row r="47" spans="1:12" s="423" customFormat="1" ht="20.100000000000001" customHeight="1" x14ac:dyDescent="0.2">
      <c r="A47" s="1373"/>
      <c r="B47" s="1374"/>
      <c r="C47" s="1374"/>
      <c r="D47" s="1374"/>
      <c r="E47" s="1374"/>
      <c r="F47" s="1374"/>
      <c r="G47" s="1375"/>
    </row>
    <row r="48" spans="1:12" s="423" customFormat="1" ht="20.100000000000001" customHeight="1" x14ac:dyDescent="0.2">
      <c r="A48" s="1373"/>
      <c r="B48" s="1374"/>
      <c r="C48" s="1374"/>
      <c r="D48" s="1374"/>
      <c r="E48" s="1374"/>
      <c r="F48" s="1374"/>
      <c r="G48" s="1375"/>
    </row>
    <row r="49" spans="1:7" s="423" customFormat="1" ht="20.100000000000001" customHeight="1" x14ac:dyDescent="0.2">
      <c r="A49" s="1373"/>
      <c r="B49" s="1374"/>
      <c r="C49" s="1374"/>
      <c r="D49" s="1374"/>
      <c r="E49" s="1374"/>
      <c r="F49" s="1374"/>
      <c r="G49" s="1375"/>
    </row>
    <row r="50" spans="1:7" s="423" customFormat="1" ht="20.100000000000001" customHeight="1" x14ac:dyDescent="0.2">
      <c r="A50" s="1373"/>
      <c r="B50" s="1374"/>
      <c r="C50" s="1374"/>
      <c r="D50" s="1374"/>
      <c r="E50" s="1374"/>
      <c r="F50" s="1374"/>
      <c r="G50" s="1375"/>
    </row>
    <row r="51" spans="1:7" s="423" customFormat="1" ht="20.100000000000001" customHeight="1" x14ac:dyDescent="0.2">
      <c r="A51" s="1373"/>
      <c r="B51" s="1374"/>
      <c r="C51" s="1374"/>
      <c r="D51" s="1374"/>
      <c r="E51" s="1374"/>
      <c r="F51" s="1374"/>
      <c r="G51" s="1375"/>
    </row>
    <row r="52" spans="1:7" s="423" customFormat="1" ht="20.100000000000001" customHeight="1" x14ac:dyDescent="0.2">
      <c r="A52" s="1373"/>
      <c r="B52" s="1374"/>
      <c r="C52" s="1374"/>
      <c r="D52" s="1374"/>
      <c r="E52" s="1374"/>
      <c r="F52" s="1374"/>
      <c r="G52" s="1375"/>
    </row>
    <row r="53" spans="1:7" s="423" customFormat="1" ht="20.100000000000001" customHeight="1" x14ac:dyDescent="0.2">
      <c r="A53" s="1373"/>
      <c r="B53" s="1374"/>
      <c r="C53" s="1374"/>
      <c r="D53" s="1374"/>
      <c r="E53" s="1374"/>
      <c r="F53" s="1374"/>
      <c r="G53" s="1375"/>
    </row>
    <row r="54" spans="1:7" s="423" customFormat="1" ht="20.100000000000001" customHeight="1" x14ac:dyDescent="0.2">
      <c r="A54" s="1373"/>
      <c r="B54" s="1374"/>
      <c r="C54" s="1374"/>
      <c r="D54" s="1374"/>
      <c r="E54" s="1374"/>
      <c r="F54" s="1374"/>
      <c r="G54" s="1375"/>
    </row>
    <row r="55" spans="1:7" s="423" customFormat="1" ht="20.100000000000001" customHeight="1" x14ac:dyDescent="0.2">
      <c r="A55" s="1373"/>
      <c r="B55" s="1374"/>
      <c r="C55" s="1374"/>
      <c r="D55" s="1374"/>
      <c r="E55" s="1374"/>
      <c r="F55" s="1374"/>
      <c r="G55" s="1375"/>
    </row>
    <row r="56" spans="1:7" s="423" customFormat="1" ht="20.100000000000001" customHeight="1" x14ac:dyDescent="0.2">
      <c r="A56" s="1373"/>
      <c r="B56" s="1374"/>
      <c r="C56" s="1374"/>
      <c r="D56" s="1374"/>
      <c r="E56" s="1374"/>
      <c r="F56" s="1374"/>
      <c r="G56" s="1375"/>
    </row>
    <row r="57" spans="1:7" s="423" customFormat="1" ht="20.100000000000001" customHeight="1" x14ac:dyDescent="0.2">
      <c r="A57" s="1373"/>
      <c r="B57" s="1374"/>
      <c r="C57" s="1374"/>
      <c r="D57" s="1374"/>
      <c r="E57" s="1374"/>
      <c r="F57" s="1374"/>
      <c r="G57" s="1375"/>
    </row>
    <row r="58" spans="1:7" s="423" customFormat="1" ht="20.100000000000001" customHeight="1" thickBot="1" x14ac:dyDescent="0.25">
      <c r="A58" s="1376"/>
      <c r="B58" s="1377"/>
      <c r="C58" s="1377"/>
      <c r="D58" s="1377"/>
      <c r="E58" s="1377"/>
      <c r="F58" s="1377"/>
      <c r="G58" s="1378"/>
    </row>
    <row r="59" spans="1:7" ht="12" thickBot="1" x14ac:dyDescent="0.25">
      <c r="A59" s="858" t="s">
        <v>411</v>
      </c>
      <c r="B59" s="859"/>
      <c r="C59" s="859"/>
      <c r="D59" s="859"/>
      <c r="E59" s="859"/>
      <c r="F59" s="859"/>
      <c r="G59" s="860"/>
    </row>
    <row r="60" spans="1:7" x14ac:dyDescent="0.2">
      <c r="A60" s="36"/>
      <c r="B60" s="418"/>
      <c r="C60" s="37"/>
      <c r="D60" s="428"/>
      <c r="E60" s="418"/>
      <c r="F60" s="418"/>
      <c r="G60" s="38"/>
    </row>
    <row r="61" spans="1:7" ht="12" customHeight="1" x14ac:dyDescent="0.2">
      <c r="A61" s="36"/>
      <c r="B61" s="388" t="s">
        <v>496</v>
      </c>
      <c r="C61" s="37"/>
      <c r="D61" s="1073" t="s">
        <v>168</v>
      </c>
      <c r="E61" s="1073"/>
      <c r="F61" s="388"/>
      <c r="G61" s="38"/>
    </row>
    <row r="62" spans="1:7" ht="12" customHeight="1" x14ac:dyDescent="0.2">
      <c r="A62" s="36"/>
      <c r="B62" s="388" t="s">
        <v>184</v>
      </c>
      <c r="C62" s="37"/>
      <c r="D62" s="1073" t="s">
        <v>177</v>
      </c>
      <c r="E62" s="1073"/>
      <c r="F62" s="1073"/>
      <c r="G62" s="38"/>
    </row>
    <row r="63" spans="1:7" ht="12" customHeight="1" x14ac:dyDescent="0.2">
      <c r="A63" s="36"/>
      <c r="B63" s="388" t="s">
        <v>187</v>
      </c>
      <c r="C63" s="37"/>
      <c r="D63" s="1073" t="s">
        <v>188</v>
      </c>
      <c r="E63" s="1073"/>
      <c r="F63" s="1073"/>
      <c r="G63" s="38"/>
    </row>
    <row r="64" spans="1:7" ht="12" thickBot="1" x14ac:dyDescent="0.25">
      <c r="A64" s="39"/>
      <c r="B64" s="40"/>
      <c r="C64" s="40"/>
      <c r="D64" s="40"/>
      <c r="E64" s="40"/>
      <c r="F64" s="40"/>
      <c r="G64" s="41"/>
    </row>
  </sheetData>
  <mergeCells count="69">
    <mergeCell ref="C34:D34"/>
    <mergeCell ref="C35:D35"/>
    <mergeCell ref="F12:G12"/>
    <mergeCell ref="A5:G5"/>
    <mergeCell ref="A6:G6"/>
    <mergeCell ref="A7:G7"/>
    <mergeCell ref="A8:G8"/>
    <mergeCell ref="A9:B9"/>
    <mergeCell ref="C9:G9"/>
    <mergeCell ref="A10:B10"/>
    <mergeCell ref="C10:G10"/>
    <mergeCell ref="A11:B11"/>
    <mergeCell ref="D11:E11"/>
    <mergeCell ref="F11:G11"/>
    <mergeCell ref="B13:G13"/>
    <mergeCell ref="A14:G14"/>
    <mergeCell ref="A1:B1"/>
    <mergeCell ref="A2:G2"/>
    <mergeCell ref="A3:G3"/>
    <mergeCell ref="C1:G1"/>
    <mergeCell ref="A4:G4"/>
    <mergeCell ref="A18:G18"/>
    <mergeCell ref="A15:G15"/>
    <mergeCell ref="A16:B16"/>
    <mergeCell ref="C16:D16"/>
    <mergeCell ref="E16:G16"/>
    <mergeCell ref="A17:B17"/>
    <mergeCell ref="C17:D17"/>
    <mergeCell ref="E17:G17"/>
    <mergeCell ref="A19:B19"/>
    <mergeCell ref="C19:G19"/>
    <mergeCell ref="A20:B20"/>
    <mergeCell ref="C20:G20"/>
    <mergeCell ref="A21:B21"/>
    <mergeCell ref="C21:G21"/>
    <mergeCell ref="A22:B22"/>
    <mergeCell ref="C22:G22"/>
    <mergeCell ref="A23:B23"/>
    <mergeCell ref="C23:G23"/>
    <mergeCell ref="A30:G30"/>
    <mergeCell ref="A31:G32"/>
    <mergeCell ref="A24:B24"/>
    <mergeCell ref="C24:G24"/>
    <mergeCell ref="A25:B25"/>
    <mergeCell ref="C25:G25"/>
    <mergeCell ref="A26:G26"/>
    <mergeCell ref="A27:G27"/>
    <mergeCell ref="A28:G29"/>
    <mergeCell ref="D61:E61"/>
    <mergeCell ref="D62:F62"/>
    <mergeCell ref="D63:F63"/>
    <mergeCell ref="A33:G33"/>
    <mergeCell ref="C36:D36"/>
    <mergeCell ref="C37:D37"/>
    <mergeCell ref="C38:D38"/>
    <mergeCell ref="C39:D39"/>
    <mergeCell ref="E34:G34"/>
    <mergeCell ref="E35:G35"/>
    <mergeCell ref="E36:G36"/>
    <mergeCell ref="E37:G37"/>
    <mergeCell ref="E38:G38"/>
    <mergeCell ref="E39:G39"/>
    <mergeCell ref="E40:G40"/>
    <mergeCell ref="E41:G41"/>
    <mergeCell ref="C40:D40"/>
    <mergeCell ref="C41:D41"/>
    <mergeCell ref="A42:G42"/>
    <mergeCell ref="A59:G59"/>
    <mergeCell ref="A43:G58"/>
  </mergeCells>
  <hyperlinks>
    <hyperlink ref="E35" r:id="rId1" xr:uid="{00000000-0004-0000-1700-000000000000}"/>
    <hyperlink ref="E39" r:id="rId2" xr:uid="{00000000-0004-0000-1700-000001000000}"/>
    <hyperlink ref="E36" r:id="rId3" xr:uid="{00000000-0004-0000-1700-000002000000}"/>
    <hyperlink ref="E37" r:id="rId4" xr:uid="{00000000-0004-0000-1700-000003000000}"/>
  </hyperlinks>
  <pageMargins left="1" right="1" top="1" bottom="1" header="0.5" footer="0.5"/>
  <pageSetup orientation="portrait" horizontalDpi="0" verticalDpi="0" r:id="rId5"/>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F10"/>
  <sheetViews>
    <sheetView workbookViewId="0">
      <selection activeCell="A33" sqref="A33:G57"/>
    </sheetView>
  </sheetViews>
  <sheetFormatPr baseColWidth="10" defaultRowHeight="15" x14ac:dyDescent="0.25"/>
  <cols>
    <col min="2" max="2" width="37.140625" customWidth="1"/>
    <col min="3" max="3" width="10.140625" customWidth="1"/>
    <col min="4" max="4" width="10" customWidth="1"/>
    <col min="5" max="5" width="10.28515625" customWidth="1"/>
    <col min="6" max="6" width="10" customWidth="1"/>
  </cols>
  <sheetData>
    <row r="2" spans="2:6" ht="36" customHeight="1" x14ac:dyDescent="0.25">
      <c r="B2" s="376"/>
      <c r="C2" s="1405" t="s">
        <v>1448</v>
      </c>
      <c r="D2" s="1405"/>
      <c r="E2" s="1405"/>
      <c r="F2" s="1405"/>
    </row>
    <row r="3" spans="2:6" ht="36" customHeight="1" x14ac:dyDescent="0.25">
      <c r="B3" s="377" t="s">
        <v>1446</v>
      </c>
      <c r="C3" s="378" t="s">
        <v>1442</v>
      </c>
      <c r="D3" s="379" t="s">
        <v>1443</v>
      </c>
      <c r="E3" s="380" t="s">
        <v>1444</v>
      </c>
      <c r="F3" s="381" t="s">
        <v>1445</v>
      </c>
    </row>
    <row r="4" spans="2:6" ht="36" customHeight="1" x14ac:dyDescent="0.25">
      <c r="B4" s="382" t="s">
        <v>415</v>
      </c>
      <c r="C4" s="383" t="s">
        <v>164</v>
      </c>
      <c r="D4" s="384" t="s">
        <v>164</v>
      </c>
      <c r="E4" s="385"/>
      <c r="F4" s="386" t="s">
        <v>164</v>
      </c>
    </row>
    <row r="5" spans="2:6" ht="36" customHeight="1" x14ac:dyDescent="0.25">
      <c r="B5" s="382" t="s">
        <v>222</v>
      </c>
      <c r="C5" s="383"/>
      <c r="D5" s="384" t="s">
        <v>164</v>
      </c>
      <c r="E5" s="385"/>
      <c r="F5" s="386" t="s">
        <v>164</v>
      </c>
    </row>
    <row r="6" spans="2:6" ht="36" customHeight="1" x14ac:dyDescent="0.25">
      <c r="B6" s="382" t="s">
        <v>1447</v>
      </c>
      <c r="C6" s="383" t="s">
        <v>164</v>
      </c>
      <c r="D6" s="384"/>
      <c r="E6" s="385" t="s">
        <v>164</v>
      </c>
      <c r="F6" s="386"/>
    </row>
    <row r="7" spans="2:6" ht="36" customHeight="1" x14ac:dyDescent="0.25">
      <c r="B7" s="382" t="s">
        <v>178</v>
      </c>
      <c r="C7" s="383" t="s">
        <v>164</v>
      </c>
      <c r="D7" s="384"/>
      <c r="E7" s="385"/>
      <c r="F7" s="386"/>
    </row>
    <row r="8" spans="2:6" ht="36" customHeight="1" x14ac:dyDescent="0.25">
      <c r="B8" s="382" t="s">
        <v>184</v>
      </c>
      <c r="C8" s="383"/>
      <c r="D8" s="384" t="s">
        <v>164</v>
      </c>
      <c r="E8" s="385"/>
      <c r="F8" s="386" t="s">
        <v>164</v>
      </c>
    </row>
    <row r="9" spans="2:6" ht="36" customHeight="1" x14ac:dyDescent="0.25">
      <c r="B9" s="382" t="s">
        <v>181</v>
      </c>
      <c r="C9" s="383" t="s">
        <v>164</v>
      </c>
      <c r="D9" s="384" t="s">
        <v>164</v>
      </c>
      <c r="E9" s="385" t="s">
        <v>164</v>
      </c>
      <c r="F9" s="386"/>
    </row>
    <row r="10" spans="2:6" ht="36" customHeight="1" x14ac:dyDescent="0.25">
      <c r="B10" s="382" t="s">
        <v>422</v>
      </c>
      <c r="C10" s="383" t="s">
        <v>164</v>
      </c>
      <c r="D10" s="384"/>
      <c r="E10" s="385"/>
      <c r="F10" s="386" t="s">
        <v>164</v>
      </c>
    </row>
  </sheetData>
  <mergeCells count="1">
    <mergeCell ref="C2:F2"/>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9"/>
  <sheetViews>
    <sheetView workbookViewId="0">
      <selection activeCell="A33" sqref="A33:G57"/>
    </sheetView>
  </sheetViews>
  <sheetFormatPr baseColWidth="10" defaultRowHeight="15" x14ac:dyDescent="0.25"/>
  <cols>
    <col min="1" max="1" width="46" bestFit="1" customWidth="1"/>
    <col min="5" max="5" width="8.7109375" bestFit="1" customWidth="1"/>
    <col min="6" max="6" width="12.28515625" bestFit="1" customWidth="1"/>
    <col min="7" max="7" width="13.140625" bestFit="1" customWidth="1"/>
    <col min="8" max="8" width="15.42578125" bestFit="1" customWidth="1"/>
  </cols>
  <sheetData>
    <row r="1" spans="1:5" x14ac:dyDescent="0.25">
      <c r="A1" s="391"/>
      <c r="B1" s="1355" t="s">
        <v>1453</v>
      </c>
      <c r="C1" s="1355"/>
      <c r="D1" s="1355"/>
      <c r="E1" s="1355"/>
    </row>
    <row r="2" spans="1:5" ht="30" x14ac:dyDescent="0.25">
      <c r="A2" s="374" t="s">
        <v>1449</v>
      </c>
      <c r="B2" s="375" t="s">
        <v>1450</v>
      </c>
      <c r="C2" s="375" t="s">
        <v>1451</v>
      </c>
      <c r="D2" s="375" t="s">
        <v>1444</v>
      </c>
      <c r="E2" s="375" t="s">
        <v>1452</v>
      </c>
    </row>
    <row r="3" spans="1:5" s="390" customFormat="1" ht="19.5" customHeight="1" x14ac:dyDescent="0.25">
      <c r="A3" s="392" t="s">
        <v>1454</v>
      </c>
      <c r="B3" s="374" t="s">
        <v>164</v>
      </c>
      <c r="C3" s="374" t="s">
        <v>164</v>
      </c>
      <c r="D3" s="374"/>
      <c r="E3" s="374" t="s">
        <v>164</v>
      </c>
    </row>
    <row r="4" spans="1:5" s="390" customFormat="1" ht="19.5" customHeight="1" x14ac:dyDescent="0.25">
      <c r="A4" s="393" t="s">
        <v>1455</v>
      </c>
      <c r="B4" s="374" t="s">
        <v>164</v>
      </c>
      <c r="C4" s="374" t="s">
        <v>164</v>
      </c>
      <c r="D4" s="374" t="s">
        <v>164</v>
      </c>
      <c r="E4" s="374"/>
    </row>
    <row r="5" spans="1:5" s="390" customFormat="1" ht="19.5" customHeight="1" x14ac:dyDescent="0.25">
      <c r="A5" s="394" t="s">
        <v>1456</v>
      </c>
      <c r="B5" s="374" t="s">
        <v>164</v>
      </c>
      <c r="C5" s="374" t="s">
        <v>164</v>
      </c>
      <c r="D5" s="374" t="s">
        <v>164</v>
      </c>
      <c r="E5" s="374"/>
    </row>
    <row r="6" spans="1:5" s="390" customFormat="1" ht="19.5" customHeight="1" x14ac:dyDescent="0.25">
      <c r="A6" s="395" t="s">
        <v>1457</v>
      </c>
      <c r="B6" s="374"/>
      <c r="C6" s="374"/>
      <c r="D6" s="374"/>
      <c r="E6" s="374"/>
    </row>
    <row r="7" spans="1:5" s="390" customFormat="1" ht="19.5" customHeight="1" x14ac:dyDescent="0.25">
      <c r="A7" s="396" t="s">
        <v>1458</v>
      </c>
      <c r="B7" s="374" t="s">
        <v>164</v>
      </c>
      <c r="C7" s="374"/>
      <c r="D7" s="374"/>
      <c r="E7" s="374"/>
    </row>
    <row r="8" spans="1:5" s="390" customFormat="1" ht="19.5" customHeight="1" x14ac:dyDescent="0.25">
      <c r="A8" s="397" t="s">
        <v>1459</v>
      </c>
      <c r="B8" s="374" t="s">
        <v>164</v>
      </c>
      <c r="C8" s="374"/>
      <c r="D8" s="374"/>
      <c r="E8" s="374" t="s">
        <v>164</v>
      </c>
    </row>
    <row r="9" spans="1:5" s="390" customFormat="1" ht="19.5" customHeight="1" x14ac:dyDescent="0.25">
      <c r="A9" s="398" t="s">
        <v>1460</v>
      </c>
      <c r="B9" s="374" t="s">
        <v>164</v>
      </c>
      <c r="C9" s="374" t="s">
        <v>164</v>
      </c>
      <c r="D9" s="374"/>
      <c r="E9" s="374"/>
    </row>
  </sheetData>
  <mergeCells count="1">
    <mergeCell ref="B1:E1"/>
  </mergeCells>
  <pageMargins left="0.7" right="0.7" top="0.75" bottom="0.75" header="0.3" footer="0.3"/>
  <pageSetup paperSize="9" orientation="portrait" horizontalDpi="0"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dimension ref="A1:H82"/>
  <sheetViews>
    <sheetView showGridLines="0" topLeftCell="A17" zoomScale="70" zoomScaleNormal="70" workbookViewId="0">
      <selection activeCell="K21" sqref="K21:L21"/>
    </sheetView>
  </sheetViews>
  <sheetFormatPr baseColWidth="10" defaultRowHeight="15.75" x14ac:dyDescent="0.25"/>
  <cols>
    <col min="1" max="1" width="12.42578125" style="2" customWidth="1"/>
    <col min="2" max="2" width="11.85546875" style="2" customWidth="1"/>
    <col min="3" max="3" width="10.28515625" style="2" customWidth="1"/>
    <col min="4" max="4" width="18.140625" style="2" customWidth="1"/>
    <col min="5" max="5" width="13.5703125" style="2" customWidth="1"/>
    <col min="6" max="6" width="45" style="2" customWidth="1"/>
    <col min="7" max="16384" width="11.42578125" style="2"/>
  </cols>
  <sheetData>
    <row r="1" spans="1:8" ht="30.75" customHeight="1" x14ac:dyDescent="0.25">
      <c r="A1" s="1433" t="s">
        <v>407</v>
      </c>
      <c r="B1" s="1434"/>
      <c r="C1" s="1434"/>
      <c r="D1" s="1434"/>
      <c r="E1" s="1434"/>
      <c r="F1" s="1435"/>
    </row>
    <row r="2" spans="1:8" x14ac:dyDescent="0.25">
      <c r="A2" s="1415" t="s">
        <v>320</v>
      </c>
      <c r="B2" s="1416"/>
      <c r="C2" s="1416"/>
      <c r="D2" s="1416"/>
      <c r="E2" s="1416"/>
      <c r="F2" s="1417"/>
    </row>
    <row r="3" spans="1:8" x14ac:dyDescent="0.25">
      <c r="A3" s="1415" t="s">
        <v>128</v>
      </c>
      <c r="B3" s="1416"/>
      <c r="C3" s="1416"/>
      <c r="D3" s="1416"/>
      <c r="E3" s="1416"/>
      <c r="F3" s="1417"/>
    </row>
    <row r="4" spans="1:8" x14ac:dyDescent="0.25">
      <c r="A4" s="952" t="s">
        <v>2</v>
      </c>
      <c r="B4" s="953"/>
      <c r="C4" s="1439" t="s">
        <v>13</v>
      </c>
      <c r="D4" s="1440"/>
      <c r="E4" s="1440"/>
      <c r="F4" s="1441"/>
    </row>
    <row r="5" spans="1:8" x14ac:dyDescent="0.25">
      <c r="A5" s="952" t="s">
        <v>229</v>
      </c>
      <c r="B5" s="953"/>
      <c r="C5" s="1439" t="s">
        <v>280</v>
      </c>
      <c r="D5" s="1440"/>
      <c r="E5" s="1440"/>
      <c r="F5" s="1441"/>
    </row>
    <row r="6" spans="1:8" x14ac:dyDescent="0.25">
      <c r="A6" s="952" t="s">
        <v>129</v>
      </c>
      <c r="B6" s="953"/>
      <c r="C6" s="35">
        <v>43780</v>
      </c>
      <c r="D6" s="1009" t="s">
        <v>130</v>
      </c>
      <c r="E6" s="1009"/>
      <c r="F6" s="420">
        <v>43780</v>
      </c>
    </row>
    <row r="7" spans="1:8" ht="60.75" customHeight="1" x14ac:dyDescent="0.25">
      <c r="A7" s="403" t="s">
        <v>131</v>
      </c>
      <c r="B7" s="387" t="s">
        <v>134</v>
      </c>
      <c r="C7" s="404" t="s">
        <v>132</v>
      </c>
      <c r="D7" s="405" t="s">
        <v>15</v>
      </c>
      <c r="E7" s="404" t="s">
        <v>133</v>
      </c>
      <c r="F7" s="406" t="s">
        <v>16</v>
      </c>
    </row>
    <row r="8" spans="1:8" x14ac:dyDescent="0.25">
      <c r="A8" s="404" t="s">
        <v>8</v>
      </c>
      <c r="B8" s="1436" t="s">
        <v>496</v>
      </c>
      <c r="C8" s="1437"/>
      <c r="D8" s="1437"/>
      <c r="E8" s="1437"/>
      <c r="F8" s="1438"/>
    </row>
    <row r="9" spans="1:8" x14ac:dyDescent="0.25">
      <c r="A9" s="1415" t="s">
        <v>9</v>
      </c>
      <c r="B9" s="1416"/>
      <c r="C9" s="1416"/>
      <c r="D9" s="1416"/>
      <c r="E9" s="1416"/>
      <c r="F9" s="1417"/>
    </row>
    <row r="10" spans="1:8" x14ac:dyDescent="0.25">
      <c r="A10" s="1083" t="s">
        <v>135</v>
      </c>
      <c r="B10" s="1084"/>
      <c r="C10" s="1084" t="s">
        <v>10</v>
      </c>
      <c r="D10" s="1084"/>
      <c r="E10" s="1084" t="s">
        <v>136</v>
      </c>
      <c r="F10" s="1085"/>
    </row>
    <row r="11" spans="1:8" x14ac:dyDescent="0.25">
      <c r="A11" s="1387" t="s">
        <v>496</v>
      </c>
      <c r="B11" s="1426"/>
      <c r="C11" s="1427" t="s">
        <v>13</v>
      </c>
      <c r="D11" s="1426"/>
      <c r="E11" s="1428"/>
      <c r="F11" s="1429"/>
    </row>
    <row r="12" spans="1:8" x14ac:dyDescent="0.25">
      <c r="A12" s="1415" t="s">
        <v>137</v>
      </c>
      <c r="B12" s="1416"/>
      <c r="C12" s="1416"/>
      <c r="D12" s="1416"/>
      <c r="E12" s="1416"/>
      <c r="F12" s="1417"/>
      <c r="G12" s="4"/>
      <c r="H12" s="4"/>
    </row>
    <row r="13" spans="1:8" ht="15.75" customHeight="1" x14ac:dyDescent="0.25">
      <c r="A13" s="999" t="s">
        <v>18</v>
      </c>
      <c r="B13" s="1000"/>
      <c r="C13" s="1004" t="s">
        <v>25</v>
      </c>
      <c r="D13" s="1004"/>
      <c r="E13" s="1004"/>
      <c r="F13" s="1005"/>
      <c r="G13" s="4"/>
      <c r="H13" s="4"/>
    </row>
    <row r="14" spans="1:8" x14ac:dyDescent="0.25">
      <c r="A14" s="999" t="s">
        <v>21</v>
      </c>
      <c r="B14" s="1000"/>
      <c r="C14" s="1004" t="s">
        <v>28</v>
      </c>
      <c r="D14" s="1004"/>
      <c r="E14" s="1004"/>
      <c r="F14" s="1005"/>
      <c r="G14" s="4"/>
      <c r="H14" s="4"/>
    </row>
    <row r="15" spans="1:8" ht="15.75" customHeight="1" x14ac:dyDescent="0.25">
      <c r="A15" s="1421" t="s">
        <v>22</v>
      </c>
      <c r="B15" s="1422"/>
      <c r="C15" s="1423" t="s">
        <v>29</v>
      </c>
      <c r="D15" s="1424"/>
      <c r="E15" s="1424"/>
      <c r="F15" s="1425"/>
      <c r="G15" s="4"/>
      <c r="H15" s="4"/>
    </row>
    <row r="16" spans="1:8" x14ac:dyDescent="0.25">
      <c r="A16" s="1415" t="s">
        <v>1549</v>
      </c>
      <c r="B16" s="1416"/>
      <c r="C16" s="1416"/>
      <c r="D16" s="1416"/>
      <c r="E16" s="1416"/>
      <c r="F16" s="1417"/>
      <c r="G16" s="4"/>
      <c r="H16" s="4"/>
    </row>
    <row r="17" spans="1:6" customFormat="1" ht="26.1" customHeight="1" x14ac:dyDescent="0.25">
      <c r="A17" s="408"/>
      <c r="B17" s="419" t="s">
        <v>1462</v>
      </c>
      <c r="C17" s="409" t="s">
        <v>1463</v>
      </c>
      <c r="D17" s="410" t="s">
        <v>1464</v>
      </c>
      <c r="E17" s="1419" t="s">
        <v>1465</v>
      </c>
      <c r="F17" s="1420"/>
    </row>
    <row r="18" spans="1:6" customFormat="1" ht="26.1" customHeight="1" x14ac:dyDescent="0.25">
      <c r="A18" s="1430" t="s">
        <v>1461</v>
      </c>
      <c r="B18" s="1418" t="s">
        <v>1466</v>
      </c>
      <c r="C18" s="411" t="s">
        <v>1937</v>
      </c>
      <c r="D18" s="411" t="s">
        <v>1468</v>
      </c>
      <c r="E18" s="1410" t="s">
        <v>1467</v>
      </c>
      <c r="F18" s="1411"/>
    </row>
    <row r="19" spans="1:6" customFormat="1" ht="26.1" customHeight="1" x14ac:dyDescent="0.25">
      <c r="A19" s="1431"/>
      <c r="B19" s="1418"/>
      <c r="C19" s="411" t="s">
        <v>1938</v>
      </c>
      <c r="D19" s="411" t="s">
        <v>1468</v>
      </c>
      <c r="E19" s="1410" t="s">
        <v>1469</v>
      </c>
      <c r="F19" s="1411"/>
    </row>
    <row r="20" spans="1:6" customFormat="1" ht="26.1" customHeight="1" x14ac:dyDescent="0.25">
      <c r="A20" s="1431"/>
      <c r="B20" s="1418"/>
      <c r="C20" s="411" t="s">
        <v>1939</v>
      </c>
      <c r="D20" s="411" t="s">
        <v>1468</v>
      </c>
      <c r="E20" s="1410" t="s">
        <v>1470</v>
      </c>
      <c r="F20" s="1411"/>
    </row>
    <row r="21" spans="1:6" customFormat="1" ht="26.1" customHeight="1" x14ac:dyDescent="0.25">
      <c r="A21" s="1431"/>
      <c r="B21" s="1418"/>
      <c r="C21" s="411" t="s">
        <v>1940</v>
      </c>
      <c r="D21" s="411" t="s">
        <v>1468</v>
      </c>
      <c r="E21" s="1410" t="s">
        <v>1471</v>
      </c>
      <c r="F21" s="1411"/>
    </row>
    <row r="22" spans="1:6" customFormat="1" ht="26.1" customHeight="1" x14ac:dyDescent="0.25">
      <c r="A22" s="1431"/>
      <c r="B22" s="1418"/>
      <c r="C22" s="411" t="s">
        <v>1941</v>
      </c>
      <c r="D22" s="411" t="s">
        <v>1468</v>
      </c>
      <c r="E22" s="1410" t="s">
        <v>1472</v>
      </c>
      <c r="F22" s="1411"/>
    </row>
    <row r="23" spans="1:6" customFormat="1" ht="26.1" customHeight="1" x14ac:dyDescent="0.25">
      <c r="A23" s="1431"/>
      <c r="B23" s="1418"/>
      <c r="C23" s="412" t="s">
        <v>1942</v>
      </c>
      <c r="D23" s="412" t="s">
        <v>1473</v>
      </c>
      <c r="E23" s="1410" t="s">
        <v>1474</v>
      </c>
      <c r="F23" s="1411"/>
    </row>
    <row r="24" spans="1:6" customFormat="1" ht="26.1" customHeight="1" x14ac:dyDescent="0.25">
      <c r="A24" s="1431"/>
      <c r="B24" s="1418"/>
      <c r="C24" s="412" t="s">
        <v>1943</v>
      </c>
      <c r="D24" s="412" t="s">
        <v>1473</v>
      </c>
      <c r="E24" s="1410" t="s">
        <v>1475</v>
      </c>
      <c r="F24" s="1411"/>
    </row>
    <row r="25" spans="1:6" customFormat="1" ht="26.1" customHeight="1" x14ac:dyDescent="0.25">
      <c r="A25" s="1431"/>
      <c r="B25" s="1418"/>
      <c r="C25" s="412" t="s">
        <v>1944</v>
      </c>
      <c r="D25" s="412" t="s">
        <v>1473</v>
      </c>
      <c r="E25" s="1410" t="s">
        <v>1476</v>
      </c>
      <c r="F25" s="1411"/>
    </row>
    <row r="26" spans="1:6" customFormat="1" ht="26.1" customHeight="1" x14ac:dyDescent="0.25">
      <c r="A26" s="1431"/>
      <c r="B26" s="1418"/>
      <c r="C26" s="412" t="s">
        <v>1945</v>
      </c>
      <c r="D26" s="412" t="s">
        <v>1473</v>
      </c>
      <c r="E26" s="1410" t="s">
        <v>1477</v>
      </c>
      <c r="F26" s="1411"/>
    </row>
    <row r="27" spans="1:6" customFormat="1" ht="26.1" customHeight="1" x14ac:dyDescent="0.25">
      <c r="A27" s="1431"/>
      <c r="B27" s="1418"/>
      <c r="C27" s="413" t="s">
        <v>1946</v>
      </c>
      <c r="D27" s="413" t="s">
        <v>1478</v>
      </c>
      <c r="E27" s="1410" t="s">
        <v>1479</v>
      </c>
      <c r="F27" s="1411"/>
    </row>
    <row r="28" spans="1:6" customFormat="1" ht="26.1" customHeight="1" x14ac:dyDescent="0.25">
      <c r="A28" s="1431"/>
      <c r="B28" s="1418"/>
      <c r="C28" s="413" t="s">
        <v>1947</v>
      </c>
      <c r="D28" s="413" t="s">
        <v>1478</v>
      </c>
      <c r="E28" s="1410" t="s">
        <v>1480</v>
      </c>
      <c r="F28" s="1411"/>
    </row>
    <row r="29" spans="1:6" customFormat="1" ht="26.1" customHeight="1" x14ac:dyDescent="0.25">
      <c r="A29" s="1431"/>
      <c r="B29" s="1418"/>
      <c r="C29" s="413" t="s">
        <v>1948</v>
      </c>
      <c r="D29" s="413" t="s">
        <v>1478</v>
      </c>
      <c r="E29" s="1410" t="s">
        <v>1481</v>
      </c>
      <c r="F29" s="1411"/>
    </row>
    <row r="30" spans="1:6" customFormat="1" ht="26.1" customHeight="1" x14ac:dyDescent="0.25">
      <c r="A30" s="1431"/>
      <c r="B30" s="1418"/>
      <c r="C30" s="414" t="s">
        <v>1949</v>
      </c>
      <c r="D30" s="414" t="s">
        <v>1482</v>
      </c>
      <c r="E30" s="1410" t="s">
        <v>1483</v>
      </c>
      <c r="F30" s="1411"/>
    </row>
    <row r="31" spans="1:6" customFormat="1" ht="26.1" customHeight="1" x14ac:dyDescent="0.25">
      <c r="A31" s="1431"/>
      <c r="B31" s="1418"/>
      <c r="C31" s="414" t="s">
        <v>1950</v>
      </c>
      <c r="D31" s="414" t="s">
        <v>1482</v>
      </c>
      <c r="E31" s="1410" t="s">
        <v>1484</v>
      </c>
      <c r="F31" s="1411"/>
    </row>
    <row r="32" spans="1:6" customFormat="1" ht="26.1" customHeight="1" x14ac:dyDescent="0.25">
      <c r="A32" s="1431"/>
      <c r="B32" s="1418"/>
      <c r="C32" s="414" t="s">
        <v>1951</v>
      </c>
      <c r="D32" s="414" t="s">
        <v>1482</v>
      </c>
      <c r="E32" s="1410" t="s">
        <v>1485</v>
      </c>
      <c r="F32" s="1411"/>
    </row>
    <row r="33" spans="1:6" customFormat="1" ht="26.1" customHeight="1" x14ac:dyDescent="0.25">
      <c r="A33" s="1431"/>
      <c r="B33" s="1418"/>
      <c r="C33" s="414" t="s">
        <v>1952</v>
      </c>
      <c r="D33" s="414" t="s">
        <v>1482</v>
      </c>
      <c r="E33" s="1410" t="s">
        <v>1486</v>
      </c>
      <c r="F33" s="1411"/>
    </row>
    <row r="34" spans="1:6" customFormat="1" ht="26.1" customHeight="1" x14ac:dyDescent="0.25">
      <c r="A34" s="1431"/>
      <c r="B34" s="1418"/>
      <c r="C34" s="415" t="s">
        <v>1953</v>
      </c>
      <c r="D34" s="415" t="s">
        <v>1507</v>
      </c>
      <c r="E34" s="1410" t="s">
        <v>1508</v>
      </c>
      <c r="F34" s="1411"/>
    </row>
    <row r="35" spans="1:6" customFormat="1" ht="26.1" customHeight="1" x14ac:dyDescent="0.25">
      <c r="A35" s="1431"/>
      <c r="B35" s="1418"/>
      <c r="C35" s="415" t="s">
        <v>1954</v>
      </c>
      <c r="D35" s="415" t="s">
        <v>1507</v>
      </c>
      <c r="E35" s="1410" t="s">
        <v>1509</v>
      </c>
      <c r="F35" s="1411"/>
    </row>
    <row r="36" spans="1:6" customFormat="1" ht="26.1" customHeight="1" x14ac:dyDescent="0.25">
      <c r="A36" s="1431"/>
      <c r="B36" s="1418"/>
      <c r="C36" s="415" t="s">
        <v>1955</v>
      </c>
      <c r="D36" s="415" t="s">
        <v>1507</v>
      </c>
      <c r="E36" s="1410" t="s">
        <v>1510</v>
      </c>
      <c r="F36" s="1411"/>
    </row>
    <row r="37" spans="1:6" customFormat="1" ht="26.1" customHeight="1" x14ac:dyDescent="0.25">
      <c r="A37" s="1432"/>
      <c r="B37" s="1418"/>
      <c r="C37" s="415" t="s">
        <v>1956</v>
      </c>
      <c r="D37" s="415" t="s">
        <v>1507</v>
      </c>
      <c r="E37" s="1410" t="s">
        <v>1511</v>
      </c>
      <c r="F37" s="1411"/>
    </row>
    <row r="38" spans="1:6" customFormat="1" ht="26.1" customHeight="1" x14ac:dyDescent="0.25">
      <c r="A38" s="1430" t="s">
        <v>1461</v>
      </c>
      <c r="B38" s="1409" t="s">
        <v>1487</v>
      </c>
      <c r="C38" s="411" t="s">
        <v>1957</v>
      </c>
      <c r="D38" s="411" t="s">
        <v>1468</v>
      </c>
      <c r="E38" s="1410" t="s">
        <v>1488</v>
      </c>
      <c r="F38" s="1411"/>
    </row>
    <row r="39" spans="1:6" customFormat="1" ht="26.1" customHeight="1" x14ac:dyDescent="0.25">
      <c r="A39" s="1431"/>
      <c r="B39" s="1409"/>
      <c r="C39" s="411" t="s">
        <v>1958</v>
      </c>
      <c r="D39" s="411" t="s">
        <v>1468</v>
      </c>
      <c r="E39" s="1410" t="s">
        <v>1490</v>
      </c>
      <c r="F39" s="1411"/>
    </row>
    <row r="40" spans="1:6" customFormat="1" ht="26.1" customHeight="1" x14ac:dyDescent="0.25">
      <c r="A40" s="1431"/>
      <c r="B40" s="1409"/>
      <c r="C40" s="411" t="s">
        <v>1959</v>
      </c>
      <c r="D40" s="411" t="s">
        <v>1468</v>
      </c>
      <c r="E40" s="1410" t="s">
        <v>1489</v>
      </c>
      <c r="F40" s="1411"/>
    </row>
    <row r="41" spans="1:6" customFormat="1" ht="26.1" customHeight="1" x14ac:dyDescent="0.25">
      <c r="A41" s="1431"/>
      <c r="B41" s="1409"/>
      <c r="C41" s="412" t="s">
        <v>1960</v>
      </c>
      <c r="D41" s="412" t="s">
        <v>1473</v>
      </c>
      <c r="E41" s="1410" t="s">
        <v>1492</v>
      </c>
      <c r="F41" s="1411"/>
    </row>
    <row r="42" spans="1:6" customFormat="1" ht="26.1" customHeight="1" x14ac:dyDescent="0.25">
      <c r="A42" s="1431"/>
      <c r="B42" s="1409"/>
      <c r="C42" s="412" t="s">
        <v>1961</v>
      </c>
      <c r="D42" s="412" t="s">
        <v>1473</v>
      </c>
      <c r="E42" s="1410" t="s">
        <v>1493</v>
      </c>
      <c r="F42" s="1411"/>
    </row>
    <row r="43" spans="1:6" customFormat="1" ht="26.1" customHeight="1" x14ac:dyDescent="0.25">
      <c r="A43" s="1431"/>
      <c r="B43" s="1409"/>
      <c r="C43" s="413" t="s">
        <v>1962</v>
      </c>
      <c r="D43" s="413" t="s">
        <v>1478</v>
      </c>
      <c r="E43" s="1410" t="s">
        <v>1494</v>
      </c>
      <c r="F43" s="1411"/>
    </row>
    <row r="44" spans="1:6" customFormat="1" ht="26.1" customHeight="1" x14ac:dyDescent="0.25">
      <c r="A44" s="1431"/>
      <c r="B44" s="1409"/>
      <c r="C44" s="413" t="s">
        <v>1963</v>
      </c>
      <c r="D44" s="413" t="s">
        <v>1478</v>
      </c>
      <c r="E44" s="1410" t="s">
        <v>1495</v>
      </c>
      <c r="F44" s="1411"/>
    </row>
    <row r="45" spans="1:6" customFormat="1" ht="26.1" customHeight="1" x14ac:dyDescent="0.25">
      <c r="A45" s="1431"/>
      <c r="B45" s="1409"/>
      <c r="C45" s="416" t="s">
        <v>1964</v>
      </c>
      <c r="D45" s="416" t="s">
        <v>1491</v>
      </c>
      <c r="E45" s="1410" t="s">
        <v>1496</v>
      </c>
      <c r="F45" s="1411"/>
    </row>
    <row r="46" spans="1:6" customFormat="1" ht="26.1" customHeight="1" x14ac:dyDescent="0.25">
      <c r="A46" s="1431"/>
      <c r="B46" s="1409"/>
      <c r="C46" s="416" t="s">
        <v>1965</v>
      </c>
      <c r="D46" s="416" t="s">
        <v>1491</v>
      </c>
      <c r="E46" s="1410" t="s">
        <v>1497</v>
      </c>
      <c r="F46" s="1411"/>
    </row>
    <row r="47" spans="1:6" customFormat="1" ht="26.1" customHeight="1" x14ac:dyDescent="0.25">
      <c r="A47" s="1431"/>
      <c r="B47" s="1409"/>
      <c r="C47" s="416" t="s">
        <v>1966</v>
      </c>
      <c r="D47" s="416" t="s">
        <v>1491</v>
      </c>
      <c r="E47" s="1410" t="s">
        <v>1498</v>
      </c>
      <c r="F47" s="1411"/>
    </row>
    <row r="48" spans="1:6" customFormat="1" ht="26.1" customHeight="1" x14ac:dyDescent="0.25">
      <c r="A48" s="1431"/>
      <c r="B48" s="1409"/>
      <c r="C48" s="416" t="s">
        <v>1967</v>
      </c>
      <c r="D48" s="416" t="s">
        <v>1491</v>
      </c>
      <c r="E48" s="1410" t="s">
        <v>1499</v>
      </c>
      <c r="F48" s="1411"/>
    </row>
    <row r="49" spans="1:6" customFormat="1" ht="26.1" customHeight="1" x14ac:dyDescent="0.25">
      <c r="A49" s="1431"/>
      <c r="B49" s="1409"/>
      <c r="C49" s="416" t="s">
        <v>1968</v>
      </c>
      <c r="D49" s="416" t="s">
        <v>1491</v>
      </c>
      <c r="E49" s="1410" t="s">
        <v>1500</v>
      </c>
      <c r="F49" s="1411"/>
    </row>
    <row r="50" spans="1:6" customFormat="1" ht="26.1" customHeight="1" x14ac:dyDescent="0.25">
      <c r="A50" s="1431"/>
      <c r="B50" s="1409"/>
      <c r="C50" s="416" t="s">
        <v>1969</v>
      </c>
      <c r="D50" s="416" t="s">
        <v>1491</v>
      </c>
      <c r="E50" s="1410" t="s">
        <v>1501</v>
      </c>
      <c r="F50" s="1411"/>
    </row>
    <row r="51" spans="1:6" customFormat="1" ht="26.1" customHeight="1" x14ac:dyDescent="0.25">
      <c r="A51" s="1431"/>
      <c r="B51" s="1409"/>
      <c r="C51" s="416" t="s">
        <v>1970</v>
      </c>
      <c r="D51" s="416" t="s">
        <v>1491</v>
      </c>
      <c r="E51" s="1410" t="s">
        <v>1502</v>
      </c>
      <c r="F51" s="1411"/>
    </row>
    <row r="52" spans="1:6" customFormat="1" ht="26.1" customHeight="1" x14ac:dyDescent="0.25">
      <c r="A52" s="1431"/>
      <c r="B52" s="1409"/>
      <c r="C52" s="416" t="s">
        <v>1971</v>
      </c>
      <c r="D52" s="416" t="s">
        <v>1491</v>
      </c>
      <c r="E52" s="1410" t="s">
        <v>1503</v>
      </c>
      <c r="F52" s="1411"/>
    </row>
    <row r="53" spans="1:6" customFormat="1" ht="26.1" customHeight="1" x14ac:dyDescent="0.25">
      <c r="A53" s="1431"/>
      <c r="B53" s="1409"/>
      <c r="C53" s="414" t="s">
        <v>1972</v>
      </c>
      <c r="D53" s="414" t="s">
        <v>1482</v>
      </c>
      <c r="E53" s="1410" t="s">
        <v>1504</v>
      </c>
      <c r="F53" s="1411"/>
    </row>
    <row r="54" spans="1:6" customFormat="1" ht="26.1" customHeight="1" x14ac:dyDescent="0.25">
      <c r="A54" s="1431"/>
      <c r="B54" s="1409"/>
      <c r="C54" s="414" t="s">
        <v>1973</v>
      </c>
      <c r="D54" s="414" t="s">
        <v>1482</v>
      </c>
      <c r="E54" s="1410" t="s">
        <v>1505</v>
      </c>
      <c r="F54" s="1411"/>
    </row>
    <row r="55" spans="1:6" customFormat="1" ht="26.1" customHeight="1" x14ac:dyDescent="0.25">
      <c r="A55" s="1431"/>
      <c r="B55" s="1409"/>
      <c r="C55" s="414" t="s">
        <v>1974</v>
      </c>
      <c r="D55" s="414" t="s">
        <v>1482</v>
      </c>
      <c r="E55" s="1410" t="s">
        <v>1506</v>
      </c>
      <c r="F55" s="1411"/>
    </row>
    <row r="56" spans="1:6" customFormat="1" ht="26.1" customHeight="1" x14ac:dyDescent="0.25">
      <c r="A56" s="1431"/>
      <c r="B56" s="1409"/>
      <c r="C56" s="415" t="s">
        <v>1975</v>
      </c>
      <c r="D56" s="415" t="s">
        <v>1507</v>
      </c>
      <c r="E56" s="1410" t="s">
        <v>1516</v>
      </c>
      <c r="F56" s="1411"/>
    </row>
    <row r="57" spans="1:6" customFormat="1" ht="26.1" customHeight="1" x14ac:dyDescent="0.25">
      <c r="A57" s="1431"/>
      <c r="B57" s="1409"/>
      <c r="C57" s="415" t="s">
        <v>1976</v>
      </c>
      <c r="D57" s="415" t="s">
        <v>1507</v>
      </c>
      <c r="E57" s="1410" t="s">
        <v>1517</v>
      </c>
      <c r="F57" s="1411"/>
    </row>
    <row r="58" spans="1:6" customFormat="1" ht="26.1" customHeight="1" x14ac:dyDescent="0.25">
      <c r="A58" s="1431"/>
      <c r="B58" s="1409"/>
      <c r="C58" s="417" t="s">
        <v>1977</v>
      </c>
      <c r="D58" s="417" t="s">
        <v>1518</v>
      </c>
      <c r="E58" s="1410" t="s">
        <v>1519</v>
      </c>
      <c r="F58" s="1411"/>
    </row>
    <row r="59" spans="1:6" customFormat="1" ht="26.1" customHeight="1" x14ac:dyDescent="0.25">
      <c r="A59" s="1431"/>
      <c r="B59" s="1409"/>
      <c r="C59" s="417" t="s">
        <v>1978</v>
      </c>
      <c r="D59" s="417" t="s">
        <v>1518</v>
      </c>
      <c r="E59" s="1410" t="s">
        <v>1520</v>
      </c>
      <c r="F59" s="1411"/>
    </row>
    <row r="60" spans="1:6" customFormat="1" ht="26.1" customHeight="1" x14ac:dyDescent="0.25">
      <c r="A60" s="1432"/>
      <c r="B60" s="1409"/>
      <c r="C60" s="417" t="s">
        <v>1979</v>
      </c>
      <c r="D60" s="417" t="s">
        <v>1518</v>
      </c>
      <c r="E60" s="1410" t="s">
        <v>1521</v>
      </c>
      <c r="F60" s="1411"/>
    </row>
    <row r="61" spans="1:6" customFormat="1" ht="26.1" customHeight="1" x14ac:dyDescent="0.25">
      <c r="A61" s="1430" t="s">
        <v>1461</v>
      </c>
      <c r="B61" s="1406" t="s">
        <v>1522</v>
      </c>
      <c r="C61" s="412" t="s">
        <v>1980</v>
      </c>
      <c r="D61" s="412" t="s">
        <v>1473</v>
      </c>
      <c r="E61" s="1410" t="s">
        <v>1523</v>
      </c>
      <c r="F61" s="1411"/>
    </row>
    <row r="62" spans="1:6" customFormat="1" ht="26.1" customHeight="1" x14ac:dyDescent="0.25">
      <c r="A62" s="1431"/>
      <c r="B62" s="1407"/>
      <c r="C62" s="412" t="s">
        <v>1981</v>
      </c>
      <c r="D62" s="412" t="s">
        <v>1473</v>
      </c>
      <c r="E62" s="1410" t="s">
        <v>1519</v>
      </c>
      <c r="F62" s="1411"/>
    </row>
    <row r="63" spans="1:6" customFormat="1" ht="26.1" customHeight="1" x14ac:dyDescent="0.25">
      <c r="A63" s="1431"/>
      <c r="B63" s="1407"/>
      <c r="C63" s="412" t="s">
        <v>1982</v>
      </c>
      <c r="D63" s="412" t="s">
        <v>1473</v>
      </c>
      <c r="E63" s="1410" t="s">
        <v>1524</v>
      </c>
      <c r="F63" s="1411"/>
    </row>
    <row r="64" spans="1:6" customFormat="1" ht="26.1" customHeight="1" x14ac:dyDescent="0.25">
      <c r="A64" s="1431"/>
      <c r="B64" s="1407"/>
      <c r="C64" s="413" t="s">
        <v>1983</v>
      </c>
      <c r="D64" s="413" t="s">
        <v>1478</v>
      </c>
      <c r="E64" s="1410" t="s">
        <v>1525</v>
      </c>
      <c r="F64" s="1411"/>
    </row>
    <row r="65" spans="1:6" customFormat="1" ht="26.1" customHeight="1" x14ac:dyDescent="0.25">
      <c r="A65" s="1431"/>
      <c r="B65" s="1407"/>
      <c r="C65" s="413" t="s">
        <v>1984</v>
      </c>
      <c r="D65" s="413" t="s">
        <v>1478</v>
      </c>
      <c r="E65" s="1410" t="s">
        <v>1526</v>
      </c>
      <c r="F65" s="1411"/>
    </row>
    <row r="66" spans="1:6" customFormat="1" ht="26.1" customHeight="1" x14ac:dyDescent="0.25">
      <c r="A66" s="1431"/>
      <c r="B66" s="1407"/>
      <c r="C66" s="413" t="s">
        <v>1985</v>
      </c>
      <c r="D66" s="413" t="s">
        <v>1478</v>
      </c>
      <c r="E66" s="1410" t="s">
        <v>1527</v>
      </c>
      <c r="F66" s="1411"/>
    </row>
    <row r="67" spans="1:6" customFormat="1" ht="26.1" customHeight="1" x14ac:dyDescent="0.25">
      <c r="A67" s="1431"/>
      <c r="B67" s="1407"/>
      <c r="C67" s="417" t="s">
        <v>1986</v>
      </c>
      <c r="D67" s="417" t="s">
        <v>1518</v>
      </c>
      <c r="E67" s="1410" t="s">
        <v>1528</v>
      </c>
      <c r="F67" s="1411"/>
    </row>
    <row r="68" spans="1:6" customFormat="1" ht="26.1" customHeight="1" x14ac:dyDescent="0.25">
      <c r="A68" s="1431"/>
      <c r="B68" s="1408"/>
      <c r="C68" s="417" t="s">
        <v>1987</v>
      </c>
      <c r="D68" s="417" t="s">
        <v>1518</v>
      </c>
      <c r="E68" s="1410" t="s">
        <v>1529</v>
      </c>
      <c r="F68" s="1411"/>
    </row>
    <row r="69" spans="1:6" customFormat="1" ht="26.1" customHeight="1" x14ac:dyDescent="0.25">
      <c r="A69" s="1431"/>
      <c r="B69" s="1412" t="s">
        <v>1530</v>
      </c>
      <c r="C69" s="411" t="s">
        <v>1988</v>
      </c>
      <c r="D69" s="411" t="s">
        <v>1468</v>
      </c>
      <c r="E69" s="1410" t="s">
        <v>1543</v>
      </c>
      <c r="F69" s="1411"/>
    </row>
    <row r="70" spans="1:6" customFormat="1" ht="26.1" customHeight="1" x14ac:dyDescent="0.25">
      <c r="A70" s="1431"/>
      <c r="B70" s="1413"/>
      <c r="C70" s="411" t="s">
        <v>1989</v>
      </c>
      <c r="D70" s="411" t="s">
        <v>1468</v>
      </c>
      <c r="E70" s="1410" t="s">
        <v>1544</v>
      </c>
      <c r="F70" s="1411"/>
    </row>
    <row r="71" spans="1:6" customFormat="1" ht="26.1" customHeight="1" x14ac:dyDescent="0.25">
      <c r="A71" s="1431"/>
      <c r="B71" s="1413"/>
      <c r="C71" s="411" t="s">
        <v>1990</v>
      </c>
      <c r="D71" s="411" t="s">
        <v>1468</v>
      </c>
      <c r="E71" s="1410" t="s">
        <v>1545</v>
      </c>
      <c r="F71" s="1411"/>
    </row>
    <row r="72" spans="1:6" customFormat="1" ht="26.1" customHeight="1" x14ac:dyDescent="0.25">
      <c r="A72" s="1431"/>
      <c r="B72" s="1413"/>
      <c r="C72" s="411" t="s">
        <v>1991</v>
      </c>
      <c r="D72" s="411" t="s">
        <v>1468</v>
      </c>
      <c r="E72" s="1410" t="s">
        <v>1546</v>
      </c>
      <c r="F72" s="1411"/>
    </row>
    <row r="73" spans="1:6" customFormat="1" ht="26.1" customHeight="1" x14ac:dyDescent="0.25">
      <c r="A73" s="1431"/>
      <c r="B73" s="1413"/>
      <c r="C73" s="415" t="s">
        <v>1992</v>
      </c>
      <c r="D73" s="415" t="s">
        <v>1507</v>
      </c>
      <c r="E73" s="1410" t="s">
        <v>1547</v>
      </c>
      <c r="F73" s="1411"/>
    </row>
    <row r="74" spans="1:6" customFormat="1" ht="26.1" customHeight="1" x14ac:dyDescent="0.25">
      <c r="A74" s="1431"/>
      <c r="B74" s="1413"/>
      <c r="C74" s="415" t="s">
        <v>1993</v>
      </c>
      <c r="D74" s="415" t="s">
        <v>1507</v>
      </c>
      <c r="E74" s="1410" t="s">
        <v>1548</v>
      </c>
      <c r="F74" s="1411"/>
    </row>
    <row r="75" spans="1:6" customFormat="1" ht="26.1" customHeight="1" x14ac:dyDescent="0.25">
      <c r="A75" s="1432"/>
      <c r="B75" s="1414"/>
      <c r="C75" s="415" t="s">
        <v>1994</v>
      </c>
      <c r="D75" s="415" t="s">
        <v>1507</v>
      </c>
      <c r="E75" s="1410" t="s">
        <v>1550</v>
      </c>
      <c r="F75" s="1411"/>
    </row>
    <row r="76" spans="1:6" x14ac:dyDescent="0.25">
      <c r="A76" s="1415" t="s">
        <v>186</v>
      </c>
      <c r="B76" s="1416"/>
      <c r="C76" s="1416"/>
      <c r="D76" s="1416"/>
      <c r="E76" s="1416"/>
      <c r="F76" s="1417"/>
    </row>
    <row r="77" spans="1:6" x14ac:dyDescent="0.25">
      <c r="A77" s="36"/>
      <c r="B77" s="37"/>
      <c r="C77" s="37"/>
      <c r="D77" s="37"/>
      <c r="E77" s="37"/>
      <c r="F77" s="38"/>
    </row>
    <row r="78" spans="1:6" x14ac:dyDescent="0.25">
      <c r="A78" s="36"/>
      <c r="B78" s="878"/>
      <c r="C78" s="878"/>
      <c r="D78" s="37"/>
      <c r="E78" s="418"/>
      <c r="F78" s="38"/>
    </row>
    <row r="79" spans="1:6" x14ac:dyDescent="0.25">
      <c r="A79" s="36"/>
      <c r="B79" s="1073" t="s">
        <v>496</v>
      </c>
      <c r="C79" s="1073"/>
      <c r="D79" s="37"/>
      <c r="E79" s="388" t="s">
        <v>168</v>
      </c>
      <c r="F79" s="38"/>
    </row>
    <row r="80" spans="1:6" x14ac:dyDescent="0.25">
      <c r="A80" s="36"/>
      <c r="B80" s="1073" t="s">
        <v>184</v>
      </c>
      <c r="C80" s="1073"/>
      <c r="D80" s="37"/>
      <c r="E80" s="388" t="s">
        <v>177</v>
      </c>
      <c r="F80" s="38"/>
    </row>
    <row r="81" spans="1:6" x14ac:dyDescent="0.25">
      <c r="A81" s="36"/>
      <c r="B81" s="1073" t="s">
        <v>187</v>
      </c>
      <c r="C81" s="1073"/>
      <c r="D81" s="37"/>
      <c r="E81" s="388" t="s">
        <v>188</v>
      </c>
      <c r="F81" s="38"/>
    </row>
    <row r="82" spans="1:6" ht="16.5" thickBot="1" x14ac:dyDescent="0.3">
      <c r="A82" s="39"/>
      <c r="B82" s="40"/>
      <c r="C82" s="40"/>
      <c r="D82" s="40"/>
      <c r="E82" s="40"/>
      <c r="F82" s="41"/>
    </row>
  </sheetData>
  <mergeCells count="96">
    <mergeCell ref="A18:A37"/>
    <mergeCell ref="A38:A60"/>
    <mergeCell ref="A61:A75"/>
    <mergeCell ref="A2:F2"/>
    <mergeCell ref="A1:F1"/>
    <mergeCell ref="A10:B10"/>
    <mergeCell ref="C10:D10"/>
    <mergeCell ref="E10:F10"/>
    <mergeCell ref="A9:F9"/>
    <mergeCell ref="B8:F8"/>
    <mergeCell ref="C5:F5"/>
    <mergeCell ref="C4:F4"/>
    <mergeCell ref="A3:F3"/>
    <mergeCell ref="A5:B5"/>
    <mergeCell ref="A6:B6"/>
    <mergeCell ref="D6:E6"/>
    <mergeCell ref="A4:B4"/>
    <mergeCell ref="A13:B13"/>
    <mergeCell ref="C13:F13"/>
    <mergeCell ref="A12:F12"/>
    <mergeCell ref="A11:B11"/>
    <mergeCell ref="C11:D11"/>
    <mergeCell ref="E11:F11"/>
    <mergeCell ref="A16:F16"/>
    <mergeCell ref="A14:B14"/>
    <mergeCell ref="A15:B15"/>
    <mergeCell ref="C15:F15"/>
    <mergeCell ref="C14:F14"/>
    <mergeCell ref="E38:F38"/>
    <mergeCell ref="E39:F39"/>
    <mergeCell ref="E40:F40"/>
    <mergeCell ref="E29:F29"/>
    <mergeCell ref="E30:F30"/>
    <mergeCell ref="E31:F31"/>
    <mergeCell ref="E41:F41"/>
    <mergeCell ref="E42:F42"/>
    <mergeCell ref="E43:F43"/>
    <mergeCell ref="E44:F44"/>
    <mergeCell ref="E45:F45"/>
    <mergeCell ref="E61:F61"/>
    <mergeCell ref="E62:F62"/>
    <mergeCell ref="E56:F56"/>
    <mergeCell ref="E51:F51"/>
    <mergeCell ref="E52:F52"/>
    <mergeCell ref="E53:F53"/>
    <mergeCell ref="E54:F54"/>
    <mergeCell ref="E49:F49"/>
    <mergeCell ref="E50:F50"/>
    <mergeCell ref="E58:F58"/>
    <mergeCell ref="E59:F59"/>
    <mergeCell ref="E60:F60"/>
    <mergeCell ref="E17:F17"/>
    <mergeCell ref="E18:F18"/>
    <mergeCell ref="E19:F19"/>
    <mergeCell ref="E20:F20"/>
    <mergeCell ref="E21:F21"/>
    <mergeCell ref="B18:B37"/>
    <mergeCell ref="E22:F22"/>
    <mergeCell ref="E23:F23"/>
    <mergeCell ref="E24:F24"/>
    <mergeCell ref="E25:F25"/>
    <mergeCell ref="E26:F26"/>
    <mergeCell ref="E27:F27"/>
    <mergeCell ref="E28:F28"/>
    <mergeCell ref="E32:F32"/>
    <mergeCell ref="E33:F33"/>
    <mergeCell ref="E34:F34"/>
    <mergeCell ref="E35:F35"/>
    <mergeCell ref="E36:F36"/>
    <mergeCell ref="E37:F37"/>
    <mergeCell ref="B79:C79"/>
    <mergeCell ref="B80:C80"/>
    <mergeCell ref="B81:C81"/>
    <mergeCell ref="B78:C78"/>
    <mergeCell ref="B69:B75"/>
    <mergeCell ref="A76:F76"/>
    <mergeCell ref="E72:F72"/>
    <mergeCell ref="E73:F73"/>
    <mergeCell ref="E74:F74"/>
    <mergeCell ref="E75:F75"/>
    <mergeCell ref="B61:B68"/>
    <mergeCell ref="B38:B60"/>
    <mergeCell ref="E69:F69"/>
    <mergeCell ref="E70:F70"/>
    <mergeCell ref="E71:F71"/>
    <mergeCell ref="E64:F64"/>
    <mergeCell ref="E65:F65"/>
    <mergeCell ref="E66:F66"/>
    <mergeCell ref="E67:F67"/>
    <mergeCell ref="E68:F68"/>
    <mergeCell ref="E57:F57"/>
    <mergeCell ref="E55:F55"/>
    <mergeCell ref="E63:F63"/>
    <mergeCell ref="E46:F46"/>
    <mergeCell ref="E47:F47"/>
    <mergeCell ref="E48:F48"/>
  </mergeCells>
  <phoneticPr fontId="16" type="noConversion"/>
  <pageMargins left="1" right="1" top="1" bottom="1" header="0.5" footer="0.5"/>
  <pageSetup orientation="portrait" horizontalDpi="0"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65"/>
  <sheetViews>
    <sheetView showGridLines="0" topLeftCell="C1" zoomScale="80" zoomScaleNormal="80" workbookViewId="0">
      <selection activeCell="A23" sqref="A23:G60"/>
    </sheetView>
  </sheetViews>
  <sheetFormatPr baseColWidth="10" defaultRowHeight="15.75" x14ac:dyDescent="0.25"/>
  <cols>
    <col min="1" max="1" width="10.42578125" style="2" customWidth="1"/>
    <col min="2" max="2" width="10.28515625" style="2" customWidth="1"/>
    <col min="3" max="3" width="18.140625" style="2" customWidth="1"/>
    <col min="4" max="4" width="51.42578125" style="2" bestFit="1" customWidth="1"/>
    <col min="5" max="6" width="9.7109375" style="2" customWidth="1"/>
    <col min="7" max="9" width="7.7109375" style="2" customWidth="1"/>
    <col min="10" max="10" width="10.5703125" style="2" bestFit="1" customWidth="1"/>
    <col min="11" max="16384" width="11.42578125" style="2"/>
  </cols>
  <sheetData>
    <row r="1" spans="1:12" x14ac:dyDescent="0.25">
      <c r="A1" s="774"/>
      <c r="B1" s="775"/>
      <c r="C1" s="775"/>
      <c r="D1" s="775"/>
      <c r="E1" s="775"/>
      <c r="F1" s="775"/>
      <c r="G1" s="775"/>
      <c r="H1" s="775"/>
      <c r="I1" s="775"/>
      <c r="J1" s="776"/>
      <c r="K1" s="4"/>
      <c r="L1" s="4"/>
    </row>
    <row r="2" spans="1:12" customFormat="1" ht="76.5" customHeight="1" x14ac:dyDescent="0.25">
      <c r="A2" s="777" t="s">
        <v>1462</v>
      </c>
      <c r="B2" s="781" t="s">
        <v>1463</v>
      </c>
      <c r="C2" s="782" t="s">
        <v>1464</v>
      </c>
      <c r="D2" s="782" t="s">
        <v>1465</v>
      </c>
      <c r="E2" s="782" t="s">
        <v>471</v>
      </c>
      <c r="F2" s="782" t="s">
        <v>1870</v>
      </c>
      <c r="G2" s="782" t="s">
        <v>1871</v>
      </c>
      <c r="H2" s="782" t="s">
        <v>1872</v>
      </c>
      <c r="I2" s="782" t="s">
        <v>1873</v>
      </c>
      <c r="J2" s="783" t="s">
        <v>1890</v>
      </c>
    </row>
    <row r="3" spans="1:12" customFormat="1" ht="26.1" customHeight="1" x14ac:dyDescent="0.25">
      <c r="A3" s="1442" t="s">
        <v>1466</v>
      </c>
      <c r="B3" s="788" t="s">
        <v>429</v>
      </c>
      <c r="C3" s="411" t="s">
        <v>1468</v>
      </c>
      <c r="D3" s="765" t="s">
        <v>1467</v>
      </c>
      <c r="E3" s="773" t="s">
        <v>143</v>
      </c>
      <c r="F3" s="773" t="s">
        <v>472</v>
      </c>
      <c r="G3" s="773">
        <v>0.3</v>
      </c>
      <c r="H3" s="773">
        <v>0.8</v>
      </c>
      <c r="I3" s="773">
        <v>0.24</v>
      </c>
      <c r="J3" s="778" t="s">
        <v>1887</v>
      </c>
    </row>
    <row r="4" spans="1:12" customFormat="1" ht="26.1" customHeight="1" x14ac:dyDescent="0.25">
      <c r="A4" s="1443"/>
      <c r="B4" s="788" t="s">
        <v>430</v>
      </c>
      <c r="C4" s="411" t="s">
        <v>1468</v>
      </c>
      <c r="D4" s="765" t="s">
        <v>1469</v>
      </c>
      <c r="E4" s="773" t="s">
        <v>1874</v>
      </c>
      <c r="F4" s="773" t="s">
        <v>472</v>
      </c>
      <c r="G4" s="773">
        <v>0.3</v>
      </c>
      <c r="H4" s="773">
        <v>0.8</v>
      </c>
      <c r="I4" s="773">
        <v>0.24</v>
      </c>
      <c r="J4" s="778" t="s">
        <v>1887</v>
      </c>
    </row>
    <row r="5" spans="1:12" customFormat="1" ht="26.1" customHeight="1" x14ac:dyDescent="0.25">
      <c r="A5" s="1443"/>
      <c r="B5" s="788" t="s">
        <v>431</v>
      </c>
      <c r="C5" s="411" t="s">
        <v>1468</v>
      </c>
      <c r="D5" s="765" t="s">
        <v>1470</v>
      </c>
      <c r="E5" s="773" t="s">
        <v>1875</v>
      </c>
      <c r="F5" s="773" t="s">
        <v>474</v>
      </c>
      <c r="G5" s="773">
        <v>0.5</v>
      </c>
      <c r="H5" s="773">
        <v>0.4</v>
      </c>
      <c r="I5" s="773">
        <v>0.2</v>
      </c>
      <c r="J5" s="779" t="s">
        <v>1888</v>
      </c>
    </row>
    <row r="6" spans="1:12" customFormat="1" ht="26.1" customHeight="1" x14ac:dyDescent="0.25">
      <c r="A6" s="1443"/>
      <c r="B6" s="788" t="s">
        <v>432</v>
      </c>
      <c r="C6" s="411" t="s">
        <v>1468</v>
      </c>
      <c r="D6" s="765" t="s">
        <v>1471</v>
      </c>
      <c r="E6" s="773" t="s">
        <v>143</v>
      </c>
      <c r="F6" s="773" t="s">
        <v>475</v>
      </c>
      <c r="G6" s="773">
        <v>0.3</v>
      </c>
      <c r="H6" s="773">
        <v>0.1</v>
      </c>
      <c r="I6" s="773">
        <v>0.03</v>
      </c>
      <c r="J6" s="780" t="s">
        <v>1889</v>
      </c>
    </row>
    <row r="7" spans="1:12" customFormat="1" ht="26.1" customHeight="1" x14ac:dyDescent="0.25">
      <c r="A7" s="1443"/>
      <c r="B7" s="788" t="s">
        <v>433</v>
      </c>
      <c r="C7" s="411" t="s">
        <v>1468</v>
      </c>
      <c r="D7" s="765" t="s">
        <v>1472</v>
      </c>
      <c r="E7" s="773" t="s">
        <v>143</v>
      </c>
      <c r="F7" s="773" t="s">
        <v>476</v>
      </c>
      <c r="G7" s="773">
        <v>0.3</v>
      </c>
      <c r="H7" s="773">
        <v>0.05</v>
      </c>
      <c r="I7" s="773">
        <v>0.02</v>
      </c>
      <c r="J7" s="780" t="s">
        <v>1889</v>
      </c>
    </row>
    <row r="8" spans="1:12" customFormat="1" ht="26.1" customHeight="1" x14ac:dyDescent="0.25">
      <c r="A8" s="1443"/>
      <c r="B8" s="789" t="s">
        <v>434</v>
      </c>
      <c r="C8" s="412" t="s">
        <v>1473</v>
      </c>
      <c r="D8" s="765" t="s">
        <v>1474</v>
      </c>
      <c r="E8" s="773" t="s">
        <v>1875</v>
      </c>
      <c r="F8" s="773" t="s">
        <v>474</v>
      </c>
      <c r="G8" s="773">
        <v>0.5</v>
      </c>
      <c r="H8" s="773">
        <v>0.4</v>
      </c>
      <c r="I8" s="773">
        <v>0.2</v>
      </c>
      <c r="J8" s="779" t="s">
        <v>1888</v>
      </c>
    </row>
    <row r="9" spans="1:12" customFormat="1" ht="26.1" customHeight="1" x14ac:dyDescent="0.25">
      <c r="A9" s="1443"/>
      <c r="B9" s="789" t="s">
        <v>435</v>
      </c>
      <c r="C9" s="412" t="s">
        <v>1473</v>
      </c>
      <c r="D9" s="765" t="s">
        <v>1876</v>
      </c>
      <c r="E9" s="773" t="s">
        <v>1877</v>
      </c>
      <c r="F9" s="773" t="s">
        <v>474</v>
      </c>
      <c r="G9" s="773">
        <v>0.5</v>
      </c>
      <c r="H9" s="773">
        <v>0.4</v>
      </c>
      <c r="I9" s="773">
        <v>0.2</v>
      </c>
      <c r="J9" s="779" t="s">
        <v>1888</v>
      </c>
    </row>
    <row r="10" spans="1:12" customFormat="1" ht="26.1" customHeight="1" x14ac:dyDescent="0.25">
      <c r="A10" s="1443"/>
      <c r="B10" s="789" t="s">
        <v>436</v>
      </c>
      <c r="C10" s="412" t="s">
        <v>1473</v>
      </c>
      <c r="D10" s="765" t="s">
        <v>1476</v>
      </c>
      <c r="E10" s="773" t="s">
        <v>475</v>
      </c>
      <c r="F10" s="773" t="s">
        <v>473</v>
      </c>
      <c r="G10" s="773">
        <v>0.3</v>
      </c>
      <c r="H10" s="773">
        <v>0.2</v>
      </c>
      <c r="I10" s="773">
        <v>0.06</v>
      </c>
      <c r="J10" s="780" t="s">
        <v>1889</v>
      </c>
    </row>
    <row r="11" spans="1:12" customFormat="1" ht="26.1" customHeight="1" x14ac:dyDescent="0.25">
      <c r="A11" s="1443"/>
      <c r="B11" s="789" t="s">
        <v>437</v>
      </c>
      <c r="C11" s="412" t="s">
        <v>1473</v>
      </c>
      <c r="D11" s="765" t="s">
        <v>1477</v>
      </c>
      <c r="E11" s="773" t="s">
        <v>475</v>
      </c>
      <c r="F11" s="773" t="s">
        <v>475</v>
      </c>
      <c r="G11" s="773">
        <v>0.3</v>
      </c>
      <c r="H11" s="773">
        <v>0.1</v>
      </c>
      <c r="I11" s="773">
        <v>0.03</v>
      </c>
      <c r="J11" s="780" t="s">
        <v>1889</v>
      </c>
    </row>
    <row r="12" spans="1:12" customFormat="1" ht="26.1" customHeight="1" x14ac:dyDescent="0.25">
      <c r="A12" s="1443"/>
      <c r="B12" s="790" t="s">
        <v>438</v>
      </c>
      <c r="C12" s="413" t="s">
        <v>1478</v>
      </c>
      <c r="D12" s="765" t="s">
        <v>1878</v>
      </c>
      <c r="E12" s="773" t="s">
        <v>1874</v>
      </c>
      <c r="F12" s="773" t="s">
        <v>475</v>
      </c>
      <c r="G12" s="773">
        <v>0.1</v>
      </c>
      <c r="H12" s="773">
        <v>0.1</v>
      </c>
      <c r="I12" s="773">
        <v>0.01</v>
      </c>
      <c r="J12" s="780" t="s">
        <v>1889</v>
      </c>
    </row>
    <row r="13" spans="1:12" customFormat="1" ht="26.1" customHeight="1" x14ac:dyDescent="0.25">
      <c r="A13" s="1443"/>
      <c r="B13" s="790" t="s">
        <v>439</v>
      </c>
      <c r="C13" s="413" t="s">
        <v>1478</v>
      </c>
      <c r="D13" s="765" t="s">
        <v>1480</v>
      </c>
      <c r="E13" s="773" t="s">
        <v>1875</v>
      </c>
      <c r="F13" s="773" t="s">
        <v>474</v>
      </c>
      <c r="G13" s="773">
        <v>0.5</v>
      </c>
      <c r="H13" s="773">
        <v>0.4</v>
      </c>
      <c r="I13" s="773">
        <v>0.2</v>
      </c>
      <c r="J13" s="779" t="s">
        <v>1888</v>
      </c>
    </row>
    <row r="14" spans="1:12" customFormat="1" ht="26.1" customHeight="1" x14ac:dyDescent="0.25">
      <c r="A14" s="1443"/>
      <c r="B14" s="790" t="s">
        <v>440</v>
      </c>
      <c r="C14" s="413" t="s">
        <v>1478</v>
      </c>
      <c r="D14" s="765" t="s">
        <v>1481</v>
      </c>
      <c r="E14" s="773" t="s">
        <v>475</v>
      </c>
      <c r="F14" s="773" t="s">
        <v>475</v>
      </c>
      <c r="G14" s="773">
        <v>0.3</v>
      </c>
      <c r="H14" s="773">
        <v>0.1</v>
      </c>
      <c r="I14" s="773">
        <v>0.03</v>
      </c>
      <c r="J14" s="780" t="s">
        <v>1889</v>
      </c>
    </row>
    <row r="15" spans="1:12" customFormat="1" ht="26.1" customHeight="1" x14ac:dyDescent="0.25">
      <c r="A15" s="1443"/>
      <c r="B15" s="791" t="s">
        <v>441</v>
      </c>
      <c r="C15" s="414" t="s">
        <v>1482</v>
      </c>
      <c r="D15" s="765" t="s">
        <v>1483</v>
      </c>
      <c r="E15" s="773" t="s">
        <v>474</v>
      </c>
      <c r="F15" s="773" t="s">
        <v>474</v>
      </c>
      <c r="G15" s="773">
        <v>0.7</v>
      </c>
      <c r="H15" s="773">
        <v>0.4</v>
      </c>
      <c r="I15" s="773">
        <v>0.28000000000000003</v>
      </c>
      <c r="J15" s="778" t="s">
        <v>1887</v>
      </c>
    </row>
    <row r="16" spans="1:12" customFormat="1" ht="26.1" customHeight="1" x14ac:dyDescent="0.25">
      <c r="A16" s="1443"/>
      <c r="B16" s="791" t="s">
        <v>442</v>
      </c>
      <c r="C16" s="414" t="s">
        <v>1482</v>
      </c>
      <c r="D16" s="765" t="s">
        <v>1484</v>
      </c>
      <c r="E16" s="773" t="s">
        <v>1875</v>
      </c>
      <c r="F16" s="773" t="s">
        <v>473</v>
      </c>
      <c r="G16" s="773">
        <v>0.5</v>
      </c>
      <c r="H16" s="773">
        <v>0.2</v>
      </c>
      <c r="I16" s="773">
        <v>0.1</v>
      </c>
      <c r="J16" s="779" t="s">
        <v>1888</v>
      </c>
    </row>
    <row r="17" spans="1:10" customFormat="1" ht="26.1" customHeight="1" x14ac:dyDescent="0.25">
      <c r="A17" s="1443"/>
      <c r="B17" s="791" t="s">
        <v>443</v>
      </c>
      <c r="C17" s="414" t="s">
        <v>1482</v>
      </c>
      <c r="D17" s="765" t="s">
        <v>1879</v>
      </c>
      <c r="E17" s="773" t="s">
        <v>475</v>
      </c>
      <c r="F17" s="773" t="s">
        <v>474</v>
      </c>
      <c r="G17" s="773">
        <v>0.3</v>
      </c>
      <c r="H17" s="773">
        <v>0.4</v>
      </c>
      <c r="I17" s="773">
        <v>0.12</v>
      </c>
      <c r="J17" s="779" t="s">
        <v>1888</v>
      </c>
    </row>
    <row r="18" spans="1:10" customFormat="1" ht="26.1" customHeight="1" x14ac:dyDescent="0.25">
      <c r="A18" s="1443"/>
      <c r="B18" s="791" t="s">
        <v>444</v>
      </c>
      <c r="C18" s="414" t="s">
        <v>1482</v>
      </c>
      <c r="D18" s="765" t="s">
        <v>1486</v>
      </c>
      <c r="E18" s="773" t="s">
        <v>1880</v>
      </c>
      <c r="F18" s="773" t="s">
        <v>1880</v>
      </c>
      <c r="G18" s="773">
        <v>0.1</v>
      </c>
      <c r="H18" s="773">
        <v>0.05</v>
      </c>
      <c r="I18" s="773">
        <v>0.01</v>
      </c>
      <c r="J18" s="780" t="s">
        <v>1889</v>
      </c>
    </row>
    <row r="19" spans="1:10" customFormat="1" ht="26.1" customHeight="1" x14ac:dyDescent="0.25">
      <c r="A19" s="1443"/>
      <c r="B19" s="792" t="s">
        <v>445</v>
      </c>
      <c r="C19" s="415" t="s">
        <v>1507</v>
      </c>
      <c r="D19" s="765" t="s">
        <v>1508</v>
      </c>
      <c r="E19" s="773" t="s">
        <v>476</v>
      </c>
      <c r="F19" s="773" t="s">
        <v>473</v>
      </c>
      <c r="G19" s="773">
        <v>0.1</v>
      </c>
      <c r="H19" s="773">
        <v>0.2</v>
      </c>
      <c r="I19" s="773">
        <v>0.02</v>
      </c>
      <c r="J19" s="780" t="s">
        <v>1889</v>
      </c>
    </row>
    <row r="20" spans="1:10" customFormat="1" ht="26.1" customHeight="1" x14ac:dyDescent="0.25">
      <c r="A20" s="1443"/>
      <c r="B20" s="792" t="s">
        <v>446</v>
      </c>
      <c r="C20" s="415" t="s">
        <v>1507</v>
      </c>
      <c r="D20" s="765" t="s">
        <v>1509</v>
      </c>
      <c r="E20" s="773" t="s">
        <v>143</v>
      </c>
      <c r="F20" s="773" t="s">
        <v>472</v>
      </c>
      <c r="G20" s="773">
        <v>0.3</v>
      </c>
      <c r="H20" s="773">
        <v>0.8</v>
      </c>
      <c r="I20" s="773">
        <v>0.24</v>
      </c>
      <c r="J20" s="778" t="s">
        <v>1887</v>
      </c>
    </row>
    <row r="21" spans="1:10" customFormat="1" ht="26.1" customHeight="1" x14ac:dyDescent="0.25">
      <c r="A21" s="1443"/>
      <c r="B21" s="792" t="s">
        <v>447</v>
      </c>
      <c r="C21" s="415" t="s">
        <v>1507</v>
      </c>
      <c r="D21" s="765" t="s">
        <v>1510</v>
      </c>
      <c r="E21" s="773" t="s">
        <v>475</v>
      </c>
      <c r="F21" s="773" t="s">
        <v>475</v>
      </c>
      <c r="G21" s="773">
        <v>0.3</v>
      </c>
      <c r="H21" s="773">
        <v>0.1</v>
      </c>
      <c r="I21" s="773">
        <v>0.03</v>
      </c>
      <c r="J21" s="780" t="s">
        <v>1889</v>
      </c>
    </row>
    <row r="22" spans="1:10" customFormat="1" ht="26.1" customHeight="1" x14ac:dyDescent="0.25">
      <c r="A22" s="1444"/>
      <c r="B22" s="792" t="s">
        <v>448</v>
      </c>
      <c r="C22" s="415" t="s">
        <v>1507</v>
      </c>
      <c r="D22" s="765" t="s">
        <v>1511</v>
      </c>
      <c r="E22" s="773" t="s">
        <v>1881</v>
      </c>
      <c r="F22" s="773" t="s">
        <v>473</v>
      </c>
      <c r="G22" s="773">
        <v>0.3</v>
      </c>
      <c r="H22" s="773">
        <v>0.2</v>
      </c>
      <c r="I22" s="773">
        <v>0.06</v>
      </c>
      <c r="J22" s="780" t="s">
        <v>1889</v>
      </c>
    </row>
    <row r="23" spans="1:10" customFormat="1" ht="26.1" customHeight="1" x14ac:dyDescent="0.25">
      <c r="A23" s="1451" t="s">
        <v>1487</v>
      </c>
      <c r="B23" s="788" t="s">
        <v>449</v>
      </c>
      <c r="C23" s="411" t="s">
        <v>1468</v>
      </c>
      <c r="D23" s="765" t="s">
        <v>1882</v>
      </c>
      <c r="E23" s="773" t="s">
        <v>475</v>
      </c>
      <c r="F23" s="773" t="s">
        <v>474</v>
      </c>
      <c r="G23" s="773">
        <v>0.3</v>
      </c>
      <c r="H23" s="773">
        <v>0.4</v>
      </c>
      <c r="I23" s="773">
        <v>0.12</v>
      </c>
      <c r="J23" s="779" t="s">
        <v>1888</v>
      </c>
    </row>
    <row r="24" spans="1:10" customFormat="1" ht="26.1" customHeight="1" x14ac:dyDescent="0.25">
      <c r="A24" s="1452"/>
      <c r="B24" s="788" t="s">
        <v>450</v>
      </c>
      <c r="C24" s="411" t="s">
        <v>1468</v>
      </c>
      <c r="D24" s="765" t="s">
        <v>1490</v>
      </c>
      <c r="E24" s="773" t="s">
        <v>475</v>
      </c>
      <c r="F24" s="773" t="s">
        <v>475</v>
      </c>
      <c r="G24" s="773">
        <v>0.3</v>
      </c>
      <c r="H24" s="773">
        <v>0.1</v>
      </c>
      <c r="I24" s="773">
        <v>0.03</v>
      </c>
      <c r="J24" s="780" t="s">
        <v>1889</v>
      </c>
    </row>
    <row r="25" spans="1:10" customFormat="1" ht="26.1" customHeight="1" x14ac:dyDescent="0.25">
      <c r="A25" s="1452"/>
      <c r="B25" s="788" t="s">
        <v>451</v>
      </c>
      <c r="C25" s="411" t="s">
        <v>1468</v>
      </c>
      <c r="D25" s="765" t="s">
        <v>1489</v>
      </c>
      <c r="E25" s="773" t="s">
        <v>475</v>
      </c>
      <c r="F25" s="773" t="s">
        <v>472</v>
      </c>
      <c r="G25" s="773">
        <v>0.3</v>
      </c>
      <c r="H25" s="773">
        <v>0.8</v>
      </c>
      <c r="I25" s="773">
        <v>0.24</v>
      </c>
      <c r="J25" s="778" t="s">
        <v>1887</v>
      </c>
    </row>
    <row r="26" spans="1:10" customFormat="1" ht="26.1" customHeight="1" x14ac:dyDescent="0.25">
      <c r="A26" s="1452"/>
      <c r="B26" s="789" t="s">
        <v>452</v>
      </c>
      <c r="C26" s="412" t="s">
        <v>1473</v>
      </c>
      <c r="D26" s="765" t="s">
        <v>1492</v>
      </c>
      <c r="E26" s="773" t="s">
        <v>476</v>
      </c>
      <c r="F26" s="773" t="s">
        <v>474</v>
      </c>
      <c r="G26" s="773">
        <v>0.1</v>
      </c>
      <c r="H26" s="773">
        <v>0.4</v>
      </c>
      <c r="I26" s="773">
        <v>0.04</v>
      </c>
      <c r="J26" s="780" t="s">
        <v>1889</v>
      </c>
    </row>
    <row r="27" spans="1:10" customFormat="1" ht="26.1" customHeight="1" x14ac:dyDescent="0.25">
      <c r="A27" s="1452"/>
      <c r="B27" s="789" t="s">
        <v>453</v>
      </c>
      <c r="C27" s="412" t="s">
        <v>1473</v>
      </c>
      <c r="D27" s="765" t="s">
        <v>1493</v>
      </c>
      <c r="E27" s="773" t="s">
        <v>472</v>
      </c>
      <c r="F27" s="773" t="s">
        <v>472</v>
      </c>
      <c r="G27" s="773">
        <v>0.9</v>
      </c>
      <c r="H27" s="773">
        <v>0.8</v>
      </c>
      <c r="I27" s="773">
        <v>0.72</v>
      </c>
      <c r="J27" s="778" t="s">
        <v>1887</v>
      </c>
    </row>
    <row r="28" spans="1:10" customFormat="1" ht="26.1" customHeight="1" x14ac:dyDescent="0.25">
      <c r="A28" s="1452"/>
      <c r="B28" s="790" t="s">
        <v>454</v>
      </c>
      <c r="C28" s="413" t="s">
        <v>1478</v>
      </c>
      <c r="D28" s="765" t="s">
        <v>1494</v>
      </c>
      <c r="E28" s="773" t="s">
        <v>473</v>
      </c>
      <c r="F28" s="773" t="s">
        <v>473</v>
      </c>
      <c r="G28" s="773">
        <v>0.5</v>
      </c>
      <c r="H28" s="773">
        <v>0.2</v>
      </c>
      <c r="I28" s="773">
        <v>0.1</v>
      </c>
      <c r="J28" s="779" t="s">
        <v>1888</v>
      </c>
    </row>
    <row r="29" spans="1:10" customFormat="1" ht="26.1" customHeight="1" x14ac:dyDescent="0.25">
      <c r="A29" s="1452"/>
      <c r="B29" s="790" t="s">
        <v>455</v>
      </c>
      <c r="C29" s="413" t="s">
        <v>1478</v>
      </c>
      <c r="D29" s="765" t="s">
        <v>1495</v>
      </c>
      <c r="E29" s="773" t="s">
        <v>1881</v>
      </c>
      <c r="F29" s="773" t="s">
        <v>475</v>
      </c>
      <c r="G29" s="773">
        <v>0.3</v>
      </c>
      <c r="H29" s="773">
        <v>0.1</v>
      </c>
      <c r="I29" s="773">
        <v>0.03</v>
      </c>
      <c r="J29" s="780" t="s">
        <v>1889</v>
      </c>
    </row>
    <row r="30" spans="1:10" customFormat="1" ht="26.1" customHeight="1" x14ac:dyDescent="0.25">
      <c r="A30" s="1452"/>
      <c r="B30" s="793" t="s">
        <v>456</v>
      </c>
      <c r="C30" s="416" t="s">
        <v>1491</v>
      </c>
      <c r="D30" s="765" t="s">
        <v>1496</v>
      </c>
      <c r="E30" s="773" t="s">
        <v>475</v>
      </c>
      <c r="F30" s="773" t="s">
        <v>475</v>
      </c>
      <c r="G30" s="773">
        <v>0.3</v>
      </c>
      <c r="H30" s="773">
        <v>0.1</v>
      </c>
      <c r="I30" s="773">
        <v>0.03</v>
      </c>
      <c r="J30" s="780" t="s">
        <v>1889</v>
      </c>
    </row>
    <row r="31" spans="1:10" customFormat="1" ht="26.1" customHeight="1" x14ac:dyDescent="0.25">
      <c r="A31" s="1452"/>
      <c r="B31" s="793" t="s">
        <v>457</v>
      </c>
      <c r="C31" s="416" t="s">
        <v>1491</v>
      </c>
      <c r="D31" s="765" t="s">
        <v>1497</v>
      </c>
      <c r="E31" s="773" t="s">
        <v>475</v>
      </c>
      <c r="F31" s="773" t="s">
        <v>473</v>
      </c>
      <c r="G31" s="773">
        <v>0.3</v>
      </c>
      <c r="H31" s="773">
        <v>0.2</v>
      </c>
      <c r="I31" s="773">
        <v>0.06</v>
      </c>
      <c r="J31" s="780" t="s">
        <v>1889</v>
      </c>
    </row>
    <row r="32" spans="1:10" customFormat="1" ht="26.1" customHeight="1" x14ac:dyDescent="0.25">
      <c r="A32" s="1452"/>
      <c r="B32" s="793" t="s">
        <v>458</v>
      </c>
      <c r="C32" s="416" t="s">
        <v>1491</v>
      </c>
      <c r="D32" s="765" t="s">
        <v>1498</v>
      </c>
      <c r="E32" s="773" t="s">
        <v>475</v>
      </c>
      <c r="F32" s="773" t="s">
        <v>473</v>
      </c>
      <c r="G32" s="773">
        <v>0.3</v>
      </c>
      <c r="H32" s="773">
        <v>0.2</v>
      </c>
      <c r="I32" s="773">
        <v>0.06</v>
      </c>
      <c r="J32" s="780" t="s">
        <v>1889</v>
      </c>
    </row>
    <row r="33" spans="1:10" customFormat="1" ht="26.1" customHeight="1" x14ac:dyDescent="0.25">
      <c r="A33" s="1452"/>
      <c r="B33" s="793" t="s">
        <v>459</v>
      </c>
      <c r="C33" s="416" t="s">
        <v>1491</v>
      </c>
      <c r="D33" s="765" t="s">
        <v>1499</v>
      </c>
      <c r="E33" s="773" t="s">
        <v>475</v>
      </c>
      <c r="F33" s="773" t="s">
        <v>474</v>
      </c>
      <c r="G33" s="773">
        <v>0.3</v>
      </c>
      <c r="H33" s="773">
        <v>0.4</v>
      </c>
      <c r="I33" s="773">
        <v>0.12</v>
      </c>
      <c r="J33" s="779" t="s">
        <v>1888</v>
      </c>
    </row>
    <row r="34" spans="1:10" customFormat="1" ht="26.1" customHeight="1" x14ac:dyDescent="0.25">
      <c r="A34" s="1452"/>
      <c r="B34" s="793" t="s">
        <v>460</v>
      </c>
      <c r="C34" s="416" t="s">
        <v>1491</v>
      </c>
      <c r="D34" s="765" t="s">
        <v>1500</v>
      </c>
      <c r="E34" s="773" t="s">
        <v>475</v>
      </c>
      <c r="F34" s="773" t="s">
        <v>475</v>
      </c>
      <c r="G34" s="773">
        <v>0.3</v>
      </c>
      <c r="H34" s="773">
        <v>0.1</v>
      </c>
      <c r="I34" s="773">
        <v>0.03</v>
      </c>
      <c r="J34" s="780" t="s">
        <v>1889</v>
      </c>
    </row>
    <row r="35" spans="1:10" customFormat="1" ht="26.1" customHeight="1" x14ac:dyDescent="0.25">
      <c r="A35" s="1452"/>
      <c r="B35" s="793" t="s">
        <v>461</v>
      </c>
      <c r="C35" s="416" t="s">
        <v>1491</v>
      </c>
      <c r="D35" s="765" t="s">
        <v>1501</v>
      </c>
      <c r="E35" s="773" t="s">
        <v>475</v>
      </c>
      <c r="F35" s="773" t="s">
        <v>474</v>
      </c>
      <c r="G35" s="773">
        <v>0.3</v>
      </c>
      <c r="H35" s="773">
        <v>0.4</v>
      </c>
      <c r="I35" s="773">
        <v>0.12</v>
      </c>
      <c r="J35" s="779" t="s">
        <v>1888</v>
      </c>
    </row>
    <row r="36" spans="1:10" customFormat="1" ht="26.1" customHeight="1" x14ac:dyDescent="0.25">
      <c r="A36" s="1452"/>
      <c r="B36" s="793" t="s">
        <v>462</v>
      </c>
      <c r="C36" s="416" t="s">
        <v>1491</v>
      </c>
      <c r="D36" s="765" t="s">
        <v>1502</v>
      </c>
      <c r="E36" s="773" t="s">
        <v>473</v>
      </c>
      <c r="F36" s="773" t="s">
        <v>472</v>
      </c>
      <c r="G36" s="773">
        <v>0.5</v>
      </c>
      <c r="H36" s="773">
        <v>0.8</v>
      </c>
      <c r="I36" s="773">
        <v>0.4</v>
      </c>
      <c r="J36" s="778" t="s">
        <v>1887</v>
      </c>
    </row>
    <row r="37" spans="1:10" customFormat="1" ht="26.1" customHeight="1" x14ac:dyDescent="0.25">
      <c r="A37" s="1452"/>
      <c r="B37" s="793" t="s">
        <v>463</v>
      </c>
      <c r="C37" s="416" t="s">
        <v>1491</v>
      </c>
      <c r="D37" s="765" t="s">
        <v>1503</v>
      </c>
      <c r="E37" s="773" t="s">
        <v>475</v>
      </c>
      <c r="F37" s="773" t="s">
        <v>1883</v>
      </c>
      <c r="G37" s="773">
        <v>0.3</v>
      </c>
      <c r="H37" s="773">
        <v>0.2</v>
      </c>
      <c r="I37" s="773">
        <v>0.06</v>
      </c>
      <c r="J37" s="780" t="s">
        <v>1889</v>
      </c>
    </row>
    <row r="38" spans="1:10" customFormat="1" ht="26.1" customHeight="1" x14ac:dyDescent="0.25">
      <c r="A38" s="1452"/>
      <c r="B38" s="791" t="s">
        <v>464</v>
      </c>
      <c r="C38" s="414" t="s">
        <v>1482</v>
      </c>
      <c r="D38" s="765" t="s">
        <v>1504</v>
      </c>
      <c r="E38" s="773" t="s">
        <v>475</v>
      </c>
      <c r="F38" s="773" t="s">
        <v>475</v>
      </c>
      <c r="G38" s="773">
        <v>0.3</v>
      </c>
      <c r="H38" s="773">
        <v>0.1</v>
      </c>
      <c r="I38" s="773">
        <v>0.03</v>
      </c>
      <c r="J38" s="780" t="s">
        <v>1889</v>
      </c>
    </row>
    <row r="39" spans="1:10" customFormat="1" ht="26.1" customHeight="1" x14ac:dyDescent="0.25">
      <c r="A39" s="1452"/>
      <c r="B39" s="791" t="s">
        <v>465</v>
      </c>
      <c r="C39" s="414" t="s">
        <v>1482</v>
      </c>
      <c r="D39" s="765" t="s">
        <v>1505</v>
      </c>
      <c r="E39" s="773" t="s">
        <v>475</v>
      </c>
      <c r="F39" s="773" t="s">
        <v>1884</v>
      </c>
      <c r="G39" s="773">
        <v>0.3</v>
      </c>
      <c r="H39" s="773">
        <v>0.1</v>
      </c>
      <c r="I39" s="773">
        <v>0.03</v>
      </c>
      <c r="J39" s="780" t="s">
        <v>1889</v>
      </c>
    </row>
    <row r="40" spans="1:10" customFormat="1" ht="26.1" customHeight="1" x14ac:dyDescent="0.25">
      <c r="A40" s="1452"/>
      <c r="B40" s="791" t="s">
        <v>466</v>
      </c>
      <c r="C40" s="414" t="s">
        <v>1482</v>
      </c>
      <c r="D40" s="765" t="s">
        <v>1506</v>
      </c>
      <c r="E40" s="773" t="s">
        <v>1881</v>
      </c>
      <c r="F40" s="773" t="s">
        <v>476</v>
      </c>
      <c r="G40" s="773">
        <v>0.3</v>
      </c>
      <c r="H40" s="773">
        <v>0.05</v>
      </c>
      <c r="I40" s="773">
        <v>0.02</v>
      </c>
      <c r="J40" s="780" t="s">
        <v>1889</v>
      </c>
    </row>
    <row r="41" spans="1:10" customFormat="1" ht="26.1" customHeight="1" x14ac:dyDescent="0.25">
      <c r="A41" s="1452"/>
      <c r="B41" s="792" t="s">
        <v>467</v>
      </c>
      <c r="C41" s="415" t="s">
        <v>1507</v>
      </c>
      <c r="D41" s="765" t="s">
        <v>1516</v>
      </c>
      <c r="E41" s="773" t="s">
        <v>475</v>
      </c>
      <c r="F41" s="773" t="s">
        <v>475</v>
      </c>
      <c r="G41" s="773">
        <v>0.3</v>
      </c>
      <c r="H41" s="773">
        <v>0.1</v>
      </c>
      <c r="I41" s="773">
        <v>0.02</v>
      </c>
      <c r="J41" s="780" t="s">
        <v>1889</v>
      </c>
    </row>
    <row r="42" spans="1:10" customFormat="1" ht="26.1" customHeight="1" x14ac:dyDescent="0.25">
      <c r="A42" s="1452"/>
      <c r="B42" s="792" t="s">
        <v>468</v>
      </c>
      <c r="C42" s="415" t="s">
        <v>1507</v>
      </c>
      <c r="D42" s="765" t="s">
        <v>1517</v>
      </c>
      <c r="E42" s="773" t="s">
        <v>475</v>
      </c>
      <c r="F42" s="773" t="s">
        <v>476</v>
      </c>
      <c r="G42" s="773">
        <v>0.3</v>
      </c>
      <c r="H42" s="773">
        <v>0.05</v>
      </c>
      <c r="I42" s="773">
        <v>0.01</v>
      </c>
      <c r="J42" s="780" t="s">
        <v>1889</v>
      </c>
    </row>
    <row r="43" spans="1:10" customFormat="1" ht="26.1" customHeight="1" x14ac:dyDescent="0.25">
      <c r="A43" s="1452"/>
      <c r="B43" s="794" t="s">
        <v>469</v>
      </c>
      <c r="C43" s="417" t="s">
        <v>1518</v>
      </c>
      <c r="D43" s="765" t="s">
        <v>1519</v>
      </c>
      <c r="E43" s="773" t="s">
        <v>475</v>
      </c>
      <c r="F43" s="773" t="s">
        <v>475</v>
      </c>
      <c r="G43" s="773">
        <v>0.3</v>
      </c>
      <c r="H43" s="773">
        <v>0.1</v>
      </c>
      <c r="I43" s="773">
        <v>0.03</v>
      </c>
      <c r="J43" s="780" t="s">
        <v>1889</v>
      </c>
    </row>
    <row r="44" spans="1:10" customFormat="1" ht="26.1" customHeight="1" x14ac:dyDescent="0.25">
      <c r="A44" s="1452"/>
      <c r="B44" s="794" t="s">
        <v>470</v>
      </c>
      <c r="C44" s="417" t="s">
        <v>1518</v>
      </c>
      <c r="D44" s="765" t="s">
        <v>1520</v>
      </c>
      <c r="E44" s="773" t="s">
        <v>475</v>
      </c>
      <c r="F44" s="773" t="s">
        <v>476</v>
      </c>
      <c r="G44" s="773">
        <v>0.3</v>
      </c>
      <c r="H44" s="773">
        <v>0.05</v>
      </c>
      <c r="I44" s="773">
        <v>0.02</v>
      </c>
      <c r="J44" s="780" t="s">
        <v>1889</v>
      </c>
    </row>
    <row r="45" spans="1:10" customFormat="1" ht="26.1" customHeight="1" x14ac:dyDescent="0.25">
      <c r="A45" s="1453"/>
      <c r="B45" s="794" t="s">
        <v>1512</v>
      </c>
      <c r="C45" s="417" t="s">
        <v>1518</v>
      </c>
      <c r="D45" s="765" t="s">
        <v>1521</v>
      </c>
      <c r="E45" s="773" t="s">
        <v>476</v>
      </c>
      <c r="F45" s="773" t="s">
        <v>473</v>
      </c>
      <c r="G45" s="773">
        <v>0.1</v>
      </c>
      <c r="H45" s="773">
        <v>0.2</v>
      </c>
      <c r="I45" s="773">
        <v>0.02</v>
      </c>
      <c r="J45" s="780" t="s">
        <v>1889</v>
      </c>
    </row>
    <row r="46" spans="1:10" customFormat="1" ht="26.1" customHeight="1" x14ac:dyDescent="0.25">
      <c r="A46" s="1448" t="s">
        <v>1522</v>
      </c>
      <c r="B46" s="789" t="s">
        <v>1513</v>
      </c>
      <c r="C46" s="412" t="s">
        <v>1473</v>
      </c>
      <c r="D46" s="765" t="s">
        <v>1523</v>
      </c>
      <c r="E46" s="773" t="s">
        <v>1880</v>
      </c>
      <c r="F46" s="773" t="s">
        <v>476</v>
      </c>
      <c r="G46" s="773">
        <v>0.1</v>
      </c>
      <c r="H46" s="773">
        <v>0.05</v>
      </c>
      <c r="I46" s="773">
        <v>0.01</v>
      </c>
      <c r="J46" s="780" t="s">
        <v>1889</v>
      </c>
    </row>
    <row r="47" spans="1:10" customFormat="1" ht="26.1" customHeight="1" x14ac:dyDescent="0.25">
      <c r="A47" s="1449"/>
      <c r="B47" s="789" t="s">
        <v>1514</v>
      </c>
      <c r="C47" s="412" t="s">
        <v>1473</v>
      </c>
      <c r="D47" s="765" t="s">
        <v>1885</v>
      </c>
      <c r="E47" s="773" t="s">
        <v>476</v>
      </c>
      <c r="F47" s="773" t="s">
        <v>475</v>
      </c>
      <c r="G47" s="773">
        <v>0.1</v>
      </c>
      <c r="H47" s="773">
        <v>0.1</v>
      </c>
      <c r="I47" s="773">
        <v>0.01</v>
      </c>
      <c r="J47" s="780" t="s">
        <v>1889</v>
      </c>
    </row>
    <row r="48" spans="1:10" customFormat="1" ht="26.1" customHeight="1" x14ac:dyDescent="0.25">
      <c r="A48" s="1449"/>
      <c r="B48" s="789" t="s">
        <v>1515</v>
      </c>
      <c r="C48" s="412" t="s">
        <v>1473</v>
      </c>
      <c r="D48" s="765" t="s">
        <v>1524</v>
      </c>
      <c r="E48" s="773" t="s">
        <v>475</v>
      </c>
      <c r="F48" s="773" t="s">
        <v>475</v>
      </c>
      <c r="G48" s="773">
        <v>0.3</v>
      </c>
      <c r="H48" s="773">
        <v>0.1</v>
      </c>
      <c r="I48" s="773">
        <v>0.03</v>
      </c>
      <c r="J48" s="780" t="s">
        <v>1889</v>
      </c>
    </row>
    <row r="49" spans="1:10" customFormat="1" ht="26.1" customHeight="1" x14ac:dyDescent="0.25">
      <c r="A49" s="1449"/>
      <c r="B49" s="790" t="s">
        <v>1531</v>
      </c>
      <c r="C49" s="413" t="s">
        <v>1478</v>
      </c>
      <c r="D49" s="765" t="s">
        <v>1525</v>
      </c>
      <c r="E49" s="773" t="s">
        <v>475</v>
      </c>
      <c r="F49" s="773" t="s">
        <v>472</v>
      </c>
      <c r="G49" s="773">
        <v>0.3</v>
      </c>
      <c r="H49" s="773">
        <v>0.8</v>
      </c>
      <c r="I49" s="773">
        <v>0.24</v>
      </c>
      <c r="J49" s="778" t="s">
        <v>1887</v>
      </c>
    </row>
    <row r="50" spans="1:10" customFormat="1" ht="26.1" customHeight="1" x14ac:dyDescent="0.25">
      <c r="A50" s="1449"/>
      <c r="B50" s="790" t="s">
        <v>1532</v>
      </c>
      <c r="C50" s="413" t="s">
        <v>1478</v>
      </c>
      <c r="D50" s="765" t="s">
        <v>1526</v>
      </c>
      <c r="E50" s="773" t="s">
        <v>475</v>
      </c>
      <c r="F50" s="773" t="s">
        <v>475</v>
      </c>
      <c r="G50" s="773">
        <v>0.3</v>
      </c>
      <c r="H50" s="773">
        <v>0.1</v>
      </c>
      <c r="I50" s="773">
        <v>0.03</v>
      </c>
      <c r="J50" s="780" t="s">
        <v>1889</v>
      </c>
    </row>
    <row r="51" spans="1:10" customFormat="1" ht="26.1" customHeight="1" x14ac:dyDescent="0.25">
      <c r="A51" s="1449"/>
      <c r="B51" s="790" t="s">
        <v>1533</v>
      </c>
      <c r="C51" s="413" t="s">
        <v>1478</v>
      </c>
      <c r="D51" s="765" t="s">
        <v>1527</v>
      </c>
      <c r="E51" s="773" t="s">
        <v>475</v>
      </c>
      <c r="F51" s="773" t="s">
        <v>472</v>
      </c>
      <c r="G51" s="773">
        <v>0.3</v>
      </c>
      <c r="H51" s="773">
        <v>0.8</v>
      </c>
      <c r="I51" s="773">
        <v>0.24</v>
      </c>
      <c r="J51" s="778" t="s">
        <v>1887</v>
      </c>
    </row>
    <row r="52" spans="1:10" customFormat="1" ht="26.1" customHeight="1" x14ac:dyDescent="0.25">
      <c r="A52" s="1449"/>
      <c r="B52" s="794" t="s">
        <v>1534</v>
      </c>
      <c r="C52" s="417" t="s">
        <v>1518</v>
      </c>
      <c r="D52" s="765" t="s">
        <v>1528</v>
      </c>
      <c r="E52" s="773" t="s">
        <v>475</v>
      </c>
      <c r="F52" s="773" t="s">
        <v>475</v>
      </c>
      <c r="G52" s="773">
        <v>0.3</v>
      </c>
      <c r="H52" s="773">
        <v>0.1</v>
      </c>
      <c r="I52" s="773">
        <v>0.03</v>
      </c>
      <c r="J52" s="780" t="s">
        <v>1889</v>
      </c>
    </row>
    <row r="53" spans="1:10" customFormat="1" ht="26.1" customHeight="1" x14ac:dyDescent="0.25">
      <c r="A53" s="1450"/>
      <c r="B53" s="794" t="s">
        <v>1535</v>
      </c>
      <c r="C53" s="417" t="s">
        <v>1518</v>
      </c>
      <c r="D53" s="765" t="s">
        <v>1529</v>
      </c>
      <c r="E53" s="773" t="s">
        <v>475</v>
      </c>
      <c r="F53" s="773" t="s">
        <v>476</v>
      </c>
      <c r="G53" s="773">
        <v>0.3</v>
      </c>
      <c r="H53" s="773">
        <v>0.05</v>
      </c>
      <c r="I53" s="773">
        <v>0.02</v>
      </c>
      <c r="J53" s="780" t="s">
        <v>1889</v>
      </c>
    </row>
    <row r="54" spans="1:10" customFormat="1" ht="26.1" customHeight="1" x14ac:dyDescent="0.25">
      <c r="A54" s="1445" t="s">
        <v>1530</v>
      </c>
      <c r="B54" s="788" t="s">
        <v>1536</v>
      </c>
      <c r="C54" s="411" t="s">
        <v>1468</v>
      </c>
      <c r="D54" s="765" t="s">
        <v>1543</v>
      </c>
      <c r="E54" s="773" t="s">
        <v>475</v>
      </c>
      <c r="F54" s="773" t="s">
        <v>472</v>
      </c>
      <c r="G54" s="773">
        <v>0.3</v>
      </c>
      <c r="H54" s="773">
        <v>0.8</v>
      </c>
      <c r="I54" s="773">
        <v>0.24</v>
      </c>
      <c r="J54" s="778" t="s">
        <v>1887</v>
      </c>
    </row>
    <row r="55" spans="1:10" customFormat="1" ht="26.1" customHeight="1" x14ac:dyDescent="0.25">
      <c r="A55" s="1446"/>
      <c r="B55" s="788" t="s">
        <v>1537</v>
      </c>
      <c r="C55" s="411" t="s">
        <v>1468</v>
      </c>
      <c r="D55" s="765" t="s">
        <v>1544</v>
      </c>
      <c r="E55" s="773" t="s">
        <v>475</v>
      </c>
      <c r="F55" s="773" t="s">
        <v>475</v>
      </c>
      <c r="G55" s="773">
        <v>0.3</v>
      </c>
      <c r="H55" s="773">
        <v>0.1</v>
      </c>
      <c r="I55" s="773">
        <v>0.03</v>
      </c>
      <c r="J55" s="780" t="s">
        <v>1889</v>
      </c>
    </row>
    <row r="56" spans="1:10" customFormat="1" ht="26.1" customHeight="1" x14ac:dyDescent="0.25">
      <c r="A56" s="1446"/>
      <c r="B56" s="788" t="s">
        <v>1538</v>
      </c>
      <c r="C56" s="411" t="s">
        <v>1468</v>
      </c>
      <c r="D56" s="765" t="s">
        <v>1545</v>
      </c>
      <c r="E56" s="773" t="s">
        <v>473</v>
      </c>
      <c r="F56" s="773" t="s">
        <v>475</v>
      </c>
      <c r="G56" s="773">
        <v>0.5</v>
      </c>
      <c r="H56" s="773">
        <v>0.1</v>
      </c>
      <c r="I56" s="773">
        <v>0.05</v>
      </c>
      <c r="J56" s="780" t="s">
        <v>1889</v>
      </c>
    </row>
    <row r="57" spans="1:10" customFormat="1" ht="26.1" customHeight="1" x14ac:dyDescent="0.25">
      <c r="A57" s="1446"/>
      <c r="B57" s="788" t="s">
        <v>1539</v>
      </c>
      <c r="C57" s="411" t="s">
        <v>1468</v>
      </c>
      <c r="D57" s="765" t="s">
        <v>1546</v>
      </c>
      <c r="E57" s="773" t="s">
        <v>473</v>
      </c>
      <c r="F57" s="773" t="s">
        <v>474</v>
      </c>
      <c r="G57" s="773">
        <v>0.5</v>
      </c>
      <c r="H57" s="773">
        <v>0.4</v>
      </c>
      <c r="I57" s="773">
        <v>0.2</v>
      </c>
      <c r="J57" s="779" t="s">
        <v>1888</v>
      </c>
    </row>
    <row r="58" spans="1:10" customFormat="1" ht="26.1" customHeight="1" x14ac:dyDescent="0.25">
      <c r="A58" s="1446"/>
      <c r="B58" s="792" t="s">
        <v>1540</v>
      </c>
      <c r="C58" s="415" t="s">
        <v>1507</v>
      </c>
      <c r="D58" s="765" t="s">
        <v>1547</v>
      </c>
      <c r="E58" s="773" t="s">
        <v>475</v>
      </c>
      <c r="F58" s="773" t="s">
        <v>1886</v>
      </c>
      <c r="G58" s="773">
        <v>0.3</v>
      </c>
      <c r="H58" s="773">
        <v>0.05</v>
      </c>
      <c r="I58" s="773">
        <v>0.02</v>
      </c>
      <c r="J58" s="780" t="s">
        <v>1889</v>
      </c>
    </row>
    <row r="59" spans="1:10" customFormat="1" ht="26.1" customHeight="1" x14ac:dyDescent="0.25">
      <c r="A59" s="1446"/>
      <c r="B59" s="792" t="s">
        <v>1541</v>
      </c>
      <c r="C59" s="415" t="s">
        <v>1507</v>
      </c>
      <c r="D59" s="765" t="s">
        <v>1548</v>
      </c>
      <c r="E59" s="773" t="s">
        <v>475</v>
      </c>
      <c r="F59" s="773" t="s">
        <v>475</v>
      </c>
      <c r="G59" s="773">
        <v>0.3</v>
      </c>
      <c r="H59" s="773">
        <v>0.1</v>
      </c>
      <c r="I59" s="773">
        <v>0.03</v>
      </c>
      <c r="J59" s="780" t="s">
        <v>1889</v>
      </c>
    </row>
    <row r="60" spans="1:10" customFormat="1" ht="26.1" customHeight="1" x14ac:dyDescent="0.25">
      <c r="A60" s="1447"/>
      <c r="B60" s="795" t="s">
        <v>1542</v>
      </c>
      <c r="C60" s="784" t="s">
        <v>1507</v>
      </c>
      <c r="D60" s="785" t="s">
        <v>1550</v>
      </c>
      <c r="E60" s="786" t="s">
        <v>475</v>
      </c>
      <c r="F60" s="786" t="s">
        <v>473</v>
      </c>
      <c r="G60" s="786">
        <v>0.3</v>
      </c>
      <c r="H60" s="786">
        <v>0.2</v>
      </c>
      <c r="I60" s="786">
        <v>0.06</v>
      </c>
      <c r="J60" s="787" t="s">
        <v>1889</v>
      </c>
    </row>
    <row r="61" spans="1:10" x14ac:dyDescent="0.25">
      <c r="A61" s="751"/>
      <c r="B61" s="752"/>
      <c r="C61" s="752"/>
      <c r="D61" s="752"/>
      <c r="E61" s="752"/>
      <c r="F61" s="752"/>
      <c r="G61" s="752"/>
      <c r="H61" s="752"/>
      <c r="I61" s="752"/>
      <c r="J61" s="753"/>
    </row>
    <row r="62" spans="1:10" x14ac:dyDescent="0.25">
      <c r="A62" s="4"/>
      <c r="B62" s="750"/>
      <c r="C62" s="1073" t="s">
        <v>496</v>
      </c>
      <c r="D62" s="1073"/>
      <c r="E62" s="750"/>
      <c r="F62" s="1073" t="s">
        <v>168</v>
      </c>
      <c r="G62" s="1073"/>
      <c r="H62" s="1073"/>
      <c r="I62" s="1073"/>
      <c r="J62" s="754"/>
    </row>
    <row r="63" spans="1:10" x14ac:dyDescent="0.25">
      <c r="A63" s="4"/>
      <c r="B63" s="750"/>
      <c r="C63" s="1073" t="s">
        <v>184</v>
      </c>
      <c r="D63" s="1073"/>
      <c r="E63" s="750"/>
      <c r="F63" s="1073" t="s">
        <v>177</v>
      </c>
      <c r="G63" s="1073"/>
      <c r="H63" s="1073"/>
      <c r="I63" s="1073"/>
      <c r="J63" s="754"/>
    </row>
    <row r="64" spans="1:10" x14ac:dyDescent="0.25">
      <c r="A64" s="4"/>
      <c r="B64" s="750"/>
      <c r="C64" s="1073" t="s">
        <v>187</v>
      </c>
      <c r="D64" s="1073"/>
      <c r="E64" s="750"/>
      <c r="F64" s="1073" t="s">
        <v>188</v>
      </c>
      <c r="G64" s="1073"/>
      <c r="H64" s="1073"/>
      <c r="I64" s="1073"/>
      <c r="J64" s="754"/>
    </row>
    <row r="65" spans="1:10" ht="16.5" thickBot="1" x14ac:dyDescent="0.3">
      <c r="A65" s="39"/>
      <c r="B65" s="40"/>
      <c r="C65" s="40"/>
      <c r="D65" s="40"/>
      <c r="E65" s="40"/>
      <c r="F65" s="40"/>
      <c r="G65" s="40"/>
      <c r="H65" s="40"/>
      <c r="I65" s="40"/>
      <c r="J65" s="41"/>
    </row>
  </sheetData>
  <mergeCells count="10">
    <mergeCell ref="F62:I62"/>
    <mergeCell ref="F63:I63"/>
    <mergeCell ref="F64:I64"/>
    <mergeCell ref="C62:D62"/>
    <mergeCell ref="A23:A45"/>
    <mergeCell ref="A3:A22"/>
    <mergeCell ref="C63:D63"/>
    <mergeCell ref="C64:D64"/>
    <mergeCell ref="A54:A60"/>
    <mergeCell ref="A46:A53"/>
  </mergeCells>
  <pageMargins left="1" right="1" top="1" bottom="1" header="0.5" footer="0.5"/>
  <pageSetup orientation="portrait"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dimension ref="A1:J39"/>
  <sheetViews>
    <sheetView topLeftCell="A10" zoomScale="90" zoomScaleNormal="90" workbookViewId="0">
      <selection activeCell="A33" sqref="A33:G57"/>
    </sheetView>
  </sheetViews>
  <sheetFormatPr baseColWidth="10" defaultRowHeight="15.75" x14ac:dyDescent="0.25"/>
  <cols>
    <col min="1" max="1" width="19.5703125" style="2" customWidth="1"/>
    <col min="2" max="2" width="25.5703125" style="2" customWidth="1"/>
    <col min="3" max="3" width="12.5703125" style="2" customWidth="1"/>
    <col min="4" max="4" width="23.85546875" style="2" customWidth="1"/>
    <col min="5" max="5" width="13.7109375" style="2" customWidth="1"/>
    <col min="6" max="6" width="7.140625" style="2" customWidth="1"/>
    <col min="7" max="7" width="15.42578125" style="2" customWidth="1"/>
    <col min="8" max="16384" width="11.42578125" style="2"/>
  </cols>
  <sheetData>
    <row r="1" spans="1:10" ht="71.25" customHeight="1" x14ac:dyDescent="0.25">
      <c r="A1" s="1457"/>
      <c r="B1" s="1458"/>
      <c r="C1" s="1458"/>
      <c r="D1" s="1459"/>
      <c r="E1" s="1454"/>
      <c r="F1" s="1455"/>
      <c r="G1" s="1456"/>
    </row>
    <row r="2" spans="1:10" ht="7.5" customHeight="1" x14ac:dyDescent="0.25">
      <c r="A2" s="1466"/>
      <c r="B2" s="1467"/>
      <c r="C2" s="1467"/>
      <c r="D2" s="1467"/>
      <c r="E2" s="1467"/>
      <c r="F2" s="1467"/>
      <c r="G2" s="1468"/>
    </row>
    <row r="3" spans="1:10" ht="30.75" customHeight="1" x14ac:dyDescent="0.25">
      <c r="A3" s="1469" t="s">
        <v>477</v>
      </c>
      <c r="B3" s="1470"/>
      <c r="C3" s="1470"/>
      <c r="D3" s="1470"/>
      <c r="E3" s="1470"/>
      <c r="F3" s="1470"/>
      <c r="G3" s="1471"/>
    </row>
    <row r="4" spans="1:10" ht="6.75" customHeight="1" x14ac:dyDescent="0.25">
      <c r="A4" s="1466"/>
      <c r="B4" s="1467"/>
      <c r="C4" s="1467"/>
      <c r="D4" s="1467"/>
      <c r="E4" s="1467"/>
      <c r="F4" s="1467"/>
      <c r="G4" s="1468"/>
    </row>
    <row r="5" spans="1:10" x14ac:dyDescent="0.25">
      <c r="A5" s="1460" t="s">
        <v>478</v>
      </c>
      <c r="B5" s="1461"/>
      <c r="C5" s="1461"/>
      <c r="D5" s="1461"/>
      <c r="E5" s="1461"/>
      <c r="F5" s="1461"/>
      <c r="G5" s="1462"/>
    </row>
    <row r="6" spans="1:10" ht="6.75" customHeight="1" x14ac:dyDescent="0.25">
      <c r="A6" s="1466"/>
      <c r="B6" s="1467"/>
      <c r="C6" s="1467"/>
      <c r="D6" s="1467"/>
      <c r="E6" s="1467"/>
      <c r="F6" s="1467"/>
      <c r="G6" s="1468"/>
    </row>
    <row r="7" spans="1:10" x14ac:dyDescent="0.25">
      <c r="A7" s="1460" t="s">
        <v>9</v>
      </c>
      <c r="B7" s="1461"/>
      <c r="C7" s="1461"/>
      <c r="D7" s="1461"/>
      <c r="E7" s="1461"/>
      <c r="F7" s="1461"/>
      <c r="G7" s="1462"/>
    </row>
    <row r="8" spans="1:10" x14ac:dyDescent="0.25">
      <c r="A8" s="1463" t="s">
        <v>135</v>
      </c>
      <c r="B8" s="1464"/>
      <c r="C8" s="1464" t="s">
        <v>10</v>
      </c>
      <c r="D8" s="1464"/>
      <c r="E8" s="1464" t="s">
        <v>136</v>
      </c>
      <c r="F8" s="1464"/>
      <c r="G8" s="1465"/>
    </row>
    <row r="9" spans="1:10" x14ac:dyDescent="0.25">
      <c r="A9" s="1466" t="s">
        <v>496</v>
      </c>
      <c r="B9" s="1467"/>
      <c r="C9" s="1467" t="s">
        <v>13</v>
      </c>
      <c r="D9" s="1467"/>
      <c r="E9" s="1472"/>
      <c r="F9" s="1472"/>
      <c r="G9" s="1473"/>
    </row>
    <row r="10" spans="1:10" x14ac:dyDescent="0.25">
      <c r="A10" s="1460" t="s">
        <v>137</v>
      </c>
      <c r="B10" s="1461"/>
      <c r="C10" s="1461"/>
      <c r="D10" s="1461"/>
      <c r="E10" s="1461"/>
      <c r="F10" s="1461"/>
      <c r="G10" s="1462"/>
      <c r="H10" s="4"/>
      <c r="I10" s="4"/>
      <c r="J10" s="4"/>
    </row>
    <row r="11" spans="1:10" ht="15.75" customHeight="1" x14ac:dyDescent="0.25">
      <c r="A11" s="1211" t="s">
        <v>18</v>
      </c>
      <c r="B11" s="1212"/>
      <c r="C11" s="1474" t="s">
        <v>25</v>
      </c>
      <c r="D11" s="1475"/>
      <c r="E11" s="1479"/>
      <c r="F11" s="1479"/>
      <c r="G11" s="1480"/>
      <c r="H11" s="5"/>
      <c r="I11" s="4"/>
      <c r="J11" s="4"/>
    </row>
    <row r="12" spans="1:10" x14ac:dyDescent="0.25">
      <c r="A12" s="1211" t="s">
        <v>20</v>
      </c>
      <c r="B12" s="1212"/>
      <c r="C12" s="1474" t="s">
        <v>27</v>
      </c>
      <c r="D12" s="1475"/>
      <c r="E12" s="1481"/>
      <c r="F12" s="1481"/>
      <c r="G12" s="1482"/>
      <c r="H12" s="5"/>
      <c r="I12" s="4"/>
      <c r="J12" s="4"/>
    </row>
    <row r="13" spans="1:10" x14ac:dyDescent="0.25">
      <c r="A13" s="1211" t="s">
        <v>21</v>
      </c>
      <c r="B13" s="1212"/>
      <c r="C13" s="1474" t="s">
        <v>28</v>
      </c>
      <c r="D13" s="1475"/>
      <c r="E13" s="1481"/>
      <c r="F13" s="1481"/>
      <c r="G13" s="1482"/>
      <c r="H13" s="5"/>
      <c r="I13" s="4"/>
      <c r="J13" s="4"/>
    </row>
    <row r="14" spans="1:10" customFormat="1" ht="15" customHeight="1" x14ac:dyDescent="0.25">
      <c r="A14" s="1476" t="s">
        <v>1892</v>
      </c>
      <c r="B14" s="1477"/>
      <c r="C14" s="1477"/>
      <c r="D14" s="1478"/>
      <c r="E14" s="1481"/>
      <c r="F14" s="1481"/>
      <c r="G14" s="1482"/>
    </row>
    <row r="15" spans="1:10" customFormat="1" ht="15" customHeight="1" x14ac:dyDescent="0.25">
      <c r="A15" s="1491"/>
      <c r="B15" s="1485"/>
      <c r="C15" s="1485"/>
      <c r="D15" s="1485"/>
      <c r="E15" s="1481"/>
      <c r="F15" s="1481"/>
      <c r="G15" s="1482"/>
    </row>
    <row r="16" spans="1:10" customFormat="1" ht="18" customHeight="1" x14ac:dyDescent="0.25">
      <c r="A16" s="1491"/>
      <c r="B16" s="26" t="s">
        <v>479</v>
      </c>
      <c r="C16" s="1210"/>
      <c r="D16" s="1210"/>
      <c r="E16" s="1481"/>
      <c r="F16" s="1481"/>
      <c r="G16" s="1482"/>
    </row>
    <row r="17" spans="1:7" customFormat="1" ht="18" customHeight="1" x14ac:dyDescent="0.25">
      <c r="A17" s="1491"/>
      <c r="B17" s="26" t="s">
        <v>480</v>
      </c>
      <c r="C17" s="1210"/>
      <c r="D17" s="1210"/>
      <c r="E17" s="1481"/>
      <c r="F17" s="1481"/>
      <c r="G17" s="1482"/>
    </row>
    <row r="18" spans="1:7" customFormat="1" ht="18" customHeight="1" x14ac:dyDescent="0.25">
      <c r="A18" s="1491"/>
      <c r="B18" s="26" t="s">
        <v>481</v>
      </c>
      <c r="C18" s="1210"/>
      <c r="D18" s="1210"/>
      <c r="E18" s="1481"/>
      <c r="F18" s="1481"/>
      <c r="G18" s="1482"/>
    </row>
    <row r="19" spans="1:7" customFormat="1" ht="18" customHeight="1" x14ac:dyDescent="0.25">
      <c r="A19" s="1491"/>
      <c r="B19" s="26" t="s">
        <v>482</v>
      </c>
      <c r="C19" s="1492" t="s">
        <v>164</v>
      </c>
      <c r="D19" s="1493"/>
      <c r="E19" s="1481"/>
      <c r="F19" s="1481"/>
      <c r="G19" s="1482"/>
    </row>
    <row r="20" spans="1:7" customFormat="1" ht="18" customHeight="1" x14ac:dyDescent="0.25">
      <c r="A20" s="1491"/>
      <c r="B20" s="26" t="s">
        <v>1891</v>
      </c>
      <c r="C20" s="1210"/>
      <c r="D20" s="1210"/>
      <c r="E20" s="1481"/>
      <c r="F20" s="1481"/>
      <c r="G20" s="1482"/>
    </row>
    <row r="21" spans="1:7" customFormat="1" ht="18" customHeight="1" x14ac:dyDescent="0.25">
      <c r="A21" s="1491"/>
      <c r="B21" s="1485"/>
      <c r="C21" s="1485"/>
      <c r="D21" s="1485"/>
      <c r="E21" s="1483"/>
      <c r="F21" s="1483"/>
      <c r="G21" s="1484"/>
    </row>
    <row r="22" spans="1:7" customFormat="1" x14ac:dyDescent="0.25">
      <c r="A22" s="1460" t="s">
        <v>1893</v>
      </c>
      <c r="B22" s="1461"/>
      <c r="C22" s="1461"/>
      <c r="D22" s="1461"/>
      <c r="E22" s="1461"/>
      <c r="F22" s="1461"/>
      <c r="G22" s="1462"/>
    </row>
    <row r="23" spans="1:7" customFormat="1" ht="46.5" customHeight="1" x14ac:dyDescent="0.25">
      <c r="A23" s="1486" t="s">
        <v>1899</v>
      </c>
      <c r="B23" s="1210"/>
      <c r="C23" s="1210"/>
      <c r="D23" s="1210"/>
      <c r="E23" s="1210"/>
      <c r="F23" s="1210"/>
      <c r="G23" s="1487"/>
    </row>
    <row r="24" spans="1:7" customFormat="1" x14ac:dyDescent="0.25">
      <c r="A24" s="1460" t="s">
        <v>1894</v>
      </c>
      <c r="B24" s="1461"/>
      <c r="C24" s="1461"/>
      <c r="D24" s="1461"/>
      <c r="E24" s="1461"/>
      <c r="F24" s="1461"/>
      <c r="G24" s="1462"/>
    </row>
    <row r="25" spans="1:7" customFormat="1" ht="45.75" customHeight="1" x14ac:dyDescent="0.25">
      <c r="A25" s="1488" t="s">
        <v>1900</v>
      </c>
      <c r="B25" s="1489"/>
      <c r="C25" s="1489"/>
      <c r="D25" s="1489"/>
      <c r="E25" s="1489"/>
      <c r="F25" s="1489"/>
      <c r="G25" s="1490"/>
    </row>
    <row r="26" spans="1:7" customFormat="1" x14ac:dyDescent="0.25">
      <c r="A26" s="1460" t="s">
        <v>1895</v>
      </c>
      <c r="B26" s="1461"/>
      <c r="C26" s="1461"/>
      <c r="D26" s="1461"/>
      <c r="E26" s="1461"/>
      <c r="F26" s="1461"/>
      <c r="G26" s="1462"/>
    </row>
    <row r="27" spans="1:7" customFormat="1" ht="30" customHeight="1" x14ac:dyDescent="0.25">
      <c r="A27" s="1486"/>
      <c r="B27" s="1210"/>
      <c r="C27" s="1210"/>
      <c r="D27" s="1210"/>
      <c r="E27" s="1210"/>
      <c r="F27" s="1210"/>
      <c r="G27" s="1487"/>
    </row>
    <row r="28" spans="1:7" customFormat="1" x14ac:dyDescent="0.25">
      <c r="A28" s="1460" t="s">
        <v>1896</v>
      </c>
      <c r="B28" s="1461"/>
      <c r="C28" s="1461"/>
      <c r="D28" s="1461"/>
      <c r="E28" s="1461"/>
      <c r="F28" s="1461"/>
      <c r="G28" s="1462"/>
    </row>
    <row r="29" spans="1:7" customFormat="1" ht="30.75" customHeight="1" x14ac:dyDescent="0.25">
      <c r="A29" s="1486" t="s">
        <v>1901</v>
      </c>
      <c r="B29" s="1210"/>
      <c r="C29" s="1210"/>
      <c r="D29" s="1210"/>
      <c r="E29" s="1210"/>
      <c r="F29" s="1210"/>
      <c r="G29" s="1487"/>
    </row>
    <row r="30" spans="1:7" customFormat="1" x14ac:dyDescent="0.25">
      <c r="A30" s="1460" t="s">
        <v>1897</v>
      </c>
      <c r="B30" s="1461"/>
      <c r="C30" s="1461"/>
      <c r="D30" s="1461"/>
      <c r="E30" s="1461"/>
      <c r="F30" s="1461"/>
      <c r="G30" s="1462"/>
    </row>
    <row r="31" spans="1:7" customFormat="1" ht="15" x14ac:dyDescent="0.25">
      <c r="A31" s="1494" t="s">
        <v>288</v>
      </c>
      <c r="B31" s="1495"/>
      <c r="C31" s="1496"/>
      <c r="D31" s="1496"/>
      <c r="E31" s="1496"/>
      <c r="F31" s="1496"/>
      <c r="G31" s="1497"/>
    </row>
    <row r="32" spans="1:7" customFormat="1" ht="15" x14ac:dyDescent="0.25">
      <c r="A32" s="796" t="s">
        <v>289</v>
      </c>
      <c r="B32" s="26"/>
      <c r="C32" s="797" t="s">
        <v>290</v>
      </c>
      <c r="D32" s="26"/>
      <c r="E32" s="797" t="s">
        <v>291</v>
      </c>
      <c r="F32" s="1496"/>
      <c r="G32" s="1497"/>
    </row>
    <row r="33" spans="1:7" customFormat="1" x14ac:dyDescent="0.25">
      <c r="A33" s="796" t="s">
        <v>292</v>
      </c>
      <c r="B33" s="26"/>
      <c r="C33" s="1464"/>
      <c r="D33" s="1464"/>
      <c r="E33" s="1464"/>
      <c r="F33" s="1464"/>
      <c r="G33" s="1465"/>
    </row>
    <row r="34" spans="1:7" customFormat="1" ht="15" x14ac:dyDescent="0.25">
      <c r="A34" s="1498" t="s">
        <v>1573</v>
      </c>
      <c r="B34" s="1496"/>
      <c r="C34" s="1496"/>
      <c r="D34" s="1496"/>
      <c r="E34" s="1496"/>
      <c r="F34" s="1496"/>
      <c r="G34" s="1497"/>
    </row>
    <row r="35" spans="1:7" customFormat="1" ht="23.25" customHeight="1" x14ac:dyDescent="0.25">
      <c r="A35" s="1486"/>
      <c r="B35" s="1210"/>
      <c r="C35" s="1210"/>
      <c r="D35" s="1210"/>
      <c r="E35" s="1210"/>
      <c r="F35" s="1210"/>
      <c r="G35" s="1487"/>
    </row>
    <row r="36" spans="1:7" x14ac:dyDescent="0.25">
      <c r="A36" s="1503" t="s">
        <v>1898</v>
      </c>
      <c r="B36" s="1504"/>
      <c r="C36" s="1504"/>
      <c r="D36" s="1504"/>
      <c r="E36" s="1504"/>
      <c r="F36" s="1504"/>
      <c r="G36" s="1505"/>
    </row>
    <row r="37" spans="1:7" x14ac:dyDescent="0.25">
      <c r="A37" s="1506" t="s">
        <v>496</v>
      </c>
      <c r="B37" s="1507"/>
      <c r="C37" s="1507"/>
      <c r="D37" s="1508" t="s">
        <v>168</v>
      </c>
      <c r="E37" s="1508"/>
      <c r="F37" s="1508"/>
      <c r="G37" s="1509"/>
    </row>
    <row r="38" spans="1:7" x14ac:dyDescent="0.25">
      <c r="A38" s="1506" t="s">
        <v>184</v>
      </c>
      <c r="B38" s="1507"/>
      <c r="C38" s="1507"/>
      <c r="D38" s="1508" t="s">
        <v>177</v>
      </c>
      <c r="E38" s="1508"/>
      <c r="F38" s="1508"/>
      <c r="G38" s="1509"/>
    </row>
    <row r="39" spans="1:7" ht="16.5" thickBot="1" x14ac:dyDescent="0.3">
      <c r="A39" s="1499" t="s">
        <v>187</v>
      </c>
      <c r="B39" s="1500"/>
      <c r="C39" s="1500"/>
      <c r="D39" s="1501" t="s">
        <v>188</v>
      </c>
      <c r="E39" s="1501"/>
      <c r="F39" s="1501"/>
      <c r="G39" s="1502"/>
    </row>
  </sheetData>
  <mergeCells count="53">
    <mergeCell ref="A39:C39"/>
    <mergeCell ref="D39:G39"/>
    <mergeCell ref="A35:G35"/>
    <mergeCell ref="A36:G36"/>
    <mergeCell ref="A37:C37"/>
    <mergeCell ref="D37:G37"/>
    <mergeCell ref="A38:C38"/>
    <mergeCell ref="D38:G38"/>
    <mergeCell ref="C33:G33"/>
    <mergeCell ref="A27:G27"/>
    <mergeCell ref="A28:G28"/>
    <mergeCell ref="A29:G29"/>
    <mergeCell ref="A34:G34"/>
    <mergeCell ref="A26:G26"/>
    <mergeCell ref="A30:G30"/>
    <mergeCell ref="A31:B31"/>
    <mergeCell ref="C31:G31"/>
    <mergeCell ref="F32:G32"/>
    <mergeCell ref="A22:G22"/>
    <mergeCell ref="A23:G23"/>
    <mergeCell ref="A24:G24"/>
    <mergeCell ref="A25:G25"/>
    <mergeCell ref="A15:A21"/>
    <mergeCell ref="B15:D15"/>
    <mergeCell ref="C16:D16"/>
    <mergeCell ref="C17:D17"/>
    <mergeCell ref="C18:D18"/>
    <mergeCell ref="C19:D19"/>
    <mergeCell ref="C13:D13"/>
    <mergeCell ref="A14:D14"/>
    <mergeCell ref="E11:G21"/>
    <mergeCell ref="A12:B12"/>
    <mergeCell ref="A13:B13"/>
    <mergeCell ref="C20:D20"/>
    <mergeCell ref="B21:D21"/>
    <mergeCell ref="A9:B9"/>
    <mergeCell ref="C9:D9"/>
    <mergeCell ref="E9:G9"/>
    <mergeCell ref="C12:D12"/>
    <mergeCell ref="A10:G10"/>
    <mergeCell ref="A11:B11"/>
    <mergeCell ref="C11:D11"/>
    <mergeCell ref="E1:G1"/>
    <mergeCell ref="A1:D1"/>
    <mergeCell ref="A7:G7"/>
    <mergeCell ref="A8:B8"/>
    <mergeCell ref="C8:D8"/>
    <mergeCell ref="E8:G8"/>
    <mergeCell ref="A5:G5"/>
    <mergeCell ref="A6:G6"/>
    <mergeCell ref="A2:G2"/>
    <mergeCell ref="A3:G3"/>
    <mergeCell ref="A4:G4"/>
  </mergeCells>
  <pageMargins left="1" right="1" top="1" bottom="1" header="0.5" footer="0.5"/>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O57"/>
  <sheetViews>
    <sheetView showGridLines="0" workbookViewId="0">
      <selection sqref="A1:G57"/>
    </sheetView>
  </sheetViews>
  <sheetFormatPr baseColWidth="10" defaultRowHeight="15.75" x14ac:dyDescent="0.25"/>
  <cols>
    <col min="1" max="1" width="14.5703125" style="2" customWidth="1"/>
    <col min="2" max="2" width="25.5703125" style="2" customWidth="1"/>
    <col min="3" max="3" width="12.5703125" style="2" customWidth="1"/>
    <col min="4" max="4" width="23.85546875" style="2" customWidth="1"/>
    <col min="5" max="5" width="13.7109375" style="2" customWidth="1"/>
    <col min="6" max="16384" width="11.42578125" style="2"/>
  </cols>
  <sheetData>
    <row r="1" spans="1:10" ht="71.25" customHeight="1" x14ac:dyDescent="0.25">
      <c r="A1" s="1060"/>
      <c r="B1" s="1061"/>
      <c r="C1" s="1068"/>
      <c r="D1" s="1038"/>
      <c r="E1" s="1038"/>
      <c r="F1" s="1038"/>
      <c r="G1" s="1039"/>
    </row>
    <row r="2" spans="1:10" ht="30.75" customHeight="1" thickBot="1" x14ac:dyDescent="0.3">
      <c r="A2" s="1062" t="s">
        <v>138</v>
      </c>
      <c r="B2" s="1063"/>
      <c r="C2" s="1063"/>
      <c r="D2" s="1063"/>
      <c r="E2" s="1063"/>
      <c r="F2" s="1063"/>
      <c r="G2" s="1064"/>
    </row>
    <row r="3" spans="1:10" ht="16.5" thickBot="1" x14ac:dyDescent="0.3">
      <c r="A3" s="1029" t="s">
        <v>127</v>
      </c>
      <c r="B3" s="1030"/>
      <c r="C3" s="1030"/>
      <c r="D3" s="1030"/>
      <c r="E3" s="1030"/>
      <c r="F3" s="1030"/>
      <c r="G3" s="1031"/>
    </row>
    <row r="4" spans="1:10" ht="16.5" thickBot="1" x14ac:dyDescent="0.3">
      <c r="A4" s="1029" t="s">
        <v>128</v>
      </c>
      <c r="B4" s="1030"/>
      <c r="C4" s="1030"/>
      <c r="D4" s="1030"/>
      <c r="E4" s="1030"/>
      <c r="F4" s="1030"/>
      <c r="G4" s="1031"/>
    </row>
    <row r="5" spans="1:10" x14ac:dyDescent="0.25">
      <c r="A5" s="1058" t="s">
        <v>2</v>
      </c>
      <c r="B5" s="1059"/>
      <c r="C5" s="1055" t="s">
        <v>13</v>
      </c>
      <c r="D5" s="1055"/>
      <c r="E5" s="1055"/>
      <c r="F5" s="1055"/>
      <c r="G5" s="1056"/>
    </row>
    <row r="6" spans="1:10" x14ac:dyDescent="0.25">
      <c r="A6" s="1058" t="s">
        <v>229</v>
      </c>
      <c r="B6" s="1059"/>
      <c r="C6" s="1065" t="s">
        <v>280</v>
      </c>
      <c r="D6" s="1066"/>
      <c r="E6" s="1066"/>
      <c r="F6" s="1066"/>
      <c r="G6" s="1067"/>
    </row>
    <row r="7" spans="1:10" ht="16.5" thickBot="1" x14ac:dyDescent="0.3">
      <c r="A7" s="821" t="s">
        <v>8</v>
      </c>
      <c r="B7" s="1027" t="s">
        <v>496</v>
      </c>
      <c r="C7" s="1027"/>
      <c r="D7" s="1027"/>
      <c r="E7" s="1027"/>
      <c r="F7" s="1027"/>
      <c r="G7" s="1057"/>
    </row>
    <row r="8" spans="1:10" ht="16.5" thickBot="1" x14ac:dyDescent="0.3">
      <c r="A8" s="1029" t="s">
        <v>9</v>
      </c>
      <c r="B8" s="1030"/>
      <c r="C8" s="1030"/>
      <c r="D8" s="1030"/>
      <c r="E8" s="1030"/>
      <c r="F8" s="1030"/>
      <c r="G8" s="1031"/>
    </row>
    <row r="9" spans="1:10" x14ac:dyDescent="0.25">
      <c r="A9" s="1054" t="s">
        <v>135</v>
      </c>
      <c r="B9" s="1055"/>
      <c r="C9" s="1055" t="s">
        <v>10</v>
      </c>
      <c r="D9" s="1055"/>
      <c r="E9" s="1055" t="s">
        <v>136</v>
      </c>
      <c r="F9" s="1055"/>
      <c r="G9" s="1056"/>
    </row>
    <row r="10" spans="1:10" ht="16.5" thickBot="1" x14ac:dyDescent="0.3">
      <c r="A10" s="1051" t="s">
        <v>496</v>
      </c>
      <c r="B10" s="1027"/>
      <c r="C10" s="1027" t="s">
        <v>13</v>
      </c>
      <c r="D10" s="1027"/>
      <c r="E10" s="1052">
        <v>43609</v>
      </c>
      <c r="F10" s="1052"/>
      <c r="G10" s="1053"/>
    </row>
    <row r="11" spans="1:10" ht="16.5" thickBot="1" x14ac:dyDescent="0.3">
      <c r="A11" s="1029" t="s">
        <v>137</v>
      </c>
      <c r="B11" s="1030"/>
      <c r="C11" s="1030"/>
      <c r="D11" s="1030"/>
      <c r="E11" s="1030"/>
      <c r="F11" s="1030"/>
      <c r="G11" s="1031"/>
      <c r="H11" s="4"/>
      <c r="I11" s="4"/>
      <c r="J11" s="4"/>
    </row>
    <row r="12" spans="1:10" ht="15.75" customHeight="1" x14ac:dyDescent="0.25">
      <c r="A12" s="1049" t="s">
        <v>18</v>
      </c>
      <c r="B12" s="1050"/>
      <c r="C12" s="1025" t="s">
        <v>25</v>
      </c>
      <c r="D12" s="1025"/>
      <c r="E12" s="1025"/>
      <c r="F12" s="1025"/>
      <c r="G12" s="1026"/>
      <c r="H12" s="5"/>
      <c r="I12" s="4"/>
      <c r="J12" s="4"/>
    </row>
    <row r="13" spans="1:10" ht="33.75" customHeight="1" thickBot="1" x14ac:dyDescent="0.3">
      <c r="A13" s="1049" t="s">
        <v>19</v>
      </c>
      <c r="B13" s="1050"/>
      <c r="C13" s="1025" t="s">
        <v>26</v>
      </c>
      <c r="D13" s="1025"/>
      <c r="E13" s="1025"/>
      <c r="F13" s="1025"/>
      <c r="G13" s="1026"/>
      <c r="H13" s="5"/>
      <c r="I13" s="4"/>
      <c r="J13" s="4"/>
    </row>
    <row r="14" spans="1:10" ht="16.5" thickBot="1" x14ac:dyDescent="0.3">
      <c r="A14" s="1029" t="s">
        <v>139</v>
      </c>
      <c r="B14" s="1030"/>
      <c r="C14" s="1030"/>
      <c r="D14" s="1030"/>
      <c r="E14" s="1030"/>
      <c r="F14" s="1030"/>
      <c r="G14" s="1031"/>
      <c r="H14" s="4"/>
      <c r="I14" s="4"/>
      <c r="J14" s="4"/>
    </row>
    <row r="15" spans="1:10" x14ac:dyDescent="0.25">
      <c r="A15" s="1044" t="s">
        <v>140</v>
      </c>
      <c r="B15" s="1045"/>
      <c r="C15" s="1032" t="s">
        <v>141</v>
      </c>
      <c r="D15" s="1032"/>
      <c r="E15" s="1032" t="s">
        <v>142</v>
      </c>
      <c r="F15" s="1032"/>
      <c r="G15" s="1033"/>
      <c r="H15" s="4"/>
      <c r="I15" s="4"/>
      <c r="J15" s="4"/>
    </row>
    <row r="16" spans="1:10" x14ac:dyDescent="0.25">
      <c r="A16" s="1044"/>
      <c r="B16" s="1045"/>
      <c r="C16" s="1032"/>
      <c r="D16" s="1032"/>
      <c r="E16" s="807" t="s">
        <v>143</v>
      </c>
      <c r="F16" s="807" t="s">
        <v>144</v>
      </c>
      <c r="G16" s="808" t="s">
        <v>145</v>
      </c>
    </row>
    <row r="17" spans="1:7" x14ac:dyDescent="0.25">
      <c r="A17" s="1034" t="s">
        <v>146</v>
      </c>
      <c r="B17" s="1035"/>
      <c r="C17" s="1027" t="s">
        <v>161</v>
      </c>
      <c r="D17" s="1027"/>
      <c r="E17" s="23" t="s">
        <v>164</v>
      </c>
      <c r="F17" s="23"/>
      <c r="G17" s="24"/>
    </row>
    <row r="18" spans="1:7" x14ac:dyDescent="0.25">
      <c r="A18" s="1034" t="s">
        <v>147</v>
      </c>
      <c r="B18" s="1035"/>
      <c r="C18" s="1027" t="s">
        <v>161</v>
      </c>
      <c r="D18" s="1027"/>
      <c r="E18" s="23"/>
      <c r="F18" s="23" t="s">
        <v>164</v>
      </c>
      <c r="G18" s="24"/>
    </row>
    <row r="19" spans="1:7" x14ac:dyDescent="0.25">
      <c r="A19" s="1034" t="s">
        <v>148</v>
      </c>
      <c r="B19" s="1035"/>
      <c r="C19" s="1027" t="s">
        <v>161</v>
      </c>
      <c r="D19" s="1027"/>
      <c r="E19" s="23" t="s">
        <v>164</v>
      </c>
      <c r="F19" s="23"/>
      <c r="G19" s="24"/>
    </row>
    <row r="20" spans="1:7" x14ac:dyDescent="0.25">
      <c r="A20" s="1034" t="s">
        <v>149</v>
      </c>
      <c r="B20" s="1035"/>
      <c r="C20" s="1027" t="s">
        <v>161</v>
      </c>
      <c r="D20" s="1027"/>
      <c r="E20" s="23"/>
      <c r="F20" s="23" t="s">
        <v>164</v>
      </c>
      <c r="G20" s="24"/>
    </row>
    <row r="21" spans="1:7" x14ac:dyDescent="0.25">
      <c r="A21" s="1034" t="s">
        <v>150</v>
      </c>
      <c r="B21" s="1035"/>
      <c r="C21" s="1027" t="s">
        <v>162</v>
      </c>
      <c r="D21" s="1027"/>
      <c r="E21" s="23"/>
      <c r="F21" s="23"/>
      <c r="G21" s="24" t="s">
        <v>164</v>
      </c>
    </row>
    <row r="22" spans="1:7" x14ac:dyDescent="0.25">
      <c r="A22" s="1034" t="s">
        <v>151</v>
      </c>
      <c r="B22" s="1035"/>
      <c r="C22" s="1027" t="s">
        <v>161</v>
      </c>
      <c r="D22" s="1027"/>
      <c r="E22" s="23"/>
      <c r="F22" s="23"/>
      <c r="G22" s="24" t="s">
        <v>164</v>
      </c>
    </row>
    <row r="23" spans="1:7" x14ac:dyDescent="0.25">
      <c r="A23" s="1034" t="s">
        <v>152</v>
      </c>
      <c r="B23" s="1035"/>
      <c r="C23" s="1027" t="s">
        <v>163</v>
      </c>
      <c r="D23" s="1027"/>
      <c r="E23" s="23"/>
      <c r="F23" s="23" t="s">
        <v>164</v>
      </c>
      <c r="G23" s="24"/>
    </row>
    <row r="24" spans="1:7" x14ac:dyDescent="0.25">
      <c r="A24" s="1034" t="s">
        <v>155</v>
      </c>
      <c r="B24" s="1035"/>
      <c r="C24" s="1027" t="s">
        <v>163</v>
      </c>
      <c r="D24" s="1027"/>
      <c r="E24" s="23"/>
      <c r="F24" s="23"/>
      <c r="G24" s="24" t="s">
        <v>164</v>
      </c>
    </row>
    <row r="25" spans="1:7" x14ac:dyDescent="0.25">
      <c r="A25" s="1034" t="s">
        <v>157</v>
      </c>
      <c r="B25" s="1035"/>
      <c r="C25" s="1027" t="s">
        <v>163</v>
      </c>
      <c r="D25" s="1027"/>
      <c r="E25" s="23"/>
      <c r="F25" s="23"/>
      <c r="G25" s="24" t="s">
        <v>164</v>
      </c>
    </row>
    <row r="26" spans="1:7" x14ac:dyDescent="0.25">
      <c r="A26" s="1034" t="s">
        <v>156</v>
      </c>
      <c r="B26" s="1035"/>
      <c r="C26" s="1027" t="s">
        <v>163</v>
      </c>
      <c r="D26" s="1027"/>
      <c r="E26" s="23"/>
      <c r="F26" s="23"/>
      <c r="G26" s="24" t="s">
        <v>164</v>
      </c>
    </row>
    <row r="27" spans="1:7" x14ac:dyDescent="0.25">
      <c r="A27" s="1034" t="s">
        <v>158</v>
      </c>
      <c r="B27" s="1035"/>
      <c r="C27" s="1027" t="s">
        <v>163</v>
      </c>
      <c r="D27" s="1027"/>
      <c r="E27" s="23"/>
      <c r="F27" s="23"/>
      <c r="G27" s="24" t="s">
        <v>164</v>
      </c>
    </row>
    <row r="28" spans="1:7" x14ac:dyDescent="0.25">
      <c r="A28" s="1034" t="s">
        <v>155</v>
      </c>
      <c r="B28" s="1035"/>
      <c r="C28" s="1027" t="s">
        <v>163</v>
      </c>
      <c r="D28" s="1027"/>
      <c r="E28" s="23"/>
      <c r="F28" s="23"/>
      <c r="G28" s="24" t="s">
        <v>164</v>
      </c>
    </row>
    <row r="29" spans="1:7" x14ac:dyDescent="0.25">
      <c r="A29" s="1034" t="s">
        <v>159</v>
      </c>
      <c r="B29" s="1035"/>
      <c r="C29" s="1027" t="s">
        <v>163</v>
      </c>
      <c r="D29" s="1027"/>
      <c r="E29" s="23"/>
      <c r="F29" s="23"/>
      <c r="G29" s="24" t="s">
        <v>164</v>
      </c>
    </row>
    <row r="30" spans="1:7" x14ac:dyDescent="0.25">
      <c r="A30" s="1034" t="s">
        <v>153</v>
      </c>
      <c r="B30" s="1035"/>
      <c r="C30" s="1027" t="s">
        <v>163</v>
      </c>
      <c r="D30" s="1027"/>
      <c r="E30" s="23"/>
      <c r="F30" s="23"/>
      <c r="G30" s="24" t="s">
        <v>164</v>
      </c>
    </row>
    <row r="31" spans="1:7" x14ac:dyDescent="0.25">
      <c r="A31" s="1034" t="s">
        <v>154</v>
      </c>
      <c r="B31" s="1035"/>
      <c r="C31" s="1027" t="s">
        <v>163</v>
      </c>
      <c r="D31" s="1027"/>
      <c r="E31" s="23"/>
      <c r="F31" s="23" t="s">
        <v>164</v>
      </c>
      <c r="G31" s="24"/>
    </row>
    <row r="32" spans="1:7" ht="33.75" customHeight="1" x14ac:dyDescent="0.25">
      <c r="A32" s="1048" t="s">
        <v>160</v>
      </c>
      <c r="B32" s="1025"/>
      <c r="C32" s="1027" t="s">
        <v>163</v>
      </c>
      <c r="D32" s="1027"/>
      <c r="E32" s="23"/>
      <c r="F32" s="23"/>
      <c r="G32" s="24" t="s">
        <v>164</v>
      </c>
    </row>
    <row r="33" spans="1:15" x14ac:dyDescent="0.25">
      <c r="A33" s="1044" t="s">
        <v>165</v>
      </c>
      <c r="B33" s="1045"/>
      <c r="C33" s="1032" t="s">
        <v>166</v>
      </c>
      <c r="D33" s="1032"/>
      <c r="E33" s="1032" t="s">
        <v>142</v>
      </c>
      <c r="F33" s="1032"/>
      <c r="G33" s="1033"/>
    </row>
    <row r="34" spans="1:15" x14ac:dyDescent="0.25">
      <c r="A34" s="1044"/>
      <c r="B34" s="1045"/>
      <c r="C34" s="1032"/>
      <c r="D34" s="1032"/>
      <c r="E34" s="807" t="s">
        <v>143</v>
      </c>
      <c r="F34" s="807" t="s">
        <v>144</v>
      </c>
      <c r="G34" s="808" t="s">
        <v>145</v>
      </c>
    </row>
    <row r="35" spans="1:15" ht="32.25" customHeight="1" x14ac:dyDescent="0.25">
      <c r="A35" s="1034" t="s">
        <v>29</v>
      </c>
      <c r="B35" s="1035"/>
      <c r="C35" s="1028" t="s">
        <v>176</v>
      </c>
      <c r="D35" s="1028"/>
      <c r="E35" s="23"/>
      <c r="F35" s="23"/>
      <c r="G35" s="24" t="s">
        <v>164</v>
      </c>
    </row>
    <row r="36" spans="1:15" x14ac:dyDescent="0.25">
      <c r="A36" s="1034" t="s">
        <v>167</v>
      </c>
      <c r="B36" s="1035"/>
      <c r="C36" s="1027" t="s">
        <v>175</v>
      </c>
      <c r="D36" s="1027"/>
      <c r="E36" s="23"/>
      <c r="F36" s="23"/>
      <c r="G36" s="24" t="s">
        <v>164</v>
      </c>
    </row>
    <row r="37" spans="1:15" x14ac:dyDescent="0.25">
      <c r="A37" s="1034" t="s">
        <v>168</v>
      </c>
      <c r="B37" s="1035"/>
      <c r="C37" s="1027" t="s">
        <v>177</v>
      </c>
      <c r="D37" s="1027"/>
      <c r="E37" s="23" t="s">
        <v>164</v>
      </c>
      <c r="F37" s="23"/>
      <c r="G37" s="24"/>
    </row>
    <row r="38" spans="1:15" x14ac:dyDescent="0.25">
      <c r="A38" s="1034" t="s">
        <v>123</v>
      </c>
      <c r="B38" s="1035"/>
      <c r="C38" s="1027" t="s">
        <v>178</v>
      </c>
      <c r="D38" s="1027"/>
      <c r="E38" s="23" t="s">
        <v>164</v>
      </c>
      <c r="F38" s="23"/>
      <c r="G38" s="24"/>
    </row>
    <row r="39" spans="1:15" x14ac:dyDescent="0.25">
      <c r="A39" s="1034" t="s">
        <v>169</v>
      </c>
      <c r="B39" s="1035"/>
      <c r="C39" s="1027" t="s">
        <v>174</v>
      </c>
      <c r="D39" s="1027"/>
      <c r="E39" s="23"/>
      <c r="F39" s="23"/>
      <c r="G39" s="24" t="s">
        <v>164</v>
      </c>
    </row>
    <row r="40" spans="1:15" x14ac:dyDescent="0.25">
      <c r="A40" s="1034" t="s">
        <v>170</v>
      </c>
      <c r="B40" s="1035"/>
      <c r="C40" s="1027" t="s">
        <v>179</v>
      </c>
      <c r="D40" s="1027"/>
      <c r="E40" s="23" t="s">
        <v>164</v>
      </c>
      <c r="F40" s="23"/>
      <c r="G40" s="24"/>
    </row>
    <row r="41" spans="1:15" x14ac:dyDescent="0.25">
      <c r="A41" s="1034" t="s">
        <v>171</v>
      </c>
      <c r="B41" s="1035"/>
      <c r="C41" s="1027" t="s">
        <v>180</v>
      </c>
      <c r="D41" s="1027"/>
      <c r="E41" s="23" t="s">
        <v>164</v>
      </c>
      <c r="F41" s="23"/>
      <c r="G41" s="24"/>
    </row>
    <row r="42" spans="1:15" x14ac:dyDescent="0.25">
      <c r="A42" s="1034" t="s">
        <v>124</v>
      </c>
      <c r="B42" s="1035"/>
      <c r="C42" s="1027" t="s">
        <v>181</v>
      </c>
      <c r="D42" s="1027"/>
      <c r="E42" s="23"/>
      <c r="F42" s="23"/>
      <c r="G42" s="24" t="s">
        <v>164</v>
      </c>
    </row>
    <row r="43" spans="1:15" ht="35.25" customHeight="1" x14ac:dyDescent="0.25">
      <c r="A43" s="1034" t="s">
        <v>172</v>
      </c>
      <c r="B43" s="1035"/>
      <c r="C43" s="1028" t="s">
        <v>182</v>
      </c>
      <c r="D43" s="1028"/>
      <c r="E43" s="23" t="s">
        <v>164</v>
      </c>
      <c r="F43" s="23"/>
      <c r="G43" s="24"/>
    </row>
    <row r="44" spans="1:15" ht="42.75" customHeight="1" x14ac:dyDescent="0.25">
      <c r="A44" s="1034" t="s">
        <v>173</v>
      </c>
      <c r="B44" s="1035"/>
      <c r="C44" s="1028" t="s">
        <v>183</v>
      </c>
      <c r="D44" s="1028"/>
      <c r="E44" s="23" t="s">
        <v>164</v>
      </c>
      <c r="F44" s="23"/>
      <c r="G44" s="24"/>
      <c r="J44" s="14"/>
      <c r="K44" s="14"/>
      <c r="L44" s="14"/>
      <c r="M44" s="14"/>
      <c r="N44" s="14"/>
      <c r="O44" s="14"/>
    </row>
    <row r="45" spans="1:15" x14ac:dyDescent="0.25">
      <c r="A45" s="1034" t="s">
        <v>496</v>
      </c>
      <c r="B45" s="1035"/>
      <c r="C45" s="1027" t="s">
        <v>184</v>
      </c>
      <c r="D45" s="1027"/>
      <c r="E45" s="23"/>
      <c r="F45" s="23" t="s">
        <v>164</v>
      </c>
      <c r="G45" s="24"/>
      <c r="J45" s="14"/>
      <c r="K45" s="14"/>
      <c r="L45" s="14"/>
      <c r="M45" s="14"/>
      <c r="N45" s="14"/>
      <c r="O45" s="14"/>
    </row>
    <row r="46" spans="1:15" x14ac:dyDescent="0.25">
      <c r="A46" s="1044" t="s">
        <v>165</v>
      </c>
      <c r="B46" s="1045"/>
      <c r="C46" s="1032" t="s">
        <v>166</v>
      </c>
      <c r="D46" s="1032"/>
      <c r="E46" s="1032" t="s">
        <v>142</v>
      </c>
      <c r="F46" s="1032"/>
      <c r="G46" s="1033"/>
      <c r="J46" s="15"/>
      <c r="K46" s="14"/>
      <c r="L46" s="14"/>
      <c r="M46" s="14"/>
      <c r="N46" s="14"/>
      <c r="O46" s="14"/>
    </row>
    <row r="47" spans="1:15" x14ac:dyDescent="0.25">
      <c r="A47" s="1046"/>
      <c r="B47" s="1047"/>
      <c r="C47" s="1032"/>
      <c r="D47" s="1032"/>
      <c r="E47" s="807" t="s">
        <v>143</v>
      </c>
      <c r="F47" s="807" t="s">
        <v>144</v>
      </c>
      <c r="G47" s="808" t="s">
        <v>145</v>
      </c>
      <c r="J47" s="15"/>
      <c r="K47" s="14"/>
      <c r="L47" s="14"/>
      <c r="M47" s="14"/>
      <c r="N47" s="14"/>
      <c r="O47" s="14"/>
    </row>
    <row r="48" spans="1:15" x14ac:dyDescent="0.25">
      <c r="A48" s="828" t="s">
        <v>1574</v>
      </c>
      <c r="B48" s="447"/>
      <c r="C48" s="1042" t="s">
        <v>161</v>
      </c>
      <c r="D48" s="1043"/>
      <c r="E48" s="23" t="s">
        <v>1</v>
      </c>
      <c r="F48" s="23"/>
      <c r="G48" s="24"/>
      <c r="J48" s="15"/>
      <c r="K48" s="14"/>
      <c r="L48" s="14"/>
      <c r="M48" s="14"/>
      <c r="N48" s="14"/>
      <c r="O48" s="14"/>
    </row>
    <row r="49" spans="1:15" ht="16.5" thickBot="1" x14ac:dyDescent="0.3">
      <c r="A49" s="828" t="s">
        <v>1575</v>
      </c>
      <c r="B49" s="447"/>
      <c r="C49" s="1042" t="s">
        <v>161</v>
      </c>
      <c r="D49" s="1043"/>
      <c r="E49" s="23" t="s">
        <v>1</v>
      </c>
      <c r="F49" s="23"/>
      <c r="G49" s="24"/>
      <c r="J49" s="14"/>
      <c r="K49" s="14"/>
      <c r="L49" s="14"/>
      <c r="M49" s="14"/>
      <c r="N49" s="14"/>
      <c r="O49" s="14"/>
    </row>
    <row r="50" spans="1:15" ht="16.5" thickBot="1" x14ac:dyDescent="0.3">
      <c r="A50" s="1029" t="s">
        <v>185</v>
      </c>
      <c r="B50" s="1030"/>
      <c r="C50" s="1030"/>
      <c r="D50" s="1030"/>
      <c r="E50" s="1030"/>
      <c r="F50" s="1030"/>
      <c r="G50" s="1031"/>
      <c r="J50" s="14"/>
      <c r="K50" s="14"/>
      <c r="L50" s="14"/>
      <c r="M50" s="14"/>
      <c r="N50" s="14"/>
      <c r="O50" s="14"/>
    </row>
    <row r="51" spans="1:15" x14ac:dyDescent="0.25">
      <c r="A51" s="1037"/>
      <c r="B51" s="1038"/>
      <c r="C51" s="1038"/>
      <c r="D51" s="1038"/>
      <c r="E51" s="1038"/>
      <c r="F51" s="1038"/>
      <c r="G51" s="1039"/>
      <c r="J51" s="14"/>
      <c r="K51" s="14"/>
      <c r="L51" s="14"/>
      <c r="M51" s="14"/>
      <c r="N51" s="14"/>
      <c r="O51" s="14"/>
    </row>
    <row r="52" spans="1:15" ht="16.5" thickBot="1" x14ac:dyDescent="0.3">
      <c r="A52" s="1040"/>
      <c r="B52" s="1036"/>
      <c r="C52" s="1036"/>
      <c r="D52" s="1036"/>
      <c r="E52" s="1036"/>
      <c r="F52" s="1036"/>
      <c r="G52" s="1041"/>
      <c r="J52" s="14"/>
      <c r="K52" s="14"/>
      <c r="L52" s="14"/>
      <c r="M52" s="14"/>
      <c r="N52" s="14"/>
      <c r="O52" s="14"/>
    </row>
    <row r="53" spans="1:15" ht="16.5" thickBot="1" x14ac:dyDescent="0.3">
      <c r="A53" s="1029" t="s">
        <v>186</v>
      </c>
      <c r="B53" s="1030"/>
      <c r="C53" s="1030"/>
      <c r="D53" s="1030"/>
      <c r="E53" s="1030"/>
      <c r="F53" s="1030"/>
      <c r="G53" s="1031"/>
    </row>
    <row r="54" spans="1:15" x14ac:dyDescent="0.25">
      <c r="A54" s="822"/>
      <c r="B54" s="823"/>
      <c r="C54" s="823"/>
      <c r="D54" s="823"/>
      <c r="E54" s="823"/>
      <c r="F54" s="823"/>
      <c r="G54" s="824"/>
    </row>
    <row r="55" spans="1:15" x14ac:dyDescent="0.25">
      <c r="A55" s="822"/>
      <c r="B55" s="812" t="s">
        <v>496</v>
      </c>
      <c r="C55" s="823"/>
      <c r="D55" s="823"/>
      <c r="E55" s="1036" t="s">
        <v>168</v>
      </c>
      <c r="F55" s="1036"/>
      <c r="G55" s="824"/>
    </row>
    <row r="56" spans="1:15" x14ac:dyDescent="0.25">
      <c r="A56" s="822"/>
      <c r="B56" s="812" t="s">
        <v>184</v>
      </c>
      <c r="C56" s="823"/>
      <c r="D56" s="823"/>
      <c r="E56" s="1036" t="s">
        <v>177</v>
      </c>
      <c r="F56" s="1036"/>
      <c r="G56" s="824"/>
    </row>
    <row r="57" spans="1:15" ht="16.5" thickBot="1" x14ac:dyDescent="0.3">
      <c r="A57" s="825"/>
      <c r="B57" s="829" t="s">
        <v>187</v>
      </c>
      <c r="C57" s="826"/>
      <c r="D57" s="826"/>
      <c r="E57" s="1024" t="s">
        <v>188</v>
      </c>
      <c r="F57" s="1024"/>
      <c r="G57" s="827"/>
    </row>
  </sheetData>
  <mergeCells count="94">
    <mergeCell ref="B7:G7"/>
    <mergeCell ref="A4:G4"/>
    <mergeCell ref="A5:B5"/>
    <mergeCell ref="C5:G5"/>
    <mergeCell ref="A1:B1"/>
    <mergeCell ref="A2:G2"/>
    <mergeCell ref="A3:G3"/>
    <mergeCell ref="A6:B6"/>
    <mergeCell ref="C6:G6"/>
    <mergeCell ref="C1:G1"/>
    <mergeCell ref="A10:B10"/>
    <mergeCell ref="C10:D10"/>
    <mergeCell ref="E10:G10"/>
    <mergeCell ref="A9:B9"/>
    <mergeCell ref="C9:D9"/>
    <mergeCell ref="E9:G9"/>
    <mergeCell ref="A12:B12"/>
    <mergeCell ref="A13:B13"/>
    <mergeCell ref="A11:G11"/>
    <mergeCell ref="A18:B18"/>
    <mergeCell ref="A19:B19"/>
    <mergeCell ref="A20:B20"/>
    <mergeCell ref="A21:B21"/>
    <mergeCell ref="A22:B22"/>
    <mergeCell ref="A23:B23"/>
    <mergeCell ref="E15:G15"/>
    <mergeCell ref="A15:B16"/>
    <mergeCell ref="C15:D16"/>
    <mergeCell ref="A17:B17"/>
    <mergeCell ref="C17:D17"/>
    <mergeCell ref="C20:D20"/>
    <mergeCell ref="C21:D21"/>
    <mergeCell ref="C22:D22"/>
    <mergeCell ref="C23:D23"/>
    <mergeCell ref="A8:G8"/>
    <mergeCell ref="C35:D35"/>
    <mergeCell ref="C36:D36"/>
    <mergeCell ref="C37:D37"/>
    <mergeCell ref="C38:D38"/>
    <mergeCell ref="A33:B34"/>
    <mergeCell ref="A30:B30"/>
    <mergeCell ref="A31:B31"/>
    <mergeCell ref="A32:B32"/>
    <mergeCell ref="A25:B25"/>
    <mergeCell ref="A26:B26"/>
    <mergeCell ref="A27:B27"/>
    <mergeCell ref="A28:B28"/>
    <mergeCell ref="A29:B29"/>
    <mergeCell ref="A24:B24"/>
    <mergeCell ref="C19:D19"/>
    <mergeCell ref="C39:D39"/>
    <mergeCell ref="C40:D40"/>
    <mergeCell ref="C29:D29"/>
    <mergeCell ref="C30:D30"/>
    <mergeCell ref="C31:D31"/>
    <mergeCell ref="C32:D32"/>
    <mergeCell ref="C33:D34"/>
    <mergeCell ref="A41:B41"/>
    <mergeCell ref="A42:B42"/>
    <mergeCell ref="A43:B43"/>
    <mergeCell ref="A44:B44"/>
    <mergeCell ref="A45:B45"/>
    <mergeCell ref="A40:B40"/>
    <mergeCell ref="A35:B35"/>
    <mergeCell ref="A36:B36"/>
    <mergeCell ref="E56:F56"/>
    <mergeCell ref="E46:G46"/>
    <mergeCell ref="A50:G50"/>
    <mergeCell ref="A53:G53"/>
    <mergeCell ref="E55:F55"/>
    <mergeCell ref="A51:G52"/>
    <mergeCell ref="C48:D48"/>
    <mergeCell ref="C49:D49"/>
    <mergeCell ref="A37:B37"/>
    <mergeCell ref="A38:B38"/>
    <mergeCell ref="A39:B39"/>
    <mergeCell ref="A46:B47"/>
    <mergeCell ref="C46:D47"/>
    <mergeCell ref="E57:F57"/>
    <mergeCell ref="C12:G12"/>
    <mergeCell ref="C13:G13"/>
    <mergeCell ref="C41:D41"/>
    <mergeCell ref="C42:D42"/>
    <mergeCell ref="C43:D43"/>
    <mergeCell ref="C44:D44"/>
    <mergeCell ref="C45:D45"/>
    <mergeCell ref="A14:G14"/>
    <mergeCell ref="E33:G33"/>
    <mergeCell ref="C24:D24"/>
    <mergeCell ref="C25:D25"/>
    <mergeCell ref="C26:D26"/>
    <mergeCell ref="C27:D27"/>
    <mergeCell ref="C28:D28"/>
    <mergeCell ref="C18:D18"/>
  </mergeCells>
  <pageMargins left="1" right="1" top="1" bottom="1" header="0.5" footer="0.5"/>
  <pageSetup orientation="portrait" horizontalDpi="0"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dimension ref="A1:J27"/>
  <sheetViews>
    <sheetView showGridLines="0" zoomScale="90" zoomScaleNormal="90" workbookViewId="0">
      <selection activeCell="A33" sqref="A33:G57"/>
    </sheetView>
  </sheetViews>
  <sheetFormatPr baseColWidth="10" defaultRowHeight="15.75" x14ac:dyDescent="0.25"/>
  <cols>
    <col min="1" max="1" width="19.5703125" style="2" customWidth="1"/>
    <col min="2" max="2" width="25.5703125" style="2" customWidth="1"/>
    <col min="3" max="3" width="12.5703125" style="2" customWidth="1"/>
    <col min="4" max="4" width="23.85546875" style="2" customWidth="1"/>
    <col min="5" max="5" width="13.7109375" style="2" customWidth="1"/>
    <col min="6" max="6" width="7.140625" style="2" customWidth="1"/>
    <col min="7" max="7" width="15.42578125" style="2" customWidth="1"/>
    <col min="8" max="16384" width="11.42578125" style="2"/>
  </cols>
  <sheetData>
    <row r="1" spans="1:10" ht="30.75" customHeight="1" x14ac:dyDescent="0.25">
      <c r="A1" s="1510" t="s">
        <v>483</v>
      </c>
      <c r="B1" s="1511"/>
      <c r="C1" s="1511"/>
      <c r="D1" s="1511"/>
      <c r="E1" s="1511"/>
      <c r="F1" s="1511"/>
      <c r="G1" s="1512"/>
    </row>
    <row r="2" spans="1:10" x14ac:dyDescent="0.25">
      <c r="A2" s="1513" t="s">
        <v>128</v>
      </c>
      <c r="B2" s="1514"/>
      <c r="C2" s="1514"/>
      <c r="D2" s="1514"/>
      <c r="E2" s="1514"/>
      <c r="F2" s="1514"/>
      <c r="G2" s="1515"/>
    </row>
    <row r="3" spans="1:10" x14ac:dyDescent="0.25">
      <c r="A3" s="1516" t="s">
        <v>2</v>
      </c>
      <c r="B3" s="1517"/>
      <c r="C3" s="1055" t="s">
        <v>13</v>
      </c>
      <c r="D3" s="1055"/>
      <c r="E3" s="1055"/>
      <c r="F3" s="1055"/>
      <c r="G3" s="1056"/>
    </row>
    <row r="4" spans="1:10" x14ac:dyDescent="0.25">
      <c r="A4" s="1516" t="s">
        <v>229</v>
      </c>
      <c r="B4" s="1517"/>
      <c r="C4" s="1055" t="s">
        <v>280</v>
      </c>
      <c r="D4" s="1055"/>
      <c r="E4" s="1055"/>
      <c r="F4" s="1055"/>
      <c r="G4" s="1056"/>
    </row>
    <row r="5" spans="1:10" x14ac:dyDescent="0.25">
      <c r="A5" s="1516" t="s">
        <v>129</v>
      </c>
      <c r="B5" s="1517"/>
      <c r="C5" s="798"/>
      <c r="D5" s="1517" t="s">
        <v>130</v>
      </c>
      <c r="E5" s="1517"/>
      <c r="F5" s="1518"/>
      <c r="G5" s="1519"/>
    </row>
    <row r="6" spans="1:10" x14ac:dyDescent="0.25">
      <c r="A6" s="1513" t="s">
        <v>1905</v>
      </c>
      <c r="B6" s="1514"/>
      <c r="C6" s="1514"/>
      <c r="D6" s="1514"/>
      <c r="E6" s="1514"/>
      <c r="F6" s="1514"/>
      <c r="G6" s="1515"/>
      <c r="H6" s="4"/>
      <c r="I6" s="4"/>
      <c r="J6" s="4"/>
    </row>
    <row r="7" spans="1:10" ht="15.75" customHeight="1" x14ac:dyDescent="0.25">
      <c r="A7" s="1049" t="s">
        <v>1904</v>
      </c>
      <c r="B7" s="1050"/>
      <c r="C7" s="1025"/>
      <c r="D7" s="1025"/>
      <c r="E7" s="1025"/>
      <c r="F7" s="1025"/>
      <c r="G7" s="1026"/>
      <c r="H7" s="5"/>
      <c r="I7" s="4"/>
      <c r="J7" s="4"/>
    </row>
    <row r="8" spans="1:10" ht="15.75" customHeight="1" x14ac:dyDescent="0.25">
      <c r="A8" s="1522" t="s">
        <v>1902</v>
      </c>
      <c r="B8" s="1523"/>
      <c r="C8" s="1524"/>
      <c r="D8" s="1525"/>
      <c r="E8" s="1525"/>
      <c r="F8" s="1525"/>
      <c r="G8" s="1526"/>
      <c r="H8" s="5"/>
      <c r="I8" s="4"/>
      <c r="J8" s="4"/>
    </row>
    <row r="9" spans="1:10" x14ac:dyDescent="0.25">
      <c r="A9" s="1049" t="s">
        <v>1903</v>
      </c>
      <c r="B9" s="1050"/>
      <c r="C9" s="1520"/>
      <c r="D9" s="1520"/>
      <c r="E9" s="1520"/>
      <c r="F9" s="1520"/>
      <c r="G9" s="1521"/>
      <c r="H9" s="6"/>
      <c r="I9" s="4"/>
      <c r="J9" s="4"/>
    </row>
    <row r="10" spans="1:10" ht="5.25" customHeight="1" x14ac:dyDescent="0.25">
      <c r="A10" s="1034"/>
      <c r="B10" s="1035"/>
      <c r="C10" s="1035"/>
      <c r="D10" s="1035"/>
      <c r="E10" s="1035"/>
      <c r="F10" s="1035"/>
      <c r="G10" s="1519"/>
      <c r="H10" s="4"/>
      <c r="I10" s="4"/>
      <c r="J10" s="4"/>
    </row>
    <row r="11" spans="1:10" x14ac:dyDescent="0.25">
      <c r="A11" s="1513" t="s">
        <v>489</v>
      </c>
      <c r="B11" s="1514"/>
      <c r="C11" s="1514"/>
      <c r="D11" s="1514"/>
      <c r="E11" s="1514"/>
      <c r="F11" s="1514"/>
      <c r="G11" s="1515"/>
      <c r="H11" s="4"/>
      <c r="I11" s="4"/>
      <c r="J11" s="4"/>
    </row>
    <row r="12" spans="1:10" customFormat="1" ht="78.75" customHeight="1" x14ac:dyDescent="0.25">
      <c r="A12" s="1527" t="s">
        <v>1906</v>
      </c>
      <c r="B12" s="1528"/>
      <c r="C12" s="1528"/>
      <c r="D12" s="1528"/>
      <c r="E12" s="1528"/>
      <c r="F12" s="1528"/>
      <c r="G12" s="1529"/>
    </row>
    <row r="13" spans="1:10" customFormat="1" ht="15" customHeight="1" x14ac:dyDescent="0.25">
      <c r="A13" s="1513" t="s">
        <v>1907</v>
      </c>
      <c r="B13" s="1514"/>
      <c r="C13" s="1514"/>
      <c r="D13" s="1514"/>
      <c r="E13" s="1514"/>
      <c r="F13" s="1514"/>
      <c r="G13" s="1515"/>
    </row>
    <row r="14" spans="1:10" customFormat="1" ht="55.5" customHeight="1" x14ac:dyDescent="0.25">
      <c r="A14" s="1530" t="s">
        <v>1908</v>
      </c>
      <c r="B14" s="1531"/>
      <c r="C14" s="1531"/>
      <c r="D14" s="1531"/>
      <c r="E14" s="1531"/>
      <c r="F14" s="1531"/>
      <c r="G14" s="1532"/>
    </row>
    <row r="15" spans="1:10" customFormat="1" ht="15" x14ac:dyDescent="0.25">
      <c r="A15" s="1513" t="s">
        <v>485</v>
      </c>
      <c r="B15" s="1514"/>
      <c r="C15" s="1514"/>
      <c r="D15" s="1514"/>
      <c r="E15" s="1514"/>
      <c r="F15" s="1514"/>
      <c r="G15" s="1515"/>
    </row>
    <row r="16" spans="1:10" customFormat="1" ht="75.75" customHeight="1" x14ac:dyDescent="0.25">
      <c r="A16" s="1527" t="s">
        <v>1909</v>
      </c>
      <c r="B16" s="1528"/>
      <c r="C16" s="1528"/>
      <c r="D16" s="1528"/>
      <c r="E16" s="1528"/>
      <c r="F16" s="1528"/>
      <c r="G16" s="1529"/>
    </row>
    <row r="17" spans="1:7" customFormat="1" ht="15" x14ac:dyDescent="0.25">
      <c r="A17" s="1513" t="s">
        <v>486</v>
      </c>
      <c r="B17" s="1514"/>
      <c r="C17" s="1514"/>
      <c r="D17" s="1514"/>
      <c r="E17" s="1514"/>
      <c r="F17" s="1514"/>
      <c r="G17" s="1515"/>
    </row>
    <row r="18" spans="1:7" customFormat="1" ht="37.5" customHeight="1" x14ac:dyDescent="0.25">
      <c r="A18" s="1533" t="s">
        <v>490</v>
      </c>
      <c r="B18" s="1534"/>
      <c r="C18" s="1534"/>
      <c r="D18" s="1534"/>
      <c r="E18" s="1534"/>
      <c r="F18" s="1534"/>
      <c r="G18" s="1535"/>
    </row>
    <row r="19" spans="1:7" customFormat="1" ht="15" x14ac:dyDescent="0.25">
      <c r="A19" s="1513" t="s">
        <v>487</v>
      </c>
      <c r="B19" s="1514"/>
      <c r="C19" s="1514"/>
      <c r="D19" s="1514"/>
      <c r="E19" s="1514"/>
      <c r="F19" s="1514"/>
      <c r="G19" s="1515"/>
    </row>
    <row r="20" spans="1:7" customFormat="1" ht="68.25" customHeight="1" x14ac:dyDescent="0.25">
      <c r="A20" s="1527" t="s">
        <v>491</v>
      </c>
      <c r="B20" s="1528"/>
      <c r="C20" s="1528"/>
      <c r="D20" s="1528"/>
      <c r="E20" s="1528"/>
      <c r="F20" s="1528"/>
      <c r="G20" s="1529"/>
    </row>
    <row r="21" spans="1:7" customFormat="1" ht="15" x14ac:dyDescent="0.25">
      <c r="A21" s="1513" t="s">
        <v>488</v>
      </c>
      <c r="B21" s="1514"/>
      <c r="C21" s="1514"/>
      <c r="D21" s="1514"/>
      <c r="E21" s="1514"/>
      <c r="F21" s="1514"/>
      <c r="G21" s="1515"/>
    </row>
    <row r="22" spans="1:7" customFormat="1" ht="33.75" customHeight="1" x14ac:dyDescent="0.25">
      <c r="A22" s="1530" t="s">
        <v>492</v>
      </c>
      <c r="B22" s="1531"/>
      <c r="C22" s="1531"/>
      <c r="D22" s="1531"/>
      <c r="E22" s="1531"/>
      <c r="F22" s="1531"/>
      <c r="G22" s="1532"/>
    </row>
    <row r="23" spans="1:7" x14ac:dyDescent="0.25">
      <c r="A23" s="1536" t="s">
        <v>1898</v>
      </c>
      <c r="B23" s="1537"/>
      <c r="C23" s="1537"/>
      <c r="D23" s="1537"/>
      <c r="E23" s="1537"/>
      <c r="F23" s="1537"/>
      <c r="G23" s="1538"/>
    </row>
    <row r="24" spans="1:7" x14ac:dyDescent="0.25">
      <c r="A24" s="1040" t="s">
        <v>496</v>
      </c>
      <c r="B24" s="1036"/>
      <c r="C24" s="1036"/>
      <c r="D24" s="1036" t="s">
        <v>168</v>
      </c>
      <c r="E24" s="1036"/>
      <c r="F24" s="1036"/>
      <c r="G24" s="1041"/>
    </row>
    <row r="25" spans="1:7" x14ac:dyDescent="0.25">
      <c r="A25" s="1040" t="s">
        <v>184</v>
      </c>
      <c r="B25" s="1036"/>
      <c r="C25" s="1036"/>
      <c r="D25" s="1036" t="s">
        <v>177</v>
      </c>
      <c r="E25" s="1036"/>
      <c r="F25" s="1036"/>
      <c r="G25" s="1041"/>
    </row>
    <row r="26" spans="1:7" x14ac:dyDescent="0.25">
      <c r="A26" s="1040" t="s">
        <v>187</v>
      </c>
      <c r="B26" s="1036"/>
      <c r="C26" s="1036"/>
      <c r="D26" s="1036" t="s">
        <v>188</v>
      </c>
      <c r="E26" s="1036"/>
      <c r="F26" s="1036"/>
      <c r="G26" s="1041"/>
    </row>
    <row r="27" spans="1:7" ht="16.5" thickBot="1" x14ac:dyDescent="0.3">
      <c r="A27" s="799"/>
      <c r="B27" s="800"/>
      <c r="C27" s="800"/>
      <c r="D27" s="800"/>
      <c r="E27" s="800"/>
      <c r="F27" s="800"/>
      <c r="G27" s="801"/>
    </row>
  </sheetData>
  <mergeCells count="36">
    <mergeCell ref="A26:C26"/>
    <mergeCell ref="D26:G26"/>
    <mergeCell ref="A23:G23"/>
    <mergeCell ref="A24:C24"/>
    <mergeCell ref="D24:G24"/>
    <mergeCell ref="A25:C25"/>
    <mergeCell ref="D25:G25"/>
    <mergeCell ref="A22:G22"/>
    <mergeCell ref="A20:G20"/>
    <mergeCell ref="A21:G21"/>
    <mergeCell ref="A19:G19"/>
    <mergeCell ref="A18:G18"/>
    <mergeCell ref="A15:G15"/>
    <mergeCell ref="A16:G16"/>
    <mergeCell ref="A17:G17"/>
    <mergeCell ref="A14:G14"/>
    <mergeCell ref="A10:G10"/>
    <mergeCell ref="A11:G11"/>
    <mergeCell ref="A12:G12"/>
    <mergeCell ref="A13:G13"/>
    <mergeCell ref="A9:B9"/>
    <mergeCell ref="C9:G9"/>
    <mergeCell ref="A8:B8"/>
    <mergeCell ref="C8:G8"/>
    <mergeCell ref="A7:B7"/>
    <mergeCell ref="C7:G7"/>
    <mergeCell ref="A1:G1"/>
    <mergeCell ref="A6:G6"/>
    <mergeCell ref="A2:G2"/>
    <mergeCell ref="A3:B3"/>
    <mergeCell ref="C3:G3"/>
    <mergeCell ref="A4:B4"/>
    <mergeCell ref="C4:G4"/>
    <mergeCell ref="A5:B5"/>
    <mergeCell ref="D5:E5"/>
    <mergeCell ref="F5:G5"/>
  </mergeCells>
  <pageMargins left="1" right="1" top="1" bottom="1" header="0.5" footer="0.5"/>
  <pageSetup orientation="portrait"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0"/>
  <dimension ref="A1:J43"/>
  <sheetViews>
    <sheetView zoomScale="90" zoomScaleNormal="90" workbookViewId="0">
      <selection activeCell="A33" sqref="A33:G57"/>
    </sheetView>
  </sheetViews>
  <sheetFormatPr baseColWidth="10" defaultRowHeight="15.75" x14ac:dyDescent="0.25"/>
  <cols>
    <col min="1" max="1" width="19.5703125" style="2" customWidth="1"/>
    <col min="2" max="2" width="28.85546875" style="2" bestFit="1" customWidth="1"/>
    <col min="3" max="3" width="12.5703125" style="2" customWidth="1"/>
    <col min="4" max="4" width="7.42578125" style="2" customWidth="1"/>
    <col min="5" max="5" width="13.7109375" style="2" customWidth="1"/>
    <col min="6" max="6" width="7.140625" style="2" customWidth="1"/>
    <col min="7" max="7" width="9.5703125" style="2" customWidth="1"/>
    <col min="8" max="16384" width="11.42578125" style="2"/>
  </cols>
  <sheetData>
    <row r="1" spans="1:10" ht="71.25" customHeight="1" x14ac:dyDescent="0.25">
      <c r="A1" s="1555"/>
      <c r="B1" s="1556"/>
      <c r="C1" s="1557"/>
      <c r="D1" s="1558"/>
      <c r="E1" s="1558"/>
      <c r="F1" s="1558"/>
      <c r="G1" s="1559"/>
    </row>
    <row r="2" spans="1:10" ht="30.75" customHeight="1" x14ac:dyDescent="0.25">
      <c r="A2" s="1016" t="s">
        <v>1910</v>
      </c>
      <c r="B2" s="1017"/>
      <c r="C2" s="1017"/>
      <c r="D2" s="1017"/>
      <c r="E2" s="1017"/>
      <c r="F2" s="1017"/>
      <c r="G2" s="1018"/>
    </row>
    <row r="3" spans="1:10" ht="6.75" customHeight="1" x14ac:dyDescent="0.25">
      <c r="A3" s="998"/>
      <c r="B3" s="996"/>
      <c r="C3" s="996"/>
      <c r="D3" s="996"/>
      <c r="E3" s="996"/>
      <c r="F3" s="996"/>
      <c r="G3" s="1020"/>
    </row>
    <row r="4" spans="1:10" x14ac:dyDescent="0.25">
      <c r="A4" s="988" t="s">
        <v>484</v>
      </c>
      <c r="B4" s="989"/>
      <c r="C4" s="989"/>
      <c r="D4" s="989"/>
      <c r="E4" s="989"/>
      <c r="F4" s="989"/>
      <c r="G4" s="990"/>
    </row>
    <row r="5" spans="1:10" ht="6.75" customHeight="1" x14ac:dyDescent="0.25">
      <c r="A5" s="998"/>
      <c r="B5" s="996"/>
      <c r="C5" s="996"/>
      <c r="D5" s="996"/>
      <c r="E5" s="996"/>
      <c r="F5" s="996"/>
      <c r="G5" s="1020"/>
    </row>
    <row r="6" spans="1:10" x14ac:dyDescent="0.25">
      <c r="A6" s="988" t="s">
        <v>128</v>
      </c>
      <c r="B6" s="989"/>
      <c r="C6" s="989"/>
      <c r="D6" s="989"/>
      <c r="E6" s="989"/>
      <c r="F6" s="989"/>
      <c r="G6" s="990"/>
    </row>
    <row r="7" spans="1:10" ht="8.25" customHeight="1" x14ac:dyDescent="0.25">
      <c r="A7" s="998"/>
      <c r="B7" s="996"/>
      <c r="C7" s="996"/>
      <c r="D7" s="996"/>
      <c r="E7" s="996"/>
      <c r="F7" s="996"/>
      <c r="G7" s="1020"/>
    </row>
    <row r="8" spans="1:10" x14ac:dyDescent="0.25">
      <c r="A8" s="1008" t="s">
        <v>2</v>
      </c>
      <c r="B8" s="1009"/>
      <c r="C8" s="995" t="s">
        <v>13</v>
      </c>
      <c r="D8" s="995"/>
      <c r="E8" s="995"/>
      <c r="F8" s="995"/>
      <c r="G8" s="1006"/>
    </row>
    <row r="9" spans="1:10" x14ac:dyDescent="0.25">
      <c r="A9" s="1008" t="s">
        <v>229</v>
      </c>
      <c r="B9" s="1009"/>
      <c r="C9" s="995" t="s">
        <v>280</v>
      </c>
      <c r="D9" s="995"/>
      <c r="E9" s="995"/>
      <c r="F9" s="995"/>
      <c r="G9" s="1006"/>
    </row>
    <row r="10" spans="1:10" x14ac:dyDescent="0.25">
      <c r="A10" s="988" t="s">
        <v>9</v>
      </c>
      <c r="B10" s="989"/>
      <c r="C10" s="989"/>
      <c r="D10" s="989"/>
      <c r="E10" s="989"/>
      <c r="F10" s="989"/>
      <c r="G10" s="990"/>
    </row>
    <row r="11" spans="1:10" x14ac:dyDescent="0.25">
      <c r="A11" s="997" t="s">
        <v>135</v>
      </c>
      <c r="B11" s="995"/>
      <c r="C11" s="995" t="s">
        <v>10</v>
      </c>
      <c r="D11" s="995"/>
      <c r="E11" s="995" t="s">
        <v>136</v>
      </c>
      <c r="F11" s="995"/>
      <c r="G11" s="1006"/>
    </row>
    <row r="12" spans="1:10" x14ac:dyDescent="0.25">
      <c r="A12" s="998" t="s">
        <v>496</v>
      </c>
      <c r="B12" s="996"/>
      <c r="C12" s="996" t="s">
        <v>13</v>
      </c>
      <c r="D12" s="996"/>
      <c r="E12" s="1007">
        <v>43609</v>
      </c>
      <c r="F12" s="1007"/>
      <c r="G12" s="1010"/>
    </row>
    <row r="13" spans="1:10" x14ac:dyDescent="0.25">
      <c r="A13" s="988" t="s">
        <v>137</v>
      </c>
      <c r="B13" s="989"/>
      <c r="C13" s="989"/>
      <c r="D13" s="989"/>
      <c r="E13" s="989"/>
      <c r="F13" s="989"/>
      <c r="G13" s="990"/>
      <c r="H13" s="4"/>
      <c r="I13" s="4"/>
      <c r="J13" s="4"/>
    </row>
    <row r="14" spans="1:10" ht="15.75" customHeight="1" x14ac:dyDescent="0.25">
      <c r="A14" s="999" t="s">
        <v>18</v>
      </c>
      <c r="B14" s="1000"/>
      <c r="C14" s="1004" t="s">
        <v>25</v>
      </c>
      <c r="D14" s="1004"/>
      <c r="E14" s="1004"/>
      <c r="F14" s="1004"/>
      <c r="G14" s="1005"/>
      <c r="H14" s="5"/>
      <c r="I14" s="4"/>
      <c r="J14" s="4"/>
    </row>
    <row r="15" spans="1:10" ht="30.75" customHeight="1" x14ac:dyDescent="0.25">
      <c r="A15" s="1553" t="s">
        <v>24</v>
      </c>
      <c r="B15" s="1554"/>
      <c r="C15" s="1004" t="s">
        <v>29</v>
      </c>
      <c r="D15" s="1004"/>
      <c r="E15" s="1004"/>
      <c r="F15" s="1004"/>
      <c r="G15" s="1005"/>
      <c r="H15" s="5"/>
      <c r="I15" s="4"/>
      <c r="J15" s="4"/>
    </row>
    <row r="16" spans="1:10" ht="5.25" customHeight="1" x14ac:dyDescent="0.25">
      <c r="A16" s="998"/>
      <c r="B16" s="996"/>
      <c r="C16" s="996"/>
      <c r="D16" s="996"/>
      <c r="E16" s="996"/>
      <c r="F16" s="996"/>
      <c r="G16" s="1020"/>
      <c r="H16" s="4"/>
      <c r="I16" s="4"/>
      <c r="J16" s="4"/>
    </row>
    <row r="17" spans="1:10" x14ac:dyDescent="0.25">
      <c r="A17" s="988" t="s">
        <v>1911</v>
      </c>
      <c r="B17" s="989"/>
      <c r="C17" s="989"/>
      <c r="D17" s="989"/>
      <c r="E17" s="989"/>
      <c r="F17" s="989"/>
      <c r="G17" s="990"/>
      <c r="H17" s="4"/>
      <c r="I17" s="4"/>
      <c r="J17" s="4"/>
    </row>
    <row r="18" spans="1:10" customFormat="1" ht="37.5" customHeight="1" x14ac:dyDescent="0.25">
      <c r="A18" s="1549" t="s">
        <v>1920</v>
      </c>
      <c r="B18" s="1069"/>
      <c r="C18" s="1069"/>
      <c r="D18" s="1069"/>
      <c r="E18" s="1069"/>
      <c r="F18" s="1069"/>
      <c r="G18" s="1550"/>
    </row>
    <row r="19" spans="1:10" customFormat="1" ht="15" customHeight="1" x14ac:dyDescent="0.25">
      <c r="A19" s="988" t="s">
        <v>1912</v>
      </c>
      <c r="B19" s="989"/>
      <c r="C19" s="989"/>
      <c r="D19" s="989"/>
      <c r="E19" s="989"/>
      <c r="F19" s="989"/>
      <c r="G19" s="990"/>
    </row>
    <row r="20" spans="1:10" customFormat="1" ht="8.25" customHeight="1" x14ac:dyDescent="0.25">
      <c r="A20" s="1551"/>
      <c r="B20" s="1548"/>
      <c r="C20" s="1548"/>
      <c r="D20" s="1548"/>
      <c r="E20" s="1548"/>
      <c r="F20" s="1548"/>
      <c r="G20" s="1552"/>
    </row>
    <row r="21" spans="1:10" customFormat="1" ht="18" customHeight="1" x14ac:dyDescent="0.25">
      <c r="A21" s="1551"/>
      <c r="B21" s="42" t="s">
        <v>1913</v>
      </c>
      <c r="C21" s="992" t="s">
        <v>164</v>
      </c>
      <c r="D21" s="992"/>
      <c r="E21" s="1548"/>
      <c r="F21" s="1548"/>
      <c r="G21" s="1552"/>
    </row>
    <row r="22" spans="1:10" customFormat="1" ht="18" customHeight="1" x14ac:dyDescent="0.25">
      <c r="A22" s="1551"/>
      <c r="B22" s="42" t="s">
        <v>1914</v>
      </c>
      <c r="C22" s="992"/>
      <c r="D22" s="992"/>
      <c r="E22" s="1548"/>
      <c r="F22" s="1548"/>
      <c r="G22" s="1552"/>
    </row>
    <row r="23" spans="1:10" customFormat="1" ht="18" customHeight="1" x14ac:dyDescent="0.25">
      <c r="A23" s="1551"/>
      <c r="B23" s="42" t="s">
        <v>1915</v>
      </c>
      <c r="C23" s="992"/>
      <c r="D23" s="992"/>
      <c r="E23" s="1548"/>
      <c r="F23" s="1548"/>
      <c r="G23" s="1552"/>
    </row>
    <row r="24" spans="1:10" customFormat="1" ht="18" customHeight="1" x14ac:dyDescent="0.25">
      <c r="A24" s="1551"/>
      <c r="B24" s="42" t="s">
        <v>1916</v>
      </c>
      <c r="C24" s="992"/>
      <c r="D24" s="992"/>
      <c r="E24" s="1548"/>
      <c r="F24" s="1548"/>
      <c r="G24" s="1552"/>
    </row>
    <row r="25" spans="1:10" customFormat="1" ht="7.5" customHeight="1" x14ac:dyDescent="0.25">
      <c r="A25" s="1551"/>
      <c r="B25" s="1548"/>
      <c r="C25" s="1548"/>
      <c r="D25" s="1548"/>
      <c r="E25" s="1548"/>
      <c r="F25" s="1548"/>
      <c r="G25" s="1552"/>
    </row>
    <row r="26" spans="1:10" customFormat="1" ht="15" x14ac:dyDescent="0.25">
      <c r="A26" s="988" t="s">
        <v>1917</v>
      </c>
      <c r="B26" s="989"/>
      <c r="C26" s="989"/>
      <c r="D26" s="989"/>
      <c r="E26" s="989"/>
      <c r="F26" s="989"/>
      <c r="G26" s="990"/>
    </row>
    <row r="27" spans="1:10" customFormat="1" ht="15" x14ac:dyDescent="0.25">
      <c r="A27" s="1541" t="s">
        <v>1921</v>
      </c>
      <c r="B27" s="1542"/>
      <c r="C27" s="1542"/>
      <c r="D27" s="1542"/>
      <c r="E27" s="1542"/>
      <c r="F27" s="1542"/>
      <c r="G27" s="1543"/>
    </row>
    <row r="28" spans="1:10" customFormat="1" ht="15" x14ac:dyDescent="0.25">
      <c r="A28" s="1541" t="s">
        <v>1922</v>
      </c>
      <c r="B28" s="1542"/>
      <c r="C28" s="1542"/>
      <c r="D28" s="1542"/>
      <c r="E28" s="1542"/>
      <c r="F28" s="1542"/>
      <c r="G28" s="1543"/>
    </row>
    <row r="29" spans="1:10" customFormat="1" ht="15" x14ac:dyDescent="0.25">
      <c r="A29" s="1541" t="s">
        <v>1918</v>
      </c>
      <c r="B29" s="1542"/>
      <c r="C29" s="1542"/>
      <c r="D29" s="1542"/>
      <c r="E29" s="1542"/>
      <c r="F29" s="1542"/>
      <c r="G29" s="1543"/>
    </row>
    <row r="30" spans="1:10" customFormat="1" ht="15" x14ac:dyDescent="0.25">
      <c r="A30" s="988" t="s">
        <v>1919</v>
      </c>
      <c r="B30" s="989"/>
      <c r="C30" s="989"/>
      <c r="D30" s="989"/>
      <c r="E30" s="989"/>
      <c r="F30" s="989"/>
      <c r="G30" s="990"/>
    </row>
    <row r="31" spans="1:10" customFormat="1" ht="15" x14ac:dyDescent="0.25">
      <c r="A31" s="1546" t="s">
        <v>288</v>
      </c>
      <c r="B31" s="1547"/>
      <c r="C31" s="1539"/>
      <c r="D31" s="1539"/>
      <c r="E31" s="1539"/>
      <c r="F31" s="1539"/>
      <c r="G31" s="1540"/>
    </row>
    <row r="32" spans="1:10" customFormat="1" ht="15" x14ac:dyDescent="0.25">
      <c r="A32" s="1544" t="s">
        <v>289</v>
      </c>
      <c r="B32" s="1545"/>
      <c r="C32" s="802" t="s">
        <v>290</v>
      </c>
      <c r="D32" s="42"/>
      <c r="E32" s="802" t="s">
        <v>291</v>
      </c>
      <c r="F32" s="1539"/>
      <c r="G32" s="1540"/>
    </row>
    <row r="33" spans="1:7" customFormat="1" ht="15" x14ac:dyDescent="0.25">
      <c r="A33" s="1544" t="s">
        <v>1926</v>
      </c>
      <c r="B33" s="1545"/>
      <c r="C33" s="995"/>
      <c r="D33" s="995"/>
      <c r="E33" s="995"/>
      <c r="F33" s="995"/>
      <c r="G33" s="1006"/>
    </row>
    <row r="34" spans="1:7" customFormat="1" ht="15" x14ac:dyDescent="0.25">
      <c r="A34" s="1001" t="s">
        <v>1925</v>
      </c>
      <c r="B34" s="1539"/>
      <c r="C34" s="1539"/>
      <c r="D34" s="1539"/>
      <c r="E34" s="1539"/>
      <c r="F34" s="1539"/>
      <c r="G34" s="1540"/>
    </row>
    <row r="35" spans="1:7" customFormat="1" ht="30.75" customHeight="1" x14ac:dyDescent="0.25">
      <c r="A35" s="991"/>
      <c r="B35" s="992"/>
      <c r="C35" s="992"/>
      <c r="D35" s="992"/>
      <c r="E35" s="992"/>
      <c r="F35" s="992"/>
      <c r="G35" s="993"/>
    </row>
    <row r="36" spans="1:7" customFormat="1" ht="15" x14ac:dyDescent="0.25">
      <c r="A36" s="988" t="s">
        <v>1923</v>
      </c>
      <c r="B36" s="989"/>
      <c r="C36" s="989"/>
      <c r="D36" s="989"/>
      <c r="E36" s="989"/>
      <c r="F36" s="989"/>
      <c r="G36" s="990"/>
    </row>
    <row r="37" spans="1:7" customFormat="1" ht="15.75" customHeight="1" x14ac:dyDescent="0.25">
      <c r="A37" s="803" t="s">
        <v>1924</v>
      </c>
      <c r="B37" s="1022" t="s">
        <v>239</v>
      </c>
      <c r="C37" s="1022"/>
      <c r="D37" s="1022" t="s">
        <v>12</v>
      </c>
      <c r="E37" s="1022"/>
      <c r="F37" s="1022"/>
      <c r="G37" s="1003"/>
    </row>
    <row r="38" spans="1:7" customFormat="1" ht="15.75" customHeight="1" x14ac:dyDescent="0.25">
      <c r="A38" s="804"/>
      <c r="B38" s="992"/>
      <c r="C38" s="992"/>
      <c r="D38" s="992"/>
      <c r="E38" s="992"/>
      <c r="F38" s="992"/>
      <c r="G38" s="993"/>
    </row>
    <row r="39" spans="1:7" customFormat="1" ht="15.75" customHeight="1" x14ac:dyDescent="0.25">
      <c r="A39" s="804"/>
      <c r="B39" s="992"/>
      <c r="C39" s="992"/>
      <c r="D39" s="992"/>
      <c r="E39" s="992"/>
      <c r="F39" s="992"/>
      <c r="G39" s="993"/>
    </row>
    <row r="40" spans="1:7" x14ac:dyDescent="0.25">
      <c r="A40" s="985" t="s">
        <v>307</v>
      </c>
      <c r="B40" s="986"/>
      <c r="C40" s="986"/>
      <c r="D40" s="986"/>
      <c r="E40" s="986"/>
      <c r="F40" s="986"/>
      <c r="G40" s="987"/>
    </row>
    <row r="41" spans="1:7" x14ac:dyDescent="0.25">
      <c r="A41" s="894" t="s">
        <v>496</v>
      </c>
      <c r="B41" s="883"/>
      <c r="C41" s="883"/>
      <c r="D41" s="883" t="s">
        <v>168</v>
      </c>
      <c r="E41" s="883"/>
      <c r="F41" s="883"/>
      <c r="G41" s="884"/>
    </row>
    <row r="42" spans="1:7" x14ac:dyDescent="0.25">
      <c r="A42" s="894" t="s">
        <v>184</v>
      </c>
      <c r="B42" s="883"/>
      <c r="C42" s="883"/>
      <c r="D42" s="883" t="s">
        <v>177</v>
      </c>
      <c r="E42" s="883"/>
      <c r="F42" s="883"/>
      <c r="G42" s="884"/>
    </row>
    <row r="43" spans="1:7" ht="16.5" thickBot="1" x14ac:dyDescent="0.3">
      <c r="A43" s="895" t="s">
        <v>187</v>
      </c>
      <c r="B43" s="885"/>
      <c r="C43" s="885"/>
      <c r="D43" s="885" t="s">
        <v>188</v>
      </c>
      <c r="E43" s="885"/>
      <c r="F43" s="885"/>
      <c r="G43" s="886"/>
    </row>
  </sheetData>
  <mergeCells count="63">
    <mergeCell ref="A1:B1"/>
    <mergeCell ref="A2:G2"/>
    <mergeCell ref="A3:G3"/>
    <mergeCell ref="C1:G1"/>
    <mergeCell ref="A10:G10"/>
    <mergeCell ref="A9:B9"/>
    <mergeCell ref="C9:G9"/>
    <mergeCell ref="A4:G4"/>
    <mergeCell ref="A5:G5"/>
    <mergeCell ref="A6:G6"/>
    <mergeCell ref="A7:G7"/>
    <mergeCell ref="A8:B8"/>
    <mergeCell ref="C8:G8"/>
    <mergeCell ref="A11:B11"/>
    <mergeCell ref="C11:D11"/>
    <mergeCell ref="E11:G11"/>
    <mergeCell ref="A12:B12"/>
    <mergeCell ref="C12:D12"/>
    <mergeCell ref="E12:G12"/>
    <mergeCell ref="A13:G13"/>
    <mergeCell ref="A14:B14"/>
    <mergeCell ref="C14:G14"/>
    <mergeCell ref="A15:B15"/>
    <mergeCell ref="C15:G15"/>
    <mergeCell ref="C24:D24"/>
    <mergeCell ref="B25:D25"/>
    <mergeCell ref="A26:G26"/>
    <mergeCell ref="A16:G16"/>
    <mergeCell ref="A17:G17"/>
    <mergeCell ref="A18:G18"/>
    <mergeCell ref="A19:G19"/>
    <mergeCell ref="A20:A25"/>
    <mergeCell ref="B20:D20"/>
    <mergeCell ref="E20:G25"/>
    <mergeCell ref="C21:D21"/>
    <mergeCell ref="C22:D22"/>
    <mergeCell ref="C23:D23"/>
    <mergeCell ref="A27:G27"/>
    <mergeCell ref="A28:G28"/>
    <mergeCell ref="A29:G29"/>
    <mergeCell ref="A33:B33"/>
    <mergeCell ref="A32:B32"/>
    <mergeCell ref="A30:G30"/>
    <mergeCell ref="A31:B31"/>
    <mergeCell ref="C31:G31"/>
    <mergeCell ref="F32:G32"/>
    <mergeCell ref="C33:G33"/>
    <mergeCell ref="B39:C39"/>
    <mergeCell ref="D39:G39"/>
    <mergeCell ref="A34:G34"/>
    <mergeCell ref="A35:G35"/>
    <mergeCell ref="A36:G36"/>
    <mergeCell ref="B37:C37"/>
    <mergeCell ref="D37:G37"/>
    <mergeCell ref="B38:C38"/>
    <mergeCell ref="D38:G38"/>
    <mergeCell ref="A43:C43"/>
    <mergeCell ref="D43:G43"/>
    <mergeCell ref="A40:G40"/>
    <mergeCell ref="A41:C41"/>
    <mergeCell ref="D41:G41"/>
    <mergeCell ref="A42:C42"/>
    <mergeCell ref="D42:G42"/>
  </mergeCells>
  <pageMargins left="1" right="1" top="1" bottom="1" header="0.5" footer="0.5"/>
  <pageSetup orientation="portrait" horizontalDpi="0"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1"/>
  <dimension ref="A1:J30"/>
  <sheetViews>
    <sheetView zoomScale="90" zoomScaleNormal="90" workbookViewId="0">
      <selection activeCell="J25" sqref="J24:J25"/>
    </sheetView>
  </sheetViews>
  <sheetFormatPr baseColWidth="10" defaultRowHeight="15.75" x14ac:dyDescent="0.25"/>
  <cols>
    <col min="1" max="1" width="19.5703125" style="2" customWidth="1"/>
    <col min="2" max="2" width="25.5703125" style="2" customWidth="1"/>
    <col min="3" max="3" width="12.5703125" style="2" customWidth="1"/>
    <col min="4" max="4" width="23.85546875" style="2" customWidth="1"/>
    <col min="5" max="5" width="13.7109375" style="2" customWidth="1"/>
    <col min="6" max="6" width="7.140625" style="2" customWidth="1"/>
    <col min="7" max="7" width="15.42578125" style="2" customWidth="1"/>
    <col min="8" max="16384" width="11.42578125" style="2"/>
  </cols>
  <sheetData>
    <row r="1" spans="1:10" ht="30.75" customHeight="1" x14ac:dyDescent="0.25">
      <c r="A1" s="1560" t="s">
        <v>1927</v>
      </c>
      <c r="B1" s="1561"/>
      <c r="C1" s="1561"/>
      <c r="D1" s="1561"/>
      <c r="E1" s="1561"/>
      <c r="F1" s="1561"/>
      <c r="G1" s="1562"/>
    </row>
    <row r="2" spans="1:10" ht="6.75" customHeight="1" x14ac:dyDescent="0.25">
      <c r="A2" s="998"/>
      <c r="B2" s="996"/>
      <c r="C2" s="996"/>
      <c r="D2" s="996"/>
      <c r="E2" s="996"/>
      <c r="F2" s="996"/>
      <c r="G2" s="1020"/>
    </row>
    <row r="3" spans="1:10" x14ac:dyDescent="0.25">
      <c r="A3" s="988" t="s">
        <v>484</v>
      </c>
      <c r="B3" s="989"/>
      <c r="C3" s="989"/>
      <c r="D3" s="989"/>
      <c r="E3" s="989"/>
      <c r="F3" s="989"/>
      <c r="G3" s="990"/>
    </row>
    <row r="4" spans="1:10" ht="6.75" customHeight="1" x14ac:dyDescent="0.25">
      <c r="A4" s="998"/>
      <c r="B4" s="996"/>
      <c r="C4" s="996"/>
      <c r="D4" s="996"/>
      <c r="E4" s="996"/>
      <c r="F4" s="996"/>
      <c r="G4" s="1020"/>
    </row>
    <row r="5" spans="1:10" x14ac:dyDescent="0.25">
      <c r="A5" s="988" t="s">
        <v>128</v>
      </c>
      <c r="B5" s="989"/>
      <c r="C5" s="989"/>
      <c r="D5" s="989"/>
      <c r="E5" s="989"/>
      <c r="F5" s="989"/>
      <c r="G5" s="990"/>
    </row>
    <row r="6" spans="1:10" ht="8.25" customHeight="1" x14ac:dyDescent="0.25">
      <c r="A6" s="998"/>
      <c r="B6" s="996"/>
      <c r="C6" s="996"/>
      <c r="D6" s="996"/>
      <c r="E6" s="996"/>
      <c r="F6" s="996"/>
      <c r="G6" s="1020"/>
    </row>
    <row r="7" spans="1:10" x14ac:dyDescent="0.25">
      <c r="A7" s="1008" t="s">
        <v>2</v>
      </c>
      <c r="B7" s="1009"/>
      <c r="C7" s="995" t="s">
        <v>13</v>
      </c>
      <c r="D7" s="995"/>
      <c r="E7" s="995"/>
      <c r="F7" s="995"/>
      <c r="G7" s="1006"/>
    </row>
    <row r="8" spans="1:10" x14ac:dyDescent="0.25">
      <c r="A8" s="1008" t="s">
        <v>229</v>
      </c>
      <c r="B8" s="1009"/>
      <c r="C8" s="995" t="s">
        <v>280</v>
      </c>
      <c r="D8" s="995"/>
      <c r="E8" s="995"/>
      <c r="F8" s="995"/>
      <c r="G8" s="1006"/>
    </row>
    <row r="9" spans="1:10" x14ac:dyDescent="0.25">
      <c r="A9" s="1008" t="s">
        <v>129</v>
      </c>
      <c r="B9" s="1009"/>
      <c r="C9" s="805"/>
      <c r="D9" s="1009" t="s">
        <v>130</v>
      </c>
      <c r="E9" s="1009"/>
      <c r="F9" s="1007"/>
      <c r="G9" s="1020"/>
    </row>
    <row r="10" spans="1:10" x14ac:dyDescent="0.25">
      <c r="A10" s="988" t="s">
        <v>1930</v>
      </c>
      <c r="B10" s="989"/>
      <c r="C10" s="989"/>
      <c r="D10" s="989"/>
      <c r="E10" s="989"/>
      <c r="F10" s="989"/>
      <c r="G10" s="990"/>
      <c r="H10" s="4"/>
      <c r="I10" s="4"/>
      <c r="J10" s="4"/>
    </row>
    <row r="11" spans="1:10" customFormat="1" ht="45" customHeight="1" x14ac:dyDescent="0.25">
      <c r="A11" s="1549" t="s">
        <v>1934</v>
      </c>
      <c r="B11" s="1069"/>
      <c r="C11" s="1069"/>
      <c r="D11" s="1069"/>
      <c r="E11" s="1069"/>
      <c r="F11" s="1069"/>
      <c r="G11" s="1550"/>
    </row>
    <row r="12" spans="1:10" customFormat="1" ht="15" customHeight="1" x14ac:dyDescent="0.25">
      <c r="A12" s="988" t="s">
        <v>1931</v>
      </c>
      <c r="B12" s="989"/>
      <c r="C12" s="989"/>
      <c r="D12" s="989"/>
      <c r="E12" s="989"/>
      <c r="F12" s="989"/>
      <c r="G12" s="990"/>
    </row>
    <row r="13" spans="1:10" customFormat="1" ht="15" customHeight="1" x14ac:dyDescent="0.25">
      <c r="A13" s="1551"/>
      <c r="B13" s="1548"/>
      <c r="C13" s="1548"/>
      <c r="D13" s="1548"/>
      <c r="E13" s="1548"/>
      <c r="F13" s="1548"/>
      <c r="G13" s="1552"/>
    </row>
    <row r="14" spans="1:10" customFormat="1" ht="18" customHeight="1" x14ac:dyDescent="0.25">
      <c r="A14" s="1551"/>
      <c r="B14" s="42" t="s">
        <v>1928</v>
      </c>
      <c r="C14" s="992"/>
      <c r="D14" s="992"/>
      <c r="E14" s="1548"/>
      <c r="F14" s="1548"/>
      <c r="G14" s="1552"/>
    </row>
    <row r="15" spans="1:10" customFormat="1" ht="18" customHeight="1" x14ac:dyDescent="0.25">
      <c r="A15" s="1551"/>
      <c r="B15" s="42" t="s">
        <v>1929</v>
      </c>
      <c r="C15" s="992"/>
      <c r="D15" s="992"/>
      <c r="E15" s="1548"/>
      <c r="F15" s="1548"/>
      <c r="G15" s="1552"/>
    </row>
    <row r="16" spans="1:10" customFormat="1" ht="18" customHeight="1" x14ac:dyDescent="0.25">
      <c r="A16" s="1551"/>
      <c r="B16" s="42" t="s">
        <v>493</v>
      </c>
      <c r="C16" s="992" t="s">
        <v>164</v>
      </c>
      <c r="D16" s="992"/>
      <c r="E16" s="1548"/>
      <c r="F16" s="1548"/>
      <c r="G16" s="1552"/>
    </row>
    <row r="17" spans="1:7" customFormat="1" ht="18" customHeight="1" x14ac:dyDescent="0.25">
      <c r="A17" s="1551"/>
      <c r="B17" s="1548"/>
      <c r="C17" s="1548"/>
      <c r="D17" s="1548"/>
      <c r="E17" s="1548"/>
      <c r="F17" s="1548"/>
      <c r="G17" s="1552"/>
    </row>
    <row r="18" spans="1:7" customFormat="1" ht="15" x14ac:dyDescent="0.25">
      <c r="A18" s="988" t="s">
        <v>1935</v>
      </c>
      <c r="B18" s="989"/>
      <c r="C18" s="989"/>
      <c r="D18" s="989"/>
      <c r="E18" s="989"/>
      <c r="F18" s="989"/>
      <c r="G18" s="990"/>
    </row>
    <row r="19" spans="1:7" customFormat="1" ht="51" customHeight="1" x14ac:dyDescent="0.25">
      <c r="A19" s="1549" t="s">
        <v>1936</v>
      </c>
      <c r="B19" s="1069"/>
      <c r="C19" s="1069"/>
      <c r="D19" s="1069"/>
      <c r="E19" s="1069"/>
      <c r="F19" s="1069"/>
      <c r="G19" s="1550"/>
    </row>
    <row r="20" spans="1:7" customFormat="1" ht="15" x14ac:dyDescent="0.25">
      <c r="A20" s="988" t="s">
        <v>1932</v>
      </c>
      <c r="B20" s="989"/>
      <c r="C20" s="989"/>
      <c r="D20" s="989"/>
      <c r="E20" s="989"/>
      <c r="F20" s="989"/>
      <c r="G20" s="990"/>
    </row>
    <row r="21" spans="1:7" customFormat="1" ht="47.25" customHeight="1" x14ac:dyDescent="0.25">
      <c r="A21" s="1563"/>
      <c r="B21" s="1564"/>
      <c r="C21" s="1564"/>
      <c r="D21" s="1564"/>
      <c r="E21" s="1564"/>
      <c r="F21" s="1564"/>
      <c r="G21" s="1565"/>
    </row>
    <row r="22" spans="1:7" customFormat="1" ht="15" x14ac:dyDescent="0.25">
      <c r="A22" s="988" t="s">
        <v>1933</v>
      </c>
      <c r="B22" s="989"/>
      <c r="C22" s="989"/>
      <c r="D22" s="989"/>
      <c r="E22" s="989"/>
      <c r="F22" s="989"/>
      <c r="G22" s="990"/>
    </row>
    <row r="23" spans="1:7" customFormat="1" ht="15" x14ac:dyDescent="0.25">
      <c r="A23" s="1546" t="s">
        <v>288</v>
      </c>
      <c r="B23" s="1547"/>
      <c r="C23" s="1539"/>
      <c r="D23" s="1539"/>
      <c r="E23" s="1539"/>
      <c r="F23" s="1539"/>
      <c r="G23" s="1540"/>
    </row>
    <row r="24" spans="1:7" customFormat="1" ht="15" x14ac:dyDescent="0.25">
      <c r="A24" s="806" t="s">
        <v>289</v>
      </c>
      <c r="B24" s="42"/>
      <c r="C24" s="802" t="s">
        <v>290</v>
      </c>
      <c r="D24" s="42"/>
      <c r="E24" s="802" t="s">
        <v>291</v>
      </c>
      <c r="F24" s="1539"/>
      <c r="G24" s="1540"/>
    </row>
    <row r="25" spans="1:7" customFormat="1" ht="15" x14ac:dyDescent="0.25">
      <c r="A25" s="1001" t="s">
        <v>1573</v>
      </c>
      <c r="B25" s="1539"/>
      <c r="C25" s="1539"/>
      <c r="D25" s="1539"/>
      <c r="E25" s="1539"/>
      <c r="F25" s="1539"/>
      <c r="G25" s="1540"/>
    </row>
    <row r="26" spans="1:7" customFormat="1" ht="60" customHeight="1" x14ac:dyDescent="0.25">
      <c r="A26" s="991"/>
      <c r="B26" s="992"/>
      <c r="C26" s="992"/>
      <c r="D26" s="992"/>
      <c r="E26" s="992"/>
      <c r="F26" s="992"/>
      <c r="G26" s="993"/>
    </row>
    <row r="27" spans="1:7" x14ac:dyDescent="0.25">
      <c r="A27" s="985" t="s">
        <v>411</v>
      </c>
      <c r="B27" s="986"/>
      <c r="C27" s="986"/>
      <c r="D27" s="986"/>
      <c r="E27" s="986"/>
      <c r="F27" s="986"/>
      <c r="G27" s="987"/>
    </row>
    <row r="28" spans="1:7" x14ac:dyDescent="0.25">
      <c r="A28" s="894" t="s">
        <v>1566</v>
      </c>
      <c r="B28" s="883"/>
      <c r="C28" s="883"/>
      <c r="D28" s="883" t="s">
        <v>414</v>
      </c>
      <c r="E28" s="883"/>
      <c r="F28" s="883"/>
      <c r="G28" s="884"/>
    </row>
    <row r="29" spans="1:7" x14ac:dyDescent="0.25">
      <c r="A29" s="894" t="s">
        <v>184</v>
      </c>
      <c r="B29" s="883"/>
      <c r="C29" s="883"/>
      <c r="D29" s="883" t="s">
        <v>177</v>
      </c>
      <c r="E29" s="883"/>
      <c r="F29" s="883"/>
      <c r="G29" s="884"/>
    </row>
    <row r="30" spans="1:7" ht="16.5" thickBot="1" x14ac:dyDescent="0.3">
      <c r="A30" s="895" t="s">
        <v>187</v>
      </c>
      <c r="B30" s="885"/>
      <c r="C30" s="885"/>
      <c r="D30" s="885" t="s">
        <v>188</v>
      </c>
      <c r="E30" s="885"/>
      <c r="F30" s="885"/>
      <c r="G30" s="886"/>
    </row>
  </sheetData>
  <mergeCells count="40">
    <mergeCell ref="A30:C30"/>
    <mergeCell ref="D30:G30"/>
    <mergeCell ref="A25:G25"/>
    <mergeCell ref="A26:G26"/>
    <mergeCell ref="A22:G22"/>
    <mergeCell ref="A23:B23"/>
    <mergeCell ref="C23:G23"/>
    <mergeCell ref="F24:G24"/>
    <mergeCell ref="A27:G27"/>
    <mergeCell ref="A28:C28"/>
    <mergeCell ref="D28:G28"/>
    <mergeCell ref="A29:C29"/>
    <mergeCell ref="D29:G29"/>
    <mergeCell ref="A21:G21"/>
    <mergeCell ref="A20:G20"/>
    <mergeCell ref="C16:D16"/>
    <mergeCell ref="B17:D17"/>
    <mergeCell ref="A18:G18"/>
    <mergeCell ref="A19:G19"/>
    <mergeCell ref="A12:G12"/>
    <mergeCell ref="A13:A17"/>
    <mergeCell ref="B13:D13"/>
    <mergeCell ref="E13:G17"/>
    <mergeCell ref="C14:D14"/>
    <mergeCell ref="C15:D15"/>
    <mergeCell ref="A9:B9"/>
    <mergeCell ref="D9:E9"/>
    <mergeCell ref="F9:G9"/>
    <mergeCell ref="A10:G10"/>
    <mergeCell ref="A11:G11"/>
    <mergeCell ref="A6:G6"/>
    <mergeCell ref="A7:B7"/>
    <mergeCell ref="C7:G7"/>
    <mergeCell ref="A8:B8"/>
    <mergeCell ref="C8:G8"/>
    <mergeCell ref="A1:G1"/>
    <mergeCell ref="A2:G2"/>
    <mergeCell ref="A3:G3"/>
    <mergeCell ref="A4:G4"/>
    <mergeCell ref="A5:G5"/>
  </mergeCells>
  <pageMargins left="1" right="1" top="1" bottom="1" header="0.5" footer="0.5"/>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dimension ref="A1:J57"/>
  <sheetViews>
    <sheetView showGridLines="0" topLeftCell="A13" zoomScale="106" zoomScaleNormal="106" workbookViewId="0">
      <selection sqref="A1:G43"/>
    </sheetView>
  </sheetViews>
  <sheetFormatPr baseColWidth="10" defaultRowHeight="15.75" x14ac:dyDescent="0.25"/>
  <cols>
    <col min="1" max="1" width="19.5703125" style="2" customWidth="1"/>
    <col min="2" max="2" width="25.5703125" style="2" customWidth="1"/>
    <col min="3" max="3" width="12.5703125" style="2" customWidth="1"/>
    <col min="4" max="4" width="23.85546875" style="2" customWidth="1"/>
    <col min="5" max="5" width="13.7109375" style="2" customWidth="1"/>
    <col min="6" max="6" width="7.140625" style="2" customWidth="1"/>
    <col min="7" max="7" width="15.42578125" style="2" customWidth="1"/>
    <col min="8" max="16384" width="11.42578125" style="2"/>
  </cols>
  <sheetData>
    <row r="1" spans="1:10" ht="71.25" customHeight="1" thickBot="1" x14ac:dyDescent="0.3">
      <c r="A1" s="861"/>
      <c r="B1" s="1092"/>
      <c r="C1" s="1093"/>
      <c r="D1" s="1094"/>
      <c r="E1" s="1095" t="s">
        <v>189</v>
      </c>
      <c r="F1" s="1096"/>
      <c r="G1" s="850">
        <v>1.4</v>
      </c>
    </row>
    <row r="2" spans="1:10" ht="30.75" customHeight="1" thickBot="1" x14ac:dyDescent="0.3">
      <c r="A2" s="867" t="s">
        <v>227</v>
      </c>
      <c r="B2" s="868"/>
      <c r="C2" s="868"/>
      <c r="D2" s="868"/>
      <c r="E2" s="868"/>
      <c r="F2" s="868"/>
      <c r="G2" s="869"/>
    </row>
    <row r="3" spans="1:10" ht="16.5" thickBot="1" x14ac:dyDescent="0.3">
      <c r="A3" s="858" t="s">
        <v>127</v>
      </c>
      <c r="B3" s="859"/>
      <c r="C3" s="859"/>
      <c r="D3" s="859"/>
      <c r="E3" s="859"/>
      <c r="F3" s="859"/>
      <c r="G3" s="860"/>
    </row>
    <row r="4" spans="1:10" ht="16.5" thickBot="1" x14ac:dyDescent="0.3">
      <c r="A4" s="858" t="s">
        <v>128</v>
      </c>
      <c r="B4" s="859"/>
      <c r="C4" s="859"/>
      <c r="D4" s="859"/>
      <c r="E4" s="859"/>
      <c r="F4" s="859"/>
      <c r="G4" s="860"/>
    </row>
    <row r="5" spans="1:10" x14ac:dyDescent="0.25">
      <c r="A5" s="952" t="s">
        <v>2</v>
      </c>
      <c r="B5" s="953"/>
      <c r="C5" s="995" t="s">
        <v>13</v>
      </c>
      <c r="D5" s="995"/>
      <c r="E5" s="995"/>
      <c r="F5" s="995"/>
      <c r="G5" s="1006"/>
    </row>
    <row r="6" spans="1:10" x14ac:dyDescent="0.25">
      <c r="A6" s="952" t="s">
        <v>229</v>
      </c>
      <c r="B6" s="953"/>
      <c r="C6" s="1089" t="s">
        <v>280</v>
      </c>
      <c r="D6" s="1090"/>
      <c r="E6" s="1090"/>
      <c r="F6" s="1090"/>
      <c r="G6" s="1091"/>
    </row>
    <row r="7" spans="1:10" x14ac:dyDescent="0.25">
      <c r="A7" s="952" t="s">
        <v>129</v>
      </c>
      <c r="B7" s="953"/>
      <c r="C7" s="813"/>
      <c r="D7" s="1009" t="s">
        <v>130</v>
      </c>
      <c r="E7" s="1009"/>
      <c r="F7" s="1007"/>
      <c r="G7" s="1020"/>
    </row>
    <row r="8" spans="1:10" ht="60.75" customHeight="1" x14ac:dyDescent="0.25">
      <c r="A8" s="404" t="s">
        <v>131</v>
      </c>
      <c r="B8" s="810" t="s">
        <v>134</v>
      </c>
      <c r="C8" s="404" t="s">
        <v>132</v>
      </c>
      <c r="D8" s="809" t="s">
        <v>15</v>
      </c>
      <c r="E8" s="404" t="s">
        <v>133</v>
      </c>
      <c r="F8" s="1019" t="s">
        <v>16</v>
      </c>
      <c r="G8" s="1021"/>
    </row>
    <row r="9" spans="1:10" ht="16.5" thickBot="1" x14ac:dyDescent="0.3">
      <c r="A9" s="404" t="s">
        <v>8</v>
      </c>
      <c r="B9" s="996" t="s">
        <v>496</v>
      </c>
      <c r="C9" s="996"/>
      <c r="D9" s="996"/>
      <c r="E9" s="996"/>
      <c r="F9" s="996"/>
      <c r="G9" s="1020"/>
    </row>
    <row r="10" spans="1:10" ht="16.5" thickBot="1" x14ac:dyDescent="0.3">
      <c r="A10" s="858" t="s">
        <v>9</v>
      </c>
      <c r="B10" s="859"/>
      <c r="C10" s="859"/>
      <c r="D10" s="859"/>
      <c r="E10" s="859"/>
      <c r="F10" s="859"/>
      <c r="G10" s="860"/>
    </row>
    <row r="11" spans="1:10" x14ac:dyDescent="0.25">
      <c r="A11" s="1083" t="s">
        <v>135</v>
      </c>
      <c r="B11" s="1084"/>
      <c r="C11" s="1084" t="s">
        <v>10</v>
      </c>
      <c r="D11" s="1084"/>
      <c r="E11" s="1084" t="s">
        <v>136</v>
      </c>
      <c r="F11" s="1084"/>
      <c r="G11" s="1085"/>
    </row>
    <row r="12" spans="1:10" ht="16.5" thickBot="1" x14ac:dyDescent="0.3">
      <c r="A12" s="863" t="s">
        <v>496</v>
      </c>
      <c r="B12" s="1086"/>
      <c r="C12" s="1086" t="s">
        <v>13</v>
      </c>
      <c r="D12" s="1086"/>
      <c r="E12" s="1087">
        <v>43609</v>
      </c>
      <c r="F12" s="1087"/>
      <c r="G12" s="1088"/>
    </row>
    <row r="13" spans="1:10" x14ac:dyDescent="0.25">
      <c r="A13" s="1080" t="s">
        <v>1556</v>
      </c>
      <c r="B13" s="1081"/>
      <c r="C13" s="1081"/>
      <c r="D13" s="1081"/>
      <c r="E13" s="1081"/>
      <c r="F13" s="1081"/>
      <c r="G13" s="1082"/>
      <c r="H13" s="4"/>
      <c r="I13" s="4"/>
      <c r="J13" s="4"/>
    </row>
    <row r="14" spans="1:10" customFormat="1" ht="37.5" customHeight="1" x14ac:dyDescent="0.25">
      <c r="A14" s="848" t="s">
        <v>193</v>
      </c>
      <c r="B14" s="1077" t="s">
        <v>190</v>
      </c>
      <c r="C14" s="1078"/>
      <c r="D14" s="1079"/>
      <c r="E14" s="1022" t="s">
        <v>191</v>
      </c>
      <c r="F14" s="1022"/>
      <c r="G14" s="820" t="s">
        <v>192</v>
      </c>
    </row>
    <row r="15" spans="1:10" customFormat="1" ht="73.5" customHeight="1" x14ac:dyDescent="0.25">
      <c r="A15" s="851" t="s">
        <v>195</v>
      </c>
      <c r="B15" s="1097" t="s">
        <v>194</v>
      </c>
      <c r="C15" s="1098"/>
      <c r="D15" s="1099"/>
      <c r="E15" s="1069" t="s">
        <v>196</v>
      </c>
      <c r="F15" s="1069"/>
      <c r="G15" s="817" t="s">
        <v>184</v>
      </c>
    </row>
    <row r="16" spans="1:10" customFormat="1" ht="95.25" customHeight="1" thickBot="1" x14ac:dyDescent="0.3">
      <c r="A16" s="815" t="s">
        <v>197</v>
      </c>
      <c r="B16" s="1097" t="s">
        <v>201</v>
      </c>
      <c r="C16" s="1098"/>
      <c r="D16" s="1099"/>
      <c r="E16" s="1069" t="s">
        <v>202</v>
      </c>
      <c r="F16" s="1069"/>
      <c r="G16" s="817" t="s">
        <v>184</v>
      </c>
    </row>
    <row r="17" spans="1:7" customFormat="1" ht="15" customHeight="1" x14ac:dyDescent="0.25">
      <c r="A17" s="1080" t="s">
        <v>1557</v>
      </c>
      <c r="B17" s="1081"/>
      <c r="C17" s="1081"/>
      <c r="D17" s="1081"/>
      <c r="E17" s="1081"/>
      <c r="F17" s="1081"/>
      <c r="G17" s="1082"/>
    </row>
    <row r="18" spans="1:7" customFormat="1" ht="37.5" customHeight="1" x14ac:dyDescent="0.25">
      <c r="A18" s="848" t="s">
        <v>193</v>
      </c>
      <c r="B18" s="1077" t="s">
        <v>190</v>
      </c>
      <c r="C18" s="1078"/>
      <c r="D18" s="1079"/>
      <c r="E18" s="1022" t="s">
        <v>191</v>
      </c>
      <c r="F18" s="1022"/>
      <c r="G18" s="820" t="s">
        <v>192</v>
      </c>
    </row>
    <row r="19" spans="1:7" customFormat="1" ht="54" customHeight="1" x14ac:dyDescent="0.25">
      <c r="A19" s="815" t="s">
        <v>198</v>
      </c>
      <c r="B19" s="1074" t="s">
        <v>203</v>
      </c>
      <c r="C19" s="1075"/>
      <c r="D19" s="1076"/>
      <c r="E19" s="1069" t="s">
        <v>202</v>
      </c>
      <c r="F19" s="1069"/>
      <c r="G19" s="817" t="s">
        <v>184</v>
      </c>
    </row>
    <row r="20" spans="1:7" customFormat="1" ht="57" customHeight="1" x14ac:dyDescent="0.25">
      <c r="A20" s="815" t="s">
        <v>199</v>
      </c>
      <c r="B20" s="1074" t="s">
        <v>204</v>
      </c>
      <c r="C20" s="1075"/>
      <c r="D20" s="1076"/>
      <c r="E20" s="1069" t="s">
        <v>202</v>
      </c>
      <c r="F20" s="1069"/>
      <c r="G20" s="817" t="s">
        <v>184</v>
      </c>
    </row>
    <row r="21" spans="1:7" customFormat="1" ht="46.5" customHeight="1" thickBot="1" x14ac:dyDescent="0.3">
      <c r="A21" s="815" t="s">
        <v>200</v>
      </c>
      <c r="B21" s="1074" t="s">
        <v>205</v>
      </c>
      <c r="C21" s="1075"/>
      <c r="D21" s="1076"/>
      <c r="E21" s="992" t="s">
        <v>184</v>
      </c>
      <c r="F21" s="992"/>
      <c r="G21" s="817" t="s">
        <v>184</v>
      </c>
    </row>
    <row r="22" spans="1:7" customFormat="1" ht="15" customHeight="1" x14ac:dyDescent="0.25">
      <c r="A22" s="1080" t="s">
        <v>1558</v>
      </c>
      <c r="B22" s="1081"/>
      <c r="C22" s="1081"/>
      <c r="D22" s="1081"/>
      <c r="E22" s="1081"/>
      <c r="F22" s="1081"/>
      <c r="G22" s="1082"/>
    </row>
    <row r="23" spans="1:7" customFormat="1" ht="37.5" customHeight="1" x14ac:dyDescent="0.25">
      <c r="A23" s="848" t="s">
        <v>193</v>
      </c>
      <c r="B23" s="1077" t="s">
        <v>190</v>
      </c>
      <c r="C23" s="1078"/>
      <c r="D23" s="1079"/>
      <c r="E23" s="1022" t="s">
        <v>191</v>
      </c>
      <c r="F23" s="1022"/>
      <c r="G23" s="820" t="s">
        <v>192</v>
      </c>
    </row>
    <row r="24" spans="1:7" customFormat="1" ht="52.5" customHeight="1" x14ac:dyDescent="0.25">
      <c r="A24" s="849" t="s">
        <v>206</v>
      </c>
      <c r="B24" s="1074" t="s">
        <v>207</v>
      </c>
      <c r="C24" s="1075"/>
      <c r="D24" s="1076"/>
      <c r="E24" s="1069" t="s">
        <v>202</v>
      </c>
      <c r="F24" s="1069"/>
      <c r="G24" s="817" t="s">
        <v>184</v>
      </c>
    </row>
    <row r="25" spans="1:7" customFormat="1" ht="89.25" customHeight="1" x14ac:dyDescent="0.25">
      <c r="A25" s="849" t="s">
        <v>208</v>
      </c>
      <c r="B25" s="1074" t="s">
        <v>212</v>
      </c>
      <c r="C25" s="1075"/>
      <c r="D25" s="1076"/>
      <c r="E25" s="1069" t="s">
        <v>202</v>
      </c>
      <c r="F25" s="1069"/>
      <c r="G25" s="817" t="s">
        <v>184</v>
      </c>
    </row>
    <row r="26" spans="1:7" customFormat="1" ht="52.5" customHeight="1" thickBot="1" x14ac:dyDescent="0.3">
      <c r="A26" s="849" t="s">
        <v>209</v>
      </c>
      <c r="B26" s="1074" t="s">
        <v>213</v>
      </c>
      <c r="C26" s="1075"/>
      <c r="D26" s="1076"/>
      <c r="E26" s="1069" t="s">
        <v>202</v>
      </c>
      <c r="F26" s="1069"/>
      <c r="G26" s="817" t="s">
        <v>184</v>
      </c>
    </row>
    <row r="27" spans="1:7" customFormat="1" ht="15" customHeight="1" x14ac:dyDescent="0.25">
      <c r="A27" s="1080" t="s">
        <v>1559</v>
      </c>
      <c r="B27" s="1081"/>
      <c r="C27" s="1081"/>
      <c r="D27" s="1081"/>
      <c r="E27" s="1081"/>
      <c r="F27" s="1081"/>
      <c r="G27" s="1082"/>
    </row>
    <row r="28" spans="1:7" customFormat="1" ht="37.5" customHeight="1" x14ac:dyDescent="0.25">
      <c r="A28" s="848" t="s">
        <v>193</v>
      </c>
      <c r="B28" s="1077" t="s">
        <v>190</v>
      </c>
      <c r="C28" s="1078"/>
      <c r="D28" s="1079"/>
      <c r="E28" s="1022" t="s">
        <v>191</v>
      </c>
      <c r="F28" s="1022"/>
      <c r="G28" s="820" t="s">
        <v>192</v>
      </c>
    </row>
    <row r="29" spans="1:7" customFormat="1" ht="74.25" customHeight="1" thickBot="1" x14ac:dyDescent="0.3">
      <c r="A29" s="849" t="s">
        <v>210</v>
      </c>
      <c r="B29" s="1074" t="s">
        <v>214</v>
      </c>
      <c r="C29" s="1075"/>
      <c r="D29" s="1076"/>
      <c r="E29" s="1069" t="s">
        <v>226</v>
      </c>
      <c r="F29" s="1069"/>
      <c r="G29" s="816" t="s">
        <v>222</v>
      </c>
    </row>
    <row r="30" spans="1:7" customFormat="1" ht="15" customHeight="1" x14ac:dyDescent="0.25">
      <c r="A30" s="1080" t="s">
        <v>1560</v>
      </c>
      <c r="B30" s="1081"/>
      <c r="C30" s="1081"/>
      <c r="D30" s="1081"/>
      <c r="E30" s="1081"/>
      <c r="F30" s="1081"/>
      <c r="G30" s="1082"/>
    </row>
    <row r="31" spans="1:7" customFormat="1" ht="37.5" customHeight="1" x14ac:dyDescent="0.25">
      <c r="A31" s="848" t="s">
        <v>193</v>
      </c>
      <c r="B31" s="1077" t="s">
        <v>190</v>
      </c>
      <c r="C31" s="1078"/>
      <c r="D31" s="1079"/>
      <c r="E31" s="1022" t="s">
        <v>191</v>
      </c>
      <c r="F31" s="1022"/>
      <c r="G31" s="820" t="s">
        <v>192</v>
      </c>
    </row>
    <row r="32" spans="1:7" customFormat="1" ht="81" customHeight="1" thickBot="1" x14ac:dyDescent="0.3">
      <c r="A32" s="815" t="s">
        <v>211</v>
      </c>
      <c r="B32" s="1074" t="s">
        <v>215</v>
      </c>
      <c r="C32" s="1075"/>
      <c r="D32" s="1076"/>
      <c r="E32" s="1069" t="s">
        <v>225</v>
      </c>
      <c r="F32" s="1069"/>
      <c r="G32" s="817" t="s">
        <v>184</v>
      </c>
    </row>
    <row r="33" spans="1:7" customFormat="1" ht="15" customHeight="1" x14ac:dyDescent="0.25">
      <c r="A33" s="1080" t="s">
        <v>1561</v>
      </c>
      <c r="B33" s="1081"/>
      <c r="C33" s="1081"/>
      <c r="D33" s="1081"/>
      <c r="E33" s="1081"/>
      <c r="F33" s="1081"/>
      <c r="G33" s="1082"/>
    </row>
    <row r="34" spans="1:7" customFormat="1" ht="37.5" customHeight="1" x14ac:dyDescent="0.25">
      <c r="A34" s="848" t="s">
        <v>193</v>
      </c>
      <c r="B34" s="1077" t="s">
        <v>190</v>
      </c>
      <c r="C34" s="1078"/>
      <c r="D34" s="1079"/>
      <c r="E34" s="1022" t="s">
        <v>191</v>
      </c>
      <c r="F34" s="1022"/>
      <c r="G34" s="820" t="s">
        <v>192</v>
      </c>
    </row>
    <row r="35" spans="1:7" customFormat="1" ht="81" customHeight="1" x14ac:dyDescent="0.25">
      <c r="A35" s="849" t="s">
        <v>216</v>
      </c>
      <c r="B35" s="1070" t="s">
        <v>217</v>
      </c>
      <c r="C35" s="1071"/>
      <c r="D35" s="1072"/>
      <c r="E35" s="1069" t="s">
        <v>224</v>
      </c>
      <c r="F35" s="1069"/>
      <c r="G35" s="817" t="s">
        <v>184</v>
      </c>
    </row>
    <row r="36" spans="1:7" customFormat="1" ht="61.5" customHeight="1" x14ac:dyDescent="0.25">
      <c r="A36" s="849" t="s">
        <v>218</v>
      </c>
      <c r="B36" s="1070" t="s">
        <v>219</v>
      </c>
      <c r="C36" s="1071"/>
      <c r="D36" s="1072"/>
      <c r="E36" s="992" t="s">
        <v>184</v>
      </c>
      <c r="F36" s="992"/>
      <c r="G36" s="817" t="s">
        <v>184</v>
      </c>
    </row>
    <row r="37" spans="1:7" customFormat="1" ht="75.75" customHeight="1" thickBot="1" x14ac:dyDescent="0.3">
      <c r="A37" s="849" t="s">
        <v>220</v>
      </c>
      <c r="B37" s="1070" t="s">
        <v>221</v>
      </c>
      <c r="C37" s="1071"/>
      <c r="D37" s="1072"/>
      <c r="E37" s="1069" t="s">
        <v>223</v>
      </c>
      <c r="F37" s="1069"/>
      <c r="G37" s="816" t="s">
        <v>222</v>
      </c>
    </row>
    <row r="38" spans="1:7" ht="16.5" thickBot="1" x14ac:dyDescent="0.3">
      <c r="A38" s="858" t="s">
        <v>494</v>
      </c>
      <c r="B38" s="859"/>
      <c r="C38" s="859"/>
      <c r="D38" s="859"/>
      <c r="E38" s="859"/>
      <c r="F38" s="859"/>
      <c r="G38" s="860"/>
    </row>
    <row r="39" spans="1:7" x14ac:dyDescent="0.25">
      <c r="A39" s="36"/>
      <c r="B39" s="418"/>
      <c r="C39" s="37"/>
      <c r="D39" s="37"/>
      <c r="E39" s="418"/>
      <c r="F39" s="418"/>
      <c r="G39" s="38"/>
    </row>
    <row r="40" spans="1:7" x14ac:dyDescent="0.25">
      <c r="A40" s="36"/>
      <c r="B40" s="811" t="s">
        <v>496</v>
      </c>
      <c r="C40" s="37"/>
      <c r="D40" s="37"/>
      <c r="E40" s="1073" t="s">
        <v>168</v>
      </c>
      <c r="F40" s="1073"/>
      <c r="G40" s="38"/>
    </row>
    <row r="41" spans="1:7" x14ac:dyDescent="0.25">
      <c r="A41" s="36"/>
      <c r="B41" s="811" t="s">
        <v>184</v>
      </c>
      <c r="C41" s="37"/>
      <c r="D41" s="37"/>
      <c r="E41" s="1073" t="s">
        <v>177</v>
      </c>
      <c r="F41" s="1073"/>
      <c r="G41" s="38"/>
    </row>
    <row r="42" spans="1:7" x14ac:dyDescent="0.25">
      <c r="A42" s="36"/>
      <c r="B42" s="811" t="s">
        <v>187</v>
      </c>
      <c r="C42" s="37"/>
      <c r="D42" s="37"/>
      <c r="E42" s="1073" t="s">
        <v>188</v>
      </c>
      <c r="F42" s="1073"/>
      <c r="G42" s="38"/>
    </row>
    <row r="43" spans="1:7" ht="16.5" thickBot="1" x14ac:dyDescent="0.3">
      <c r="A43" s="39"/>
      <c r="B43" s="40"/>
      <c r="C43" s="40"/>
      <c r="D43" s="40"/>
      <c r="E43" s="40"/>
      <c r="F43" s="40"/>
      <c r="G43" s="41"/>
    </row>
    <row r="44" spans="1:7" x14ac:dyDescent="0.25">
      <c r="A44" s="421"/>
      <c r="B44" s="421"/>
      <c r="C44" s="421"/>
      <c r="D44" s="421"/>
      <c r="E44" s="421"/>
      <c r="F44" s="421"/>
      <c r="G44" s="421"/>
    </row>
    <row r="45" spans="1:7" x14ac:dyDescent="0.25">
      <c r="A45" s="421"/>
      <c r="B45" s="421"/>
      <c r="C45" s="421"/>
      <c r="D45" s="421"/>
      <c r="E45" s="421"/>
      <c r="F45" s="421"/>
      <c r="G45" s="421"/>
    </row>
    <row r="46" spans="1:7" x14ac:dyDescent="0.25">
      <c r="A46" s="421"/>
      <c r="B46" s="421"/>
      <c r="C46" s="421"/>
      <c r="D46" s="421"/>
      <c r="E46" s="421"/>
      <c r="F46" s="421"/>
      <c r="G46" s="421"/>
    </row>
    <row r="47" spans="1:7" x14ac:dyDescent="0.25">
      <c r="A47" s="421"/>
      <c r="B47" s="421"/>
      <c r="C47" s="421"/>
      <c r="D47" s="421"/>
      <c r="E47" s="421"/>
      <c r="F47" s="421"/>
      <c r="G47" s="421"/>
    </row>
    <row r="48" spans="1:7" x14ac:dyDescent="0.25">
      <c r="A48" s="421"/>
      <c r="B48" s="421"/>
      <c r="C48" s="421"/>
      <c r="D48" s="421"/>
      <c r="E48" s="421"/>
      <c r="F48" s="421"/>
      <c r="G48" s="421"/>
    </row>
    <row r="49" spans="1:7" x14ac:dyDescent="0.25">
      <c r="A49" s="421"/>
      <c r="B49" s="421"/>
      <c r="C49" s="421"/>
      <c r="D49" s="421"/>
      <c r="E49" s="421"/>
      <c r="F49" s="421"/>
      <c r="G49" s="421"/>
    </row>
    <row r="50" spans="1:7" x14ac:dyDescent="0.25">
      <c r="A50" s="421"/>
      <c r="B50" s="421"/>
      <c r="C50" s="421"/>
      <c r="D50" s="421"/>
      <c r="E50" s="421"/>
      <c r="F50" s="421"/>
      <c r="G50" s="421"/>
    </row>
    <row r="51" spans="1:7" x14ac:dyDescent="0.25">
      <c r="A51" s="421"/>
      <c r="B51" s="421"/>
      <c r="C51" s="421"/>
      <c r="D51" s="421"/>
      <c r="E51" s="421"/>
      <c r="F51" s="421"/>
      <c r="G51" s="421"/>
    </row>
    <row r="52" spans="1:7" x14ac:dyDescent="0.25">
      <c r="A52" s="421"/>
      <c r="B52" s="421"/>
      <c r="C52" s="421"/>
      <c r="D52" s="421"/>
      <c r="E52" s="421"/>
      <c r="F52" s="421"/>
      <c r="G52" s="421"/>
    </row>
    <row r="53" spans="1:7" x14ac:dyDescent="0.25">
      <c r="A53" s="421"/>
      <c r="B53" s="421"/>
      <c r="C53" s="421"/>
      <c r="D53" s="421"/>
      <c r="E53" s="421"/>
      <c r="F53" s="421"/>
      <c r="G53" s="421"/>
    </row>
    <row r="54" spans="1:7" x14ac:dyDescent="0.25">
      <c r="A54" s="421"/>
      <c r="B54" s="421"/>
      <c r="C54" s="421"/>
      <c r="D54" s="421"/>
      <c r="E54" s="421"/>
      <c r="F54" s="421"/>
      <c r="G54" s="421"/>
    </row>
    <row r="55" spans="1:7" x14ac:dyDescent="0.25">
      <c r="A55" s="421"/>
      <c r="B55" s="421"/>
      <c r="C55" s="421"/>
      <c r="D55" s="421"/>
      <c r="E55" s="421"/>
      <c r="F55" s="421"/>
      <c r="G55" s="421"/>
    </row>
    <row r="56" spans="1:7" x14ac:dyDescent="0.25">
      <c r="A56" s="421"/>
      <c r="B56" s="421"/>
      <c r="C56" s="421"/>
      <c r="D56" s="421"/>
      <c r="E56" s="421"/>
      <c r="F56" s="421"/>
      <c r="G56" s="421"/>
    </row>
    <row r="57" spans="1:7" x14ac:dyDescent="0.25">
      <c r="A57" s="421"/>
      <c r="B57" s="421"/>
      <c r="C57" s="421"/>
      <c r="D57" s="421"/>
      <c r="E57" s="421"/>
      <c r="F57" s="421"/>
      <c r="G57" s="421"/>
    </row>
  </sheetData>
  <mergeCells count="70">
    <mergeCell ref="A27:G27"/>
    <mergeCell ref="A30:G30"/>
    <mergeCell ref="A33:G33"/>
    <mergeCell ref="A1:B1"/>
    <mergeCell ref="C1:D1"/>
    <mergeCell ref="E1:F1"/>
    <mergeCell ref="A2:G2"/>
    <mergeCell ref="B14:D14"/>
    <mergeCell ref="B15:D15"/>
    <mergeCell ref="B16:D16"/>
    <mergeCell ref="A7:B7"/>
    <mergeCell ref="D7:E7"/>
    <mergeCell ref="F7:G7"/>
    <mergeCell ref="F8:G8"/>
    <mergeCell ref="B9:G9"/>
    <mergeCell ref="A3:G3"/>
    <mergeCell ref="A4:G4"/>
    <mergeCell ref="A5:B5"/>
    <mergeCell ref="C5:G5"/>
    <mergeCell ref="C6:G6"/>
    <mergeCell ref="A6:B6"/>
    <mergeCell ref="A10:G10"/>
    <mergeCell ref="A11:B11"/>
    <mergeCell ref="C11:D11"/>
    <mergeCell ref="E11:G11"/>
    <mergeCell ref="A12:B12"/>
    <mergeCell ref="C12:D12"/>
    <mergeCell ref="E12:G12"/>
    <mergeCell ref="A13:G13"/>
    <mergeCell ref="B18:D18"/>
    <mergeCell ref="E14:F14"/>
    <mergeCell ref="E15:F15"/>
    <mergeCell ref="E16:F16"/>
    <mergeCell ref="E18:F18"/>
    <mergeCell ref="A17:G17"/>
    <mergeCell ref="B19:D19"/>
    <mergeCell ref="B20:D20"/>
    <mergeCell ref="B21:D21"/>
    <mergeCell ref="B23:D23"/>
    <mergeCell ref="B24:D24"/>
    <mergeCell ref="A22:G22"/>
    <mergeCell ref="E19:F19"/>
    <mergeCell ref="E20:F20"/>
    <mergeCell ref="E21:F21"/>
    <mergeCell ref="E23:F23"/>
    <mergeCell ref="E24:F24"/>
    <mergeCell ref="B25:D25"/>
    <mergeCell ref="B26:D26"/>
    <mergeCell ref="E36:F36"/>
    <mergeCell ref="B28:D28"/>
    <mergeCell ref="B29:D29"/>
    <mergeCell ref="B31:D31"/>
    <mergeCell ref="B32:D32"/>
    <mergeCell ref="B34:D34"/>
    <mergeCell ref="B35:D35"/>
    <mergeCell ref="B36:D36"/>
    <mergeCell ref="E25:F25"/>
    <mergeCell ref="E26:F26"/>
    <mergeCell ref="E28:F28"/>
    <mergeCell ref="E29:F29"/>
    <mergeCell ref="E31:F31"/>
    <mergeCell ref="E32:F32"/>
    <mergeCell ref="E34:F34"/>
    <mergeCell ref="E35:F35"/>
    <mergeCell ref="E37:F37"/>
    <mergeCell ref="B37:D37"/>
    <mergeCell ref="E42:F42"/>
    <mergeCell ref="A38:G38"/>
    <mergeCell ref="E40:F40"/>
    <mergeCell ref="E41:F41"/>
  </mergeCells>
  <pageMargins left="1" right="1" top="1" bottom="1" header="0.5" footer="0.5"/>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J64"/>
  <sheetViews>
    <sheetView showGridLines="0" topLeftCell="A12" zoomScale="32" zoomScaleNormal="32" workbookViewId="0">
      <selection sqref="A1:G64"/>
    </sheetView>
  </sheetViews>
  <sheetFormatPr baseColWidth="10" defaultRowHeight="15.75" x14ac:dyDescent="0.25"/>
  <cols>
    <col min="1" max="1" width="19.5703125" style="2" customWidth="1"/>
    <col min="2" max="2" width="25.5703125" style="2" customWidth="1"/>
    <col min="3" max="3" width="12.5703125" style="2" customWidth="1"/>
    <col min="4" max="4" width="23.85546875" style="2" customWidth="1"/>
    <col min="5" max="5" width="13.7109375" style="2" customWidth="1"/>
    <col min="6" max="6" width="7.140625" style="2" customWidth="1"/>
    <col min="7" max="7" width="15.42578125" style="2" customWidth="1"/>
    <col min="8" max="16384" width="11.42578125" style="2"/>
  </cols>
  <sheetData>
    <row r="1" spans="1:10" ht="71.25" customHeight="1" x14ac:dyDescent="0.25">
      <c r="A1" s="1147"/>
      <c r="B1" s="1148"/>
      <c r="C1" s="1148"/>
      <c r="D1" s="1148"/>
      <c r="E1" s="1149" t="s">
        <v>189</v>
      </c>
      <c r="F1" s="1149"/>
      <c r="G1" s="440" t="s">
        <v>308</v>
      </c>
    </row>
    <row r="2" spans="1:10" ht="7.5" customHeight="1" x14ac:dyDescent="0.25">
      <c r="A2" s="1137"/>
      <c r="B2" s="1138"/>
      <c r="C2" s="1138"/>
      <c r="D2" s="1138"/>
      <c r="E2" s="1138"/>
      <c r="F2" s="1138"/>
      <c r="G2" s="1139"/>
    </row>
    <row r="3" spans="1:10" ht="30.75" customHeight="1" x14ac:dyDescent="0.25">
      <c r="A3" s="1150" t="s">
        <v>281</v>
      </c>
      <c r="B3" s="1151"/>
      <c r="C3" s="1151"/>
      <c r="D3" s="1151"/>
      <c r="E3" s="1151"/>
      <c r="F3" s="1151"/>
      <c r="G3" s="1152"/>
    </row>
    <row r="4" spans="1:10" ht="6.75" customHeight="1" x14ac:dyDescent="0.25">
      <c r="A4" s="1137"/>
      <c r="B4" s="1138"/>
      <c r="C4" s="1138"/>
      <c r="D4" s="1138"/>
      <c r="E4" s="1138"/>
      <c r="F4" s="1138"/>
      <c r="G4" s="1139"/>
    </row>
    <row r="5" spans="1:10" x14ac:dyDescent="0.25">
      <c r="A5" s="1109" t="s">
        <v>127</v>
      </c>
      <c r="B5" s="1110"/>
      <c r="C5" s="1110"/>
      <c r="D5" s="1110"/>
      <c r="E5" s="1110"/>
      <c r="F5" s="1110"/>
      <c r="G5" s="1111"/>
    </row>
    <row r="6" spans="1:10" ht="6.75" customHeight="1" x14ac:dyDescent="0.25">
      <c r="A6" s="1137"/>
      <c r="B6" s="1138"/>
      <c r="C6" s="1138"/>
      <c r="D6" s="1138"/>
      <c r="E6" s="1138"/>
      <c r="F6" s="1138"/>
      <c r="G6" s="1139"/>
    </row>
    <row r="7" spans="1:10" x14ac:dyDescent="0.25">
      <c r="A7" s="1109" t="s">
        <v>128</v>
      </c>
      <c r="B7" s="1110"/>
      <c r="C7" s="1110"/>
      <c r="D7" s="1110"/>
      <c r="E7" s="1110"/>
      <c r="F7" s="1110"/>
      <c r="G7" s="1111"/>
    </row>
    <row r="8" spans="1:10" ht="8.25" customHeight="1" x14ac:dyDescent="0.25">
      <c r="A8" s="1137"/>
      <c r="B8" s="1138"/>
      <c r="C8" s="1138"/>
      <c r="D8" s="1138"/>
      <c r="E8" s="1138"/>
      <c r="F8" s="1138"/>
      <c r="G8" s="1139"/>
    </row>
    <row r="9" spans="1:10" x14ac:dyDescent="0.25">
      <c r="A9" s="1145" t="s">
        <v>2</v>
      </c>
      <c r="B9" s="1146"/>
      <c r="C9" s="1120" t="s">
        <v>13</v>
      </c>
      <c r="D9" s="1120"/>
      <c r="E9" s="1120"/>
      <c r="F9" s="1120"/>
      <c r="G9" s="1121"/>
    </row>
    <row r="10" spans="1:10" x14ac:dyDescent="0.25">
      <c r="A10" s="1145" t="s">
        <v>229</v>
      </c>
      <c r="B10" s="1146"/>
      <c r="C10" s="1120" t="s">
        <v>280</v>
      </c>
      <c r="D10" s="1120"/>
      <c r="E10" s="1120"/>
      <c r="F10" s="1120"/>
      <c r="G10" s="1121"/>
    </row>
    <row r="11" spans="1:10" x14ac:dyDescent="0.25">
      <c r="A11" s="1145" t="s">
        <v>129</v>
      </c>
      <c r="B11" s="1146"/>
      <c r="C11" s="429"/>
      <c r="D11" s="1146" t="s">
        <v>130</v>
      </c>
      <c r="E11" s="1146"/>
      <c r="F11" s="1142"/>
      <c r="G11" s="1139"/>
    </row>
    <row r="12" spans="1:10" x14ac:dyDescent="0.25">
      <c r="A12" s="1109" t="s">
        <v>9</v>
      </c>
      <c r="B12" s="1110"/>
      <c r="C12" s="1110"/>
      <c r="D12" s="1110"/>
      <c r="E12" s="1110"/>
      <c r="F12" s="1110"/>
      <c r="G12" s="1111"/>
    </row>
    <row r="13" spans="1:10" x14ac:dyDescent="0.25">
      <c r="A13" s="1144" t="s">
        <v>135</v>
      </c>
      <c r="B13" s="1120"/>
      <c r="C13" s="1120" t="s">
        <v>10</v>
      </c>
      <c r="D13" s="1120"/>
      <c r="E13" s="1120" t="s">
        <v>136</v>
      </c>
      <c r="F13" s="1120"/>
      <c r="G13" s="1121"/>
    </row>
    <row r="14" spans="1:10" x14ac:dyDescent="0.25">
      <c r="A14" s="1137" t="s">
        <v>1566</v>
      </c>
      <c r="B14" s="1138"/>
      <c r="C14" s="1138" t="s">
        <v>13</v>
      </c>
      <c r="D14" s="1138"/>
      <c r="E14" s="1142">
        <v>43609</v>
      </c>
      <c r="F14" s="1142"/>
      <c r="G14" s="1143"/>
    </row>
    <row r="15" spans="1:10" ht="9.75" customHeight="1" x14ac:dyDescent="0.25">
      <c r="A15" s="1137"/>
      <c r="B15" s="1138"/>
      <c r="C15" s="1138"/>
      <c r="D15" s="1138"/>
      <c r="E15" s="1138"/>
      <c r="F15" s="1138"/>
      <c r="G15" s="1139"/>
    </row>
    <row r="16" spans="1:10" x14ac:dyDescent="0.25">
      <c r="A16" s="1109" t="s">
        <v>137</v>
      </c>
      <c r="B16" s="1110"/>
      <c r="C16" s="1110"/>
      <c r="D16" s="1110"/>
      <c r="E16" s="1110"/>
      <c r="F16" s="1110"/>
      <c r="G16" s="1111"/>
      <c r="H16" s="4"/>
      <c r="I16" s="4"/>
      <c r="J16" s="4"/>
    </row>
    <row r="17" spans="1:10" ht="15.75" customHeight="1" x14ac:dyDescent="0.25">
      <c r="A17" s="1132" t="s">
        <v>18</v>
      </c>
      <c r="B17" s="1133"/>
      <c r="C17" s="1134" t="s">
        <v>25</v>
      </c>
      <c r="D17" s="1134"/>
      <c r="E17" s="1134"/>
      <c r="F17" s="1134"/>
      <c r="G17" s="1135"/>
      <c r="H17" s="5"/>
      <c r="I17" s="4"/>
      <c r="J17" s="4"/>
    </row>
    <row r="18" spans="1:10" x14ac:dyDescent="0.25">
      <c r="A18" s="1132" t="s">
        <v>20</v>
      </c>
      <c r="B18" s="1133"/>
      <c r="C18" s="1134" t="s">
        <v>27</v>
      </c>
      <c r="D18" s="1134"/>
      <c r="E18" s="1134"/>
      <c r="F18" s="1134"/>
      <c r="G18" s="1135"/>
      <c r="H18" s="5"/>
      <c r="I18" s="4"/>
      <c r="J18" s="4"/>
    </row>
    <row r="19" spans="1:10" x14ac:dyDescent="0.25">
      <c r="A19" s="1132" t="s">
        <v>21</v>
      </c>
      <c r="B19" s="1133"/>
      <c r="C19" s="1134" t="s">
        <v>28</v>
      </c>
      <c r="D19" s="1134"/>
      <c r="E19" s="1134"/>
      <c r="F19" s="1134"/>
      <c r="G19" s="1135"/>
      <c r="H19" s="5"/>
      <c r="I19" s="4"/>
      <c r="J19" s="4"/>
    </row>
    <row r="20" spans="1:10" ht="5.25" customHeight="1" x14ac:dyDescent="0.25">
      <c r="A20" s="1137"/>
      <c r="B20" s="1138"/>
      <c r="C20" s="1138"/>
      <c r="D20" s="1138"/>
      <c r="E20" s="1138"/>
      <c r="F20" s="1138"/>
      <c r="G20" s="1139"/>
      <c r="H20" s="4"/>
      <c r="I20" s="4"/>
      <c r="J20" s="4"/>
    </row>
    <row r="21" spans="1:10" x14ac:dyDescent="0.25">
      <c r="A21" s="1109" t="s">
        <v>282</v>
      </c>
      <c r="B21" s="1110"/>
      <c r="C21" s="1110"/>
      <c r="D21" s="1110"/>
      <c r="E21" s="1110"/>
      <c r="F21" s="1110"/>
      <c r="G21" s="1111"/>
      <c r="H21" s="4"/>
      <c r="I21" s="4"/>
      <c r="J21" s="4"/>
    </row>
    <row r="22" spans="1:10" customFormat="1" ht="37.5" customHeight="1" x14ac:dyDescent="0.25">
      <c r="A22" s="1112" t="s">
        <v>1562</v>
      </c>
      <c r="B22" s="1113"/>
      <c r="C22" s="1113"/>
      <c r="D22" s="1113"/>
      <c r="E22" s="1113"/>
      <c r="F22" s="1113"/>
      <c r="G22" s="1114"/>
    </row>
    <row r="23" spans="1:10" customFormat="1" ht="15" customHeight="1" x14ac:dyDescent="0.25">
      <c r="A23" s="1109" t="s">
        <v>283</v>
      </c>
      <c r="B23" s="1110"/>
      <c r="C23" s="1110"/>
      <c r="D23" s="1110"/>
      <c r="E23" s="1110"/>
      <c r="F23" s="1110"/>
      <c r="G23" s="1111"/>
    </row>
    <row r="24" spans="1:10" customFormat="1" ht="15" customHeight="1" x14ac:dyDescent="0.25">
      <c r="A24" s="1140"/>
      <c r="B24" s="1136"/>
      <c r="C24" s="1136"/>
      <c r="D24" s="1136"/>
      <c r="E24" s="1136"/>
      <c r="F24" s="1136"/>
      <c r="G24" s="1141"/>
    </row>
    <row r="25" spans="1:10" customFormat="1" ht="18" customHeight="1" x14ac:dyDescent="0.25">
      <c r="A25" s="1140"/>
      <c r="B25" s="441" t="s">
        <v>284</v>
      </c>
      <c r="C25" s="1116"/>
      <c r="D25" s="1116"/>
      <c r="E25" s="1136"/>
      <c r="F25" s="1136"/>
      <c r="G25" s="1141"/>
    </row>
    <row r="26" spans="1:10" customFormat="1" ht="18" customHeight="1" x14ac:dyDescent="0.25">
      <c r="A26" s="1140"/>
      <c r="B26" s="441" t="s">
        <v>285</v>
      </c>
      <c r="C26" s="1116"/>
      <c r="D26" s="1116"/>
      <c r="E26" s="1136"/>
      <c r="F26" s="1136"/>
      <c r="G26" s="1141"/>
    </row>
    <row r="27" spans="1:10" customFormat="1" ht="18" customHeight="1" x14ac:dyDescent="0.25">
      <c r="A27" s="1140"/>
      <c r="B27" s="441" t="s">
        <v>286</v>
      </c>
      <c r="C27" s="1116"/>
      <c r="D27" s="1116"/>
      <c r="E27" s="1136"/>
      <c r="F27" s="1136"/>
      <c r="G27" s="1141"/>
    </row>
    <row r="28" spans="1:10" customFormat="1" ht="18" customHeight="1" x14ac:dyDescent="0.25">
      <c r="A28" s="1140"/>
      <c r="B28" s="441" t="s">
        <v>287</v>
      </c>
      <c r="C28" s="1116" t="s">
        <v>164</v>
      </c>
      <c r="D28" s="1116"/>
      <c r="E28" s="1136"/>
      <c r="F28" s="1136"/>
      <c r="G28" s="1141"/>
    </row>
    <row r="29" spans="1:10" customFormat="1" ht="18" customHeight="1" x14ac:dyDescent="0.25">
      <c r="A29" s="1140"/>
      <c r="B29" s="1136"/>
      <c r="C29" s="1136"/>
      <c r="D29" s="1136"/>
      <c r="E29" s="1136"/>
      <c r="F29" s="1136"/>
      <c r="G29" s="1141"/>
    </row>
    <row r="30" spans="1:10" customFormat="1" ht="15" x14ac:dyDescent="0.25">
      <c r="A30" s="1109" t="s">
        <v>295</v>
      </c>
      <c r="B30" s="1110"/>
      <c r="C30" s="1110"/>
      <c r="D30" s="1110"/>
      <c r="E30" s="1110"/>
      <c r="F30" s="1110"/>
      <c r="G30" s="1111"/>
    </row>
    <row r="31" spans="1:10" customFormat="1" ht="44.25" customHeight="1" x14ac:dyDescent="0.25">
      <c r="A31" s="1122" t="s">
        <v>1567</v>
      </c>
      <c r="B31" s="1123"/>
      <c r="C31" s="1123"/>
      <c r="D31" s="1123"/>
      <c r="E31" s="1123"/>
      <c r="F31" s="1123"/>
      <c r="G31" s="1124"/>
    </row>
    <row r="32" spans="1:10" customFormat="1" ht="15" x14ac:dyDescent="0.25">
      <c r="A32" s="1109" t="s">
        <v>296</v>
      </c>
      <c r="B32" s="1110"/>
      <c r="C32" s="1110"/>
      <c r="D32" s="1110"/>
      <c r="E32" s="1110"/>
      <c r="F32" s="1110"/>
      <c r="G32" s="1111"/>
    </row>
    <row r="33" spans="1:7" customFormat="1" ht="15.75" customHeight="1" x14ac:dyDescent="0.25">
      <c r="A33" s="1103" t="s">
        <v>297</v>
      </c>
      <c r="B33" s="1104"/>
      <c r="C33" s="1104"/>
      <c r="D33" s="1104"/>
      <c r="E33" s="1104"/>
      <c r="F33" s="1104"/>
      <c r="G33" s="1105"/>
    </row>
    <row r="34" spans="1:7" customFormat="1" ht="43.5" customHeight="1" x14ac:dyDescent="0.25">
      <c r="A34" s="1112" t="s">
        <v>1563</v>
      </c>
      <c r="B34" s="1113"/>
      <c r="C34" s="1113"/>
      <c r="D34" s="1113"/>
      <c r="E34" s="1113"/>
      <c r="F34" s="1113"/>
      <c r="G34" s="1114"/>
    </row>
    <row r="35" spans="1:7" customFormat="1" ht="15" x14ac:dyDescent="0.25">
      <c r="A35" s="1103" t="s">
        <v>298</v>
      </c>
      <c r="B35" s="1104"/>
      <c r="C35" s="1104"/>
      <c r="D35" s="1104"/>
      <c r="E35" s="1104"/>
      <c r="F35" s="1104"/>
      <c r="G35" s="1105"/>
    </row>
    <row r="36" spans="1:7" customFormat="1" ht="39" customHeight="1" x14ac:dyDescent="0.25">
      <c r="A36" s="1112" t="s">
        <v>1564</v>
      </c>
      <c r="B36" s="1113"/>
      <c r="C36" s="1113"/>
      <c r="D36" s="1113"/>
      <c r="E36" s="1113"/>
      <c r="F36" s="1113"/>
      <c r="G36" s="1114"/>
    </row>
    <row r="37" spans="1:7" customFormat="1" ht="15" x14ac:dyDescent="0.25">
      <c r="A37" s="1103" t="s">
        <v>299</v>
      </c>
      <c r="B37" s="1104"/>
      <c r="C37" s="1104"/>
      <c r="D37" s="1104"/>
      <c r="E37" s="1104"/>
      <c r="F37" s="1104"/>
      <c r="G37" s="1105"/>
    </row>
    <row r="38" spans="1:7" customFormat="1" ht="39" customHeight="1" x14ac:dyDescent="0.25">
      <c r="A38" s="1122" t="s">
        <v>1568</v>
      </c>
      <c r="B38" s="1123"/>
      <c r="C38" s="1123"/>
      <c r="D38" s="1123"/>
      <c r="E38" s="1123"/>
      <c r="F38" s="1123"/>
      <c r="G38" s="1124"/>
    </row>
    <row r="39" spans="1:7" customFormat="1" ht="15" x14ac:dyDescent="0.25">
      <c r="A39" s="1103" t="s">
        <v>300</v>
      </c>
      <c r="B39" s="1104"/>
      <c r="C39" s="1104"/>
      <c r="D39" s="1104"/>
      <c r="E39" s="1104"/>
      <c r="F39" s="1104"/>
      <c r="G39" s="1105"/>
    </row>
    <row r="40" spans="1:7" customFormat="1" ht="42" customHeight="1" x14ac:dyDescent="0.25">
      <c r="A40" s="1112" t="s">
        <v>1569</v>
      </c>
      <c r="B40" s="1113"/>
      <c r="C40" s="1113"/>
      <c r="D40" s="1113"/>
      <c r="E40" s="1113"/>
      <c r="F40" s="1113"/>
      <c r="G40" s="1114"/>
    </row>
    <row r="41" spans="1:7" customFormat="1" ht="15" x14ac:dyDescent="0.25">
      <c r="A41" s="1103" t="s">
        <v>301</v>
      </c>
      <c r="B41" s="1104"/>
      <c r="C41" s="1104"/>
      <c r="D41" s="1104"/>
      <c r="E41" s="1104"/>
      <c r="F41" s="1104"/>
      <c r="G41" s="1105"/>
    </row>
    <row r="42" spans="1:7" customFormat="1" ht="36" customHeight="1" x14ac:dyDescent="0.25">
      <c r="A42" s="1112" t="s">
        <v>1570</v>
      </c>
      <c r="B42" s="1113"/>
      <c r="C42" s="1113"/>
      <c r="D42" s="1113"/>
      <c r="E42" s="1113"/>
      <c r="F42" s="1113"/>
      <c r="G42" s="1114"/>
    </row>
    <row r="43" spans="1:7" customFormat="1" ht="15" x14ac:dyDescent="0.25">
      <c r="A43" s="1103" t="s">
        <v>302</v>
      </c>
      <c r="B43" s="1104"/>
      <c r="C43" s="1104"/>
      <c r="D43" s="1104"/>
      <c r="E43" s="1104"/>
      <c r="F43" s="1104"/>
      <c r="G43" s="1105"/>
    </row>
    <row r="44" spans="1:7" customFormat="1" ht="36" customHeight="1" x14ac:dyDescent="0.25">
      <c r="A44" s="1112" t="s">
        <v>1571</v>
      </c>
      <c r="B44" s="1113"/>
      <c r="C44" s="1113"/>
      <c r="D44" s="1113"/>
      <c r="E44" s="1113"/>
      <c r="F44" s="1113"/>
      <c r="G44" s="1114"/>
    </row>
    <row r="45" spans="1:7" customFormat="1" ht="15" x14ac:dyDescent="0.25">
      <c r="A45" s="1109" t="s">
        <v>303</v>
      </c>
      <c r="B45" s="1110"/>
      <c r="C45" s="1110"/>
      <c r="D45" s="1110"/>
      <c r="E45" s="1110"/>
      <c r="F45" s="1110"/>
      <c r="G45" s="1111"/>
    </row>
    <row r="46" spans="1:7" customFormat="1" ht="44.25" customHeight="1" x14ac:dyDescent="0.25">
      <c r="A46" s="1112" t="s">
        <v>1565</v>
      </c>
      <c r="B46" s="1113"/>
      <c r="C46" s="1113"/>
      <c r="D46" s="1113"/>
      <c r="E46" s="1113"/>
      <c r="F46" s="1113"/>
      <c r="G46" s="1114"/>
    </row>
    <row r="47" spans="1:7" customFormat="1" ht="15" x14ac:dyDescent="0.25">
      <c r="A47" s="1109" t="s">
        <v>304</v>
      </c>
      <c r="B47" s="1110"/>
      <c r="C47" s="1110"/>
      <c r="D47" s="1110"/>
      <c r="E47" s="1110"/>
      <c r="F47" s="1110"/>
      <c r="G47" s="1111"/>
    </row>
    <row r="48" spans="1:7" customFormat="1" ht="15" x14ac:dyDescent="0.25">
      <c r="A48" s="1115" t="s">
        <v>1572</v>
      </c>
      <c r="B48" s="1116"/>
      <c r="C48" s="1116"/>
      <c r="D48" s="1116"/>
      <c r="E48" s="1116"/>
      <c r="F48" s="1116"/>
      <c r="G48" s="1117"/>
    </row>
    <row r="49" spans="1:7" customFormat="1" ht="15" x14ac:dyDescent="0.25">
      <c r="A49" s="1109" t="s">
        <v>305</v>
      </c>
      <c r="B49" s="1110"/>
      <c r="C49" s="1110"/>
      <c r="D49" s="1110"/>
      <c r="E49" s="1110"/>
      <c r="F49" s="1110"/>
      <c r="G49" s="1111"/>
    </row>
    <row r="50" spans="1:7" customFormat="1" ht="15" x14ac:dyDescent="0.25">
      <c r="A50" s="1130" t="s">
        <v>288</v>
      </c>
      <c r="B50" s="1131"/>
      <c r="C50" s="1118"/>
      <c r="D50" s="1118"/>
      <c r="E50" s="1118"/>
      <c r="F50" s="1118"/>
      <c r="G50" s="1119"/>
    </row>
    <row r="51" spans="1:7" customFormat="1" ht="15" x14ac:dyDescent="0.25">
      <c r="A51" s="442" t="s">
        <v>289</v>
      </c>
      <c r="B51" s="443"/>
      <c r="C51" s="444" t="s">
        <v>290</v>
      </c>
      <c r="D51" s="443"/>
      <c r="E51" s="444" t="s">
        <v>291</v>
      </c>
      <c r="F51" s="1118"/>
      <c r="G51" s="1119"/>
    </row>
    <row r="52" spans="1:7" customFormat="1" ht="15" x14ac:dyDescent="0.25">
      <c r="A52" s="442" t="s">
        <v>292</v>
      </c>
      <c r="B52" s="443"/>
      <c r="C52" s="1120"/>
      <c r="D52" s="1120"/>
      <c r="E52" s="1120"/>
      <c r="F52" s="1120"/>
      <c r="G52" s="1121"/>
    </row>
    <row r="53" spans="1:7" customFormat="1" ht="15" x14ac:dyDescent="0.25">
      <c r="A53" s="1127" t="s">
        <v>1573</v>
      </c>
      <c r="B53" s="1128"/>
      <c r="C53" s="1128"/>
      <c r="D53" s="1128"/>
      <c r="E53" s="1128"/>
      <c r="F53" s="1128"/>
      <c r="G53" s="1129"/>
    </row>
    <row r="54" spans="1:7" customFormat="1" ht="46.5" customHeight="1" x14ac:dyDescent="0.25">
      <c r="A54" s="1115"/>
      <c r="B54" s="1116"/>
      <c r="C54" s="1116"/>
      <c r="D54" s="1116"/>
      <c r="E54" s="1116"/>
      <c r="F54" s="1116"/>
      <c r="G54" s="1117"/>
    </row>
    <row r="55" spans="1:7" customFormat="1" ht="15" x14ac:dyDescent="0.25">
      <c r="A55" s="1109" t="s">
        <v>306</v>
      </c>
      <c r="B55" s="1110"/>
      <c r="C55" s="1110"/>
      <c r="D55" s="1110"/>
      <c r="E55" s="1110"/>
      <c r="F55" s="1110"/>
      <c r="G55" s="1111"/>
    </row>
    <row r="56" spans="1:7" customFormat="1" ht="15.75" customHeight="1" x14ac:dyDescent="0.25">
      <c r="A56" s="445" t="s">
        <v>293</v>
      </c>
      <c r="B56" s="1125" t="s">
        <v>294</v>
      </c>
      <c r="C56" s="1125"/>
      <c r="D56" s="1125" t="s">
        <v>190</v>
      </c>
      <c r="E56" s="1125"/>
      <c r="F56" s="1125"/>
      <c r="G56" s="1126"/>
    </row>
    <row r="57" spans="1:7" customFormat="1" ht="15.75" customHeight="1" x14ac:dyDescent="0.25">
      <c r="A57" s="446"/>
      <c r="B57" s="1116"/>
      <c r="C57" s="1116"/>
      <c r="D57" s="1116"/>
      <c r="E57" s="1116"/>
      <c r="F57" s="1116"/>
      <c r="G57" s="1117"/>
    </row>
    <row r="58" spans="1:7" customFormat="1" ht="15.75" customHeight="1" x14ac:dyDescent="0.25">
      <c r="A58" s="446"/>
      <c r="B58" s="1116"/>
      <c r="C58" s="1116"/>
      <c r="D58" s="1116"/>
      <c r="E58" s="1116"/>
      <c r="F58" s="1116"/>
      <c r="G58" s="1117"/>
    </row>
    <row r="59" spans="1:7" x14ac:dyDescent="0.25">
      <c r="A59" s="1106" t="s">
        <v>307</v>
      </c>
      <c r="B59" s="1107"/>
      <c r="C59" s="1107"/>
      <c r="D59" s="1107"/>
      <c r="E59" s="1107"/>
      <c r="F59" s="1107"/>
      <c r="G59" s="1108"/>
    </row>
    <row r="60" spans="1:7" x14ac:dyDescent="0.25">
      <c r="A60" s="434"/>
      <c r="B60" s="434"/>
      <c r="C60" s="434"/>
      <c r="D60" s="434"/>
      <c r="E60" s="434"/>
      <c r="F60" s="434"/>
      <c r="G60" s="435"/>
    </row>
    <row r="61" spans="1:7" x14ac:dyDescent="0.25">
      <c r="A61" s="1102" t="s">
        <v>1566</v>
      </c>
      <c r="B61" s="1100"/>
      <c r="C61" s="1100"/>
      <c r="D61" s="1100" t="s">
        <v>414</v>
      </c>
      <c r="E61" s="1100"/>
      <c r="F61" s="1100"/>
      <c r="G61" s="1101"/>
    </row>
    <row r="62" spans="1:7" x14ac:dyDescent="0.25">
      <c r="A62" s="1102" t="s">
        <v>184</v>
      </c>
      <c r="B62" s="1100"/>
      <c r="C62" s="1100"/>
      <c r="D62" s="1100" t="s">
        <v>177</v>
      </c>
      <c r="E62" s="1100"/>
      <c r="F62" s="1100"/>
      <c r="G62" s="1101"/>
    </row>
    <row r="63" spans="1:7" x14ac:dyDescent="0.25">
      <c r="A63" s="1102" t="s">
        <v>187</v>
      </c>
      <c r="B63" s="1100"/>
      <c r="C63" s="1100"/>
      <c r="D63" s="1100" t="s">
        <v>188</v>
      </c>
      <c r="E63" s="1100"/>
      <c r="F63" s="1100"/>
      <c r="G63" s="1101"/>
    </row>
    <row r="64" spans="1:7" ht="16.5" thickBot="1" x14ac:dyDescent="0.3">
      <c r="A64" s="437"/>
      <c r="B64" s="438"/>
      <c r="C64" s="438"/>
      <c r="D64" s="438"/>
      <c r="E64" s="438"/>
      <c r="F64" s="438"/>
      <c r="G64" s="439"/>
    </row>
  </sheetData>
  <mergeCells count="84">
    <mergeCell ref="A9:B9"/>
    <mergeCell ref="C9:G9"/>
    <mergeCell ref="A1:B1"/>
    <mergeCell ref="C1:D1"/>
    <mergeCell ref="E1:F1"/>
    <mergeCell ref="A2:G2"/>
    <mergeCell ref="A3:G3"/>
    <mergeCell ref="A18:B18"/>
    <mergeCell ref="C18:G18"/>
    <mergeCell ref="A4:G4"/>
    <mergeCell ref="A12:G12"/>
    <mergeCell ref="A13:B13"/>
    <mergeCell ref="C13:D13"/>
    <mergeCell ref="E13:G13"/>
    <mergeCell ref="A10:B10"/>
    <mergeCell ref="C10:G10"/>
    <mergeCell ref="A11:B11"/>
    <mergeCell ref="D11:E11"/>
    <mergeCell ref="F11:G11"/>
    <mergeCell ref="A5:G5"/>
    <mergeCell ref="A6:G6"/>
    <mergeCell ref="A7:G7"/>
    <mergeCell ref="A8:G8"/>
    <mergeCell ref="A15:G15"/>
    <mergeCell ref="A16:G16"/>
    <mergeCell ref="A17:B17"/>
    <mergeCell ref="C17:G17"/>
    <mergeCell ref="A14:B14"/>
    <mergeCell ref="C14:D14"/>
    <mergeCell ref="E14:G14"/>
    <mergeCell ref="A36:G36"/>
    <mergeCell ref="A32:G32"/>
    <mergeCell ref="A19:B19"/>
    <mergeCell ref="C19:G19"/>
    <mergeCell ref="A23:G23"/>
    <mergeCell ref="B24:D24"/>
    <mergeCell ref="A22:G22"/>
    <mergeCell ref="A20:G20"/>
    <mergeCell ref="A21:G21"/>
    <mergeCell ref="A24:A29"/>
    <mergeCell ref="C25:D25"/>
    <mergeCell ref="C26:D26"/>
    <mergeCell ref="C27:D27"/>
    <mergeCell ref="C28:D28"/>
    <mergeCell ref="E24:G29"/>
    <mergeCell ref="B29:D29"/>
    <mergeCell ref="D62:G62"/>
    <mergeCell ref="B58:C58"/>
    <mergeCell ref="D57:G57"/>
    <mergeCell ref="D58:G58"/>
    <mergeCell ref="A61:C61"/>
    <mergeCell ref="D61:G61"/>
    <mergeCell ref="A42:G42"/>
    <mergeCell ref="B57:C57"/>
    <mergeCell ref="C52:G52"/>
    <mergeCell ref="A30:G30"/>
    <mergeCell ref="A31:G31"/>
    <mergeCell ref="A38:G38"/>
    <mergeCell ref="A35:G35"/>
    <mergeCell ref="B56:C56"/>
    <mergeCell ref="D56:G56"/>
    <mergeCell ref="A53:G53"/>
    <mergeCell ref="A50:B50"/>
    <mergeCell ref="F51:G51"/>
    <mergeCell ref="A54:G54"/>
    <mergeCell ref="A33:G33"/>
    <mergeCell ref="A37:G37"/>
    <mergeCell ref="A34:G34"/>
    <mergeCell ref="D63:G63"/>
    <mergeCell ref="A62:C62"/>
    <mergeCell ref="A63:C63"/>
    <mergeCell ref="A39:G39"/>
    <mergeCell ref="A41:G41"/>
    <mergeCell ref="A43:G43"/>
    <mergeCell ref="A59:G59"/>
    <mergeCell ref="A45:G45"/>
    <mergeCell ref="A46:G46"/>
    <mergeCell ref="A44:G44"/>
    <mergeCell ref="A47:G47"/>
    <mergeCell ref="A48:G48"/>
    <mergeCell ref="A49:G49"/>
    <mergeCell ref="C50:G50"/>
    <mergeCell ref="A55:G55"/>
    <mergeCell ref="A40:G40"/>
  </mergeCells>
  <pageMargins left="1" right="1" top="1" bottom="1" header="0.5" footer="0.5"/>
  <pageSetup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dimension ref="B2:P15"/>
  <sheetViews>
    <sheetView zoomScale="90" zoomScaleNormal="90" workbookViewId="0">
      <selection activeCell="A33" sqref="A33:G57"/>
    </sheetView>
  </sheetViews>
  <sheetFormatPr baseColWidth="10" defaultRowHeight="15" x14ac:dyDescent="0.25"/>
  <cols>
    <col min="2" max="2" width="38.28515625" customWidth="1"/>
  </cols>
  <sheetData>
    <row r="2" spans="2:16" x14ac:dyDescent="0.25">
      <c r="B2" s="34" t="s">
        <v>497</v>
      </c>
      <c r="C2" s="34" t="s">
        <v>309</v>
      </c>
      <c r="D2" s="34" t="s">
        <v>310</v>
      </c>
    </row>
    <row r="3" spans="2:16" x14ac:dyDescent="0.25">
      <c r="B3" s="43" t="s">
        <v>315</v>
      </c>
      <c r="C3">
        <v>4</v>
      </c>
      <c r="D3">
        <v>8</v>
      </c>
    </row>
    <row r="4" spans="2:16" x14ac:dyDescent="0.25">
      <c r="B4" s="43" t="s">
        <v>177</v>
      </c>
      <c r="C4">
        <v>8</v>
      </c>
      <c r="D4">
        <v>8</v>
      </c>
    </row>
    <row r="5" spans="2:16" x14ac:dyDescent="0.25">
      <c r="B5" s="43" t="s">
        <v>178</v>
      </c>
      <c r="C5">
        <v>3</v>
      </c>
      <c r="D5">
        <v>2</v>
      </c>
    </row>
    <row r="6" spans="2:16" x14ac:dyDescent="0.25">
      <c r="B6" s="43" t="s">
        <v>174</v>
      </c>
      <c r="C6">
        <v>5</v>
      </c>
      <c r="D6">
        <v>9</v>
      </c>
    </row>
    <row r="7" spans="2:16" x14ac:dyDescent="0.25">
      <c r="B7" s="43" t="s">
        <v>179</v>
      </c>
      <c r="C7">
        <v>5</v>
      </c>
      <c r="D7">
        <v>6</v>
      </c>
    </row>
    <row r="8" spans="2:16" x14ac:dyDescent="0.25">
      <c r="B8" s="43" t="s">
        <v>180</v>
      </c>
      <c r="C8">
        <v>2</v>
      </c>
      <c r="D8">
        <v>8</v>
      </c>
    </row>
    <row r="9" spans="2:16" x14ac:dyDescent="0.25">
      <c r="B9" s="43" t="s">
        <v>181</v>
      </c>
      <c r="C9">
        <v>10</v>
      </c>
      <c r="D9">
        <v>10</v>
      </c>
    </row>
    <row r="10" spans="2:16" x14ac:dyDescent="0.25">
      <c r="B10" s="43" t="s">
        <v>316</v>
      </c>
      <c r="C10">
        <v>4</v>
      </c>
      <c r="D10">
        <v>4</v>
      </c>
    </row>
    <row r="11" spans="2:16" x14ac:dyDescent="0.25">
      <c r="B11" s="43" t="s">
        <v>317</v>
      </c>
      <c r="C11">
        <v>1</v>
      </c>
      <c r="D11">
        <v>1</v>
      </c>
    </row>
    <row r="12" spans="2:16" x14ac:dyDescent="0.25">
      <c r="B12" s="43" t="s">
        <v>313</v>
      </c>
      <c r="C12">
        <v>9</v>
      </c>
      <c r="D12">
        <v>9</v>
      </c>
      <c r="P12">
        <v>2846</v>
      </c>
    </row>
    <row r="13" spans="2:16" x14ac:dyDescent="0.25">
      <c r="B13" s="43" t="s">
        <v>311</v>
      </c>
      <c r="C13">
        <v>8</v>
      </c>
      <c r="D13">
        <v>7</v>
      </c>
    </row>
    <row r="14" spans="2:16" x14ac:dyDescent="0.25">
      <c r="B14" s="43" t="s">
        <v>312</v>
      </c>
      <c r="C14">
        <v>1</v>
      </c>
      <c r="D14">
        <v>2</v>
      </c>
    </row>
    <row r="15" spans="2:16" x14ac:dyDescent="0.25">
      <c r="B15" s="43" t="s">
        <v>314</v>
      </c>
      <c r="C15">
        <v>2</v>
      </c>
      <c r="D15">
        <v>5</v>
      </c>
    </row>
  </sheetData>
  <pageMargins left="0.7" right="0.7" top="0.75" bottom="0.75" header="0.3" footer="0.3"/>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J35"/>
  <sheetViews>
    <sheetView showGridLines="0" zoomScale="90" zoomScaleNormal="90" workbookViewId="0">
      <selection sqref="A1:G35"/>
    </sheetView>
  </sheetViews>
  <sheetFormatPr baseColWidth="10" defaultRowHeight="15.75" x14ac:dyDescent="0.25"/>
  <cols>
    <col min="1" max="1" width="19.5703125" style="2" customWidth="1"/>
    <col min="2" max="2" width="25.5703125" style="2" customWidth="1"/>
    <col min="3" max="3" width="12.5703125" style="2" customWidth="1"/>
    <col min="4" max="4" width="23.85546875" style="2" customWidth="1"/>
    <col min="5" max="5" width="13.7109375" style="2" customWidth="1"/>
    <col min="6" max="6" width="7.140625" style="2" customWidth="1"/>
    <col min="7" max="7" width="15.42578125" style="2" customWidth="1"/>
    <col min="8" max="16384" width="11.42578125" style="2"/>
  </cols>
  <sheetData>
    <row r="1" spans="1:10" ht="71.25" customHeight="1" thickBot="1" x14ac:dyDescent="0.3">
      <c r="A1" s="1147"/>
      <c r="B1" s="1148"/>
      <c r="C1" s="1163"/>
      <c r="D1" s="1164"/>
      <c r="E1" s="1164"/>
      <c r="F1" s="1164"/>
      <c r="G1" s="1165"/>
    </row>
    <row r="2" spans="1:10" ht="16.5" thickBot="1" x14ac:dyDescent="0.3">
      <c r="A2" s="1155" t="s">
        <v>320</v>
      </c>
      <c r="B2" s="1156"/>
      <c r="C2" s="1156"/>
      <c r="D2" s="1156"/>
      <c r="E2" s="1156"/>
      <c r="F2" s="1156"/>
      <c r="G2" s="1157"/>
    </row>
    <row r="3" spans="1:10" ht="6.75" customHeight="1" thickBot="1" x14ac:dyDescent="0.3">
      <c r="A3" s="1137"/>
      <c r="B3" s="1138"/>
      <c r="C3" s="1138"/>
      <c r="D3" s="1138"/>
      <c r="E3" s="1138"/>
      <c r="F3" s="1138"/>
      <c r="G3" s="1139"/>
    </row>
    <row r="4" spans="1:10" ht="16.5" thickBot="1" x14ac:dyDescent="0.3">
      <c r="A4" s="1155" t="s">
        <v>128</v>
      </c>
      <c r="B4" s="1156"/>
      <c r="C4" s="1156"/>
      <c r="D4" s="1156"/>
      <c r="E4" s="1156"/>
      <c r="F4" s="1156"/>
      <c r="G4" s="1157"/>
    </row>
    <row r="5" spans="1:10" x14ac:dyDescent="0.25">
      <c r="A5" s="1158" t="s">
        <v>129</v>
      </c>
      <c r="B5" s="1159"/>
      <c r="C5" s="429"/>
      <c r="D5" s="1146" t="s">
        <v>130</v>
      </c>
      <c r="E5" s="1146"/>
      <c r="F5" s="1142"/>
      <c r="G5" s="1139"/>
    </row>
    <row r="6" spans="1:10" x14ac:dyDescent="0.25">
      <c r="A6" s="1158" t="s">
        <v>2</v>
      </c>
      <c r="B6" s="1159"/>
      <c r="C6" s="1160" t="s">
        <v>13</v>
      </c>
      <c r="D6" s="1161"/>
      <c r="E6" s="1161"/>
      <c r="F6" s="1161"/>
      <c r="G6" s="1162"/>
    </row>
    <row r="7" spans="1:10" x14ac:dyDescent="0.25">
      <c r="A7" s="1158" t="s">
        <v>229</v>
      </c>
      <c r="B7" s="1159"/>
      <c r="C7" s="1160" t="s">
        <v>280</v>
      </c>
      <c r="D7" s="1161"/>
      <c r="E7" s="1161"/>
      <c r="F7" s="1161"/>
      <c r="G7" s="1162"/>
    </row>
    <row r="8" spans="1:10" ht="38.25" customHeight="1" thickBot="1" x14ac:dyDescent="0.3">
      <c r="A8" s="430" t="s">
        <v>131</v>
      </c>
      <c r="B8" s="431" t="s">
        <v>134</v>
      </c>
      <c r="C8" s="430" t="s">
        <v>132</v>
      </c>
      <c r="D8" s="432" t="s">
        <v>15</v>
      </c>
      <c r="E8" s="430" t="s">
        <v>133</v>
      </c>
      <c r="F8" s="1153" t="s">
        <v>16</v>
      </c>
      <c r="G8" s="1154"/>
    </row>
    <row r="9" spans="1:10" ht="16.5" thickBot="1" x14ac:dyDescent="0.3">
      <c r="A9" s="1155" t="s">
        <v>9</v>
      </c>
      <c r="B9" s="1156"/>
      <c r="C9" s="1156"/>
      <c r="D9" s="1156"/>
      <c r="E9" s="1156"/>
      <c r="F9" s="1156"/>
      <c r="G9" s="1157"/>
    </row>
    <row r="10" spans="1:10" x14ac:dyDescent="0.25">
      <c r="A10" s="1144" t="s">
        <v>135</v>
      </c>
      <c r="B10" s="1120"/>
      <c r="C10" s="1120" t="s">
        <v>10</v>
      </c>
      <c r="D10" s="1120"/>
      <c r="E10" s="1120" t="s">
        <v>136</v>
      </c>
      <c r="F10" s="1120"/>
      <c r="G10" s="1121"/>
    </row>
    <row r="11" spans="1:10" ht="16.5" thickBot="1" x14ac:dyDescent="0.3">
      <c r="A11" s="1137" t="s">
        <v>496</v>
      </c>
      <c r="B11" s="1138"/>
      <c r="C11" s="1138" t="s">
        <v>13</v>
      </c>
      <c r="D11" s="1138"/>
      <c r="E11" s="1142"/>
      <c r="F11" s="1142"/>
      <c r="G11" s="1143"/>
    </row>
    <row r="12" spans="1:10" ht="16.5" thickBot="1" x14ac:dyDescent="0.3">
      <c r="A12" s="1155" t="s">
        <v>137</v>
      </c>
      <c r="B12" s="1156"/>
      <c r="C12" s="1156"/>
      <c r="D12" s="1156"/>
      <c r="E12" s="1156"/>
      <c r="F12" s="1156"/>
      <c r="G12" s="1157"/>
      <c r="H12" s="4"/>
      <c r="I12" s="4"/>
      <c r="J12" s="4"/>
    </row>
    <row r="13" spans="1:10" ht="15.75" customHeight="1" x14ac:dyDescent="0.25">
      <c r="A13" s="1132" t="s">
        <v>18</v>
      </c>
      <c r="B13" s="1133"/>
      <c r="C13" s="1134" t="s">
        <v>25</v>
      </c>
      <c r="D13" s="1134"/>
      <c r="E13" s="1134"/>
      <c r="F13" s="1134"/>
      <c r="G13" s="1135"/>
      <c r="H13" s="5"/>
      <c r="I13" s="4"/>
      <c r="J13" s="4"/>
    </row>
    <row r="14" spans="1:10" ht="33.75" customHeight="1" x14ac:dyDescent="0.25">
      <c r="A14" s="1132" t="s">
        <v>19</v>
      </c>
      <c r="B14" s="1133"/>
      <c r="C14" s="1134" t="s">
        <v>26</v>
      </c>
      <c r="D14" s="1134"/>
      <c r="E14" s="1134"/>
      <c r="F14" s="1134"/>
      <c r="G14" s="1135"/>
      <c r="H14" s="5"/>
      <c r="I14" s="4"/>
      <c r="J14" s="4"/>
    </row>
    <row r="15" spans="1:10" x14ac:dyDescent="0.25">
      <c r="A15" s="1132" t="s">
        <v>20</v>
      </c>
      <c r="B15" s="1133"/>
      <c r="C15" s="1134" t="s">
        <v>27</v>
      </c>
      <c r="D15" s="1134"/>
      <c r="E15" s="1134"/>
      <c r="F15" s="1134"/>
      <c r="G15" s="1135"/>
      <c r="H15" s="5"/>
      <c r="I15" s="4"/>
      <c r="J15" s="4"/>
    </row>
    <row r="16" spans="1:10" x14ac:dyDescent="0.25">
      <c r="A16" s="1132" t="s">
        <v>21</v>
      </c>
      <c r="B16" s="1133"/>
      <c r="C16" s="1134" t="s">
        <v>28</v>
      </c>
      <c r="D16" s="1134"/>
      <c r="E16" s="1134"/>
      <c r="F16" s="1134"/>
      <c r="G16" s="1135"/>
      <c r="H16" s="5"/>
      <c r="I16" s="4"/>
      <c r="J16" s="4"/>
    </row>
    <row r="17" spans="1:10" ht="5.25" customHeight="1" thickBot="1" x14ac:dyDescent="0.3">
      <c r="A17" s="1172"/>
      <c r="B17" s="1173"/>
      <c r="C17" s="1173"/>
      <c r="D17" s="1173"/>
      <c r="E17" s="1173"/>
      <c r="F17" s="1173"/>
      <c r="G17" s="1174"/>
      <c r="H17" s="4"/>
      <c r="I17" s="4"/>
      <c r="J17" s="4"/>
    </row>
    <row r="18" spans="1:10" x14ac:dyDescent="0.25">
      <c r="A18" s="1169" t="s">
        <v>321</v>
      </c>
      <c r="B18" s="1170"/>
      <c r="C18" s="1170"/>
      <c r="D18" s="1170"/>
      <c r="E18" s="1170"/>
      <c r="F18" s="1170"/>
      <c r="G18" s="1171"/>
      <c r="H18" s="4"/>
      <c r="I18" s="4"/>
      <c r="J18" s="4"/>
    </row>
    <row r="19" spans="1:10" customFormat="1" ht="20.100000000000001" customHeight="1" x14ac:dyDescent="0.25">
      <c r="A19" s="1166" t="s">
        <v>322</v>
      </c>
      <c r="B19" s="1167"/>
      <c r="C19" s="1167"/>
      <c r="D19" s="1167"/>
      <c r="E19" s="1167"/>
      <c r="F19" s="1167"/>
      <c r="G19" s="1168"/>
    </row>
    <row r="20" spans="1:10" customFormat="1" ht="20.100000000000001" customHeight="1" x14ac:dyDescent="0.25">
      <c r="A20" s="1166" t="s">
        <v>323</v>
      </c>
      <c r="B20" s="1167"/>
      <c r="C20" s="1167"/>
      <c r="D20" s="1167"/>
      <c r="E20" s="1167"/>
      <c r="F20" s="1167"/>
      <c r="G20" s="1168"/>
    </row>
    <row r="21" spans="1:10" customFormat="1" ht="20.100000000000001" customHeight="1" x14ac:dyDescent="0.25">
      <c r="A21" s="1166" t="s">
        <v>331</v>
      </c>
      <c r="B21" s="1167"/>
      <c r="C21" s="1167"/>
      <c r="D21" s="1167"/>
      <c r="E21" s="1167"/>
      <c r="F21" s="1167"/>
      <c r="G21" s="1168"/>
    </row>
    <row r="22" spans="1:10" customFormat="1" ht="33.75" customHeight="1" x14ac:dyDescent="0.25">
      <c r="A22" s="1166" t="s">
        <v>1596</v>
      </c>
      <c r="B22" s="1167"/>
      <c r="C22" s="1167"/>
      <c r="D22" s="1167"/>
      <c r="E22" s="1167"/>
      <c r="F22" s="1167"/>
      <c r="G22" s="1168"/>
    </row>
    <row r="23" spans="1:10" customFormat="1" ht="20.100000000000001" customHeight="1" x14ac:dyDescent="0.25">
      <c r="A23" s="1166" t="s">
        <v>324</v>
      </c>
      <c r="B23" s="1167"/>
      <c r="C23" s="1167"/>
      <c r="D23" s="1167"/>
      <c r="E23" s="1167"/>
      <c r="F23" s="1167"/>
      <c r="G23" s="1168"/>
    </row>
    <row r="24" spans="1:10" customFormat="1" ht="20.100000000000001" customHeight="1" x14ac:dyDescent="0.25">
      <c r="A24" s="1166" t="s">
        <v>325</v>
      </c>
      <c r="B24" s="1167"/>
      <c r="C24" s="1167"/>
      <c r="D24" s="1167"/>
      <c r="E24" s="1167"/>
      <c r="F24" s="1167"/>
      <c r="G24" s="1168"/>
    </row>
    <row r="25" spans="1:10" customFormat="1" ht="20.100000000000001" customHeight="1" x14ac:dyDescent="0.25">
      <c r="A25" s="1166" t="s">
        <v>326</v>
      </c>
      <c r="B25" s="1167"/>
      <c r="C25" s="1167"/>
      <c r="D25" s="1167"/>
      <c r="E25" s="1167"/>
      <c r="F25" s="1167"/>
      <c r="G25" s="1168"/>
    </row>
    <row r="26" spans="1:10" customFormat="1" ht="20.100000000000001" customHeight="1" x14ac:dyDescent="0.25">
      <c r="A26" s="1166" t="s">
        <v>327</v>
      </c>
      <c r="B26" s="1167"/>
      <c r="C26" s="1167"/>
      <c r="D26" s="1167"/>
      <c r="E26" s="1167"/>
      <c r="F26" s="1167"/>
      <c r="G26" s="1168"/>
    </row>
    <row r="27" spans="1:10" customFormat="1" ht="20.100000000000001" customHeight="1" x14ac:dyDescent="0.25">
      <c r="A27" s="1166" t="s">
        <v>328</v>
      </c>
      <c r="B27" s="1167"/>
      <c r="C27" s="1167"/>
      <c r="D27" s="1167"/>
      <c r="E27" s="1167"/>
      <c r="F27" s="1167"/>
      <c r="G27" s="1168"/>
    </row>
    <row r="28" spans="1:10" customFormat="1" ht="20.100000000000001" customHeight="1" x14ac:dyDescent="0.25">
      <c r="A28" s="1166" t="s">
        <v>329</v>
      </c>
      <c r="B28" s="1167"/>
      <c r="C28" s="1167"/>
      <c r="D28" s="1167"/>
      <c r="E28" s="1167"/>
      <c r="F28" s="1167"/>
      <c r="G28" s="1168"/>
    </row>
    <row r="29" spans="1:10" customFormat="1" ht="20.100000000000001" customHeight="1" thickBot="1" x14ac:dyDescent="0.3">
      <c r="A29" s="1166" t="s">
        <v>330</v>
      </c>
      <c r="B29" s="1167"/>
      <c r="C29" s="1167"/>
      <c r="D29" s="1167"/>
      <c r="E29" s="1167"/>
      <c r="F29" s="1167"/>
      <c r="G29" s="1168"/>
    </row>
    <row r="30" spans="1:10" ht="16.5" thickBot="1" x14ac:dyDescent="0.3">
      <c r="A30" s="1155" t="s">
        <v>186</v>
      </c>
      <c r="B30" s="1156"/>
      <c r="C30" s="1156"/>
      <c r="D30" s="1156"/>
      <c r="E30" s="1156"/>
      <c r="F30" s="1156"/>
      <c r="G30" s="1157"/>
    </row>
    <row r="31" spans="1:10" x14ac:dyDescent="0.25">
      <c r="A31" s="433"/>
      <c r="B31" s="436"/>
      <c r="C31" s="434"/>
      <c r="D31" s="434"/>
      <c r="E31" s="436"/>
      <c r="F31" s="436"/>
      <c r="G31" s="435"/>
    </row>
    <row r="32" spans="1:10" x14ac:dyDescent="0.25">
      <c r="A32" s="433"/>
      <c r="B32" s="400" t="s">
        <v>496</v>
      </c>
      <c r="C32" s="434"/>
      <c r="D32" s="434"/>
      <c r="E32" s="1100" t="s">
        <v>168</v>
      </c>
      <c r="F32" s="1100"/>
      <c r="G32" s="435"/>
    </row>
    <row r="33" spans="1:7" x14ac:dyDescent="0.25">
      <c r="A33" s="433"/>
      <c r="B33" s="400" t="s">
        <v>184</v>
      </c>
      <c r="C33" s="434"/>
      <c r="D33" s="434"/>
      <c r="E33" s="1100" t="s">
        <v>177</v>
      </c>
      <c r="F33" s="1100"/>
      <c r="G33" s="435"/>
    </row>
    <row r="34" spans="1:7" x14ac:dyDescent="0.25">
      <c r="A34" s="433"/>
      <c r="B34" s="400" t="s">
        <v>187</v>
      </c>
      <c r="C34" s="434"/>
      <c r="D34" s="434"/>
      <c r="E34" s="1100" t="s">
        <v>188</v>
      </c>
      <c r="F34" s="1100"/>
      <c r="G34" s="435"/>
    </row>
    <row r="35" spans="1:7" ht="16.5" thickBot="1" x14ac:dyDescent="0.3">
      <c r="A35" s="437"/>
      <c r="B35" s="438"/>
      <c r="C35" s="438"/>
      <c r="D35" s="438"/>
      <c r="E35" s="438"/>
      <c r="F35" s="438"/>
      <c r="G35" s="439"/>
    </row>
  </sheetData>
  <mergeCells count="46">
    <mergeCell ref="A30:G30"/>
    <mergeCell ref="E32:F32"/>
    <mergeCell ref="E33:F33"/>
    <mergeCell ref="E34:F34"/>
    <mergeCell ref="A27:G27"/>
    <mergeCell ref="A26:G26"/>
    <mergeCell ref="A28:G28"/>
    <mergeCell ref="A29:G29"/>
    <mergeCell ref="A22:G22"/>
    <mergeCell ref="A23:G23"/>
    <mergeCell ref="A24:G24"/>
    <mergeCell ref="A25:G25"/>
    <mergeCell ref="A19:G19"/>
    <mergeCell ref="A20:G20"/>
    <mergeCell ref="A21:G21"/>
    <mergeCell ref="A18:G18"/>
    <mergeCell ref="A15:B15"/>
    <mergeCell ref="C15:G15"/>
    <mergeCell ref="A16:B16"/>
    <mergeCell ref="C16:G16"/>
    <mergeCell ref="A17:G17"/>
    <mergeCell ref="A12:G12"/>
    <mergeCell ref="A13:B13"/>
    <mergeCell ref="C13:G13"/>
    <mergeCell ref="A14:B14"/>
    <mergeCell ref="C14:G14"/>
    <mergeCell ref="A11:B11"/>
    <mergeCell ref="C11:D11"/>
    <mergeCell ref="E11:G11"/>
    <mergeCell ref="A9:G9"/>
    <mergeCell ref="A10:B10"/>
    <mergeCell ref="C10:D10"/>
    <mergeCell ref="E10:G10"/>
    <mergeCell ref="A1:B1"/>
    <mergeCell ref="F8:G8"/>
    <mergeCell ref="A2:G2"/>
    <mergeCell ref="A3:G3"/>
    <mergeCell ref="A4:G4"/>
    <mergeCell ref="A6:B6"/>
    <mergeCell ref="C6:G6"/>
    <mergeCell ref="A7:B7"/>
    <mergeCell ref="C7:G7"/>
    <mergeCell ref="A5:B5"/>
    <mergeCell ref="D5:E5"/>
    <mergeCell ref="F5:G5"/>
    <mergeCell ref="C1:G1"/>
  </mergeCells>
  <pageMargins left="1" right="1" top="1" bottom="1" header="0.5" footer="0.5"/>
  <pageSetup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J75"/>
  <sheetViews>
    <sheetView showGridLines="0" zoomScale="118" zoomScaleNormal="118" workbookViewId="0">
      <selection sqref="A1:G75"/>
    </sheetView>
  </sheetViews>
  <sheetFormatPr baseColWidth="10" defaultRowHeight="15.75" x14ac:dyDescent="0.25"/>
  <cols>
    <col min="1" max="1" width="19.5703125" style="2" customWidth="1"/>
    <col min="2" max="2" width="20.42578125" style="2" customWidth="1"/>
    <col min="3" max="3" width="12.5703125" style="2" customWidth="1"/>
    <col min="4" max="4" width="16.5703125" style="2" customWidth="1"/>
    <col min="5" max="5" width="13.7109375" style="2" customWidth="1"/>
    <col min="6" max="6" width="7.140625" style="2" customWidth="1"/>
    <col min="7" max="7" width="13.140625" style="2" customWidth="1"/>
    <col min="8" max="16384" width="11.42578125" style="2"/>
  </cols>
  <sheetData>
    <row r="1" spans="1:10" ht="71.25" customHeight="1" x14ac:dyDescent="0.25">
      <c r="A1" s="861"/>
      <c r="B1" s="1092"/>
      <c r="C1" s="1092"/>
      <c r="D1" s="1092"/>
      <c r="E1" s="1175" t="s">
        <v>189</v>
      </c>
      <c r="F1" s="1175"/>
      <c r="G1" s="852">
        <v>3.2</v>
      </c>
    </row>
    <row r="2" spans="1:10" ht="7.5" customHeight="1" x14ac:dyDescent="0.25">
      <c r="A2" s="863"/>
      <c r="B2" s="1086"/>
      <c r="C2" s="1086"/>
      <c r="D2" s="1086"/>
      <c r="E2" s="1086"/>
      <c r="F2" s="1086"/>
      <c r="G2" s="864"/>
    </row>
    <row r="3" spans="1:10" ht="30.75" customHeight="1" x14ac:dyDescent="0.25">
      <c r="A3" s="1016" t="s">
        <v>333</v>
      </c>
      <c r="B3" s="1017"/>
      <c r="C3" s="1017"/>
      <c r="D3" s="1017"/>
      <c r="E3" s="1017"/>
      <c r="F3" s="1017"/>
      <c r="G3" s="1018"/>
    </row>
    <row r="4" spans="1:10" ht="6.75" customHeight="1" x14ac:dyDescent="0.25">
      <c r="A4" s="863"/>
      <c r="B4" s="1086"/>
      <c r="C4" s="1086"/>
      <c r="D4" s="1086"/>
      <c r="E4" s="1086"/>
      <c r="F4" s="1086"/>
      <c r="G4" s="864"/>
    </row>
    <row r="5" spans="1:10" x14ac:dyDescent="0.25">
      <c r="A5" s="988" t="s">
        <v>127</v>
      </c>
      <c r="B5" s="989"/>
      <c r="C5" s="989"/>
      <c r="D5" s="989"/>
      <c r="E5" s="989"/>
      <c r="F5" s="989"/>
      <c r="G5" s="990"/>
    </row>
    <row r="6" spans="1:10" ht="6.75" customHeight="1" x14ac:dyDescent="0.25">
      <c r="A6" s="863"/>
      <c r="B6" s="1086"/>
      <c r="C6" s="1086"/>
      <c r="D6" s="1086"/>
      <c r="E6" s="1086"/>
      <c r="F6" s="1086"/>
      <c r="G6" s="864"/>
    </row>
    <row r="7" spans="1:10" x14ac:dyDescent="0.25">
      <c r="A7" s="988" t="s">
        <v>128</v>
      </c>
      <c r="B7" s="989"/>
      <c r="C7" s="989"/>
      <c r="D7" s="989"/>
      <c r="E7" s="989"/>
      <c r="F7" s="989"/>
      <c r="G7" s="990"/>
    </row>
    <row r="8" spans="1:10" ht="8.25" customHeight="1" x14ac:dyDescent="0.25">
      <c r="A8" s="998"/>
      <c r="B8" s="996"/>
      <c r="C8" s="996"/>
      <c r="D8" s="996"/>
      <c r="E8" s="996"/>
      <c r="F8" s="996"/>
      <c r="G8" s="1020"/>
    </row>
    <row r="9" spans="1:10" x14ac:dyDescent="0.25">
      <c r="A9" s="1008" t="s">
        <v>2</v>
      </c>
      <c r="B9" s="1009"/>
      <c r="C9" s="995" t="s">
        <v>13</v>
      </c>
      <c r="D9" s="995"/>
      <c r="E9" s="995"/>
      <c r="F9" s="995"/>
      <c r="G9" s="1006"/>
    </row>
    <row r="10" spans="1:10" x14ac:dyDescent="0.25">
      <c r="A10" s="1008" t="s">
        <v>229</v>
      </c>
      <c r="B10" s="1009"/>
      <c r="C10" s="995" t="s">
        <v>280</v>
      </c>
      <c r="D10" s="995"/>
      <c r="E10" s="995"/>
      <c r="F10" s="995"/>
      <c r="G10" s="1006"/>
    </row>
    <row r="11" spans="1:10" x14ac:dyDescent="0.25">
      <c r="A11" s="1008" t="s">
        <v>129</v>
      </c>
      <c r="B11" s="1009"/>
      <c r="C11" s="813"/>
      <c r="D11" s="1009" t="s">
        <v>130</v>
      </c>
      <c r="E11" s="1009"/>
      <c r="F11" s="1007"/>
      <c r="G11" s="1020"/>
    </row>
    <row r="12" spans="1:10" ht="60.75" customHeight="1" x14ac:dyDescent="0.25">
      <c r="A12" s="404" t="s">
        <v>131</v>
      </c>
      <c r="B12" s="810" t="s">
        <v>134</v>
      </c>
      <c r="C12" s="404" t="s">
        <v>132</v>
      </c>
      <c r="D12" s="809" t="s">
        <v>15</v>
      </c>
      <c r="E12" s="404" t="s">
        <v>133</v>
      </c>
      <c r="F12" s="1019" t="s">
        <v>16</v>
      </c>
      <c r="G12" s="1021"/>
    </row>
    <row r="13" spans="1:10" x14ac:dyDescent="0.25">
      <c r="A13" s="407" t="s">
        <v>8</v>
      </c>
      <c r="B13" s="1086" t="s">
        <v>1566</v>
      </c>
      <c r="C13" s="1086"/>
      <c r="D13" s="1086"/>
      <c r="E13" s="1086"/>
      <c r="F13" s="1086"/>
      <c r="G13" s="864"/>
    </row>
    <row r="14" spans="1:10" x14ac:dyDescent="0.25">
      <c r="A14" s="1083" t="s">
        <v>135</v>
      </c>
      <c r="B14" s="1084"/>
      <c r="C14" s="1084" t="s">
        <v>10</v>
      </c>
      <c r="D14" s="1084"/>
      <c r="E14" s="1084" t="s">
        <v>136</v>
      </c>
      <c r="F14" s="1084"/>
      <c r="G14" s="1085"/>
    </row>
    <row r="15" spans="1:10" x14ac:dyDescent="0.25">
      <c r="A15" s="863" t="s">
        <v>1566</v>
      </c>
      <c r="B15" s="1086"/>
      <c r="C15" s="1086" t="s">
        <v>13</v>
      </c>
      <c r="D15" s="1086"/>
      <c r="E15" s="1087">
        <v>43609</v>
      </c>
      <c r="F15" s="1087"/>
      <c r="G15" s="1088"/>
    </row>
    <row r="16" spans="1:10" x14ac:dyDescent="0.25">
      <c r="A16" s="988" t="s">
        <v>332</v>
      </c>
      <c r="B16" s="989"/>
      <c r="C16" s="989"/>
      <c r="D16" s="989"/>
      <c r="E16" s="989"/>
      <c r="F16" s="989"/>
      <c r="G16" s="990"/>
      <c r="H16" s="4"/>
      <c r="I16" s="4"/>
      <c r="J16" s="4"/>
    </row>
    <row r="17" spans="1:10" ht="15.75" customHeight="1" x14ac:dyDescent="0.25">
      <c r="A17" s="999" t="s">
        <v>18</v>
      </c>
      <c r="B17" s="1000"/>
      <c r="C17" s="1004" t="s">
        <v>25</v>
      </c>
      <c r="D17" s="1004"/>
      <c r="E17" s="1004"/>
      <c r="F17" s="1004"/>
      <c r="G17" s="1005"/>
      <c r="H17" s="5"/>
      <c r="I17" s="4"/>
      <c r="J17" s="4"/>
    </row>
    <row r="18" spans="1:10" ht="33.75" customHeight="1" x14ac:dyDescent="0.25">
      <c r="A18" s="999" t="s">
        <v>19</v>
      </c>
      <c r="B18" s="1000"/>
      <c r="C18" s="1004" t="s">
        <v>1576</v>
      </c>
      <c r="D18" s="1004"/>
      <c r="E18" s="1004"/>
      <c r="F18" s="1004"/>
      <c r="G18" s="1005"/>
      <c r="H18" s="5"/>
      <c r="I18" s="4"/>
      <c r="J18" s="4"/>
    </row>
    <row r="19" spans="1:10" x14ac:dyDescent="0.25">
      <c r="A19" s="999" t="s">
        <v>20</v>
      </c>
      <c r="B19" s="1000"/>
      <c r="C19" s="1004" t="s">
        <v>27</v>
      </c>
      <c r="D19" s="1004"/>
      <c r="E19" s="1004"/>
      <c r="F19" s="1004"/>
      <c r="G19" s="1005"/>
      <c r="H19" s="5"/>
      <c r="I19" s="4"/>
      <c r="J19" s="4"/>
    </row>
    <row r="20" spans="1:10" ht="5.25" customHeight="1" x14ac:dyDescent="0.25">
      <c r="A20" s="863"/>
      <c r="B20" s="1086"/>
      <c r="C20" s="1086"/>
      <c r="D20" s="1086"/>
      <c r="E20" s="1086"/>
      <c r="F20" s="1086"/>
      <c r="G20" s="864"/>
      <c r="H20" s="4"/>
      <c r="I20" s="4"/>
      <c r="J20" s="4"/>
    </row>
    <row r="21" spans="1:10" x14ac:dyDescent="0.25">
      <c r="A21" s="988" t="s">
        <v>282</v>
      </c>
      <c r="B21" s="989"/>
      <c r="C21" s="989"/>
      <c r="D21" s="989"/>
      <c r="E21" s="989"/>
      <c r="F21" s="989"/>
      <c r="G21" s="990"/>
      <c r="H21" s="4"/>
      <c r="I21" s="4"/>
      <c r="J21" s="4"/>
    </row>
    <row r="22" spans="1:10" customFormat="1" ht="18" customHeight="1" x14ac:dyDescent="0.25">
      <c r="A22" s="1176" t="s">
        <v>334</v>
      </c>
      <c r="B22" s="1177"/>
      <c r="C22" s="1177"/>
      <c r="D22" s="1177"/>
      <c r="E22" s="1177"/>
      <c r="F22" s="1177"/>
      <c r="G22" s="1178"/>
    </row>
    <row r="23" spans="1:10" customFormat="1" ht="18" customHeight="1" x14ac:dyDescent="0.25">
      <c r="A23" s="1176" t="s">
        <v>1577</v>
      </c>
      <c r="B23" s="1177"/>
      <c r="C23" s="1177"/>
      <c r="D23" s="1177"/>
      <c r="E23" s="1177"/>
      <c r="F23" s="1177"/>
      <c r="G23" s="1178"/>
    </row>
    <row r="24" spans="1:10" customFormat="1" ht="18" customHeight="1" x14ac:dyDescent="0.25">
      <c r="A24" s="1176" t="s">
        <v>335</v>
      </c>
      <c r="B24" s="1177"/>
      <c r="C24" s="1177"/>
      <c r="D24" s="1177"/>
      <c r="E24" s="1177"/>
      <c r="F24" s="1177"/>
      <c r="G24" s="1178"/>
    </row>
    <row r="25" spans="1:10" customFormat="1" ht="18" customHeight="1" x14ac:dyDescent="0.25">
      <c r="A25" s="1176" t="s">
        <v>1578</v>
      </c>
      <c r="B25" s="1177"/>
      <c r="C25" s="1177"/>
      <c r="D25" s="1177"/>
      <c r="E25" s="1177"/>
      <c r="F25" s="1177"/>
      <c r="G25" s="1178"/>
    </row>
    <row r="26" spans="1:10" customFormat="1" ht="18" customHeight="1" x14ac:dyDescent="0.25">
      <c r="A26" s="1176" t="s">
        <v>336</v>
      </c>
      <c r="B26" s="1177"/>
      <c r="C26" s="1177"/>
      <c r="D26" s="1177"/>
      <c r="E26" s="1177"/>
      <c r="F26" s="1177"/>
      <c r="G26" s="1178"/>
    </row>
    <row r="27" spans="1:10" customFormat="1" ht="18" customHeight="1" x14ac:dyDescent="0.25">
      <c r="A27" s="1176" t="s">
        <v>337</v>
      </c>
      <c r="B27" s="1177"/>
      <c r="C27" s="1177"/>
      <c r="D27" s="1177"/>
      <c r="E27" s="1177"/>
      <c r="F27" s="1177"/>
      <c r="G27" s="1178"/>
    </row>
    <row r="28" spans="1:10" customFormat="1" ht="18" customHeight="1" x14ac:dyDescent="0.25">
      <c r="A28" s="1176" t="s">
        <v>338</v>
      </c>
      <c r="B28" s="1177"/>
      <c r="C28" s="1177"/>
      <c r="D28" s="1177"/>
      <c r="E28" s="1177"/>
      <c r="F28" s="1177"/>
      <c r="G28" s="1178"/>
    </row>
    <row r="29" spans="1:10" customFormat="1" ht="15" customHeight="1" x14ac:dyDescent="0.25">
      <c r="A29" s="988" t="s">
        <v>339</v>
      </c>
      <c r="B29" s="989"/>
      <c r="C29" s="989"/>
      <c r="D29" s="989"/>
      <c r="E29" s="989"/>
      <c r="F29" s="989"/>
      <c r="G29" s="990"/>
    </row>
    <row r="30" spans="1:10" customFormat="1" ht="51" customHeight="1" x14ac:dyDescent="0.25">
      <c r="A30" s="1187" t="s">
        <v>1579</v>
      </c>
      <c r="B30" s="1188"/>
      <c r="C30" s="1188"/>
      <c r="D30" s="1188"/>
      <c r="E30" s="1188"/>
      <c r="F30" s="1188"/>
      <c r="G30" s="1189"/>
    </row>
    <row r="31" spans="1:10" customFormat="1" ht="18" customHeight="1" x14ac:dyDescent="0.25">
      <c r="A31" s="988" t="s">
        <v>340</v>
      </c>
      <c r="B31" s="989"/>
      <c r="C31" s="989"/>
      <c r="D31" s="989"/>
      <c r="E31" s="989"/>
      <c r="F31" s="989"/>
      <c r="G31" s="990"/>
    </row>
    <row r="32" spans="1:10" customFormat="1" ht="18" customHeight="1" x14ac:dyDescent="0.25">
      <c r="A32" s="1176" t="s">
        <v>1580</v>
      </c>
      <c r="B32" s="1177"/>
      <c r="C32" s="1177"/>
      <c r="D32" s="1177"/>
      <c r="E32" s="1177"/>
      <c r="F32" s="1177"/>
      <c r="G32" s="1178"/>
    </row>
    <row r="33" spans="1:7" customFormat="1" ht="22.5" customHeight="1" x14ac:dyDescent="0.25">
      <c r="A33" s="1184" t="s">
        <v>1581</v>
      </c>
      <c r="B33" s="1185"/>
      <c r="C33" s="1185"/>
      <c r="D33" s="1185"/>
      <c r="E33" s="1185"/>
      <c r="F33" s="1185"/>
      <c r="G33" s="1186"/>
    </row>
    <row r="34" spans="1:7" customFormat="1" ht="18" customHeight="1" x14ac:dyDescent="0.25">
      <c r="A34" s="1184" t="s">
        <v>341</v>
      </c>
      <c r="B34" s="1185"/>
      <c r="C34" s="1185"/>
      <c r="D34" s="1185"/>
      <c r="E34" s="1185"/>
      <c r="F34" s="1185"/>
      <c r="G34" s="1186"/>
    </row>
    <row r="35" spans="1:7" customFormat="1" ht="15" x14ac:dyDescent="0.25">
      <c r="A35" s="988" t="s">
        <v>354</v>
      </c>
      <c r="B35" s="989"/>
      <c r="C35" s="989"/>
      <c r="D35" s="989"/>
      <c r="E35" s="989"/>
      <c r="F35" s="989"/>
      <c r="G35" s="990"/>
    </row>
    <row r="36" spans="1:7" customFormat="1" ht="18" customHeight="1" x14ac:dyDescent="0.25">
      <c r="A36" s="1190" t="s">
        <v>342</v>
      </c>
      <c r="B36" s="1191"/>
      <c r="C36" s="1191"/>
      <c r="D36" s="1191"/>
      <c r="E36" s="1191"/>
      <c r="F36" s="1191"/>
      <c r="G36" s="1192"/>
    </row>
    <row r="37" spans="1:7" customFormat="1" ht="20.100000000000001" customHeight="1" x14ac:dyDescent="0.25">
      <c r="A37" s="1184" t="s">
        <v>1582</v>
      </c>
      <c r="B37" s="1185"/>
      <c r="C37" s="1185"/>
      <c r="D37" s="1185"/>
      <c r="E37" s="1185"/>
      <c r="F37" s="1185"/>
      <c r="G37" s="1186"/>
    </row>
    <row r="38" spans="1:7" customFormat="1" ht="20.100000000000001" customHeight="1" x14ac:dyDescent="0.25">
      <c r="A38" s="1193" t="s">
        <v>1583</v>
      </c>
      <c r="B38" s="1194"/>
      <c r="C38" s="1194"/>
      <c r="D38" s="1194"/>
      <c r="E38" s="1194"/>
      <c r="F38" s="1194"/>
      <c r="G38" s="1195"/>
    </row>
    <row r="39" spans="1:7" customFormat="1" ht="20.100000000000001" customHeight="1" x14ac:dyDescent="0.25">
      <c r="A39" s="1184" t="s">
        <v>1997</v>
      </c>
      <c r="B39" s="1185"/>
      <c r="C39" s="1185"/>
      <c r="D39" s="1185"/>
      <c r="E39" s="1185"/>
      <c r="F39" s="1185"/>
      <c r="G39" s="1186"/>
    </row>
    <row r="40" spans="1:7" customFormat="1" ht="41.25" customHeight="1" x14ac:dyDescent="0.25">
      <c r="A40" s="1184" t="s">
        <v>1998</v>
      </c>
      <c r="B40" s="1185"/>
      <c r="C40" s="1185"/>
      <c r="D40" s="1185"/>
      <c r="E40" s="1185"/>
      <c r="F40" s="1185"/>
      <c r="G40" s="1186"/>
    </row>
    <row r="41" spans="1:7" customFormat="1" ht="20.100000000000001" customHeight="1" x14ac:dyDescent="0.25">
      <c r="A41" s="1193" t="s">
        <v>1584</v>
      </c>
      <c r="B41" s="1194"/>
      <c r="C41" s="1194"/>
      <c r="D41" s="1194"/>
      <c r="E41" s="1194"/>
      <c r="F41" s="1194"/>
      <c r="G41" s="1195"/>
    </row>
    <row r="42" spans="1:7" customFormat="1" ht="42" customHeight="1" x14ac:dyDescent="0.25">
      <c r="A42" s="1184" t="s">
        <v>1999</v>
      </c>
      <c r="B42" s="1185"/>
      <c r="C42" s="1185"/>
      <c r="D42" s="1185"/>
      <c r="E42" s="1185"/>
      <c r="F42" s="1185"/>
      <c r="G42" s="1186"/>
    </row>
    <row r="43" spans="1:7" customFormat="1" ht="37.5" customHeight="1" x14ac:dyDescent="0.25">
      <c r="A43" s="1184" t="s">
        <v>2000</v>
      </c>
      <c r="B43" s="1185"/>
      <c r="C43" s="1185"/>
      <c r="D43" s="1185"/>
      <c r="E43" s="1185"/>
      <c r="F43" s="1185"/>
      <c r="G43" s="1186"/>
    </row>
    <row r="44" spans="1:7" customFormat="1" ht="20.100000000000001" customHeight="1" x14ac:dyDescent="0.25">
      <c r="A44" s="1193" t="s">
        <v>343</v>
      </c>
      <c r="B44" s="1194"/>
      <c r="C44" s="1194"/>
      <c r="D44" s="1194"/>
      <c r="E44" s="1194"/>
      <c r="F44" s="1194"/>
      <c r="G44" s="1195"/>
    </row>
    <row r="45" spans="1:7" customFormat="1" ht="20.100000000000001" customHeight="1" x14ac:dyDescent="0.25">
      <c r="A45" s="1184" t="s">
        <v>1585</v>
      </c>
      <c r="B45" s="1185"/>
      <c r="C45" s="1185"/>
      <c r="D45" s="1185"/>
      <c r="E45" s="1185"/>
      <c r="F45" s="1185"/>
      <c r="G45" s="1186"/>
    </row>
    <row r="46" spans="1:7" customFormat="1" ht="20.100000000000001" customHeight="1" x14ac:dyDescent="0.25">
      <c r="A46" s="1184" t="s">
        <v>1586</v>
      </c>
      <c r="B46" s="1185"/>
      <c r="C46" s="1185"/>
      <c r="D46" s="1185"/>
      <c r="E46" s="1185"/>
      <c r="F46" s="1185"/>
      <c r="G46" s="1186"/>
    </row>
    <row r="47" spans="1:7" customFormat="1" ht="20.100000000000001" customHeight="1" x14ac:dyDescent="0.25">
      <c r="A47" s="1184" t="s">
        <v>1587</v>
      </c>
      <c r="B47" s="1185"/>
      <c r="C47" s="1185"/>
      <c r="D47" s="1185"/>
      <c r="E47" s="1185"/>
      <c r="F47" s="1185"/>
      <c r="G47" s="1186"/>
    </row>
    <row r="48" spans="1:7" customFormat="1" ht="20.100000000000001" customHeight="1" x14ac:dyDescent="0.25">
      <c r="A48" s="1184" t="s">
        <v>344</v>
      </c>
      <c r="B48" s="1185"/>
      <c r="C48" s="1185"/>
      <c r="D48" s="1185"/>
      <c r="E48" s="1185"/>
      <c r="F48" s="1185"/>
      <c r="G48" s="1186"/>
    </row>
    <row r="49" spans="1:7" customFormat="1" ht="20.100000000000001" customHeight="1" x14ac:dyDescent="0.25">
      <c r="A49" s="1184" t="s">
        <v>345</v>
      </c>
      <c r="B49" s="1185"/>
      <c r="C49" s="1185"/>
      <c r="D49" s="1185"/>
      <c r="E49" s="1185"/>
      <c r="F49" s="1185"/>
      <c r="G49" s="1186"/>
    </row>
    <row r="50" spans="1:7" customFormat="1" ht="20.100000000000001" customHeight="1" x14ac:dyDescent="0.25">
      <c r="A50" s="1193" t="s">
        <v>353</v>
      </c>
      <c r="B50" s="1194"/>
      <c r="C50" s="1194"/>
      <c r="D50" s="1194"/>
      <c r="E50" s="1194"/>
      <c r="F50" s="1194"/>
      <c r="G50" s="1195"/>
    </row>
    <row r="51" spans="1:7" customFormat="1" ht="20.100000000000001" customHeight="1" x14ac:dyDescent="0.25">
      <c r="A51" s="1184" t="s">
        <v>346</v>
      </c>
      <c r="B51" s="1185"/>
      <c r="C51" s="1185"/>
      <c r="D51" s="1185"/>
      <c r="E51" s="1185"/>
      <c r="F51" s="1185"/>
      <c r="G51" s="1186"/>
    </row>
    <row r="52" spans="1:7" customFormat="1" ht="18" customHeight="1" x14ac:dyDescent="0.25">
      <c r="A52" s="1190" t="s">
        <v>347</v>
      </c>
      <c r="B52" s="1191"/>
      <c r="C52" s="1191"/>
      <c r="D52" s="1191"/>
      <c r="E52" s="1191"/>
      <c r="F52" s="1191"/>
      <c r="G52" s="1192"/>
    </row>
    <row r="53" spans="1:7" customFormat="1" ht="18" customHeight="1" x14ac:dyDescent="0.25">
      <c r="A53" s="1176" t="s">
        <v>348</v>
      </c>
      <c r="B53" s="1177"/>
      <c r="C53" s="1177"/>
      <c r="D53" s="1177"/>
      <c r="E53" s="1177"/>
      <c r="F53" s="1177"/>
      <c r="G53" s="1178"/>
    </row>
    <row r="54" spans="1:7" customFormat="1" ht="18" customHeight="1" x14ac:dyDescent="0.25">
      <c r="A54" s="1176" t="s">
        <v>349</v>
      </c>
      <c r="B54" s="1177"/>
      <c r="C54" s="1177"/>
      <c r="D54" s="1177"/>
      <c r="E54" s="1177"/>
      <c r="F54" s="1177"/>
      <c r="G54" s="1178"/>
    </row>
    <row r="55" spans="1:7" customFormat="1" ht="18" customHeight="1" x14ac:dyDescent="0.25">
      <c r="A55" s="1176" t="s">
        <v>350</v>
      </c>
      <c r="B55" s="1177"/>
      <c r="C55" s="1177"/>
      <c r="D55" s="1177"/>
      <c r="E55" s="1177"/>
      <c r="F55" s="1177"/>
      <c r="G55" s="1178"/>
    </row>
    <row r="56" spans="1:7" customFormat="1" ht="18" customHeight="1" x14ac:dyDescent="0.25">
      <c r="A56" s="1176" t="s">
        <v>351</v>
      </c>
      <c r="B56" s="1177"/>
      <c r="C56" s="1177"/>
      <c r="D56" s="1177"/>
      <c r="E56" s="1177"/>
      <c r="F56" s="1177"/>
      <c r="G56" s="1178"/>
    </row>
    <row r="57" spans="1:7" customFormat="1" ht="18" customHeight="1" x14ac:dyDescent="0.25">
      <c r="A57" s="1176" t="s">
        <v>1588</v>
      </c>
      <c r="B57" s="1177"/>
      <c r="C57" s="1177"/>
      <c r="D57" s="1177"/>
      <c r="E57" s="1177"/>
      <c r="F57" s="1177"/>
      <c r="G57" s="1178"/>
    </row>
    <row r="58" spans="1:7" customFormat="1" ht="18" customHeight="1" x14ac:dyDescent="0.25">
      <c r="A58" s="1176" t="s">
        <v>1589</v>
      </c>
      <c r="B58" s="1177"/>
      <c r="C58" s="1177"/>
      <c r="D58" s="1177"/>
      <c r="E58" s="1177"/>
      <c r="F58" s="1177"/>
      <c r="G58" s="1178"/>
    </row>
    <row r="59" spans="1:7" customFormat="1" ht="18" customHeight="1" x14ac:dyDescent="0.25">
      <c r="A59" s="1176" t="s">
        <v>352</v>
      </c>
      <c r="B59" s="1177"/>
      <c r="C59" s="1177"/>
      <c r="D59" s="1177"/>
      <c r="E59" s="1177"/>
      <c r="F59" s="1177"/>
      <c r="G59" s="1178"/>
    </row>
    <row r="60" spans="1:7" customFormat="1" ht="18" customHeight="1" x14ac:dyDescent="0.25">
      <c r="A60" s="988" t="s">
        <v>355</v>
      </c>
      <c r="B60" s="989"/>
      <c r="C60" s="989"/>
      <c r="D60" s="989"/>
      <c r="E60" s="989"/>
      <c r="F60" s="989"/>
      <c r="G60" s="990"/>
    </row>
    <row r="61" spans="1:7" customFormat="1" ht="18" customHeight="1" x14ac:dyDescent="0.25">
      <c r="A61" s="1181" t="s">
        <v>356</v>
      </c>
      <c r="B61" s="1182"/>
      <c r="C61" s="1182"/>
      <c r="D61" s="1182"/>
      <c r="E61" s="1182"/>
      <c r="F61" s="1182"/>
      <c r="G61" s="1183"/>
    </row>
    <row r="62" spans="1:7" customFormat="1" ht="18" customHeight="1" x14ac:dyDescent="0.25">
      <c r="A62" s="1181" t="s">
        <v>1590</v>
      </c>
      <c r="B62" s="1182"/>
      <c r="C62" s="1182"/>
      <c r="D62" s="1182"/>
      <c r="E62" s="1182"/>
      <c r="F62" s="1182"/>
      <c r="G62" s="1183"/>
    </row>
    <row r="63" spans="1:7" customFormat="1" ht="18" customHeight="1" x14ac:dyDescent="0.25">
      <c r="A63" s="1181" t="s">
        <v>357</v>
      </c>
      <c r="B63" s="1182"/>
      <c r="C63" s="1182"/>
      <c r="D63" s="1182"/>
      <c r="E63" s="1182"/>
      <c r="F63" s="1182"/>
      <c r="G63" s="1183"/>
    </row>
    <row r="64" spans="1:7" customFormat="1" ht="18" customHeight="1" x14ac:dyDescent="0.25">
      <c r="A64" s="1181" t="s">
        <v>1591</v>
      </c>
      <c r="B64" s="1182"/>
      <c r="C64" s="1182"/>
      <c r="D64" s="1182"/>
      <c r="E64" s="1182"/>
      <c r="F64" s="1182"/>
      <c r="G64" s="1183"/>
    </row>
    <row r="65" spans="1:7" customFormat="1" ht="18" customHeight="1" x14ac:dyDescent="0.25">
      <c r="A65" s="1181" t="s">
        <v>1592</v>
      </c>
      <c r="B65" s="1182"/>
      <c r="C65" s="1182"/>
      <c r="D65" s="1182"/>
      <c r="E65" s="1182"/>
      <c r="F65" s="1182"/>
      <c r="G65" s="1183"/>
    </row>
    <row r="66" spans="1:7" customFormat="1" ht="18" customHeight="1" x14ac:dyDescent="0.25">
      <c r="A66" s="1181" t="s">
        <v>1593</v>
      </c>
      <c r="B66" s="1182"/>
      <c r="C66" s="1182"/>
      <c r="D66" s="1182"/>
      <c r="E66" s="1182"/>
      <c r="F66" s="1182"/>
      <c r="G66" s="1183"/>
    </row>
    <row r="67" spans="1:7" customFormat="1" ht="18" customHeight="1" x14ac:dyDescent="0.25">
      <c r="A67" s="1181" t="s">
        <v>1594</v>
      </c>
      <c r="B67" s="1182"/>
      <c r="C67" s="1182"/>
      <c r="D67" s="1182"/>
      <c r="E67" s="1182"/>
      <c r="F67" s="1182"/>
      <c r="G67" s="1183"/>
    </row>
    <row r="68" spans="1:7" customFormat="1" ht="18" customHeight="1" x14ac:dyDescent="0.25">
      <c r="A68" s="1181" t="s">
        <v>1595</v>
      </c>
      <c r="B68" s="1182"/>
      <c r="C68" s="1182"/>
      <c r="D68" s="1182"/>
      <c r="E68" s="1182"/>
      <c r="F68" s="1182"/>
      <c r="G68" s="1183"/>
    </row>
    <row r="69" spans="1:7" x14ac:dyDescent="0.25">
      <c r="A69" s="985" t="s">
        <v>494</v>
      </c>
      <c r="B69" s="986"/>
      <c r="C69" s="986"/>
      <c r="D69" s="986"/>
      <c r="E69" s="986"/>
      <c r="F69" s="986"/>
      <c r="G69" s="987"/>
    </row>
    <row r="70" spans="1:7" x14ac:dyDescent="0.25">
      <c r="A70" s="36"/>
      <c r="B70" s="37"/>
      <c r="C70" s="37"/>
      <c r="D70" s="37"/>
      <c r="E70" s="37"/>
      <c r="F70" s="37"/>
      <c r="G70" s="38"/>
    </row>
    <row r="71" spans="1:7" x14ac:dyDescent="0.25">
      <c r="A71" s="36"/>
      <c r="B71" s="37"/>
      <c r="C71" s="37"/>
      <c r="D71" s="37"/>
      <c r="E71" s="37"/>
      <c r="F71" s="37"/>
      <c r="G71" s="38"/>
    </row>
    <row r="72" spans="1:7" x14ac:dyDescent="0.25">
      <c r="A72" s="1179" t="s">
        <v>1566</v>
      </c>
      <c r="B72" s="1073"/>
      <c r="C72" s="1073"/>
      <c r="D72" s="1073" t="s">
        <v>414</v>
      </c>
      <c r="E72" s="1073"/>
      <c r="F72" s="1073"/>
      <c r="G72" s="1180"/>
    </row>
    <row r="73" spans="1:7" x14ac:dyDescent="0.25">
      <c r="A73" s="1179" t="s">
        <v>184</v>
      </c>
      <c r="B73" s="1073"/>
      <c r="C73" s="1073"/>
      <c r="D73" s="1073" t="s">
        <v>177</v>
      </c>
      <c r="E73" s="1073"/>
      <c r="F73" s="1073"/>
      <c r="G73" s="1180"/>
    </row>
    <row r="74" spans="1:7" x14ac:dyDescent="0.25">
      <c r="A74" s="1179" t="s">
        <v>187</v>
      </c>
      <c r="B74" s="1073"/>
      <c r="C74" s="1073"/>
      <c r="D74" s="1073" t="s">
        <v>188</v>
      </c>
      <c r="E74" s="1073"/>
      <c r="F74" s="1073"/>
      <c r="G74" s="1180"/>
    </row>
    <row r="75" spans="1:7" ht="16.5" thickBot="1" x14ac:dyDescent="0.3">
      <c r="A75" s="39"/>
      <c r="B75" s="40"/>
      <c r="C75" s="40"/>
      <c r="D75" s="40"/>
      <c r="E75" s="40"/>
      <c r="F75" s="40"/>
      <c r="G75" s="41"/>
    </row>
  </sheetData>
  <mergeCells count="88">
    <mergeCell ref="A52:G52"/>
    <mergeCell ref="A53:G53"/>
    <mergeCell ref="A54:G54"/>
    <mergeCell ref="A55:G55"/>
    <mergeCell ref="A32:G32"/>
    <mergeCell ref="A33:G33"/>
    <mergeCell ref="A34:G34"/>
    <mergeCell ref="A41:G41"/>
    <mergeCell ref="A42:G42"/>
    <mergeCell ref="A43:G43"/>
    <mergeCell ref="A44:G44"/>
    <mergeCell ref="A50:G50"/>
    <mergeCell ref="A51:G51"/>
    <mergeCell ref="A30:G30"/>
    <mergeCell ref="A31:G31"/>
    <mergeCell ref="A39:G39"/>
    <mergeCell ref="A40:G40"/>
    <mergeCell ref="A35:G35"/>
    <mergeCell ref="A36:G36"/>
    <mergeCell ref="A37:G37"/>
    <mergeCell ref="A38:G38"/>
    <mergeCell ref="A73:C73"/>
    <mergeCell ref="D73:G73"/>
    <mergeCell ref="A74:C74"/>
    <mergeCell ref="D74:G74"/>
    <mergeCell ref="A45:G45"/>
    <mergeCell ref="A46:G46"/>
    <mergeCell ref="A47:G47"/>
    <mergeCell ref="A48:G48"/>
    <mergeCell ref="A49:G49"/>
    <mergeCell ref="A60:G60"/>
    <mergeCell ref="A64:G64"/>
    <mergeCell ref="A65:G65"/>
    <mergeCell ref="A66:G66"/>
    <mergeCell ref="A67:G67"/>
    <mergeCell ref="A68:G68"/>
    <mergeCell ref="A69:G69"/>
    <mergeCell ref="A72:C72"/>
    <mergeCell ref="D72:G72"/>
    <mergeCell ref="A56:G56"/>
    <mergeCell ref="A57:G57"/>
    <mergeCell ref="A58:G58"/>
    <mergeCell ref="A59:G59"/>
    <mergeCell ref="A61:G61"/>
    <mergeCell ref="A62:G62"/>
    <mergeCell ref="A63:G63"/>
    <mergeCell ref="A20:G20"/>
    <mergeCell ref="A21:G21"/>
    <mergeCell ref="A29:G29"/>
    <mergeCell ref="A22:G22"/>
    <mergeCell ref="A23:G23"/>
    <mergeCell ref="A24:G24"/>
    <mergeCell ref="A25:G25"/>
    <mergeCell ref="A26:G26"/>
    <mergeCell ref="A27:G27"/>
    <mergeCell ref="A28:G28"/>
    <mergeCell ref="A18:B18"/>
    <mergeCell ref="C18:G18"/>
    <mergeCell ref="A19:B19"/>
    <mergeCell ref="C19:G19"/>
    <mergeCell ref="A16:G16"/>
    <mergeCell ref="A17:B17"/>
    <mergeCell ref="C17:G17"/>
    <mergeCell ref="A14:B14"/>
    <mergeCell ref="C14:D14"/>
    <mergeCell ref="E14:G14"/>
    <mergeCell ref="A15:B15"/>
    <mergeCell ref="C15:D15"/>
    <mergeCell ref="E15:G15"/>
    <mergeCell ref="A9:B9"/>
    <mergeCell ref="A1:B1"/>
    <mergeCell ref="C1:D1"/>
    <mergeCell ref="E1:F1"/>
    <mergeCell ref="A2:G2"/>
    <mergeCell ref="A3:G3"/>
    <mergeCell ref="C9:G9"/>
    <mergeCell ref="A4:G4"/>
    <mergeCell ref="A5:G5"/>
    <mergeCell ref="A6:G6"/>
    <mergeCell ref="A7:G7"/>
    <mergeCell ref="A8:G8"/>
    <mergeCell ref="F12:G12"/>
    <mergeCell ref="B13:G13"/>
    <mergeCell ref="A10:B10"/>
    <mergeCell ref="C10:G10"/>
    <mergeCell ref="A11:B11"/>
    <mergeCell ref="D11:E11"/>
    <mergeCell ref="F11:G11"/>
  </mergeCells>
  <pageMargins left="1" right="1" top="1" bottom="1" header="0.5" footer="0.5"/>
  <pageSetup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3"/>
  <dimension ref="A1:J64"/>
  <sheetViews>
    <sheetView topLeftCell="A9" zoomScale="90" zoomScaleNormal="90" workbookViewId="0">
      <selection activeCell="A33" sqref="A33:G57"/>
    </sheetView>
  </sheetViews>
  <sheetFormatPr baseColWidth="10" defaultRowHeight="15.75" x14ac:dyDescent="0.25"/>
  <cols>
    <col min="1" max="1" width="19.5703125" style="2" customWidth="1"/>
    <col min="2" max="2" width="25.5703125" style="2" customWidth="1"/>
    <col min="3" max="3" width="12.5703125" style="2" customWidth="1"/>
    <col min="4" max="4" width="23.85546875" style="2" customWidth="1"/>
    <col min="5" max="5" width="13.7109375" style="2" customWidth="1"/>
    <col min="6" max="6" width="7.140625" style="2" customWidth="1"/>
    <col min="7" max="7" width="15.42578125" style="2" customWidth="1"/>
    <col min="8" max="16384" width="11.42578125" style="2"/>
  </cols>
  <sheetData>
    <row r="1" spans="1:7" ht="71.25" customHeight="1" thickBot="1" x14ac:dyDescent="0.3">
      <c r="A1" s="1238"/>
      <c r="B1" s="1239"/>
      <c r="C1" s="1240"/>
      <c r="D1" s="1241"/>
      <c r="E1" s="1242" t="s">
        <v>189</v>
      </c>
      <c r="F1" s="1243"/>
      <c r="G1" s="22">
        <v>2.1</v>
      </c>
    </row>
    <row r="2" spans="1:7" ht="7.5" customHeight="1" x14ac:dyDescent="0.25">
      <c r="A2" s="1222"/>
      <c r="B2" s="1223"/>
      <c r="C2" s="1223"/>
      <c r="D2" s="1223"/>
      <c r="E2" s="1244"/>
      <c r="F2" s="1244"/>
      <c r="G2" s="1245"/>
    </row>
    <row r="3" spans="1:7" ht="30.75" customHeight="1" x14ac:dyDescent="0.25">
      <c r="A3" s="1246" t="s">
        <v>374</v>
      </c>
      <c r="B3" s="1247"/>
      <c r="C3" s="1247"/>
      <c r="D3" s="1247"/>
      <c r="E3" s="1247"/>
      <c r="F3" s="1247"/>
      <c r="G3" s="1248"/>
    </row>
    <row r="4" spans="1:7" ht="6.75" customHeight="1" thickBot="1" x14ac:dyDescent="0.3">
      <c r="A4" s="1222"/>
      <c r="B4" s="1223"/>
      <c r="C4" s="1223"/>
      <c r="D4" s="1223"/>
      <c r="E4" s="1223"/>
      <c r="F4" s="1223"/>
      <c r="G4" s="1224"/>
    </row>
    <row r="5" spans="1:7" ht="16.5" thickBot="1" x14ac:dyDescent="0.3">
      <c r="A5" s="1200" t="s">
        <v>373</v>
      </c>
      <c r="B5" s="1201"/>
      <c r="C5" s="1201"/>
      <c r="D5" s="1201"/>
      <c r="E5" s="1201"/>
      <c r="F5" s="1201"/>
      <c r="G5" s="1202"/>
    </row>
    <row r="6" spans="1:7" ht="6.75" customHeight="1" thickBot="1" x14ac:dyDescent="0.3">
      <c r="A6" s="1222"/>
      <c r="B6" s="1223"/>
      <c r="C6" s="1223"/>
      <c r="D6" s="1223"/>
      <c r="E6" s="1223"/>
      <c r="F6" s="1223"/>
      <c r="G6" s="1224"/>
    </row>
    <row r="7" spans="1:7" ht="16.5" thickBot="1" x14ac:dyDescent="0.3">
      <c r="A7" s="1200" t="s">
        <v>128</v>
      </c>
      <c r="B7" s="1201"/>
      <c r="C7" s="1201"/>
      <c r="D7" s="1201"/>
      <c r="E7" s="1201"/>
      <c r="F7" s="1201"/>
      <c r="G7" s="1202"/>
    </row>
    <row r="8" spans="1:7" ht="8.25" customHeight="1" x14ac:dyDescent="0.25">
      <c r="A8" s="1222"/>
      <c r="B8" s="1223"/>
      <c r="C8" s="1223"/>
      <c r="D8" s="1223"/>
      <c r="E8" s="1223"/>
      <c r="F8" s="1223"/>
      <c r="G8" s="1224"/>
    </row>
    <row r="9" spans="1:7" x14ac:dyDescent="0.25">
      <c r="A9" s="1230" t="s">
        <v>2</v>
      </c>
      <c r="B9" s="1231"/>
      <c r="C9" s="1228" t="s">
        <v>13</v>
      </c>
      <c r="D9" s="1228"/>
      <c r="E9" s="1228"/>
      <c r="F9" s="1228"/>
      <c r="G9" s="1229"/>
    </row>
    <row r="10" spans="1:7" x14ac:dyDescent="0.25">
      <c r="A10" s="1230" t="s">
        <v>229</v>
      </c>
      <c r="B10" s="1231"/>
      <c r="C10" s="1232" t="s">
        <v>280</v>
      </c>
      <c r="D10" s="1233"/>
      <c r="E10" s="1233"/>
      <c r="F10" s="1233"/>
      <c r="G10" s="1234"/>
    </row>
    <row r="11" spans="1:7" x14ac:dyDescent="0.25">
      <c r="A11" s="1230" t="s">
        <v>129</v>
      </c>
      <c r="B11" s="1231"/>
      <c r="C11" s="27">
        <v>43625</v>
      </c>
      <c r="D11" s="1235" t="s">
        <v>130</v>
      </c>
      <c r="E11" s="1235"/>
      <c r="F11" s="1225">
        <v>43625</v>
      </c>
      <c r="G11" s="1224"/>
    </row>
    <row r="12" spans="1:7" ht="60.75" customHeight="1" x14ac:dyDescent="0.25">
      <c r="A12" s="13" t="s">
        <v>131</v>
      </c>
      <c r="B12" s="28" t="s">
        <v>134</v>
      </c>
      <c r="C12" s="13" t="s">
        <v>132</v>
      </c>
      <c r="D12" s="29" t="s">
        <v>15</v>
      </c>
      <c r="E12" s="13" t="s">
        <v>133</v>
      </c>
      <c r="F12" s="1236" t="s">
        <v>16</v>
      </c>
      <c r="G12" s="1237"/>
    </row>
    <row r="13" spans="1:7" x14ac:dyDescent="0.25">
      <c r="A13" s="13" t="s">
        <v>8</v>
      </c>
      <c r="B13" s="1223" t="s">
        <v>496</v>
      </c>
      <c r="C13" s="1223"/>
      <c r="D13" s="1223"/>
      <c r="E13" s="1223"/>
      <c r="F13" s="1223"/>
      <c r="G13" s="1224"/>
    </row>
    <row r="14" spans="1:7" ht="16.5" thickBot="1" x14ac:dyDescent="0.3">
      <c r="A14" s="1219"/>
      <c r="B14" s="1220"/>
      <c r="C14" s="1220"/>
      <c r="D14" s="1220"/>
      <c r="E14" s="1220"/>
      <c r="F14" s="1220"/>
      <c r="G14" s="1221"/>
    </row>
    <row r="15" spans="1:7" ht="16.5" thickBot="1" x14ac:dyDescent="0.3">
      <c r="A15" s="1200" t="s">
        <v>9</v>
      </c>
      <c r="B15" s="1201"/>
      <c r="C15" s="1201"/>
      <c r="D15" s="1201"/>
      <c r="E15" s="1201"/>
      <c r="F15" s="1201"/>
      <c r="G15" s="1202"/>
    </row>
    <row r="16" spans="1:7" x14ac:dyDescent="0.25">
      <c r="A16" s="1227" t="s">
        <v>135</v>
      </c>
      <c r="B16" s="1228"/>
      <c r="C16" s="1228" t="s">
        <v>10</v>
      </c>
      <c r="D16" s="1228"/>
      <c r="E16" s="1228" t="s">
        <v>136</v>
      </c>
      <c r="F16" s="1228"/>
      <c r="G16" s="1229"/>
    </row>
    <row r="17" spans="1:10" x14ac:dyDescent="0.25">
      <c r="A17" s="1222" t="s">
        <v>496</v>
      </c>
      <c r="B17" s="1223"/>
      <c r="C17" s="1223" t="s">
        <v>13</v>
      </c>
      <c r="D17" s="1223"/>
      <c r="E17" s="1225">
        <v>43609</v>
      </c>
      <c r="F17" s="1225"/>
      <c r="G17" s="1226"/>
    </row>
    <row r="18" spans="1:10" x14ac:dyDescent="0.25">
      <c r="A18" s="1222"/>
      <c r="B18" s="1223"/>
      <c r="C18" s="1223"/>
      <c r="D18" s="1223"/>
      <c r="E18" s="1223"/>
      <c r="F18" s="1223"/>
      <c r="G18" s="1224"/>
    </row>
    <row r="19" spans="1:10" x14ac:dyDescent="0.25">
      <c r="A19" s="1222"/>
      <c r="B19" s="1223"/>
      <c r="C19" s="1223"/>
      <c r="D19" s="1223"/>
      <c r="E19" s="1223"/>
      <c r="F19" s="1223"/>
      <c r="G19" s="1224"/>
    </row>
    <row r="20" spans="1:10" x14ac:dyDescent="0.25">
      <c r="A20" s="1222"/>
      <c r="B20" s="1223"/>
      <c r="C20" s="1223"/>
      <c r="D20" s="1223"/>
      <c r="E20" s="1223"/>
      <c r="F20" s="1223"/>
      <c r="G20" s="1224"/>
    </row>
    <row r="21" spans="1:10" ht="9.75" customHeight="1" thickBot="1" x14ac:dyDescent="0.3">
      <c r="A21" s="1219"/>
      <c r="B21" s="1220"/>
      <c r="C21" s="1220"/>
      <c r="D21" s="1220"/>
      <c r="E21" s="1220"/>
      <c r="F21" s="1220"/>
      <c r="G21" s="1221"/>
    </row>
    <row r="22" spans="1:10" ht="16.5" thickBot="1" x14ac:dyDescent="0.3">
      <c r="A22" s="1200" t="s">
        <v>137</v>
      </c>
      <c r="B22" s="1201"/>
      <c r="C22" s="1201"/>
      <c r="D22" s="1201"/>
      <c r="E22" s="1201"/>
      <c r="F22" s="1201"/>
      <c r="G22" s="1202"/>
      <c r="H22" s="4"/>
      <c r="I22" s="4"/>
      <c r="J22" s="4"/>
    </row>
    <row r="23" spans="1:10" ht="15.75" customHeight="1" x14ac:dyDescent="0.25">
      <c r="A23" s="1211" t="s">
        <v>18</v>
      </c>
      <c r="B23" s="1212"/>
      <c r="C23" s="1217" t="s">
        <v>25</v>
      </c>
      <c r="D23" s="1217"/>
      <c r="E23" s="1217"/>
      <c r="F23" s="1217"/>
      <c r="G23" s="1218"/>
      <c r="H23" s="5"/>
      <c r="I23" s="4"/>
      <c r="J23" s="4"/>
    </row>
    <row r="24" spans="1:10" ht="33.75" customHeight="1" x14ac:dyDescent="0.25">
      <c r="A24" s="1211" t="s">
        <v>19</v>
      </c>
      <c r="B24" s="1212"/>
      <c r="C24" s="1217" t="s">
        <v>26</v>
      </c>
      <c r="D24" s="1217"/>
      <c r="E24" s="1217"/>
      <c r="F24" s="1217"/>
      <c r="G24" s="1218"/>
      <c r="H24" s="5"/>
      <c r="I24" s="4"/>
      <c r="J24" s="4"/>
    </row>
    <row r="25" spans="1:10" x14ac:dyDescent="0.25">
      <c r="A25" s="1211" t="s">
        <v>20</v>
      </c>
      <c r="B25" s="1212"/>
      <c r="C25" s="1217" t="s">
        <v>27</v>
      </c>
      <c r="D25" s="1217"/>
      <c r="E25" s="1217"/>
      <c r="F25" s="1217"/>
      <c r="G25" s="1218"/>
      <c r="H25" s="5"/>
      <c r="I25" s="4"/>
      <c r="J25" s="4"/>
    </row>
    <row r="26" spans="1:10" x14ac:dyDescent="0.25">
      <c r="A26" s="1211" t="s">
        <v>21</v>
      </c>
      <c r="B26" s="1212"/>
      <c r="C26" s="1217" t="s">
        <v>28</v>
      </c>
      <c r="D26" s="1217"/>
      <c r="E26" s="1217"/>
      <c r="F26" s="1217"/>
      <c r="G26" s="1218"/>
      <c r="H26" s="5"/>
      <c r="I26" s="4"/>
      <c r="J26" s="4"/>
    </row>
    <row r="27" spans="1:10" ht="15.75" customHeight="1" x14ac:dyDescent="0.25">
      <c r="A27" s="1211" t="s">
        <v>22</v>
      </c>
      <c r="B27" s="1212"/>
      <c r="C27" s="1217" t="s">
        <v>29</v>
      </c>
      <c r="D27" s="1217"/>
      <c r="E27" s="1217"/>
      <c r="F27" s="1217"/>
      <c r="G27" s="1218"/>
      <c r="H27" s="5"/>
      <c r="I27" s="4"/>
      <c r="J27" s="4"/>
    </row>
    <row r="28" spans="1:10" x14ac:dyDescent="0.25">
      <c r="A28" s="1211" t="s">
        <v>23</v>
      </c>
      <c r="B28" s="1212"/>
      <c r="C28" s="1213">
        <v>43358</v>
      </c>
      <c r="D28" s="1213"/>
      <c r="E28" s="1213"/>
      <c r="F28" s="1213"/>
      <c r="G28" s="1214"/>
      <c r="H28" s="6"/>
      <c r="I28" s="4"/>
      <c r="J28" s="4"/>
    </row>
    <row r="29" spans="1:10" ht="30.75" customHeight="1" x14ac:dyDescent="0.25">
      <c r="A29" s="1215" t="s">
        <v>24</v>
      </c>
      <c r="B29" s="1216"/>
      <c r="C29" s="1217" t="s">
        <v>29</v>
      </c>
      <c r="D29" s="1217"/>
      <c r="E29" s="1217"/>
      <c r="F29" s="1217"/>
      <c r="G29" s="1218"/>
      <c r="H29" s="5"/>
      <c r="I29" s="4"/>
      <c r="J29" s="4"/>
    </row>
    <row r="30" spans="1:10" ht="5.25" customHeight="1" thickBot="1" x14ac:dyDescent="0.3">
      <c r="A30" s="1219"/>
      <c r="B30" s="1220"/>
      <c r="C30" s="1220"/>
      <c r="D30" s="1220"/>
      <c r="E30" s="1220"/>
      <c r="F30" s="1220"/>
      <c r="G30" s="1221"/>
      <c r="H30" s="4"/>
      <c r="I30" s="4"/>
      <c r="J30" s="4"/>
    </row>
    <row r="31" spans="1:10" x14ac:dyDescent="0.25">
      <c r="A31" s="1203" t="s">
        <v>375</v>
      </c>
      <c r="B31" s="1204"/>
      <c r="C31" s="1204"/>
      <c r="D31" s="1204"/>
      <c r="E31" s="1204"/>
      <c r="F31" s="1204"/>
      <c r="G31" s="1205"/>
      <c r="H31" s="4"/>
      <c r="I31" s="4"/>
      <c r="J31" s="4"/>
    </row>
    <row r="32" spans="1:10" customFormat="1" ht="37.5" customHeight="1" x14ac:dyDescent="0.25">
      <c r="A32" s="16" t="s">
        <v>193</v>
      </c>
      <c r="B32" s="1206" t="s">
        <v>190</v>
      </c>
      <c r="C32" s="1207"/>
      <c r="D32" s="1208"/>
      <c r="E32" s="1209" t="s">
        <v>191</v>
      </c>
      <c r="F32" s="1209"/>
      <c r="G32" s="17" t="s">
        <v>192</v>
      </c>
    </row>
    <row r="33" spans="1:7" customFormat="1" ht="150" customHeight="1" x14ac:dyDescent="0.25">
      <c r="A33" s="18" t="s">
        <v>376</v>
      </c>
      <c r="B33" s="1196" t="s">
        <v>377</v>
      </c>
      <c r="C33" s="1197"/>
      <c r="D33" s="1198"/>
      <c r="E33" s="1199" t="s">
        <v>406</v>
      </c>
      <c r="F33" s="1199"/>
      <c r="G33" s="19" t="s">
        <v>184</v>
      </c>
    </row>
    <row r="34" spans="1:7" customFormat="1" ht="150" customHeight="1" thickBot="1" x14ac:dyDescent="0.3">
      <c r="A34" s="18" t="s">
        <v>378</v>
      </c>
      <c r="B34" s="1196" t="s">
        <v>379</v>
      </c>
      <c r="C34" s="1197"/>
      <c r="D34" s="1198"/>
      <c r="E34" s="1199" t="s">
        <v>202</v>
      </c>
      <c r="F34" s="1199"/>
      <c r="G34" s="19" t="s">
        <v>184</v>
      </c>
    </row>
    <row r="35" spans="1:7" customFormat="1" ht="15" customHeight="1" x14ac:dyDescent="0.25">
      <c r="A35" s="1203" t="s">
        <v>380</v>
      </c>
      <c r="B35" s="1204"/>
      <c r="C35" s="1204"/>
      <c r="D35" s="1204"/>
      <c r="E35" s="1204"/>
      <c r="F35" s="1204"/>
      <c r="G35" s="1205"/>
    </row>
    <row r="36" spans="1:7" customFormat="1" ht="37.5" customHeight="1" x14ac:dyDescent="0.25">
      <c r="A36" s="16" t="s">
        <v>193</v>
      </c>
      <c r="B36" s="1206" t="s">
        <v>190</v>
      </c>
      <c r="C36" s="1207"/>
      <c r="D36" s="1208"/>
      <c r="E36" s="1209" t="s">
        <v>191</v>
      </c>
      <c r="F36" s="1209"/>
      <c r="G36" s="17" t="s">
        <v>192</v>
      </c>
    </row>
    <row r="37" spans="1:7" customFormat="1" ht="150" customHeight="1" x14ac:dyDescent="0.25">
      <c r="A37" s="18" t="s">
        <v>381</v>
      </c>
      <c r="B37" s="1196" t="s">
        <v>382</v>
      </c>
      <c r="C37" s="1197"/>
      <c r="D37" s="1198"/>
      <c r="E37" s="1199" t="s">
        <v>202</v>
      </c>
      <c r="F37" s="1199"/>
      <c r="G37" s="19" t="s">
        <v>184</v>
      </c>
    </row>
    <row r="38" spans="1:7" customFormat="1" ht="150" customHeight="1" x14ac:dyDescent="0.25">
      <c r="A38" s="18" t="s">
        <v>383</v>
      </c>
      <c r="B38" s="1196" t="s">
        <v>384</v>
      </c>
      <c r="C38" s="1197"/>
      <c r="D38" s="1198"/>
      <c r="E38" s="1199" t="s">
        <v>202</v>
      </c>
      <c r="F38" s="1199"/>
      <c r="G38" s="19" t="s">
        <v>184</v>
      </c>
    </row>
    <row r="39" spans="1:7" customFormat="1" ht="150" customHeight="1" thickBot="1" x14ac:dyDescent="0.3">
      <c r="A39" s="18" t="s">
        <v>385</v>
      </c>
      <c r="B39" s="1196" t="s">
        <v>386</v>
      </c>
      <c r="C39" s="1197"/>
      <c r="D39" s="1198"/>
      <c r="E39" s="1199" t="s">
        <v>387</v>
      </c>
      <c r="F39" s="1199"/>
      <c r="G39" s="19" t="s">
        <v>184</v>
      </c>
    </row>
    <row r="40" spans="1:7" customFormat="1" ht="15" customHeight="1" x14ac:dyDescent="0.25">
      <c r="A40" s="1203" t="s">
        <v>388</v>
      </c>
      <c r="B40" s="1204"/>
      <c r="C40" s="1204"/>
      <c r="D40" s="1204"/>
      <c r="E40" s="1204"/>
      <c r="F40" s="1204"/>
      <c r="G40" s="1205"/>
    </row>
    <row r="41" spans="1:7" customFormat="1" ht="37.5" customHeight="1" x14ac:dyDescent="0.25">
      <c r="A41" s="16" t="s">
        <v>193</v>
      </c>
      <c r="B41" s="1206" t="s">
        <v>190</v>
      </c>
      <c r="C41" s="1207"/>
      <c r="D41" s="1208"/>
      <c r="E41" s="1209" t="s">
        <v>191</v>
      </c>
      <c r="F41" s="1209"/>
      <c r="G41" s="17" t="s">
        <v>192</v>
      </c>
    </row>
    <row r="42" spans="1:7" customFormat="1" ht="150" customHeight="1" x14ac:dyDescent="0.25">
      <c r="A42" s="20" t="s">
        <v>389</v>
      </c>
      <c r="B42" s="1196" t="s">
        <v>390</v>
      </c>
      <c r="C42" s="1197"/>
      <c r="D42" s="1198"/>
      <c r="E42" s="1199" t="s">
        <v>202</v>
      </c>
      <c r="F42" s="1199"/>
      <c r="G42" s="19" t="s">
        <v>184</v>
      </c>
    </row>
    <row r="43" spans="1:7" customFormat="1" ht="150" customHeight="1" thickBot="1" x14ac:dyDescent="0.3">
      <c r="A43" s="20" t="s">
        <v>391</v>
      </c>
      <c r="B43" s="1196" t="s">
        <v>392</v>
      </c>
      <c r="C43" s="1197"/>
      <c r="D43" s="1198"/>
      <c r="E43" s="1199" t="s">
        <v>202</v>
      </c>
      <c r="F43" s="1199"/>
      <c r="G43" s="19" t="s">
        <v>184</v>
      </c>
    </row>
    <row r="44" spans="1:7" customFormat="1" ht="150" hidden="1" customHeight="1" thickBot="1" x14ac:dyDescent="0.3">
      <c r="A44" s="20" t="s">
        <v>209</v>
      </c>
      <c r="B44" s="1196" t="s">
        <v>213</v>
      </c>
      <c r="C44" s="1197"/>
      <c r="D44" s="1198"/>
      <c r="E44" s="1199" t="s">
        <v>202</v>
      </c>
      <c r="F44" s="1199"/>
      <c r="G44" s="19" t="s">
        <v>184</v>
      </c>
    </row>
    <row r="45" spans="1:7" customFormat="1" ht="15" customHeight="1" x14ac:dyDescent="0.25">
      <c r="A45" s="1203" t="s">
        <v>393</v>
      </c>
      <c r="B45" s="1204"/>
      <c r="C45" s="1204"/>
      <c r="D45" s="1204"/>
      <c r="E45" s="1204"/>
      <c r="F45" s="1204"/>
      <c r="G45" s="1205"/>
    </row>
    <row r="46" spans="1:7" customFormat="1" ht="37.5" customHeight="1" x14ac:dyDescent="0.25">
      <c r="A46" s="16" t="s">
        <v>193</v>
      </c>
      <c r="B46" s="1206" t="s">
        <v>190</v>
      </c>
      <c r="C46" s="1207"/>
      <c r="D46" s="1208"/>
      <c r="E46" s="1209" t="s">
        <v>191</v>
      </c>
      <c r="F46" s="1209"/>
      <c r="G46" s="17" t="s">
        <v>192</v>
      </c>
    </row>
    <row r="47" spans="1:7" customFormat="1" ht="186.75" customHeight="1" thickBot="1" x14ac:dyDescent="0.3">
      <c r="A47" s="20" t="s">
        <v>394</v>
      </c>
      <c r="B47" s="1196" t="s">
        <v>397</v>
      </c>
      <c r="C47" s="1197"/>
      <c r="D47" s="1198"/>
      <c r="E47" s="1199" t="s">
        <v>395</v>
      </c>
      <c r="F47" s="1199"/>
      <c r="G47" s="21" t="s">
        <v>222</v>
      </c>
    </row>
    <row r="48" spans="1:7" customFormat="1" ht="15" customHeight="1" x14ac:dyDescent="0.25">
      <c r="A48" s="1203" t="s">
        <v>399</v>
      </c>
      <c r="B48" s="1204"/>
      <c r="C48" s="1204"/>
      <c r="D48" s="1204"/>
      <c r="E48" s="1204"/>
      <c r="F48" s="1204"/>
      <c r="G48" s="1205"/>
    </row>
    <row r="49" spans="1:7" customFormat="1" ht="37.5" customHeight="1" x14ac:dyDescent="0.25">
      <c r="A49" s="16" t="s">
        <v>193</v>
      </c>
      <c r="B49" s="1206" t="s">
        <v>190</v>
      </c>
      <c r="C49" s="1207"/>
      <c r="D49" s="1208"/>
      <c r="E49" s="1209" t="s">
        <v>191</v>
      </c>
      <c r="F49" s="1209"/>
      <c r="G49" s="17" t="s">
        <v>192</v>
      </c>
    </row>
    <row r="50" spans="1:7" customFormat="1" ht="150" customHeight="1" thickBot="1" x14ac:dyDescent="0.3">
      <c r="A50" s="20" t="s">
        <v>396</v>
      </c>
      <c r="B50" s="1196" t="s">
        <v>398</v>
      </c>
      <c r="C50" s="1197"/>
      <c r="D50" s="1198"/>
      <c r="E50" s="1199" t="s">
        <v>225</v>
      </c>
      <c r="F50" s="1199"/>
      <c r="G50" s="19" t="s">
        <v>184</v>
      </c>
    </row>
    <row r="51" spans="1:7" customFormat="1" ht="15" customHeight="1" x14ac:dyDescent="0.25">
      <c r="A51" s="1203" t="s">
        <v>400</v>
      </c>
      <c r="B51" s="1204"/>
      <c r="C51" s="1204"/>
      <c r="D51" s="1204"/>
      <c r="E51" s="1204"/>
      <c r="F51" s="1204"/>
      <c r="G51" s="1205"/>
    </row>
    <row r="52" spans="1:7" customFormat="1" ht="37.5" customHeight="1" x14ac:dyDescent="0.25">
      <c r="A52" s="16" t="s">
        <v>193</v>
      </c>
      <c r="B52" s="1206" t="s">
        <v>190</v>
      </c>
      <c r="C52" s="1207"/>
      <c r="D52" s="1208"/>
      <c r="E52" s="1209" t="s">
        <v>191</v>
      </c>
      <c r="F52" s="1209"/>
      <c r="G52" s="17" t="s">
        <v>192</v>
      </c>
    </row>
    <row r="53" spans="1:7" customFormat="1" ht="150" customHeight="1" x14ac:dyDescent="0.25">
      <c r="A53" s="20" t="s">
        <v>401</v>
      </c>
      <c r="B53" s="1196" t="s">
        <v>402</v>
      </c>
      <c r="C53" s="1197"/>
      <c r="D53" s="1198"/>
      <c r="E53" s="1199" t="s">
        <v>224</v>
      </c>
      <c r="F53" s="1199"/>
      <c r="G53" s="19" t="s">
        <v>184</v>
      </c>
    </row>
    <row r="54" spans="1:7" customFormat="1" ht="150" customHeight="1" x14ac:dyDescent="0.25">
      <c r="A54" s="20" t="s">
        <v>403</v>
      </c>
      <c r="B54" s="1196" t="s">
        <v>404</v>
      </c>
      <c r="C54" s="1197"/>
      <c r="D54" s="1198"/>
      <c r="E54" s="1210" t="s">
        <v>184</v>
      </c>
      <c r="F54" s="1210"/>
      <c r="G54" s="19" t="s">
        <v>184</v>
      </c>
    </row>
    <row r="55" spans="1:7" customFormat="1" ht="150" customHeight="1" thickBot="1" x14ac:dyDescent="0.3">
      <c r="A55" s="20" t="s">
        <v>220</v>
      </c>
      <c r="B55" s="1196" t="s">
        <v>405</v>
      </c>
      <c r="C55" s="1197"/>
      <c r="D55" s="1198"/>
      <c r="E55" s="1199" t="s">
        <v>223</v>
      </c>
      <c r="F55" s="1199"/>
      <c r="G55" s="21" t="s">
        <v>222</v>
      </c>
    </row>
    <row r="56" spans="1:7" ht="16.5" thickBot="1" x14ac:dyDescent="0.3">
      <c r="A56" s="1200" t="s">
        <v>186</v>
      </c>
      <c r="B56" s="1201"/>
      <c r="C56" s="1201"/>
      <c r="D56" s="1201"/>
      <c r="E56" s="1201"/>
      <c r="F56" s="1201"/>
      <c r="G56" s="1202"/>
    </row>
    <row r="57" spans="1:7" x14ac:dyDescent="0.25">
      <c r="A57" s="8"/>
      <c r="B57" s="4"/>
      <c r="C57" s="4"/>
      <c r="D57" s="4"/>
      <c r="E57" s="4"/>
      <c r="F57" s="4"/>
      <c r="G57" s="9"/>
    </row>
    <row r="58" spans="1:7" x14ac:dyDescent="0.25">
      <c r="A58" s="8"/>
      <c r="B58" s="4"/>
      <c r="C58" s="4"/>
      <c r="D58" s="4"/>
      <c r="E58" s="4"/>
      <c r="F58" s="4"/>
      <c r="G58" s="9"/>
    </row>
    <row r="59" spans="1:7" x14ac:dyDescent="0.25">
      <c r="A59" s="8"/>
      <c r="B59" s="4"/>
      <c r="C59" s="4"/>
      <c r="D59" s="4"/>
      <c r="E59" s="4"/>
      <c r="F59" s="4"/>
      <c r="G59" s="9"/>
    </row>
    <row r="60" spans="1:7" x14ac:dyDescent="0.25">
      <c r="A60" s="8"/>
      <c r="B60" s="7"/>
      <c r="C60" s="4"/>
      <c r="D60" s="4"/>
      <c r="E60" s="7"/>
      <c r="F60" s="7"/>
      <c r="G60" s="9"/>
    </row>
    <row r="61" spans="1:7" x14ac:dyDescent="0.25">
      <c r="A61" s="8"/>
      <c r="B61" s="30" t="s">
        <v>496</v>
      </c>
      <c r="C61" s="4"/>
      <c r="D61" s="4"/>
      <c r="E61" s="1100" t="s">
        <v>168</v>
      </c>
      <c r="F61" s="1100"/>
      <c r="G61" s="9"/>
    </row>
    <row r="62" spans="1:7" x14ac:dyDescent="0.25">
      <c r="A62" s="8"/>
      <c r="B62" s="30" t="s">
        <v>184</v>
      </c>
      <c r="C62" s="4"/>
      <c r="D62" s="4"/>
      <c r="E62" s="1100" t="s">
        <v>177</v>
      </c>
      <c r="F62" s="1100"/>
      <c r="G62" s="9"/>
    </row>
    <row r="63" spans="1:7" x14ac:dyDescent="0.25">
      <c r="A63" s="8"/>
      <c r="B63" s="30" t="s">
        <v>187</v>
      </c>
      <c r="C63" s="4"/>
      <c r="D63" s="4"/>
      <c r="E63" s="1100" t="s">
        <v>188</v>
      </c>
      <c r="F63" s="1100"/>
      <c r="G63" s="9"/>
    </row>
    <row r="64" spans="1:7" ht="16.5" thickBot="1" x14ac:dyDescent="0.3">
      <c r="A64" s="10"/>
      <c r="B64" s="11"/>
      <c r="C64" s="11"/>
      <c r="D64" s="11"/>
      <c r="E64" s="11"/>
      <c r="F64" s="11"/>
      <c r="G64" s="12"/>
    </row>
  </sheetData>
  <mergeCells count="101">
    <mergeCell ref="A5:G5"/>
    <mergeCell ref="A6:G6"/>
    <mergeCell ref="A7:G7"/>
    <mergeCell ref="A8:G8"/>
    <mergeCell ref="A9:B9"/>
    <mergeCell ref="C9:G9"/>
    <mergeCell ref="A1:B1"/>
    <mergeCell ref="C1:D1"/>
    <mergeCell ref="E1:F1"/>
    <mergeCell ref="A2:G2"/>
    <mergeCell ref="A3:G3"/>
    <mergeCell ref="A4:G4"/>
    <mergeCell ref="B13:G13"/>
    <mergeCell ref="A14:G14"/>
    <mergeCell ref="A15:G15"/>
    <mergeCell ref="A16:B16"/>
    <mergeCell ref="C16:D16"/>
    <mergeCell ref="E16:G16"/>
    <mergeCell ref="A10:B10"/>
    <mergeCell ref="C10:G10"/>
    <mergeCell ref="A11:B11"/>
    <mergeCell ref="D11:E11"/>
    <mergeCell ref="F11:G11"/>
    <mergeCell ref="F12:G12"/>
    <mergeCell ref="A19:B19"/>
    <mergeCell ref="C19:D19"/>
    <mergeCell ref="E19:G19"/>
    <mergeCell ref="A20:B20"/>
    <mergeCell ref="C20:D20"/>
    <mergeCell ref="E20:G20"/>
    <mergeCell ref="A17:B17"/>
    <mergeCell ref="C17:D17"/>
    <mergeCell ref="E17:G17"/>
    <mergeCell ref="A18:B18"/>
    <mergeCell ref="C18:D18"/>
    <mergeCell ref="E18:G18"/>
    <mergeCell ref="A25:B25"/>
    <mergeCell ref="C25:G25"/>
    <mergeCell ref="A26:B26"/>
    <mergeCell ref="C26:G26"/>
    <mergeCell ref="A27:B27"/>
    <mergeCell ref="C27:G27"/>
    <mergeCell ref="A21:G21"/>
    <mergeCell ref="A22:G22"/>
    <mergeCell ref="A23:B23"/>
    <mergeCell ref="C23:G23"/>
    <mergeCell ref="A24:B24"/>
    <mergeCell ref="C24:G24"/>
    <mergeCell ref="B32:D32"/>
    <mergeCell ref="E32:F32"/>
    <mergeCell ref="B33:D33"/>
    <mergeCell ref="E33:F33"/>
    <mergeCell ref="B34:D34"/>
    <mergeCell ref="E34:F34"/>
    <mergeCell ref="A28:B28"/>
    <mergeCell ref="C28:G28"/>
    <mergeCell ref="A29:B29"/>
    <mergeCell ref="C29:G29"/>
    <mergeCell ref="A30:G30"/>
    <mergeCell ref="A31:G31"/>
    <mergeCell ref="B39:D39"/>
    <mergeCell ref="E39:F39"/>
    <mergeCell ref="A40:G40"/>
    <mergeCell ref="B41:D41"/>
    <mergeCell ref="E41:F41"/>
    <mergeCell ref="B42:D42"/>
    <mergeCell ref="E42:F42"/>
    <mergeCell ref="A35:G35"/>
    <mergeCell ref="B36:D36"/>
    <mergeCell ref="E36:F36"/>
    <mergeCell ref="B37:D37"/>
    <mergeCell ref="E37:F37"/>
    <mergeCell ref="B38:D38"/>
    <mergeCell ref="E38:F38"/>
    <mergeCell ref="B47:D47"/>
    <mergeCell ref="E47:F47"/>
    <mergeCell ref="A48:G48"/>
    <mergeCell ref="B49:D49"/>
    <mergeCell ref="E49:F49"/>
    <mergeCell ref="B50:D50"/>
    <mergeCell ref="E50:F50"/>
    <mergeCell ref="B43:D43"/>
    <mergeCell ref="E43:F43"/>
    <mergeCell ref="B44:D44"/>
    <mergeCell ref="E44:F44"/>
    <mergeCell ref="A45:G45"/>
    <mergeCell ref="B46:D46"/>
    <mergeCell ref="E46:F46"/>
    <mergeCell ref="B55:D55"/>
    <mergeCell ref="E55:F55"/>
    <mergeCell ref="A56:G56"/>
    <mergeCell ref="E61:F61"/>
    <mergeCell ref="E62:F62"/>
    <mergeCell ref="E63:F63"/>
    <mergeCell ref="A51:G51"/>
    <mergeCell ref="B52:D52"/>
    <mergeCell ref="E52:F52"/>
    <mergeCell ref="B53:D53"/>
    <mergeCell ref="E53:F53"/>
    <mergeCell ref="B54:D54"/>
    <mergeCell ref="E54:F54"/>
  </mergeCells>
  <pageMargins left="1" right="1" top="1" bottom="1" header="0.5" footer="0.5"/>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8</vt:i4>
      </vt:variant>
    </vt:vector>
  </HeadingPairs>
  <TitlesOfParts>
    <vt:vector size="40" baseType="lpstr">
      <vt:lpstr>Acta de Constitucion</vt:lpstr>
      <vt:lpstr>Plan Dirección Proyecto</vt:lpstr>
      <vt:lpstr>Factores Ambientales</vt:lpstr>
      <vt:lpstr>Plan Gestión Alcance</vt:lpstr>
      <vt:lpstr>Solicitud Cambio</vt:lpstr>
      <vt:lpstr>Matriz Influencia Previsibilida</vt:lpstr>
      <vt:lpstr>Registro Riesgos Alcance</vt:lpstr>
      <vt:lpstr>Enunciado del Alcance</vt:lpstr>
      <vt:lpstr>Gestión Costos</vt:lpstr>
      <vt:lpstr>Linea Base y Propuesta costos</vt:lpstr>
      <vt:lpstr>Resumen Costos</vt:lpstr>
      <vt:lpstr>Precios terreno</vt:lpstr>
      <vt:lpstr>Presupuesto Obra gris</vt:lpstr>
      <vt:lpstr>presupuesto electrico</vt:lpstr>
      <vt:lpstr>Presupuesto acabados</vt:lpstr>
      <vt:lpstr>Resumen costos directos</vt:lpstr>
      <vt:lpstr>Indirectos Consultorias</vt:lpstr>
      <vt:lpstr>Indirectos Administra</vt:lpstr>
      <vt:lpstr>Indirectos Obras</vt:lpstr>
      <vt:lpstr>Indirectos Estudios</vt:lpstr>
      <vt:lpstr>resumen indirectos</vt:lpstr>
      <vt:lpstr>Cronograma </vt:lpstr>
      <vt:lpstr>Cronograma Valorado</vt:lpstr>
      <vt:lpstr>Gestion Riesgos</vt:lpstr>
      <vt:lpstr>Riesgos y Responsables</vt:lpstr>
      <vt:lpstr>Catego-Origen Riesgos</vt:lpstr>
      <vt:lpstr>Lista Riesgos</vt:lpstr>
      <vt:lpstr>Riesgo Cualitativo</vt:lpstr>
      <vt:lpstr>Respuesta de riesgos</vt:lpstr>
      <vt:lpstr>Adquisiciones</vt:lpstr>
      <vt:lpstr>Efectuar Adquisiciones</vt:lpstr>
      <vt:lpstr>Solicitud Cambio actualización</vt:lpstr>
      <vt:lpstr>'Acta de Constitucion'!Área_de_impresión</vt:lpstr>
      <vt:lpstr>'Cronograma Valorado'!Área_de_impresión</vt:lpstr>
      <vt:lpstr>'Indirectos Administra'!Área_de_impresión</vt:lpstr>
      <vt:lpstr>'Indirectos Estudios'!Área_de_impresión</vt:lpstr>
      <vt:lpstr>'Indirectos Obras'!Área_de_impresión</vt:lpstr>
      <vt:lpstr>'presupuesto electrico'!Área_de_impresión</vt:lpstr>
      <vt:lpstr>'presupuesto electrico'!Títulos_a_imprimir</vt:lpstr>
      <vt:lpstr>'Presupuesto Obra gris'!Títulos_a_imprimir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Alejandro</cp:lastModifiedBy>
  <cp:lastPrinted>2019-05-24T06:24:16Z</cp:lastPrinted>
  <dcterms:created xsi:type="dcterms:W3CDTF">2019-02-07T15:18:06Z</dcterms:created>
  <dcterms:modified xsi:type="dcterms:W3CDTF">2019-12-11T06:01:42Z</dcterms:modified>
</cp:coreProperties>
</file>