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drawings/drawing4.xml" ContentType="application/vnd.openxmlformats-officedocument.drawingml.chartshapes+xml"/>
  <Override PartName="/xl/charts/chart12.xml" ContentType="application/vnd.openxmlformats-officedocument.drawingml.chart+xml"/>
  <Override PartName="/xl/drawings/drawing5.xml" ContentType="application/vnd.openxmlformats-officedocument.drawingml.chartshapes+xml"/>
  <Override PartName="/xl/charts/chart13.xml" ContentType="application/vnd.openxmlformats-officedocument.drawingml.chart+xml"/>
  <Override PartName="/xl/drawings/drawing6.xml" ContentType="application/vnd.openxmlformats-officedocument.drawingml.chartshapes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drawings/drawing8.xml" ContentType="application/vnd.openxmlformats-officedocument.drawingml.chartshapes+xml"/>
  <Override PartName="/xl/charts/chart16.xml" ContentType="application/vnd.openxmlformats-officedocument.drawingml.chart+xml"/>
  <Override PartName="/xl/drawings/drawing9.xml" ContentType="application/vnd.openxmlformats-officedocument.drawingml.chartshapes+xml"/>
  <Override PartName="/xl/charts/chart17.xml" ContentType="application/vnd.openxmlformats-officedocument.drawingml.chart+xml"/>
  <Override PartName="/xl/drawings/drawing10.xml" ContentType="application/vnd.openxmlformats-officedocument.drawingml.chartshapes+xml"/>
  <Override PartName="/xl/charts/chart18.xml" ContentType="application/vnd.openxmlformats-officedocument.drawingml.chart+xml"/>
  <Override PartName="/xl/drawings/drawing11.xml" ContentType="application/vnd.openxmlformats-officedocument.drawingml.chartshapes+xml"/>
  <Override PartName="/xl/charts/chart1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ml.chartshapes+xml"/>
  <Override PartName="/xl/charts/chart23.xml" ContentType="application/vnd.openxmlformats-officedocument.drawingml.chart+xml"/>
  <Override PartName="/xl/drawings/drawing15.xml" ContentType="application/vnd.openxmlformats-officedocument.drawingml.chartshapes+xml"/>
  <Override PartName="/xl/charts/chart24.xml" ContentType="application/vnd.openxmlformats-officedocument.drawingml.chart+xml"/>
  <Override PartName="/xl/drawings/drawing16.xml" ContentType="application/vnd.openxmlformats-officedocument.drawingml.chartshapes+xml"/>
  <Override PartName="/xl/charts/chart25.xml" ContentType="application/vnd.openxmlformats-officedocument.drawingml.chart+xml"/>
  <Override PartName="/xl/drawings/drawing17.xml" ContentType="application/vnd.openxmlformats-officedocument.drawingml.chartshapes+xml"/>
  <Override PartName="/xl/charts/chart26.xml" ContentType="application/vnd.openxmlformats-officedocument.drawingml.chart+xml"/>
  <Override PartName="/xl/drawings/drawing18.xml" ContentType="application/vnd.openxmlformats-officedocument.drawingml.chartshapes+xml"/>
  <Override PartName="/xl/charts/chart27.xml" ContentType="application/vnd.openxmlformats-officedocument.drawingml.chart+xml"/>
  <Override PartName="/xl/drawings/drawing19.xml" ContentType="application/vnd.openxmlformats-officedocument.drawingml.chartshapes+xml"/>
  <Override PartName="/xl/charts/chart28.xml" ContentType="application/vnd.openxmlformats-officedocument.drawingml.chart+xml"/>
  <Override PartName="/xl/drawings/drawing2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/>
  <bookViews>
    <workbookView xWindow="0" yWindow="456" windowWidth="23256" windowHeight="13176" tabRatio="730" firstSheet="2" activeTab="3"/>
  </bookViews>
  <sheets>
    <sheet name="Costos horarios" sheetId="6" r:id="rId1"/>
    <sheet name="opcion  1" sheetId="1" r:id="rId2"/>
    <sheet name="Costo de operación" sheetId="3" r:id="rId3"/>
    <sheet name="Costo horario" sheetId="2" r:id="rId4"/>
    <sheet name="Costo Ind." sheetId="5" r:id="rId5"/>
    <sheet name="Rendimientos" sheetId="7" r:id="rId6"/>
    <sheet name="Tiempos" sheetId="10" r:id="rId7"/>
    <sheet name="Costos totales" sheetId="8" r:id="rId8"/>
    <sheet name="APUS" sheetId="9" r:id="rId9"/>
    <sheet name="Comparaciones" sheetId="11" r:id="rId10"/>
    <sheet name="Conclusiones1" sheetId="13" r:id="rId11"/>
    <sheet name="Conclusiones" sheetId="12" r:id="rId12"/>
  </sheets>
  <externalReferences>
    <externalReference r:id="rId13"/>
    <externalReference r:id="rId14"/>
  </externalReferenc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" i="13" l="1"/>
  <c r="D7" i="13"/>
  <c r="D9" i="13"/>
  <c r="F16" i="11"/>
  <c r="F17" i="11"/>
  <c r="F18" i="11"/>
  <c r="F19" i="11"/>
  <c r="F5" i="13"/>
  <c r="H5" i="13"/>
  <c r="C6" i="13"/>
  <c r="C5" i="13"/>
  <c r="H9" i="13"/>
  <c r="E13" i="13"/>
  <c r="C13" i="13"/>
  <c r="H13" i="13"/>
  <c r="D13" i="13"/>
  <c r="G13" i="13"/>
  <c r="F13" i="13"/>
  <c r="E12" i="13"/>
  <c r="C12" i="13"/>
  <c r="H12" i="13"/>
  <c r="D12" i="13"/>
  <c r="G12" i="13"/>
  <c r="F12" i="13"/>
  <c r="E11" i="13"/>
  <c r="C11" i="13"/>
  <c r="H11" i="13"/>
  <c r="D11" i="13"/>
  <c r="G11" i="13"/>
  <c r="F11" i="13"/>
  <c r="E10" i="13"/>
  <c r="C10" i="13"/>
  <c r="H10" i="13"/>
  <c r="D10" i="13"/>
  <c r="G10" i="13"/>
  <c r="F10" i="13"/>
  <c r="E9" i="13"/>
  <c r="C9" i="13"/>
  <c r="G9" i="13"/>
  <c r="F9" i="13"/>
  <c r="E8" i="13"/>
  <c r="C8" i="13"/>
  <c r="H8" i="13"/>
  <c r="D8" i="13"/>
  <c r="G8" i="13"/>
  <c r="F8" i="13"/>
  <c r="E7" i="13"/>
  <c r="C7" i="13"/>
  <c r="H7" i="13"/>
  <c r="G7" i="13"/>
  <c r="F7" i="13"/>
  <c r="E6" i="13"/>
  <c r="H6" i="13"/>
  <c r="G6" i="13"/>
  <c r="F6" i="13"/>
  <c r="E5" i="13"/>
  <c r="D5" i="13"/>
  <c r="G5" i="13"/>
  <c r="E13" i="12"/>
  <c r="D13" i="12"/>
  <c r="E12" i="12"/>
  <c r="D12" i="12"/>
  <c r="E11" i="12"/>
  <c r="D11" i="12"/>
  <c r="E10" i="12"/>
  <c r="D10" i="12"/>
  <c r="E9" i="12"/>
  <c r="D9" i="12"/>
  <c r="E8" i="12"/>
  <c r="D8" i="12"/>
  <c r="J64" i="8"/>
  <c r="E7" i="12"/>
  <c r="D7" i="12"/>
  <c r="E6" i="12"/>
  <c r="D6" i="12"/>
  <c r="E5" i="12"/>
  <c r="D5" i="12"/>
  <c r="C13" i="12"/>
  <c r="C12" i="12"/>
  <c r="C11" i="12"/>
  <c r="C10" i="12"/>
  <c r="C9" i="12"/>
  <c r="C8" i="12"/>
  <c r="F264" i="9"/>
  <c r="G264" i="9"/>
  <c r="G269" i="9"/>
  <c r="G289" i="9"/>
  <c r="G290" i="9"/>
  <c r="G291" i="9"/>
  <c r="G292" i="9"/>
  <c r="J5" i="11"/>
  <c r="B80" i="11"/>
  <c r="C7" i="12"/>
  <c r="C6" i="12"/>
  <c r="C5" i="12"/>
  <c r="B19" i="11"/>
  <c r="D264" i="9"/>
  <c r="I16" i="11"/>
  <c r="J13" i="11"/>
  <c r="J12" i="11"/>
  <c r="J11" i="11"/>
  <c r="J10" i="11"/>
  <c r="J9" i="11"/>
  <c r="J8" i="11"/>
  <c r="J7" i="11"/>
  <c r="J6" i="11"/>
  <c r="E264" i="9"/>
  <c r="J4" i="11"/>
  <c r="J3" i="11"/>
  <c r="J2" i="11"/>
  <c r="P13" i="12"/>
  <c r="M13" i="12"/>
  <c r="H13" i="12"/>
  <c r="G13" i="12"/>
  <c r="F13" i="12"/>
  <c r="P12" i="12"/>
  <c r="M12" i="12"/>
  <c r="H12" i="12"/>
  <c r="G12" i="12"/>
  <c r="F12" i="12"/>
  <c r="P11" i="12"/>
  <c r="M11" i="12"/>
  <c r="H11" i="12"/>
  <c r="G11" i="12"/>
  <c r="F11" i="12"/>
  <c r="P10" i="12"/>
  <c r="M10" i="12"/>
  <c r="H10" i="12"/>
  <c r="G10" i="12"/>
  <c r="F10" i="12"/>
  <c r="P9" i="12"/>
  <c r="M9" i="12"/>
  <c r="H9" i="12"/>
  <c r="G9" i="12"/>
  <c r="F9" i="12"/>
  <c r="P8" i="12"/>
  <c r="M8" i="12"/>
  <c r="H8" i="12"/>
  <c r="G8" i="12"/>
  <c r="F8" i="12"/>
  <c r="P7" i="12"/>
  <c r="M7" i="12"/>
  <c r="H7" i="12"/>
  <c r="G7" i="12"/>
  <c r="F7" i="12"/>
  <c r="P6" i="12"/>
  <c r="M6" i="12"/>
  <c r="H6" i="12"/>
  <c r="G6" i="12"/>
  <c r="F6" i="12"/>
  <c r="P5" i="12"/>
  <c r="M5" i="12"/>
  <c r="H5" i="12"/>
  <c r="G5" i="12"/>
  <c r="F5" i="12"/>
  <c r="B266" i="11"/>
  <c r="B233" i="11"/>
  <c r="B203" i="11"/>
  <c r="B173" i="11"/>
  <c r="B142" i="11"/>
  <c r="B112" i="11"/>
  <c r="B49" i="11"/>
  <c r="E320" i="9"/>
  <c r="F320" i="9"/>
  <c r="G320" i="9"/>
  <c r="F582" i="9"/>
  <c r="F556" i="9"/>
  <c r="I192" i="8"/>
  <c r="D556" i="9"/>
  <c r="F565" i="9"/>
  <c r="G565" i="9"/>
  <c r="F566" i="9"/>
  <c r="G566" i="9"/>
  <c r="G569" i="9"/>
  <c r="G570" i="9"/>
  <c r="B566" i="9"/>
  <c r="B565" i="9"/>
  <c r="F550" i="9"/>
  <c r="K188" i="8"/>
  <c r="D550" i="9"/>
  <c r="E550" i="9"/>
  <c r="G550" i="9"/>
  <c r="F551" i="9"/>
  <c r="D551" i="9"/>
  <c r="E551" i="9"/>
  <c r="G551" i="9"/>
  <c r="B551" i="9"/>
  <c r="B550" i="9"/>
  <c r="B549" i="9"/>
  <c r="D6" i="3"/>
  <c r="O6" i="3"/>
  <c r="P6" i="3"/>
  <c r="N6" i="3"/>
  <c r="E6" i="3"/>
  <c r="J6" i="3"/>
  <c r="L6" i="3"/>
  <c r="Y6" i="3"/>
  <c r="AA38" i="2"/>
  <c r="K186" i="8"/>
  <c r="D549" i="9"/>
  <c r="K187" i="8"/>
  <c r="D548" i="9"/>
  <c r="K185" i="8"/>
  <c r="D547" i="9"/>
  <c r="F536" i="9"/>
  <c r="F520" i="9"/>
  <c r="G520" i="9"/>
  <c r="F519" i="9"/>
  <c r="G519" i="9"/>
  <c r="G523" i="9"/>
  <c r="G524" i="9"/>
  <c r="F510" i="9"/>
  <c r="I177" i="8"/>
  <c r="D510" i="9"/>
  <c r="E510" i="9"/>
  <c r="G510" i="9"/>
  <c r="G511" i="9"/>
  <c r="G512" i="9"/>
  <c r="G513" i="9"/>
  <c r="G514" i="9"/>
  <c r="G515" i="9"/>
  <c r="B510" i="9"/>
  <c r="F504" i="9"/>
  <c r="K173" i="8"/>
  <c r="D504" i="9"/>
  <c r="E504" i="9"/>
  <c r="G504" i="9"/>
  <c r="F505" i="9"/>
  <c r="D505" i="9"/>
  <c r="E505" i="9"/>
  <c r="G505" i="9"/>
  <c r="B520" i="9"/>
  <c r="B519" i="9"/>
  <c r="B505" i="9"/>
  <c r="B504" i="9"/>
  <c r="B503" i="9"/>
  <c r="K171" i="8"/>
  <c r="D503" i="9"/>
  <c r="K172" i="8"/>
  <c r="D502" i="9"/>
  <c r="K170" i="8"/>
  <c r="D501" i="9"/>
  <c r="F490" i="9"/>
  <c r="F464" i="9"/>
  <c r="I162" i="8"/>
  <c r="D464" i="9"/>
  <c r="F457" i="9"/>
  <c r="F456" i="9"/>
  <c r="F455" i="9"/>
  <c r="K160" i="8"/>
  <c r="D457" i="9"/>
  <c r="K161" i="8"/>
  <c r="D456" i="9"/>
  <c r="K159" i="8"/>
  <c r="D455" i="9"/>
  <c r="F444" i="9"/>
  <c r="F418" i="9"/>
  <c r="I148" i="8"/>
  <c r="D418" i="9"/>
  <c r="F409" i="9"/>
  <c r="K144" i="8"/>
  <c r="D409" i="9"/>
  <c r="E409" i="9"/>
  <c r="G409" i="9"/>
  <c r="F410" i="9"/>
  <c r="K146" i="8"/>
  <c r="D410" i="9"/>
  <c r="E410" i="9"/>
  <c r="G410" i="9"/>
  <c r="F411" i="9"/>
  <c r="K145" i="8"/>
  <c r="D411" i="9"/>
  <c r="E411" i="9"/>
  <c r="G411" i="9"/>
  <c r="F412" i="9"/>
  <c r="D412" i="9"/>
  <c r="E412" i="9"/>
  <c r="G412" i="9"/>
  <c r="G413" i="9"/>
  <c r="G414" i="9"/>
  <c r="B412" i="9"/>
  <c r="K103" i="8"/>
  <c r="M103" i="8"/>
  <c r="K104" i="8"/>
  <c r="M104" i="8"/>
  <c r="K105" i="8"/>
  <c r="M105" i="8"/>
  <c r="K106" i="8"/>
  <c r="M106" i="8"/>
  <c r="K107" i="8"/>
  <c r="M107" i="8"/>
  <c r="K108" i="8"/>
  <c r="M108" i="8"/>
  <c r="K109" i="8"/>
  <c r="M109" i="8"/>
  <c r="K110" i="8"/>
  <c r="M110" i="8"/>
  <c r="K111" i="8"/>
  <c r="M111" i="8"/>
  <c r="K112" i="8"/>
  <c r="M112" i="8"/>
  <c r="K113" i="8"/>
  <c r="M113" i="8"/>
  <c r="K114" i="8"/>
  <c r="M114" i="8"/>
  <c r="K124" i="8"/>
  <c r="M124" i="8"/>
  <c r="K125" i="8"/>
  <c r="M125" i="8"/>
  <c r="K126" i="8"/>
  <c r="M126" i="8"/>
  <c r="K127" i="8"/>
  <c r="M127" i="8"/>
  <c r="K128" i="8"/>
  <c r="M128" i="8"/>
  <c r="K129" i="8"/>
  <c r="M129" i="8"/>
  <c r="K130" i="8"/>
  <c r="M130" i="8"/>
  <c r="K131" i="8"/>
  <c r="M131" i="8"/>
  <c r="K132" i="8"/>
  <c r="M132" i="8"/>
  <c r="K133" i="8"/>
  <c r="M133" i="8"/>
  <c r="K134" i="8"/>
  <c r="M134" i="8"/>
  <c r="K135" i="8"/>
  <c r="M135" i="8"/>
  <c r="K123" i="8"/>
  <c r="M123" i="8"/>
  <c r="J136" i="8"/>
  <c r="I136" i="8"/>
  <c r="L136" i="8"/>
  <c r="N136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23" i="8"/>
  <c r="N138" i="8"/>
  <c r="N139" i="8"/>
  <c r="N140" i="8"/>
  <c r="F355" i="9"/>
  <c r="D355" i="9"/>
  <c r="E355" i="9"/>
  <c r="G355" i="9"/>
  <c r="F356" i="9"/>
  <c r="D356" i="9"/>
  <c r="E356" i="9"/>
  <c r="G356" i="9"/>
  <c r="F357" i="9"/>
  <c r="D357" i="9"/>
  <c r="E357" i="9"/>
  <c r="G357" i="9"/>
  <c r="F358" i="9"/>
  <c r="D358" i="9"/>
  <c r="E358" i="9"/>
  <c r="G358" i="9"/>
  <c r="F359" i="9"/>
  <c r="D359" i="9"/>
  <c r="E359" i="9"/>
  <c r="G359" i="9"/>
  <c r="F360" i="9"/>
  <c r="D360" i="9"/>
  <c r="E360" i="9"/>
  <c r="G360" i="9"/>
  <c r="F361" i="9"/>
  <c r="D361" i="9"/>
  <c r="E361" i="9"/>
  <c r="G361" i="9"/>
  <c r="F362" i="9"/>
  <c r="D362" i="9"/>
  <c r="E362" i="9"/>
  <c r="G362" i="9"/>
  <c r="F363" i="9"/>
  <c r="D363" i="9"/>
  <c r="E363" i="9"/>
  <c r="G363" i="9"/>
  <c r="F364" i="9"/>
  <c r="D364" i="9"/>
  <c r="E364" i="9"/>
  <c r="G364" i="9"/>
  <c r="F365" i="9"/>
  <c r="D365" i="9"/>
  <c r="E365" i="9"/>
  <c r="G365" i="9"/>
  <c r="F366" i="9"/>
  <c r="D366" i="9"/>
  <c r="E366" i="9"/>
  <c r="G366" i="9"/>
  <c r="F367" i="9"/>
  <c r="D367" i="9"/>
  <c r="E367" i="9"/>
  <c r="G367" i="9"/>
  <c r="G368" i="9"/>
  <c r="F372" i="9"/>
  <c r="D372" i="9"/>
  <c r="E372" i="9"/>
  <c r="G372" i="9"/>
  <c r="G374" i="9"/>
  <c r="G375" i="9"/>
  <c r="G376" i="9"/>
  <c r="G377" i="9"/>
  <c r="G385" i="9"/>
  <c r="G386" i="9"/>
  <c r="G391" i="9"/>
  <c r="G392" i="9"/>
  <c r="G393" i="9"/>
  <c r="G394" i="9"/>
  <c r="G395" i="9"/>
  <c r="G397" i="9"/>
  <c r="F398" i="9"/>
  <c r="G398" i="9"/>
  <c r="G399" i="9"/>
  <c r="B355" i="9"/>
  <c r="N109" i="8"/>
  <c r="F344" i="9"/>
  <c r="F318" i="9"/>
  <c r="I115" i="8"/>
  <c r="D318" i="9"/>
  <c r="F307" i="9"/>
  <c r="F308" i="9"/>
  <c r="F309" i="9"/>
  <c r="F310" i="9"/>
  <c r="F311" i="9"/>
  <c r="F312" i="9"/>
  <c r="F313" i="9"/>
  <c r="F306" i="9"/>
  <c r="F305" i="9"/>
  <c r="F304" i="9"/>
  <c r="F303" i="9"/>
  <c r="F302" i="9"/>
  <c r="F301" i="9"/>
  <c r="D312" i="9"/>
  <c r="D313" i="9"/>
  <c r="D311" i="9"/>
  <c r="D310" i="9"/>
  <c r="D309" i="9"/>
  <c r="D308" i="9"/>
  <c r="D307" i="9"/>
  <c r="D306" i="9"/>
  <c r="D305" i="9"/>
  <c r="D304" i="9"/>
  <c r="D303" i="9"/>
  <c r="K102" i="8"/>
  <c r="D302" i="9"/>
  <c r="D301" i="9"/>
  <c r="B301" i="9"/>
  <c r="F290" i="9"/>
  <c r="I64" i="8"/>
  <c r="F273" i="9"/>
  <c r="E273" i="9"/>
  <c r="G273" i="9"/>
  <c r="F254" i="9"/>
  <c r="F255" i="9"/>
  <c r="F256" i="9"/>
  <c r="F257" i="9"/>
  <c r="F258" i="9"/>
  <c r="F259" i="9"/>
  <c r="F253" i="9"/>
  <c r="F252" i="9"/>
  <c r="F251" i="9"/>
  <c r="F250" i="9"/>
  <c r="F249" i="9"/>
  <c r="K60" i="8"/>
  <c r="D256" i="9"/>
  <c r="K61" i="8"/>
  <c r="D257" i="9"/>
  <c r="K62" i="8"/>
  <c r="D258" i="9"/>
  <c r="K63" i="8"/>
  <c r="D259" i="9"/>
  <c r="K59" i="8"/>
  <c r="D255" i="9"/>
  <c r="K58" i="8"/>
  <c r="D254" i="9"/>
  <c r="K57" i="8"/>
  <c r="D253" i="9"/>
  <c r="K55" i="8"/>
  <c r="D252" i="9"/>
  <c r="K53" i="8"/>
  <c r="D251" i="9"/>
  <c r="K54" i="8"/>
  <c r="D250" i="9"/>
  <c r="K52" i="8"/>
  <c r="D249" i="9"/>
  <c r="F238" i="9"/>
  <c r="F212" i="9"/>
  <c r="I27" i="8"/>
  <c r="D212" i="9"/>
  <c r="F204" i="9"/>
  <c r="F205" i="9"/>
  <c r="F206" i="9"/>
  <c r="F207" i="9"/>
  <c r="F203" i="9"/>
  <c r="F202" i="9"/>
  <c r="F201" i="9"/>
  <c r="F200" i="9"/>
  <c r="K26" i="8"/>
  <c r="D207" i="9"/>
  <c r="K25" i="8"/>
  <c r="D206" i="9"/>
  <c r="K24" i="8"/>
  <c r="D205" i="9"/>
  <c r="K23" i="8"/>
  <c r="D204" i="9"/>
  <c r="K22" i="8"/>
  <c r="D203" i="9"/>
  <c r="K20" i="8"/>
  <c r="D202" i="9"/>
  <c r="K21" i="8"/>
  <c r="D201" i="9"/>
  <c r="K19" i="8"/>
  <c r="D200" i="9"/>
  <c r="F189" i="9"/>
  <c r="F163" i="9"/>
  <c r="I94" i="8"/>
  <c r="D163" i="9"/>
  <c r="F158" i="9"/>
  <c r="F157" i="9"/>
  <c r="F156" i="9"/>
  <c r="F155" i="9"/>
  <c r="F154" i="9"/>
  <c r="F153" i="9"/>
  <c r="K89" i="8"/>
  <c r="D158" i="9"/>
  <c r="K92" i="8"/>
  <c r="D157" i="9"/>
  <c r="K91" i="8"/>
  <c r="D156" i="9"/>
  <c r="K93" i="8"/>
  <c r="D155" i="9"/>
  <c r="K88" i="8"/>
  <c r="D154" i="9"/>
  <c r="K87" i="8"/>
  <c r="D153" i="9"/>
  <c r="F142" i="9"/>
  <c r="F17" i="9"/>
  <c r="F68" i="9"/>
  <c r="F116" i="9"/>
  <c r="I79" i="8"/>
  <c r="D116" i="9"/>
  <c r="F111" i="9"/>
  <c r="F110" i="9"/>
  <c r="F109" i="9"/>
  <c r="F108" i="9"/>
  <c r="F107" i="9"/>
  <c r="F106" i="9"/>
  <c r="F105" i="9"/>
  <c r="B111" i="9"/>
  <c r="K78" i="8"/>
  <c r="D111" i="9"/>
  <c r="K77" i="8"/>
  <c r="D110" i="9"/>
  <c r="K76" i="8"/>
  <c r="D109" i="9"/>
  <c r="K73" i="8"/>
  <c r="D108" i="9"/>
  <c r="K75" i="8"/>
  <c r="D107" i="9"/>
  <c r="K74" i="8"/>
  <c r="D106" i="9"/>
  <c r="K72" i="8"/>
  <c r="D105" i="9"/>
  <c r="F58" i="9"/>
  <c r="F59" i="9"/>
  <c r="F60" i="9"/>
  <c r="F61" i="9"/>
  <c r="F62" i="9"/>
  <c r="F57" i="9"/>
  <c r="F56" i="9"/>
  <c r="F55" i="9"/>
  <c r="F54" i="9"/>
  <c r="K9" i="8"/>
  <c r="M9" i="8"/>
  <c r="N9" i="8"/>
  <c r="F10" i="9"/>
  <c r="D10" i="9"/>
  <c r="E10" i="9"/>
  <c r="G10" i="9"/>
  <c r="F94" i="9"/>
  <c r="I44" i="8"/>
  <c r="D68" i="9"/>
  <c r="K43" i="8"/>
  <c r="D62" i="9"/>
  <c r="K42" i="8"/>
  <c r="D61" i="9"/>
  <c r="K41" i="8"/>
  <c r="D60" i="9"/>
  <c r="K40" i="8"/>
  <c r="D59" i="9"/>
  <c r="K39" i="8"/>
  <c r="D58" i="9"/>
  <c r="K38" i="8"/>
  <c r="D57" i="9"/>
  <c r="K36" i="8"/>
  <c r="D56" i="9"/>
  <c r="K37" i="8"/>
  <c r="D55" i="9"/>
  <c r="K35" i="8"/>
  <c r="D54" i="9"/>
  <c r="F8" i="9"/>
  <c r="K8" i="8"/>
  <c r="D8" i="9"/>
  <c r="E8" i="9"/>
  <c r="G8" i="9"/>
  <c r="F9" i="9"/>
  <c r="K10" i="8"/>
  <c r="D9" i="9"/>
  <c r="E9" i="9"/>
  <c r="G9" i="9"/>
  <c r="G12" i="9"/>
  <c r="G13" i="9"/>
  <c r="I11" i="8"/>
  <c r="D17" i="9"/>
  <c r="E17" i="9"/>
  <c r="G17" i="9"/>
  <c r="G18" i="9"/>
  <c r="G22" i="9"/>
  <c r="G30" i="9"/>
  <c r="G31" i="9"/>
  <c r="G36" i="9"/>
  <c r="G37" i="9"/>
  <c r="G38" i="9"/>
  <c r="G39" i="9"/>
  <c r="G40" i="9"/>
  <c r="G42" i="9"/>
  <c r="F43" i="9"/>
  <c r="G43" i="9"/>
  <c r="G44" i="9"/>
  <c r="G45" i="9"/>
  <c r="C6" i="6"/>
  <c r="U38" i="2"/>
  <c r="C74" i="6"/>
  <c r="T38" i="2"/>
  <c r="V38" i="2"/>
  <c r="Y38" i="2"/>
  <c r="P38" i="2"/>
  <c r="Q38" i="2"/>
  <c r="I38" i="2"/>
  <c r="O38" i="2"/>
  <c r="K38" i="2"/>
  <c r="L38" i="2"/>
  <c r="M38" i="2"/>
  <c r="Y8" i="3"/>
  <c r="Y9" i="3"/>
  <c r="Y7" i="3"/>
  <c r="W6" i="3"/>
  <c r="S6" i="3"/>
  <c r="H6" i="3"/>
  <c r="K6" i="3"/>
  <c r="M186" i="8"/>
  <c r="N186" i="8"/>
  <c r="E191" i="10"/>
  <c r="D188" i="10"/>
  <c r="D187" i="10"/>
  <c r="D172" i="10"/>
  <c r="D173" i="10"/>
  <c r="E176" i="10"/>
  <c r="P31" i="2"/>
  <c r="Q31" i="2"/>
  <c r="I31" i="2"/>
  <c r="O31" i="2"/>
  <c r="K31" i="2"/>
  <c r="L31" i="2"/>
  <c r="M31" i="2"/>
  <c r="AA31" i="2"/>
  <c r="U6" i="2"/>
  <c r="C28" i="6"/>
  <c r="T6" i="2"/>
  <c r="V6" i="2"/>
  <c r="Y6" i="2"/>
  <c r="P6" i="2"/>
  <c r="Q6" i="2"/>
  <c r="I6" i="2"/>
  <c r="O6" i="2"/>
  <c r="K6" i="2"/>
  <c r="L6" i="2"/>
  <c r="M6" i="2"/>
  <c r="AA6" i="2"/>
  <c r="U5" i="2"/>
  <c r="C14" i="6"/>
  <c r="T5" i="2"/>
  <c r="V5" i="2"/>
  <c r="Y5" i="2"/>
  <c r="P5" i="2"/>
  <c r="Q5" i="2"/>
  <c r="I5" i="2"/>
  <c r="O5" i="2"/>
  <c r="K5" i="2"/>
  <c r="L5" i="2"/>
  <c r="M5" i="2"/>
  <c r="AA5" i="2"/>
  <c r="H8" i="8"/>
  <c r="M8" i="8"/>
  <c r="N8" i="8"/>
  <c r="P7" i="2"/>
  <c r="Q7" i="2"/>
  <c r="I7" i="2"/>
  <c r="O7" i="2"/>
  <c r="K7" i="2"/>
  <c r="L7" i="2"/>
  <c r="M7" i="2"/>
  <c r="AA7" i="2"/>
  <c r="M10" i="8"/>
  <c r="N10" i="8"/>
  <c r="B44" i="2"/>
  <c r="E44" i="2"/>
  <c r="J11" i="8"/>
  <c r="L11" i="8"/>
  <c r="N11" i="8"/>
  <c r="N13" i="8"/>
  <c r="U36" i="2"/>
  <c r="T36" i="2"/>
  <c r="V36" i="2"/>
  <c r="I36" i="2"/>
  <c r="O36" i="2"/>
  <c r="Y36" i="2"/>
  <c r="P36" i="2"/>
  <c r="Q36" i="2"/>
  <c r="K36" i="2"/>
  <c r="L36" i="2"/>
  <c r="M36" i="2"/>
  <c r="AA36" i="2"/>
  <c r="K189" i="8"/>
  <c r="G191" i="8"/>
  <c r="G190" i="8"/>
  <c r="G189" i="8"/>
  <c r="M191" i="8"/>
  <c r="N191" i="8"/>
  <c r="M190" i="8"/>
  <c r="N190" i="8"/>
  <c r="H189" i="8"/>
  <c r="M189" i="8"/>
  <c r="N189" i="8"/>
  <c r="U12" i="2"/>
  <c r="C81" i="6"/>
  <c r="T12" i="2"/>
  <c r="V12" i="2"/>
  <c r="X12" i="2"/>
  <c r="Y12" i="2"/>
  <c r="P12" i="2"/>
  <c r="Q12" i="2"/>
  <c r="I12" i="2"/>
  <c r="O12" i="2"/>
  <c r="K12" i="2"/>
  <c r="L12" i="2"/>
  <c r="M12" i="2"/>
  <c r="AA12" i="2"/>
  <c r="H188" i="8"/>
  <c r="M188" i="8"/>
  <c r="N188" i="8"/>
  <c r="G188" i="8"/>
  <c r="K147" i="8"/>
  <c r="H147" i="8"/>
  <c r="G147" i="8"/>
  <c r="M147" i="8"/>
  <c r="N147" i="8"/>
  <c r="G175" i="8"/>
  <c r="M175" i="8"/>
  <c r="N175" i="8"/>
  <c r="G176" i="8"/>
  <c r="M176" i="8"/>
  <c r="N176" i="8"/>
  <c r="K174" i="8"/>
  <c r="H174" i="8"/>
  <c r="M174" i="8"/>
  <c r="N174" i="8"/>
  <c r="G174" i="8"/>
  <c r="H173" i="8"/>
  <c r="M173" i="8"/>
  <c r="N173" i="8"/>
  <c r="G173" i="8"/>
  <c r="G26" i="8"/>
  <c r="R36" i="2"/>
  <c r="Y41" i="2"/>
  <c r="W5" i="3"/>
  <c r="S5" i="3"/>
  <c r="D5" i="3"/>
  <c r="O5" i="3"/>
  <c r="P5" i="3"/>
  <c r="H5" i="3"/>
  <c r="N5" i="3"/>
  <c r="E5" i="3"/>
  <c r="J5" i="3"/>
  <c r="K5" i="3"/>
  <c r="L5" i="3"/>
  <c r="Y5" i="3"/>
  <c r="P8" i="2"/>
  <c r="Q8" i="2"/>
  <c r="I8" i="2"/>
  <c r="O8" i="2"/>
  <c r="K8" i="2"/>
  <c r="L8" i="2"/>
  <c r="M8" i="2"/>
  <c r="AA8" i="2"/>
  <c r="P9" i="2"/>
  <c r="Q9" i="2"/>
  <c r="I9" i="2"/>
  <c r="O9" i="2"/>
  <c r="K9" i="2"/>
  <c r="L9" i="2"/>
  <c r="M9" i="2"/>
  <c r="AA9" i="2"/>
  <c r="P10" i="2"/>
  <c r="Q10" i="2"/>
  <c r="I10" i="2"/>
  <c r="O10" i="2"/>
  <c r="K10" i="2"/>
  <c r="L10" i="2"/>
  <c r="M10" i="2"/>
  <c r="AA10" i="2"/>
  <c r="P11" i="2"/>
  <c r="Q11" i="2"/>
  <c r="I11" i="2"/>
  <c r="O11" i="2"/>
  <c r="K11" i="2"/>
  <c r="L11" i="2"/>
  <c r="M11" i="2"/>
  <c r="AA11" i="2"/>
  <c r="P13" i="2"/>
  <c r="Q13" i="2"/>
  <c r="I13" i="2"/>
  <c r="O13" i="2"/>
  <c r="K13" i="2"/>
  <c r="L13" i="2"/>
  <c r="M13" i="2"/>
  <c r="AA13" i="2"/>
  <c r="P14" i="2"/>
  <c r="Q14" i="2"/>
  <c r="I14" i="2"/>
  <c r="O14" i="2"/>
  <c r="K14" i="2"/>
  <c r="L14" i="2"/>
  <c r="M14" i="2"/>
  <c r="AA14" i="2"/>
  <c r="P15" i="2"/>
  <c r="Q15" i="2"/>
  <c r="I15" i="2"/>
  <c r="O15" i="2"/>
  <c r="K15" i="2"/>
  <c r="L15" i="2"/>
  <c r="M15" i="2"/>
  <c r="AA15" i="2"/>
  <c r="P16" i="2"/>
  <c r="Q16" i="2"/>
  <c r="I16" i="2"/>
  <c r="O16" i="2"/>
  <c r="K16" i="2"/>
  <c r="L16" i="2"/>
  <c r="M16" i="2"/>
  <c r="AA16" i="2"/>
  <c r="P17" i="2"/>
  <c r="Q17" i="2"/>
  <c r="I17" i="2"/>
  <c r="O17" i="2"/>
  <c r="K17" i="2"/>
  <c r="L17" i="2"/>
  <c r="M17" i="2"/>
  <c r="AA17" i="2"/>
  <c r="P18" i="2"/>
  <c r="Q18" i="2"/>
  <c r="I18" i="2"/>
  <c r="O18" i="2"/>
  <c r="K18" i="2"/>
  <c r="L18" i="2"/>
  <c r="M18" i="2"/>
  <c r="AA18" i="2"/>
  <c r="P19" i="2"/>
  <c r="Q19" i="2"/>
  <c r="I19" i="2"/>
  <c r="O19" i="2"/>
  <c r="K19" i="2"/>
  <c r="L19" i="2"/>
  <c r="M19" i="2"/>
  <c r="AA19" i="2"/>
  <c r="X20" i="2"/>
  <c r="Y20" i="2"/>
  <c r="U20" i="2"/>
  <c r="C35" i="6"/>
  <c r="T20" i="2"/>
  <c r="V20" i="2"/>
  <c r="P20" i="2"/>
  <c r="Q20" i="2"/>
  <c r="I20" i="2"/>
  <c r="O20" i="2"/>
  <c r="K20" i="2"/>
  <c r="L20" i="2"/>
  <c r="M20" i="2"/>
  <c r="AA20" i="2"/>
  <c r="U21" i="2"/>
  <c r="C43" i="6"/>
  <c r="T21" i="2"/>
  <c r="V21" i="2"/>
  <c r="P21" i="2"/>
  <c r="Q21" i="2"/>
  <c r="I21" i="2"/>
  <c r="O21" i="2"/>
  <c r="K21" i="2"/>
  <c r="L21" i="2"/>
  <c r="M21" i="2"/>
  <c r="AA21" i="2"/>
  <c r="P22" i="2"/>
  <c r="Q22" i="2"/>
  <c r="I22" i="2"/>
  <c r="O22" i="2"/>
  <c r="K22" i="2"/>
  <c r="L22" i="2"/>
  <c r="M22" i="2"/>
  <c r="AA22" i="2"/>
  <c r="P23" i="2"/>
  <c r="Q23" i="2"/>
  <c r="I23" i="2"/>
  <c r="O23" i="2"/>
  <c r="K23" i="2"/>
  <c r="L23" i="2"/>
  <c r="M23" i="2"/>
  <c r="AA23" i="2"/>
  <c r="P24" i="2"/>
  <c r="Q24" i="2"/>
  <c r="I24" i="2"/>
  <c r="O24" i="2"/>
  <c r="K24" i="2"/>
  <c r="L24" i="2"/>
  <c r="M24" i="2"/>
  <c r="AA24" i="2"/>
  <c r="X25" i="2"/>
  <c r="Y25" i="2"/>
  <c r="U25" i="2"/>
  <c r="C51" i="6"/>
  <c r="T25" i="2"/>
  <c r="V25" i="2"/>
  <c r="P25" i="2"/>
  <c r="Q25" i="2"/>
  <c r="I25" i="2"/>
  <c r="O25" i="2"/>
  <c r="K25" i="2"/>
  <c r="L25" i="2"/>
  <c r="M25" i="2"/>
  <c r="AA25" i="2"/>
  <c r="P26" i="2"/>
  <c r="Q26" i="2"/>
  <c r="I26" i="2"/>
  <c r="O26" i="2"/>
  <c r="K26" i="2"/>
  <c r="L26" i="2"/>
  <c r="M26" i="2"/>
  <c r="AA26" i="2"/>
  <c r="P27" i="2"/>
  <c r="Q27" i="2"/>
  <c r="I27" i="2"/>
  <c r="O27" i="2"/>
  <c r="K27" i="2"/>
  <c r="L27" i="2"/>
  <c r="M27" i="2"/>
  <c r="AA27" i="2"/>
  <c r="P28" i="2"/>
  <c r="Q28" i="2"/>
  <c r="I28" i="2"/>
  <c r="O28" i="2"/>
  <c r="K28" i="2"/>
  <c r="L28" i="2"/>
  <c r="M28" i="2"/>
  <c r="AA28" i="2"/>
  <c r="P29" i="2"/>
  <c r="Q29" i="2"/>
  <c r="I29" i="2"/>
  <c r="O29" i="2"/>
  <c r="K29" i="2"/>
  <c r="L29" i="2"/>
  <c r="M29" i="2"/>
  <c r="AA29" i="2"/>
  <c r="P30" i="2"/>
  <c r="Q30" i="2"/>
  <c r="I30" i="2"/>
  <c r="O30" i="2"/>
  <c r="K30" i="2"/>
  <c r="L30" i="2"/>
  <c r="M30" i="2"/>
  <c r="AA30" i="2"/>
  <c r="P32" i="2"/>
  <c r="Q32" i="2"/>
  <c r="I32" i="2"/>
  <c r="O32" i="2"/>
  <c r="K32" i="2"/>
  <c r="L32" i="2"/>
  <c r="M32" i="2"/>
  <c r="AA32" i="2"/>
  <c r="P33" i="2"/>
  <c r="Q33" i="2"/>
  <c r="I33" i="2"/>
  <c r="O33" i="2"/>
  <c r="K33" i="2"/>
  <c r="L33" i="2"/>
  <c r="M33" i="2"/>
  <c r="AA33" i="2"/>
  <c r="P34" i="2"/>
  <c r="Q34" i="2"/>
  <c r="I34" i="2"/>
  <c r="O34" i="2"/>
  <c r="K34" i="2"/>
  <c r="L34" i="2"/>
  <c r="M34" i="2"/>
  <c r="AA34" i="2"/>
  <c r="P35" i="2"/>
  <c r="Q35" i="2"/>
  <c r="I35" i="2"/>
  <c r="O35" i="2"/>
  <c r="K35" i="2"/>
  <c r="L35" i="2"/>
  <c r="M35" i="2"/>
  <c r="AA35" i="2"/>
  <c r="Y37" i="2"/>
  <c r="U37" i="2"/>
  <c r="C66" i="6"/>
  <c r="T37" i="2"/>
  <c r="V37" i="2"/>
  <c r="P37" i="2"/>
  <c r="Q37" i="2"/>
  <c r="I37" i="2"/>
  <c r="O37" i="2"/>
  <c r="K37" i="2"/>
  <c r="L37" i="2"/>
  <c r="M37" i="2"/>
  <c r="AA37" i="2"/>
  <c r="E161" i="10"/>
  <c r="E147" i="10"/>
  <c r="E136" i="10"/>
  <c r="E115" i="10"/>
  <c r="E94" i="10"/>
  <c r="E79" i="10"/>
  <c r="E64" i="10"/>
  <c r="E44" i="10"/>
  <c r="E27" i="10"/>
  <c r="D8" i="10"/>
  <c r="E11" i="10"/>
  <c r="N15" i="5"/>
  <c r="E16" i="5"/>
  <c r="E17" i="5"/>
  <c r="E22" i="5"/>
  <c r="F22" i="5"/>
  <c r="E40" i="5"/>
  <c r="E41" i="5"/>
  <c r="E46" i="5"/>
  <c r="F46" i="5"/>
  <c r="E64" i="5"/>
  <c r="E65" i="5"/>
  <c r="E70" i="5"/>
  <c r="F70" i="5"/>
  <c r="E88" i="5"/>
  <c r="E89" i="5"/>
  <c r="E94" i="5"/>
  <c r="F94" i="5"/>
  <c r="E112" i="5"/>
  <c r="E113" i="5"/>
  <c r="E118" i="5"/>
  <c r="F118" i="5"/>
  <c r="E136" i="5"/>
  <c r="E137" i="5"/>
  <c r="E142" i="5"/>
  <c r="F142" i="5"/>
  <c r="E160" i="5"/>
  <c r="E161" i="5"/>
  <c r="E166" i="5"/>
  <c r="F166" i="5"/>
  <c r="K16" i="5"/>
  <c r="K17" i="5"/>
  <c r="K22" i="5"/>
  <c r="L22" i="5"/>
  <c r="K40" i="5"/>
  <c r="K41" i="5"/>
  <c r="K46" i="5"/>
  <c r="L46" i="5"/>
  <c r="K64" i="5"/>
  <c r="K65" i="5"/>
  <c r="K70" i="5"/>
  <c r="L70" i="5"/>
  <c r="K88" i="5"/>
  <c r="K89" i="5"/>
  <c r="K94" i="5"/>
  <c r="L94" i="5"/>
  <c r="K112" i="5"/>
  <c r="K113" i="5"/>
  <c r="K118" i="5"/>
  <c r="L118" i="5"/>
  <c r="H124" i="5"/>
  <c r="H125" i="5"/>
  <c r="P17" i="5"/>
  <c r="P20" i="5"/>
  <c r="O25" i="5"/>
  <c r="P3" i="5"/>
  <c r="R3" i="5"/>
  <c r="P4" i="5"/>
  <c r="R4" i="5"/>
  <c r="P5" i="5"/>
  <c r="R5" i="5"/>
  <c r="P6" i="5"/>
  <c r="R6" i="5"/>
  <c r="P7" i="5"/>
  <c r="R7" i="5"/>
  <c r="P8" i="5"/>
  <c r="R8" i="5"/>
  <c r="P9" i="5"/>
  <c r="R9" i="5"/>
  <c r="P10" i="5"/>
  <c r="R10" i="5"/>
  <c r="P11" i="5"/>
  <c r="R11" i="5"/>
  <c r="P12" i="5"/>
  <c r="R12" i="5"/>
  <c r="P13" i="5"/>
  <c r="R13" i="5"/>
  <c r="P14" i="5"/>
  <c r="R14" i="5"/>
  <c r="R16" i="5"/>
  <c r="S16" i="5"/>
  <c r="P15" i="5"/>
  <c r="M195" i="8"/>
  <c r="M185" i="8"/>
  <c r="N185" i="8"/>
  <c r="M187" i="8"/>
  <c r="N187" i="8"/>
  <c r="J192" i="8"/>
  <c r="B45" i="2"/>
  <c r="E45" i="2"/>
  <c r="L192" i="8"/>
  <c r="N192" i="8"/>
  <c r="N194" i="8"/>
  <c r="N195" i="8"/>
  <c r="N196" i="8"/>
  <c r="M180" i="8"/>
  <c r="M170" i="8"/>
  <c r="N170" i="8"/>
  <c r="M171" i="8"/>
  <c r="N171" i="8"/>
  <c r="M172" i="8"/>
  <c r="N172" i="8"/>
  <c r="J177" i="8"/>
  <c r="L177" i="8"/>
  <c r="N177" i="8"/>
  <c r="N179" i="8"/>
  <c r="N180" i="8"/>
  <c r="N181" i="8"/>
  <c r="M165" i="8"/>
  <c r="N159" i="8"/>
  <c r="M160" i="8"/>
  <c r="N160" i="8"/>
  <c r="M161" i="8"/>
  <c r="N161" i="8"/>
  <c r="J162" i="8"/>
  <c r="L162" i="8"/>
  <c r="N162" i="8"/>
  <c r="N164" i="8"/>
  <c r="N165" i="8"/>
  <c r="N166" i="8"/>
  <c r="M151" i="8"/>
  <c r="M144" i="8"/>
  <c r="N144" i="8"/>
  <c r="M145" i="8"/>
  <c r="N145" i="8"/>
  <c r="M146" i="8"/>
  <c r="N146" i="8"/>
  <c r="J148" i="8"/>
  <c r="L148" i="8"/>
  <c r="N148" i="8"/>
  <c r="N150" i="8"/>
  <c r="N151" i="8"/>
  <c r="N152" i="8"/>
  <c r="M139" i="8"/>
  <c r="M118" i="8"/>
  <c r="M102" i="8"/>
  <c r="N102" i="8"/>
  <c r="N103" i="8"/>
  <c r="N104" i="8"/>
  <c r="N105" i="8"/>
  <c r="N106" i="8"/>
  <c r="N107" i="8"/>
  <c r="N108" i="8"/>
  <c r="N110" i="8"/>
  <c r="N111" i="8"/>
  <c r="N112" i="8"/>
  <c r="N113" i="8"/>
  <c r="N114" i="8"/>
  <c r="J115" i="8"/>
  <c r="L115" i="8"/>
  <c r="N115" i="8"/>
  <c r="N117" i="8"/>
  <c r="N118" i="8"/>
  <c r="N119" i="8"/>
  <c r="M97" i="8"/>
  <c r="M87" i="8"/>
  <c r="N87" i="8"/>
  <c r="M88" i="8"/>
  <c r="N88" i="8"/>
  <c r="M89" i="8"/>
  <c r="N89" i="8"/>
  <c r="K90" i="8"/>
  <c r="M90" i="8"/>
  <c r="N90" i="8"/>
  <c r="M91" i="8"/>
  <c r="N91" i="8"/>
  <c r="M92" i="8"/>
  <c r="N92" i="8"/>
  <c r="M93" i="8"/>
  <c r="N93" i="8"/>
  <c r="J94" i="8"/>
  <c r="L94" i="8"/>
  <c r="N94" i="8"/>
  <c r="N96" i="8"/>
  <c r="N97" i="8"/>
  <c r="N98" i="8"/>
  <c r="M82" i="8"/>
  <c r="M72" i="8"/>
  <c r="N72" i="8"/>
  <c r="M73" i="8"/>
  <c r="N73" i="8"/>
  <c r="M74" i="8"/>
  <c r="N74" i="8"/>
  <c r="M75" i="8"/>
  <c r="N75" i="8"/>
  <c r="M76" i="8"/>
  <c r="N76" i="8"/>
  <c r="M77" i="8"/>
  <c r="N77" i="8"/>
  <c r="M78" i="8"/>
  <c r="N78" i="8"/>
  <c r="J79" i="8"/>
  <c r="L79" i="8"/>
  <c r="N79" i="8"/>
  <c r="N81" i="8"/>
  <c r="N82" i="8"/>
  <c r="N83" i="8"/>
  <c r="M67" i="8"/>
  <c r="M52" i="8"/>
  <c r="N52" i="8"/>
  <c r="M53" i="8"/>
  <c r="N53" i="8"/>
  <c r="M54" i="8"/>
  <c r="N54" i="8"/>
  <c r="M55" i="8"/>
  <c r="N55" i="8"/>
  <c r="N56" i="8"/>
  <c r="M57" i="8"/>
  <c r="N57" i="8"/>
  <c r="M58" i="8"/>
  <c r="N58" i="8"/>
  <c r="M59" i="8"/>
  <c r="N59" i="8"/>
  <c r="M60" i="8"/>
  <c r="N60" i="8"/>
  <c r="M61" i="8"/>
  <c r="N61" i="8"/>
  <c r="M62" i="8"/>
  <c r="N62" i="8"/>
  <c r="M63" i="8"/>
  <c r="N63" i="8"/>
  <c r="L64" i="8"/>
  <c r="N64" i="8"/>
  <c r="N66" i="8"/>
  <c r="N67" i="8"/>
  <c r="N68" i="8"/>
  <c r="M47" i="8"/>
  <c r="N35" i="8"/>
  <c r="N36" i="8"/>
  <c r="N37" i="8"/>
  <c r="N38" i="8"/>
  <c r="N39" i="8"/>
  <c r="N40" i="8"/>
  <c r="N41" i="8"/>
  <c r="N42" i="8"/>
  <c r="N43" i="8"/>
  <c r="J44" i="8"/>
  <c r="L44" i="8"/>
  <c r="N44" i="8"/>
  <c r="N46" i="8"/>
  <c r="N47" i="8"/>
  <c r="N48" i="8"/>
  <c r="M30" i="8"/>
  <c r="M14" i="8"/>
  <c r="M19" i="8"/>
  <c r="N19" i="8"/>
  <c r="N20" i="8"/>
  <c r="M21" i="8"/>
  <c r="N21" i="8"/>
  <c r="M22" i="8"/>
  <c r="N22" i="8"/>
  <c r="M23" i="8"/>
  <c r="N23" i="8"/>
  <c r="M24" i="8"/>
  <c r="N24" i="8"/>
  <c r="M25" i="8"/>
  <c r="N25" i="8"/>
  <c r="M26" i="8"/>
  <c r="N26" i="8"/>
  <c r="J27" i="8"/>
  <c r="L27" i="8"/>
  <c r="N27" i="8"/>
  <c r="N29" i="8"/>
  <c r="N30" i="8"/>
  <c r="N31" i="8"/>
  <c r="N14" i="8"/>
  <c r="N15" i="8"/>
  <c r="P15" i="8"/>
  <c r="R5" i="2"/>
  <c r="W5" i="2"/>
  <c r="Z5" i="2"/>
  <c r="C6" i="5"/>
  <c r="E6" i="5"/>
  <c r="C7" i="5"/>
  <c r="E7" i="5"/>
  <c r="C8" i="5"/>
  <c r="D8" i="5"/>
  <c r="E8" i="5"/>
  <c r="E20" i="5"/>
  <c r="C12" i="5"/>
  <c r="E12" i="5"/>
  <c r="E21" i="5"/>
  <c r="E23" i="5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7" i="2"/>
  <c r="R38" i="2"/>
  <c r="C21" i="6"/>
  <c r="G25" i="8"/>
  <c r="G41" i="8"/>
  <c r="G43" i="8"/>
  <c r="G58" i="8"/>
  <c r="G42" i="8"/>
  <c r="G40" i="8"/>
  <c r="G39" i="8"/>
  <c r="G38" i="8"/>
  <c r="G36" i="8"/>
  <c r="G61" i="8"/>
  <c r="G60" i="8"/>
  <c r="G59" i="8"/>
  <c r="G57" i="8"/>
  <c r="G55" i="8"/>
  <c r="G53" i="8"/>
  <c r="G73" i="8"/>
  <c r="G78" i="8"/>
  <c r="G91" i="8"/>
  <c r="G76" i="8"/>
  <c r="G92" i="8"/>
  <c r="G72" i="8"/>
  <c r="G90" i="8"/>
  <c r="G89" i="8"/>
  <c r="G104" i="8"/>
  <c r="G103" i="8"/>
  <c r="G102" i="8"/>
  <c r="G124" i="8"/>
  <c r="G123" i="8"/>
  <c r="G110" i="8"/>
  <c r="G131" i="8"/>
  <c r="G108" i="8"/>
  <c r="G107" i="8"/>
  <c r="G106" i="8"/>
  <c r="G129" i="8"/>
  <c r="G128" i="8"/>
  <c r="G127" i="8"/>
  <c r="G114" i="8"/>
  <c r="G113" i="8"/>
  <c r="G112" i="8"/>
  <c r="G135" i="8"/>
  <c r="G134" i="8"/>
  <c r="G133" i="8"/>
  <c r="G125" i="8"/>
  <c r="G145" i="8"/>
  <c r="D160" i="8"/>
  <c r="G160" i="8"/>
  <c r="G126" i="8"/>
  <c r="G105" i="8"/>
  <c r="G159" i="8"/>
  <c r="G171" i="8"/>
  <c r="G186" i="8"/>
  <c r="G63" i="8"/>
  <c r="G62" i="8"/>
  <c r="G24" i="8"/>
  <c r="G23" i="8"/>
  <c r="G22" i="8"/>
  <c r="G187" i="8"/>
  <c r="G172" i="8"/>
  <c r="G161" i="8"/>
  <c r="G146" i="8"/>
  <c r="G132" i="8"/>
  <c r="G111" i="8"/>
  <c r="G88" i="8"/>
  <c r="G75" i="8"/>
  <c r="G54" i="8"/>
  <c r="G37" i="8"/>
  <c r="G21" i="8"/>
  <c r="G10" i="8"/>
  <c r="G77" i="8"/>
  <c r="G130" i="8"/>
  <c r="G109" i="8"/>
  <c r="G93" i="8"/>
  <c r="G20" i="8"/>
  <c r="G9" i="8"/>
  <c r="G170" i="8"/>
  <c r="G185" i="8"/>
  <c r="G8" i="8"/>
  <c r="G144" i="8"/>
  <c r="G87" i="8"/>
  <c r="G74" i="8"/>
  <c r="G52" i="8"/>
  <c r="G35" i="8"/>
  <c r="G19" i="8"/>
  <c r="D10" i="8"/>
  <c r="D9" i="8"/>
  <c r="D8" i="8"/>
  <c r="U7" i="2"/>
  <c r="U8" i="2"/>
  <c r="U9" i="2"/>
  <c r="U10" i="2"/>
  <c r="U11" i="2"/>
  <c r="U13" i="2"/>
  <c r="U14" i="2"/>
  <c r="U15" i="2"/>
  <c r="U16" i="2"/>
  <c r="U17" i="2"/>
  <c r="U18" i="2"/>
  <c r="U19" i="2"/>
  <c r="U22" i="2"/>
  <c r="U23" i="2"/>
  <c r="U24" i="2"/>
  <c r="U26" i="2"/>
  <c r="U27" i="2"/>
  <c r="U28" i="2"/>
  <c r="U29" i="2"/>
  <c r="U30" i="2"/>
  <c r="U31" i="2"/>
  <c r="U32" i="2"/>
  <c r="U33" i="2"/>
  <c r="U34" i="2"/>
  <c r="U35" i="2"/>
  <c r="F547" i="9"/>
  <c r="E547" i="9"/>
  <c r="G547" i="9"/>
  <c r="F548" i="9"/>
  <c r="E548" i="9"/>
  <c r="G548" i="9"/>
  <c r="F549" i="9"/>
  <c r="E549" i="9"/>
  <c r="G549" i="9"/>
  <c r="G552" i="9"/>
  <c r="E556" i="9"/>
  <c r="G556" i="9"/>
  <c r="G557" i="9"/>
  <c r="G558" i="9"/>
  <c r="G559" i="9"/>
  <c r="G560" i="9"/>
  <c r="G561" i="9"/>
  <c r="G575" i="9"/>
  <c r="G576" i="9"/>
  <c r="G577" i="9"/>
  <c r="G578" i="9"/>
  <c r="G579" i="9"/>
  <c r="G581" i="9"/>
  <c r="G582" i="9"/>
  <c r="G583" i="9"/>
  <c r="G584" i="9"/>
  <c r="F560" i="9"/>
  <c r="E560" i="9"/>
  <c r="F559" i="9"/>
  <c r="E559" i="9"/>
  <c r="F558" i="9"/>
  <c r="E558" i="9"/>
  <c r="F557" i="9"/>
  <c r="E557" i="9"/>
  <c r="F501" i="9"/>
  <c r="E501" i="9"/>
  <c r="G501" i="9"/>
  <c r="F502" i="9"/>
  <c r="E502" i="9"/>
  <c r="G502" i="9"/>
  <c r="F503" i="9"/>
  <c r="E503" i="9"/>
  <c r="G503" i="9"/>
  <c r="G506" i="9"/>
  <c r="G529" i="9"/>
  <c r="G530" i="9"/>
  <c r="G531" i="9"/>
  <c r="G532" i="9"/>
  <c r="G533" i="9"/>
  <c r="G535" i="9"/>
  <c r="G536" i="9"/>
  <c r="G537" i="9"/>
  <c r="G538" i="9"/>
  <c r="F514" i="9"/>
  <c r="E514" i="9"/>
  <c r="F513" i="9"/>
  <c r="E513" i="9"/>
  <c r="F512" i="9"/>
  <c r="E512" i="9"/>
  <c r="F511" i="9"/>
  <c r="E511" i="9"/>
  <c r="E455" i="9"/>
  <c r="G455" i="9"/>
  <c r="E456" i="9"/>
  <c r="G456" i="9"/>
  <c r="E457" i="9"/>
  <c r="G457" i="9"/>
  <c r="G459" i="9"/>
  <c r="G460" i="9"/>
  <c r="E464" i="9"/>
  <c r="G464" i="9"/>
  <c r="G465" i="9"/>
  <c r="G466" i="9"/>
  <c r="G467" i="9"/>
  <c r="G468" i="9"/>
  <c r="G469" i="9"/>
  <c r="G477" i="9"/>
  <c r="G478" i="9"/>
  <c r="G483" i="9"/>
  <c r="G484" i="9"/>
  <c r="G485" i="9"/>
  <c r="G486" i="9"/>
  <c r="G487" i="9"/>
  <c r="G489" i="9"/>
  <c r="G490" i="9"/>
  <c r="G491" i="9"/>
  <c r="G492" i="9"/>
  <c r="F468" i="9"/>
  <c r="E468" i="9"/>
  <c r="F467" i="9"/>
  <c r="E467" i="9"/>
  <c r="F466" i="9"/>
  <c r="E466" i="9"/>
  <c r="F465" i="9"/>
  <c r="E465" i="9"/>
  <c r="F459" i="9"/>
  <c r="E459" i="9"/>
  <c r="E418" i="9"/>
  <c r="G418" i="9"/>
  <c r="G419" i="9"/>
  <c r="G420" i="9"/>
  <c r="G421" i="9"/>
  <c r="G422" i="9"/>
  <c r="G423" i="9"/>
  <c r="G431" i="9"/>
  <c r="G432" i="9"/>
  <c r="G437" i="9"/>
  <c r="G438" i="9"/>
  <c r="G439" i="9"/>
  <c r="G440" i="9"/>
  <c r="G441" i="9"/>
  <c r="G443" i="9"/>
  <c r="G444" i="9"/>
  <c r="G445" i="9"/>
  <c r="G446" i="9"/>
  <c r="F422" i="9"/>
  <c r="E422" i="9"/>
  <c r="F421" i="9"/>
  <c r="E421" i="9"/>
  <c r="F420" i="9"/>
  <c r="E420" i="9"/>
  <c r="F419" i="9"/>
  <c r="E419" i="9"/>
  <c r="F413" i="9"/>
  <c r="E413" i="9"/>
  <c r="G400" i="9"/>
  <c r="F376" i="9"/>
  <c r="E376" i="9"/>
  <c r="F375" i="9"/>
  <c r="E375" i="9"/>
  <c r="F374" i="9"/>
  <c r="E374" i="9"/>
  <c r="E301" i="9"/>
  <c r="G301" i="9"/>
  <c r="E302" i="9"/>
  <c r="G302" i="9"/>
  <c r="E303" i="9"/>
  <c r="G303" i="9"/>
  <c r="E304" i="9"/>
  <c r="G304" i="9"/>
  <c r="E305" i="9"/>
  <c r="G305" i="9"/>
  <c r="E306" i="9"/>
  <c r="G306" i="9"/>
  <c r="E307" i="9"/>
  <c r="G307" i="9"/>
  <c r="E308" i="9"/>
  <c r="G308" i="9"/>
  <c r="E309" i="9"/>
  <c r="G309" i="9"/>
  <c r="E310" i="9"/>
  <c r="G310" i="9"/>
  <c r="E311" i="9"/>
  <c r="G311" i="9"/>
  <c r="E312" i="9"/>
  <c r="G312" i="9"/>
  <c r="E313" i="9"/>
  <c r="G313" i="9"/>
  <c r="G314" i="9"/>
  <c r="E318" i="9"/>
  <c r="G318" i="9"/>
  <c r="G321" i="9"/>
  <c r="G322" i="9"/>
  <c r="G323" i="9"/>
  <c r="G331" i="9"/>
  <c r="G332" i="9"/>
  <c r="G337" i="9"/>
  <c r="G338" i="9"/>
  <c r="G339" i="9"/>
  <c r="G340" i="9"/>
  <c r="G341" i="9"/>
  <c r="G343" i="9"/>
  <c r="G344" i="9"/>
  <c r="G345" i="9"/>
  <c r="G346" i="9"/>
  <c r="F322" i="9"/>
  <c r="E322" i="9"/>
  <c r="F321" i="9"/>
  <c r="E321" i="9"/>
  <c r="E249" i="9"/>
  <c r="G249" i="9"/>
  <c r="E250" i="9"/>
  <c r="G250" i="9"/>
  <c r="E251" i="9"/>
  <c r="G251" i="9"/>
  <c r="E252" i="9"/>
  <c r="G252" i="9"/>
  <c r="E253" i="9"/>
  <c r="G253" i="9"/>
  <c r="E254" i="9"/>
  <c r="G254" i="9"/>
  <c r="E255" i="9"/>
  <c r="G255" i="9"/>
  <c r="E256" i="9"/>
  <c r="G256" i="9"/>
  <c r="E257" i="9"/>
  <c r="G257" i="9"/>
  <c r="E258" i="9"/>
  <c r="G258" i="9"/>
  <c r="E259" i="9"/>
  <c r="G259" i="9"/>
  <c r="G260" i="9"/>
  <c r="G267" i="9"/>
  <c r="G268" i="9"/>
  <c r="G277" i="9"/>
  <c r="G278" i="9"/>
  <c r="G283" i="9"/>
  <c r="G284" i="9"/>
  <c r="G285" i="9"/>
  <c r="G286" i="9"/>
  <c r="G287" i="9"/>
  <c r="F268" i="9"/>
  <c r="E268" i="9"/>
  <c r="F267" i="9"/>
  <c r="E267" i="9"/>
  <c r="E200" i="9"/>
  <c r="G200" i="9"/>
  <c r="E201" i="9"/>
  <c r="G201" i="9"/>
  <c r="E202" i="9"/>
  <c r="G202" i="9"/>
  <c r="E203" i="9"/>
  <c r="G203" i="9"/>
  <c r="E204" i="9"/>
  <c r="G204" i="9"/>
  <c r="E205" i="9"/>
  <c r="G205" i="9"/>
  <c r="E206" i="9"/>
  <c r="G206" i="9"/>
  <c r="E207" i="9"/>
  <c r="G207" i="9"/>
  <c r="G208" i="9"/>
  <c r="E212" i="9"/>
  <c r="G212" i="9"/>
  <c r="G213" i="9"/>
  <c r="G214" i="9"/>
  <c r="G215" i="9"/>
  <c r="G216" i="9"/>
  <c r="G217" i="9"/>
  <c r="G225" i="9"/>
  <c r="G226" i="9"/>
  <c r="G231" i="9"/>
  <c r="G232" i="9"/>
  <c r="G233" i="9"/>
  <c r="G234" i="9"/>
  <c r="G235" i="9"/>
  <c r="G237" i="9"/>
  <c r="G238" i="9"/>
  <c r="G239" i="9"/>
  <c r="G240" i="9"/>
  <c r="F216" i="9"/>
  <c r="E216" i="9"/>
  <c r="F215" i="9"/>
  <c r="E215" i="9"/>
  <c r="F214" i="9"/>
  <c r="E214" i="9"/>
  <c r="F213" i="9"/>
  <c r="E213" i="9"/>
  <c r="E153" i="9"/>
  <c r="G153" i="9"/>
  <c r="E154" i="9"/>
  <c r="G154" i="9"/>
  <c r="E155" i="9"/>
  <c r="G155" i="9"/>
  <c r="E156" i="9"/>
  <c r="G156" i="9"/>
  <c r="E157" i="9"/>
  <c r="G157" i="9"/>
  <c r="E158" i="9"/>
  <c r="G158" i="9"/>
  <c r="G159" i="9"/>
  <c r="E163" i="9"/>
  <c r="G163" i="9"/>
  <c r="G164" i="9"/>
  <c r="G165" i="9"/>
  <c r="G166" i="9"/>
  <c r="G167" i="9"/>
  <c r="G168" i="9"/>
  <c r="G176" i="9"/>
  <c r="G177" i="9"/>
  <c r="G182" i="9"/>
  <c r="G183" i="9"/>
  <c r="G184" i="9"/>
  <c r="G185" i="9"/>
  <c r="G186" i="9"/>
  <c r="G188" i="9"/>
  <c r="G189" i="9"/>
  <c r="G190" i="9"/>
  <c r="G191" i="9"/>
  <c r="F167" i="9"/>
  <c r="E167" i="9"/>
  <c r="F166" i="9"/>
  <c r="E166" i="9"/>
  <c r="F165" i="9"/>
  <c r="E165" i="9"/>
  <c r="F164" i="9"/>
  <c r="E164" i="9"/>
  <c r="E105" i="9"/>
  <c r="G105" i="9"/>
  <c r="E106" i="9"/>
  <c r="G106" i="9"/>
  <c r="E107" i="9"/>
  <c r="G107" i="9"/>
  <c r="E108" i="9"/>
  <c r="G108" i="9"/>
  <c r="E109" i="9"/>
  <c r="G109" i="9"/>
  <c r="E110" i="9"/>
  <c r="G110" i="9"/>
  <c r="E111" i="9"/>
  <c r="G111" i="9"/>
  <c r="G112" i="9"/>
  <c r="E116" i="9"/>
  <c r="G116" i="9"/>
  <c r="G117" i="9"/>
  <c r="G118" i="9"/>
  <c r="G119" i="9"/>
  <c r="G120" i="9"/>
  <c r="G121" i="9"/>
  <c r="G129" i="9"/>
  <c r="G130" i="9"/>
  <c r="G135" i="9"/>
  <c r="G136" i="9"/>
  <c r="G137" i="9"/>
  <c r="G138" i="9"/>
  <c r="G139" i="9"/>
  <c r="G141" i="9"/>
  <c r="G142" i="9"/>
  <c r="G143" i="9"/>
  <c r="G144" i="9"/>
  <c r="F120" i="9"/>
  <c r="E120" i="9"/>
  <c r="F119" i="9"/>
  <c r="E119" i="9"/>
  <c r="F118" i="9"/>
  <c r="E118" i="9"/>
  <c r="F117" i="9"/>
  <c r="E117" i="9"/>
  <c r="E54" i="9"/>
  <c r="G54" i="9"/>
  <c r="E55" i="9"/>
  <c r="G55" i="9"/>
  <c r="E56" i="9"/>
  <c r="G56" i="9"/>
  <c r="E57" i="9"/>
  <c r="G57" i="9"/>
  <c r="E58" i="9"/>
  <c r="G58" i="9"/>
  <c r="E59" i="9"/>
  <c r="G59" i="9"/>
  <c r="E60" i="9"/>
  <c r="G60" i="9"/>
  <c r="E61" i="9"/>
  <c r="G61" i="9"/>
  <c r="G63" i="9"/>
  <c r="E68" i="9"/>
  <c r="G68" i="9"/>
  <c r="G72" i="9"/>
  <c r="G73" i="9"/>
  <c r="G81" i="9"/>
  <c r="G82" i="9"/>
  <c r="G87" i="9"/>
  <c r="G88" i="9"/>
  <c r="G89" i="9"/>
  <c r="G90" i="9"/>
  <c r="G91" i="9"/>
  <c r="G93" i="9"/>
  <c r="G94" i="9"/>
  <c r="G95" i="9"/>
  <c r="G96" i="9"/>
  <c r="F72" i="9"/>
  <c r="E72" i="9"/>
  <c r="E62" i="9"/>
  <c r="G62" i="9"/>
  <c r="F18" i="9"/>
  <c r="E18" i="9"/>
  <c r="F12" i="9"/>
  <c r="E12" i="9"/>
  <c r="AB216" i="8"/>
  <c r="AG216" i="8"/>
  <c r="AH216" i="8"/>
  <c r="AD217" i="8"/>
  <c r="AC217" i="8"/>
  <c r="AE217" i="8"/>
  <c r="AH217" i="8"/>
  <c r="AB218" i="8"/>
  <c r="AG218" i="8"/>
  <c r="AH218" i="8"/>
  <c r="AD219" i="8"/>
  <c r="AE219" i="8"/>
  <c r="AH219" i="8"/>
  <c r="AB220" i="8"/>
  <c r="AG220" i="8"/>
  <c r="AH220" i="8"/>
  <c r="AD221" i="8"/>
  <c r="AC221" i="8"/>
  <c r="AE221" i="8"/>
  <c r="AH221" i="8"/>
  <c r="AF222" i="8"/>
  <c r="AH222" i="8"/>
  <c r="AH224" i="8"/>
  <c r="AH226" i="8"/>
  <c r="AH225" i="8"/>
  <c r="AH227" i="8"/>
  <c r="W216" i="8"/>
  <c r="AB201" i="8"/>
  <c r="AG201" i="8"/>
  <c r="AH201" i="8"/>
  <c r="AD202" i="8"/>
  <c r="AC202" i="8"/>
  <c r="AE202" i="8"/>
  <c r="AH202" i="8"/>
  <c r="AB203" i="8"/>
  <c r="AG203" i="8"/>
  <c r="AH203" i="8"/>
  <c r="AD204" i="8"/>
  <c r="AE204" i="8"/>
  <c r="AH204" i="8"/>
  <c r="AB205" i="8"/>
  <c r="AG205" i="8"/>
  <c r="AH205" i="8"/>
  <c r="AD206" i="8"/>
  <c r="AC206" i="8"/>
  <c r="AE206" i="8"/>
  <c r="AH206" i="8"/>
  <c r="AF207" i="8"/>
  <c r="AH207" i="8"/>
  <c r="AH209" i="8"/>
  <c r="AH211" i="8"/>
  <c r="AH210" i="8"/>
  <c r="AH212" i="8"/>
  <c r="W201" i="8"/>
  <c r="M159" i="8"/>
  <c r="Q72" i="8"/>
  <c r="M43" i="8"/>
  <c r="M42" i="8"/>
  <c r="M41" i="8"/>
  <c r="M40" i="8"/>
  <c r="M39" i="8"/>
  <c r="M38" i="8"/>
  <c r="M37" i="8"/>
  <c r="M36" i="8"/>
  <c r="M35" i="8"/>
  <c r="S22" i="8"/>
  <c r="M20" i="8"/>
  <c r="P18" i="8"/>
  <c r="R18" i="8"/>
  <c r="U10" i="8"/>
  <c r="Q8" i="8"/>
  <c r="S6" i="8"/>
  <c r="Q5" i="8"/>
  <c r="R2" i="8"/>
  <c r="Q2" i="8"/>
  <c r="G277" i="6"/>
  <c r="G276" i="6"/>
  <c r="E267" i="6"/>
  <c r="H265" i="6"/>
  <c r="I265" i="6"/>
  <c r="G264" i="6"/>
  <c r="H264" i="6"/>
  <c r="I264" i="6"/>
  <c r="C102" i="6"/>
  <c r="C94" i="6"/>
  <c r="C95" i="6"/>
  <c r="C82" i="6"/>
  <c r="C75" i="6"/>
  <c r="C67" i="6"/>
  <c r="C59" i="6"/>
  <c r="C60" i="6"/>
  <c r="C52" i="6"/>
  <c r="C44" i="6"/>
  <c r="C36" i="6"/>
  <c r="C29" i="6"/>
  <c r="C22" i="6"/>
  <c r="C15" i="6"/>
  <c r="K11" i="6"/>
  <c r="L11" i="6"/>
  <c r="I6" i="5"/>
  <c r="K6" i="5"/>
  <c r="I7" i="5"/>
  <c r="K7" i="5"/>
  <c r="I8" i="5"/>
  <c r="J8" i="5"/>
  <c r="K8" i="5"/>
  <c r="K20" i="5"/>
  <c r="I12" i="5"/>
  <c r="K12" i="5"/>
  <c r="K21" i="5"/>
  <c r="K23" i="5"/>
  <c r="I30" i="5"/>
  <c r="K30" i="5"/>
  <c r="I31" i="5"/>
  <c r="K31" i="5"/>
  <c r="I32" i="5"/>
  <c r="J32" i="5"/>
  <c r="K32" i="5"/>
  <c r="K44" i="5"/>
  <c r="I36" i="5"/>
  <c r="K36" i="5"/>
  <c r="K45" i="5"/>
  <c r="K47" i="5"/>
  <c r="I54" i="5"/>
  <c r="K54" i="5"/>
  <c r="I55" i="5"/>
  <c r="K55" i="5"/>
  <c r="I56" i="5"/>
  <c r="J56" i="5"/>
  <c r="K56" i="5"/>
  <c r="K68" i="5"/>
  <c r="I60" i="5"/>
  <c r="K60" i="5"/>
  <c r="K69" i="5"/>
  <c r="K71" i="5"/>
  <c r="I78" i="5"/>
  <c r="K78" i="5"/>
  <c r="I79" i="5"/>
  <c r="K79" i="5"/>
  <c r="I80" i="5"/>
  <c r="J80" i="5"/>
  <c r="K80" i="5"/>
  <c r="K92" i="5"/>
  <c r="I84" i="5"/>
  <c r="K84" i="5"/>
  <c r="K93" i="5"/>
  <c r="K95" i="5"/>
  <c r="I102" i="5"/>
  <c r="K102" i="5"/>
  <c r="I103" i="5"/>
  <c r="K103" i="5"/>
  <c r="I104" i="5"/>
  <c r="J104" i="5"/>
  <c r="K104" i="5"/>
  <c r="K116" i="5"/>
  <c r="I108" i="5"/>
  <c r="K108" i="5"/>
  <c r="K117" i="5"/>
  <c r="K119" i="5"/>
  <c r="C150" i="5"/>
  <c r="E150" i="5"/>
  <c r="C151" i="5"/>
  <c r="E151" i="5"/>
  <c r="C152" i="5"/>
  <c r="D152" i="5"/>
  <c r="E152" i="5"/>
  <c r="E164" i="5"/>
  <c r="C156" i="5"/>
  <c r="E156" i="5"/>
  <c r="E165" i="5"/>
  <c r="E167" i="5"/>
  <c r="C126" i="5"/>
  <c r="E126" i="5"/>
  <c r="C127" i="5"/>
  <c r="E127" i="5"/>
  <c r="C128" i="5"/>
  <c r="D128" i="5"/>
  <c r="E128" i="5"/>
  <c r="E140" i="5"/>
  <c r="C132" i="5"/>
  <c r="E132" i="5"/>
  <c r="E141" i="5"/>
  <c r="E143" i="5"/>
  <c r="C102" i="5"/>
  <c r="E102" i="5"/>
  <c r="C103" i="5"/>
  <c r="E103" i="5"/>
  <c r="C104" i="5"/>
  <c r="D104" i="5"/>
  <c r="E104" i="5"/>
  <c r="E116" i="5"/>
  <c r="C108" i="5"/>
  <c r="E108" i="5"/>
  <c r="E117" i="5"/>
  <c r="E119" i="5"/>
  <c r="C78" i="5"/>
  <c r="E78" i="5"/>
  <c r="C79" i="5"/>
  <c r="E79" i="5"/>
  <c r="C80" i="5"/>
  <c r="D80" i="5"/>
  <c r="E80" i="5"/>
  <c r="E92" i="5"/>
  <c r="C84" i="5"/>
  <c r="E84" i="5"/>
  <c r="E93" i="5"/>
  <c r="E95" i="5"/>
  <c r="C54" i="5"/>
  <c r="E54" i="5"/>
  <c r="C55" i="5"/>
  <c r="E55" i="5"/>
  <c r="C56" i="5"/>
  <c r="D56" i="5"/>
  <c r="E56" i="5"/>
  <c r="E68" i="5"/>
  <c r="C60" i="5"/>
  <c r="E60" i="5"/>
  <c r="E69" i="5"/>
  <c r="E71" i="5"/>
  <c r="C30" i="5"/>
  <c r="E30" i="5"/>
  <c r="C31" i="5"/>
  <c r="E31" i="5"/>
  <c r="C32" i="5"/>
  <c r="D32" i="5"/>
  <c r="E32" i="5"/>
  <c r="E44" i="5"/>
  <c r="C36" i="5"/>
  <c r="E36" i="5"/>
  <c r="E45" i="5"/>
  <c r="E47" i="5"/>
  <c r="Y10" i="3"/>
  <c r="H7" i="3"/>
  <c r="G4" i="1"/>
  <c r="J4" i="1"/>
  <c r="R4" i="1"/>
  <c r="G6" i="1"/>
  <c r="J6" i="1"/>
  <c r="R6" i="1"/>
  <c r="G7" i="1"/>
  <c r="J7" i="1"/>
  <c r="R7" i="1"/>
  <c r="G8" i="1"/>
  <c r="J8" i="1"/>
  <c r="R8" i="1"/>
  <c r="G9" i="1"/>
  <c r="J9" i="1"/>
  <c r="R9" i="1"/>
  <c r="G10" i="1"/>
  <c r="J10" i="1"/>
  <c r="R10" i="1"/>
  <c r="G11" i="1"/>
  <c r="J11" i="1"/>
  <c r="R11" i="1"/>
  <c r="G12" i="1"/>
  <c r="J12" i="1"/>
  <c r="R12" i="1"/>
  <c r="G13" i="1"/>
  <c r="J13" i="1"/>
  <c r="R13" i="1"/>
  <c r="G14" i="1"/>
  <c r="J14" i="1"/>
  <c r="R14" i="1"/>
  <c r="G15" i="1"/>
  <c r="J15" i="1"/>
  <c r="R15" i="1"/>
  <c r="G16" i="1"/>
  <c r="J16" i="1"/>
  <c r="R16" i="1"/>
  <c r="G17" i="1"/>
  <c r="J17" i="1"/>
  <c r="R17" i="1"/>
  <c r="G18" i="1"/>
  <c r="J18" i="1"/>
  <c r="R18" i="1"/>
  <c r="G19" i="1"/>
  <c r="J19" i="1"/>
  <c r="R19" i="1"/>
  <c r="G20" i="1"/>
  <c r="J20" i="1"/>
  <c r="R20" i="1"/>
  <c r="G21" i="1"/>
  <c r="J21" i="1"/>
  <c r="R21" i="1"/>
  <c r="G22" i="1"/>
  <c r="J22" i="1"/>
  <c r="R22" i="1"/>
  <c r="G23" i="1"/>
  <c r="J23" i="1"/>
  <c r="R23" i="1"/>
  <c r="G24" i="1"/>
  <c r="J24" i="1"/>
  <c r="R24" i="1"/>
  <c r="G25" i="1"/>
  <c r="J25" i="1"/>
  <c r="R25" i="1"/>
  <c r="G26" i="1"/>
  <c r="J26" i="1"/>
  <c r="R26" i="1"/>
  <c r="G27" i="1"/>
  <c r="J27" i="1"/>
  <c r="R27" i="1"/>
  <c r="G28" i="1"/>
  <c r="J28" i="1"/>
  <c r="R28" i="1"/>
  <c r="G29" i="1"/>
  <c r="J29" i="1"/>
  <c r="R29" i="1"/>
  <c r="G30" i="1"/>
  <c r="J30" i="1"/>
  <c r="R30" i="1"/>
  <c r="G31" i="1"/>
  <c r="J31" i="1"/>
  <c r="R31" i="1"/>
  <c r="G32" i="1"/>
  <c r="J32" i="1"/>
  <c r="R32" i="1"/>
  <c r="G33" i="1"/>
  <c r="J33" i="1"/>
  <c r="R33" i="1"/>
  <c r="G34" i="1"/>
  <c r="J34" i="1"/>
  <c r="R34" i="1"/>
  <c r="G35" i="1"/>
  <c r="J35" i="1"/>
  <c r="R35" i="1"/>
  <c r="G36" i="1"/>
  <c r="J36" i="1"/>
  <c r="R36" i="1"/>
  <c r="G37" i="1"/>
  <c r="J37" i="1"/>
  <c r="R37" i="1"/>
  <c r="G38" i="1"/>
  <c r="J38" i="1"/>
  <c r="R38" i="1"/>
  <c r="G5" i="1"/>
  <c r="J5" i="1"/>
  <c r="R5" i="1"/>
  <c r="L24" i="1"/>
  <c r="L30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5" i="1"/>
  <c r="L26" i="1"/>
  <c r="L27" i="1"/>
  <c r="L28" i="1"/>
  <c r="L29" i="1"/>
  <c r="L31" i="1"/>
  <c r="L32" i="1"/>
  <c r="L33" i="1"/>
  <c r="L34" i="1"/>
  <c r="L35" i="1"/>
  <c r="L36" i="1"/>
  <c r="L37" i="1"/>
  <c r="L38" i="1"/>
  <c r="L4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5" i="1"/>
  <c r="N5" i="1"/>
  <c r="M4" i="1"/>
  <c r="N4" i="1"/>
</calcChain>
</file>

<file path=xl/sharedStrings.xml><?xml version="1.0" encoding="utf-8"?>
<sst xmlns="http://schemas.openxmlformats.org/spreadsheetml/2006/main" count="2129" uniqueCount="378">
  <si>
    <t>Equipo</t>
  </si>
  <si>
    <t>Balanza de aprox 0,01 gr</t>
  </si>
  <si>
    <t>Horno eléctrico</t>
  </si>
  <si>
    <t>Cápsula para humedad</t>
  </si>
  <si>
    <t>Mortero de porcelana</t>
  </si>
  <si>
    <t>Pistillo de caucho</t>
  </si>
  <si>
    <t>Termómetro</t>
  </si>
  <si>
    <t>Matraz de 50cc</t>
  </si>
  <si>
    <t>Bomba de vacío</t>
  </si>
  <si>
    <t>Recipiente de aluminio</t>
  </si>
  <si>
    <t>Tamiz 3/4"</t>
  </si>
  <si>
    <t>Tamiz 3/8"</t>
  </si>
  <si>
    <t>Tamiz N4</t>
  </si>
  <si>
    <t>Tamiz N10</t>
  </si>
  <si>
    <t>Tamiz N40</t>
  </si>
  <si>
    <t>Tamiz N200</t>
  </si>
  <si>
    <t>Baño maría soiltest</t>
  </si>
  <si>
    <t>Agitadora eléctrica</t>
  </si>
  <si>
    <t>Probeta graduada de 250 cc</t>
  </si>
  <si>
    <t>Cronómetro</t>
  </si>
  <si>
    <t>Hidrómetro</t>
  </si>
  <si>
    <t>Aparato de Casa Grande</t>
  </si>
  <si>
    <t>Espátula metálica</t>
  </si>
  <si>
    <t>Placa de vidrio</t>
  </si>
  <si>
    <t>Cápsula para mezclado</t>
  </si>
  <si>
    <t>Bandeja metálica</t>
  </si>
  <si>
    <t>Molde para compactación</t>
  </si>
  <si>
    <t>Martillo de compactación estándar</t>
  </si>
  <si>
    <t>Martillo de compactación modificada</t>
  </si>
  <si>
    <t>Balanza de aprox 0,1gr</t>
  </si>
  <si>
    <t>Regla metálica</t>
  </si>
  <si>
    <t>Martillo con cabeza de caucho</t>
  </si>
  <si>
    <t>Extractor de muestras</t>
  </si>
  <si>
    <t>Dispositivo de compresión</t>
  </si>
  <si>
    <t>Dispositivo de corte directo</t>
  </si>
  <si>
    <t>Equipo para triaxial</t>
  </si>
  <si>
    <t>Depreciación</t>
  </si>
  <si>
    <t>Costo de adquisición</t>
  </si>
  <si>
    <t>Valor de rescate</t>
  </si>
  <si>
    <t>Depreciación horaria ($/h)</t>
  </si>
  <si>
    <t>Uso anual estimado (h/año)</t>
  </si>
  <si>
    <t>Año de compra</t>
  </si>
  <si>
    <t>Vida útil a la fecha</t>
  </si>
  <si>
    <t>Año actual</t>
  </si>
  <si>
    <t>Depreciacion anual ($/año)</t>
  </si>
  <si>
    <t>Horas al dia</t>
  </si>
  <si>
    <t>Dias al año</t>
  </si>
  <si>
    <t>Seguros</t>
  </si>
  <si>
    <t>Corrección por inflación</t>
  </si>
  <si>
    <t>% Infalción</t>
  </si>
  <si>
    <t>Corrección</t>
  </si>
  <si>
    <t>Uso anual estimado (horas)</t>
  </si>
  <si>
    <t>Valor útil estimado (años)</t>
  </si>
  <si>
    <t>Valor anual ($/año)</t>
  </si>
  <si>
    <t>Valor por hora ($/h)</t>
  </si>
  <si>
    <t>Costo horario</t>
  </si>
  <si>
    <t>Corrección ($/h)</t>
  </si>
  <si>
    <t xml:space="preserve">Bomba de vacio </t>
  </si>
  <si>
    <t>Software</t>
  </si>
  <si>
    <t>Malla</t>
  </si>
  <si>
    <t>Piedra porosa</t>
  </si>
  <si>
    <t>Calibracion y Mantenimiento</t>
  </si>
  <si>
    <t>Costo horario ($/h)</t>
  </si>
  <si>
    <t>Firma director</t>
  </si>
  <si>
    <t>Secretaria</t>
  </si>
  <si>
    <t>Ensayo</t>
  </si>
  <si>
    <t>Tiempo utilizado (min)</t>
  </si>
  <si>
    <t>Sueldo mensual</t>
  </si>
  <si>
    <t>Costo Horario ($/h)</t>
  </si>
  <si>
    <t>Costo Indirecto ($)</t>
  </si>
  <si>
    <t>Personal Adm</t>
  </si>
  <si>
    <t>Responsable área</t>
  </si>
  <si>
    <t>Conserje</t>
  </si>
  <si>
    <t>Elaboración del informe</t>
  </si>
  <si>
    <t>Presentación del informe</t>
  </si>
  <si>
    <t>Papeleria</t>
  </si>
  <si>
    <t>Hoja</t>
  </si>
  <si>
    <t>Impresión</t>
  </si>
  <si>
    <t>Cantidad</t>
  </si>
  <si>
    <t>Valor Unitario ($/hoja)</t>
  </si>
  <si>
    <t>Cantidad necesaria (hoja)</t>
  </si>
  <si>
    <t>Contenido de humedad</t>
  </si>
  <si>
    <t>Elaboracio del informe</t>
  </si>
  <si>
    <t>Presentacion / Informe</t>
  </si>
  <si>
    <t>Total Costo Indiecto</t>
  </si>
  <si>
    <t>Costos Indirectos</t>
  </si>
  <si>
    <t>Ensayo:</t>
  </si>
  <si>
    <t>Granulometría en suelos</t>
  </si>
  <si>
    <t>Mantenimiento laboratorio</t>
  </si>
  <si>
    <t>Densidad de sólidos</t>
  </si>
  <si>
    <t>Granulometría por hidrómetro</t>
  </si>
  <si>
    <t>Límite líquido</t>
  </si>
  <si>
    <t>Límite plástico</t>
  </si>
  <si>
    <t>Compactación estándar</t>
  </si>
  <si>
    <t>Compactación modificada</t>
  </si>
  <si>
    <t>Compresión simple en el suelo</t>
  </si>
  <si>
    <t>Corte directo C-U saturado</t>
  </si>
  <si>
    <t>Triaxial U-U sin saturar</t>
  </si>
  <si>
    <t>Triaxial U-U saturado</t>
  </si>
  <si>
    <t>Costos idirectors</t>
  </si>
  <si>
    <t>Corte director C-U saturado</t>
  </si>
  <si>
    <t>Costos indirectos</t>
  </si>
  <si>
    <t>Costos iIndirectos</t>
  </si>
  <si>
    <t>Cantidad al mes</t>
  </si>
  <si>
    <t>Valor ensayo</t>
  </si>
  <si>
    <t>Costo total</t>
  </si>
  <si>
    <t>Corte directo</t>
  </si>
  <si>
    <t>Triaxial sin saturar</t>
  </si>
  <si>
    <t>Triaxial saturado</t>
  </si>
  <si>
    <t>Utilidad</t>
  </si>
  <si>
    <t>Costo Indirecto Admi</t>
  </si>
  <si>
    <t>Area comercial - tension media</t>
  </si>
  <si>
    <t>Según planilla de C.C.Unicornio</t>
  </si>
  <si>
    <t>Seguro</t>
  </si>
  <si>
    <t>Consumo (KwH)</t>
  </si>
  <si>
    <t>Pago ($)</t>
  </si>
  <si>
    <t>costo indirecto</t>
  </si>
  <si>
    <t>Ingeniero civil</t>
  </si>
  <si>
    <t>costo horario ($/KwH)</t>
  </si>
  <si>
    <t>Tecnico</t>
  </si>
  <si>
    <t>Laboratorista</t>
  </si>
  <si>
    <t>Patricio Criollo</t>
  </si>
  <si>
    <t xml:space="preserve">Consumo de luz Balanza de aprox 0.01gr </t>
  </si>
  <si>
    <t>Luz</t>
  </si>
  <si>
    <t>voltios</t>
  </si>
  <si>
    <t>Amperios</t>
  </si>
  <si>
    <t>Kw</t>
  </si>
  <si>
    <t>Dias laborables (dia)</t>
  </si>
  <si>
    <t>Costo ($/KwH)</t>
  </si>
  <si>
    <t xml:space="preserve">Consumo de luz Balanza de aprox 0.1gr </t>
  </si>
  <si>
    <t>Seguro por todo</t>
  </si>
  <si>
    <t>Costo ($)</t>
  </si>
  <si>
    <t>Años vida util (año)</t>
  </si>
  <si>
    <t>Horas laborables (h)</t>
  </si>
  <si>
    <t>Consumo de Horno eléctrico Humboldt</t>
  </si>
  <si>
    <t>wats</t>
  </si>
  <si>
    <t>Consumo de Baño maria Soiltest</t>
  </si>
  <si>
    <t xml:space="preserve">Consumo de Agitadora eléctrica Hamilton </t>
  </si>
  <si>
    <t>HP=1/3</t>
  </si>
  <si>
    <t>Consumo de aparato Casagrande</t>
  </si>
  <si>
    <t>http://www.hamiltonbeachcommercial.com/en/single-spindle-drink-mixer-hmd200.html</t>
  </si>
  <si>
    <t>Consumo de equipo para compresión</t>
  </si>
  <si>
    <t>Consumo de equipo para corte directo</t>
  </si>
  <si>
    <t>https://issuu.com/pinzuar/docs/manualcazuelacasagrandedigital</t>
  </si>
  <si>
    <t>Consumo de equipo para Triaxial</t>
  </si>
  <si>
    <t>Consumo de bomba de vacio</t>
  </si>
  <si>
    <t>HP=1/4</t>
  </si>
  <si>
    <t>http://ramonmar.mex.tl/848681_tabla-de-amperajes-de-motores.html</t>
  </si>
  <si>
    <t>Consumo de equipo para Triaxial 2</t>
  </si>
  <si>
    <t>Equipo triaxial 2</t>
  </si>
  <si>
    <t>Regleta metálica</t>
  </si>
  <si>
    <t>anual</t>
  </si>
  <si>
    <t>mesual</t>
  </si>
  <si>
    <t>horario</t>
  </si>
  <si>
    <t>SEGURO anual ($)</t>
  </si>
  <si>
    <t>seguro</t>
  </si>
  <si>
    <t>DIAS (día)</t>
  </si>
  <si>
    <t>mantenimiento</t>
  </si>
  <si>
    <t>HORAS (h)</t>
  </si>
  <si>
    <t>Costo H de seguro ($/h)</t>
  </si>
  <si>
    <t>Equipo triaxial</t>
  </si>
  <si>
    <t>Rendimiento de mano de obra</t>
  </si>
  <si>
    <t>Densidad de sólidos en suelos</t>
  </si>
  <si>
    <t>Granulometría de suelos</t>
  </si>
  <si>
    <t>Compresión simple</t>
  </si>
  <si>
    <t>check</t>
  </si>
  <si>
    <t>Ensayo: Contenido de humedad</t>
  </si>
  <si>
    <t>Modelo</t>
  </si>
  <si>
    <t>Año</t>
  </si>
  <si>
    <t>Mano de obra</t>
  </si>
  <si>
    <t>Costo equipo ($)</t>
  </si>
  <si>
    <t>Dias laborables  al año (dia)</t>
  </si>
  <si>
    <t>Tiempo de uso (h)</t>
  </si>
  <si>
    <t>Costo horario de mano de obra ($/h)</t>
  </si>
  <si>
    <t>Rendimiento horario de mano de obra</t>
  </si>
  <si>
    <t>Costo horario de equipo ($/h)</t>
  </si>
  <si>
    <t>Tarifa de luz por hora ($/Kwh)</t>
  </si>
  <si>
    <t>Costo luz de equipo ($)</t>
  </si>
  <si>
    <t>Costo de mano de obra ($)</t>
  </si>
  <si>
    <t>Costo de equipo ($)</t>
  </si>
  <si>
    <t>Costo total ($)</t>
  </si>
  <si>
    <t>Balanza aprox 0,01 gr</t>
  </si>
  <si>
    <t>MS3002S</t>
  </si>
  <si>
    <t>Herramienta menor</t>
  </si>
  <si>
    <t>h diarias</t>
  </si>
  <si>
    <t>Luz balanza</t>
  </si>
  <si>
    <t>dias</t>
  </si>
  <si>
    <t>años</t>
  </si>
  <si>
    <t>Horno eléctrico `HUMBOLDT´</t>
  </si>
  <si>
    <t>B55-0100</t>
  </si>
  <si>
    <t>horas x mes</t>
  </si>
  <si>
    <t xml:space="preserve">Costo total </t>
  </si>
  <si>
    <t>Costo indirecto</t>
  </si>
  <si>
    <t>Precio del ensayo</t>
  </si>
  <si>
    <t>Ensayo: Densidad de sólidos en suelos (Método B) - arena</t>
  </si>
  <si>
    <t>Termómetro aprox 0,5 °C</t>
  </si>
  <si>
    <t>10 años</t>
  </si>
  <si>
    <t>365 dias</t>
  </si>
  <si>
    <t>24 h</t>
  </si>
  <si>
    <t>Matraz 50 cc</t>
  </si>
  <si>
    <t>1 año</t>
  </si>
  <si>
    <t>1 dia</t>
  </si>
  <si>
    <t>Ensayo: Granulometría de suelos</t>
  </si>
  <si>
    <t>Tamiz 3/4''</t>
  </si>
  <si>
    <t>Tamiz 3/8''</t>
  </si>
  <si>
    <t>Tamiz # 4</t>
  </si>
  <si>
    <t>Tamiz # 10</t>
  </si>
  <si>
    <t>Tamiz # 40</t>
  </si>
  <si>
    <t>Tamiz # 200</t>
  </si>
  <si>
    <t>Ensayo: Granulometría por hidrómetro</t>
  </si>
  <si>
    <t>Baño maria `HUMBOLDT´</t>
  </si>
  <si>
    <t xml:space="preserve">Agente defloculante </t>
  </si>
  <si>
    <t>4 cm3</t>
  </si>
  <si>
    <t>Tamiz #40</t>
  </si>
  <si>
    <t>Tamiz #200</t>
  </si>
  <si>
    <t>Ensayo: Límite líquido</t>
  </si>
  <si>
    <t>Aparato Casagrande</t>
  </si>
  <si>
    <t>Luz horno eléctrico</t>
  </si>
  <si>
    <t>Ensayo: Límite plástico</t>
  </si>
  <si>
    <t>Recipiente para mezclado</t>
  </si>
  <si>
    <t>Ensayo: Compactación estándar</t>
  </si>
  <si>
    <t>Bandeja metálica grande</t>
  </si>
  <si>
    <t>Moldes de compactación</t>
  </si>
  <si>
    <t>MS3200LE</t>
  </si>
  <si>
    <t>Regleta metálica aprx 25 cm</t>
  </si>
  <si>
    <t>Cápsulas para humedad</t>
  </si>
  <si>
    <t xml:space="preserve">Extractor de muestras </t>
  </si>
  <si>
    <t>Ensayo: Compactación modificada</t>
  </si>
  <si>
    <t>Consumo por hora de equipo (Kw)</t>
  </si>
  <si>
    <t>MS32000LE</t>
  </si>
  <si>
    <t>Ensayo: Compresión simple en el suelo</t>
  </si>
  <si>
    <t>revisar todo</t>
  </si>
  <si>
    <t>Jóse Morán</t>
  </si>
  <si>
    <t>Ensayo: Corte directo C - U saturado</t>
  </si>
  <si>
    <t xml:space="preserve">26-2112/01                    </t>
  </si>
  <si>
    <t>Ensayo: Triaxial U-U sin saturar</t>
  </si>
  <si>
    <t>Luz equipo triaxial</t>
  </si>
  <si>
    <t>Ensayo: Triaxial U-U saturado</t>
  </si>
  <si>
    <t>opcion con compra</t>
  </si>
  <si>
    <t>RUBRO</t>
  </si>
  <si>
    <t>Cerramiento provicional de lona impresa con bastidores de tubo cuadrado de 50x50x2</t>
  </si>
  <si>
    <t>EQUIPO</t>
  </si>
  <si>
    <t>DESCRIPCIÓN</t>
  </si>
  <si>
    <t>Balanza aprox 0,01gr</t>
  </si>
  <si>
    <t>,</t>
  </si>
  <si>
    <t>SUBTOTAL  M</t>
  </si>
  <si>
    <t>MANO DE OBRA</t>
  </si>
  <si>
    <t>SUBTOTAL N</t>
  </si>
  <si>
    <t>MATERIALES</t>
  </si>
  <si>
    <t>UNIDAD</t>
  </si>
  <si>
    <t>SUBTOTAL O</t>
  </si>
  <si>
    <t>TRANSPORTE</t>
  </si>
  <si>
    <t>SUBTOTAL P</t>
  </si>
  <si>
    <t>TOTAL COSTO DIRECTO (M+N+O+P)</t>
  </si>
  <si>
    <t>INDIRECTOS %</t>
  </si>
  <si>
    <t>COSTO TOTAL DEL RUBRO</t>
  </si>
  <si>
    <t>VALOR OFERTADO</t>
  </si>
  <si>
    <t>Granulometría de los suelos</t>
  </si>
  <si>
    <t>Balanza aprox. 0,01gr</t>
  </si>
  <si>
    <t>Tamiz #4</t>
  </si>
  <si>
    <t>Tamiz #10</t>
  </si>
  <si>
    <t>Densidad en suelos</t>
  </si>
  <si>
    <t>Termómetro de aprox 0,5 °C</t>
  </si>
  <si>
    <t>Baño maría</t>
  </si>
  <si>
    <t>Probeta graduada</t>
  </si>
  <si>
    <t>Agente defloculante</t>
  </si>
  <si>
    <t>cm3</t>
  </si>
  <si>
    <t>Compactacion proctor estándar</t>
  </si>
  <si>
    <t>Martilo de compactación estándar</t>
  </si>
  <si>
    <t>Probeta graduada de 250cc</t>
  </si>
  <si>
    <t xml:space="preserve">Horno eléctrico </t>
  </si>
  <si>
    <t>Martilo de compatación modificada</t>
  </si>
  <si>
    <t>Dispositivo de copresión</t>
  </si>
  <si>
    <t>Jose Morán</t>
  </si>
  <si>
    <t>Mese al año</t>
  </si>
  <si>
    <t>Horas laborables al mes (horas)</t>
  </si>
  <si>
    <t>Costo de operación</t>
  </si>
  <si>
    <t>Costo de Propiedad</t>
  </si>
  <si>
    <t>Costo de mantenimiento</t>
  </si>
  <si>
    <t>Costo horario en planilla ($/kwh)</t>
  </si>
  <si>
    <t>Costo de consumo de electricidad</t>
  </si>
  <si>
    <t>Costo mensual de adm</t>
  </si>
  <si>
    <t>Horas de vida útil (horas)</t>
  </si>
  <si>
    <t>25ctv x hora</t>
  </si>
  <si>
    <t>9% costo</t>
  </si>
  <si>
    <t>Costo admi</t>
  </si>
  <si>
    <t xml:space="preserve">Total </t>
  </si>
  <si>
    <t>Piedra poroza</t>
  </si>
  <si>
    <t>Costo directo</t>
  </si>
  <si>
    <t>Costo directo ($)</t>
  </si>
  <si>
    <t>Compactación próctor modificado</t>
  </si>
  <si>
    <t>CANTIDAD A</t>
  </si>
  <si>
    <t>JORNAL/HR B</t>
  </si>
  <si>
    <t>COSTO HORA C=A*B</t>
  </si>
  <si>
    <t>RENDIMIENTO R</t>
  </si>
  <si>
    <t>COSTO D=C*R</t>
  </si>
  <si>
    <t>TARIFA    B</t>
  </si>
  <si>
    <t>PRECIO UNIT.  B</t>
  </si>
  <si>
    <t>COSTO C=A*B</t>
  </si>
  <si>
    <t>TARIFA             B</t>
  </si>
  <si>
    <t>Precio $</t>
  </si>
  <si>
    <t>Triaxial U-U</t>
  </si>
  <si>
    <t>Precio obtenido PVP</t>
  </si>
  <si>
    <t>Precio LMC PUCE</t>
  </si>
  <si>
    <t>Precio Geosulelos</t>
  </si>
  <si>
    <t>Clasificación SUCS</t>
  </si>
  <si>
    <t>Traixial U-U saturado</t>
  </si>
  <si>
    <t>Contiene:</t>
  </si>
  <si>
    <t>Granulometría, contenido de humedad, límite líquido, límite plástico</t>
  </si>
  <si>
    <t>clasificacion sucs geosuelos</t>
  </si>
  <si>
    <t>Precio Mercado</t>
  </si>
  <si>
    <t>Contiene C.H, L.L, L.P.</t>
  </si>
  <si>
    <t>Clasificación SUCS LMC</t>
  </si>
  <si>
    <t>Cintiene: H, G, LL, L.P</t>
  </si>
  <si>
    <t>Propuesta</t>
  </si>
  <si>
    <t>Escenario 1</t>
  </si>
  <si>
    <t>Escenario 2</t>
  </si>
  <si>
    <t>Escenario 3</t>
  </si>
  <si>
    <t>Mantener el precio del LMC   $ 32,50</t>
  </si>
  <si>
    <t>Incrementar el precio a $36 para ubicarnos debajo de la competencia</t>
  </si>
  <si>
    <t>Incrementar al mismo precio de la competencia de $ 37</t>
  </si>
  <si>
    <t>Densidad de sólidos en suelos (Método B)</t>
  </si>
  <si>
    <t>Mantener el precio del LMC   $ 14,50</t>
  </si>
  <si>
    <t>Bajar el precio a $9,87 para no perder ganancia</t>
  </si>
  <si>
    <t>Bajar al mismo precio de la competencia de $8</t>
  </si>
  <si>
    <t>Mantener el precio del LMC   $ 41,75</t>
  </si>
  <si>
    <t>Incrementar el precio a $ 48 para ubicarnos debajo de la competencia</t>
  </si>
  <si>
    <t>Incrementar al mismo precio de la competencia de $ 50</t>
  </si>
  <si>
    <t>Compactación estandar</t>
  </si>
  <si>
    <t>Mantener el precio del LMC   $ 23</t>
  </si>
  <si>
    <t>Bajar el precio a $ 21,96 para no perder ganancia</t>
  </si>
  <si>
    <t>Bajar al mismo precio de la competencia de $ 20</t>
  </si>
  <si>
    <t>Mantener el precio del LMC    $ 24,25</t>
  </si>
  <si>
    <t>Incrementar el precio a $ 32,71 para no perder ganancia</t>
  </si>
  <si>
    <t>Bajar al mismo precio de la competencia de $20</t>
  </si>
  <si>
    <t>Mantener el precio del LMC $ 20,25</t>
  </si>
  <si>
    <t>Incrementar el precio a $ 38 para ubicarnos debajo de la competencia</t>
  </si>
  <si>
    <t>Incrementar al mismo precio de la competencia de $ 40</t>
  </si>
  <si>
    <t>revisar el precio (muy bajo)</t>
  </si>
  <si>
    <t>Mantener el precio del LMC $ 61,25</t>
  </si>
  <si>
    <t>Incrementar el precio a $ 72 para ubicarnos debajo de la competencia</t>
  </si>
  <si>
    <t>Incrementar al mismo precio de la competencia de $75</t>
  </si>
  <si>
    <t>revisar precio (muy bajo)</t>
  </si>
  <si>
    <t>Incrementar el precio a $ 74 para ubicarnos debajo de la competencia</t>
  </si>
  <si>
    <t>ESTE NO ES NECESARIO COMPARAR</t>
  </si>
  <si>
    <t>Conclusión</t>
  </si>
  <si>
    <t>diferencia</t>
  </si>
  <si>
    <t>Precio obtenido</t>
  </si>
  <si>
    <t>Diferencia entre LMC - PVP</t>
  </si>
  <si>
    <t>Diferencia entre LMC - Geosuelos</t>
  </si>
  <si>
    <t>Diferencia entre Geosuelos - PVP</t>
  </si>
  <si>
    <t>El laboratorio…</t>
  </si>
  <si>
    <t>EL PVP</t>
  </si>
  <si>
    <t>LMC vs Geosuelos</t>
  </si>
  <si>
    <t>PVP vs Geosuelos</t>
  </si>
  <si>
    <t>PVP es</t>
  </si>
  <si>
    <t xml:space="preserve">Ensayo </t>
  </si>
  <si>
    <t>SUCS</t>
  </si>
  <si>
    <t>Gana mas del precio obtenido</t>
  </si>
  <si>
    <t>Precio obtenio menor que el laboratorio</t>
  </si>
  <si>
    <t>Gana menos que la competencia</t>
  </si>
  <si>
    <t>Competitivo</t>
  </si>
  <si>
    <t>Precio obtenido menor que la competencia</t>
  </si>
  <si>
    <t>Densidad</t>
  </si>
  <si>
    <t>Gana mas que la competencia</t>
  </si>
  <si>
    <t>Poco competitivo</t>
  </si>
  <si>
    <t>Precio obtenido mayor que la competencia</t>
  </si>
  <si>
    <t>Granulmetria por hidrómetro</t>
  </si>
  <si>
    <t>Gana menos del precio obtenido</t>
  </si>
  <si>
    <t>Precio obtenio mayor que el laboratorio</t>
  </si>
  <si>
    <t>No competitivo</t>
  </si>
  <si>
    <t>El laboratorio gana más que el precio obtenido y a su vez gana menos que la competencia, es por eso que este ensayo es competitivo con el mercado, porque puede igualar al precio de geosuelos o mantenerse en el ofertado por el mismo.</t>
  </si>
  <si>
    <t>El precio obtenido es menor que la competencia y a su vez menor que el laboratorio, lo cual da la opción de igualar o mantenerse en el precio ofertado por el laboratorio y ser competitivo.</t>
  </si>
  <si>
    <t>obte</t>
  </si>
  <si>
    <t>puce</t>
  </si>
  <si>
    <t>mercado</t>
  </si>
  <si>
    <t>opcion de grafico</t>
  </si>
  <si>
    <t>Compresion simple en el suelo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</si>
</sst>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8" formatCode="&quot;$&quot;\ #,##0.00_);[Red]\(&quot;$&quot;\ #,##0.00\)"/>
    <numFmt numFmtId="43" formatCode="_(* #,##0.00_);_(* \(#,##0.00\);_(* &quot;-&quot;??_);_(@_)"/>
    <numFmt numFmtId="164" formatCode="_-&quot;$&quot;* #,##0_-;\-&quot;$&quot;* #,##0_-;_-&quot;$&quot;* &quot;-&quot;_-;_-@_-"/>
    <numFmt numFmtId="165" formatCode="&quot;$&quot;#,##0.00"/>
    <numFmt numFmtId="166" formatCode="&quot;$&quot;#,##0.0000"/>
    <numFmt numFmtId="167" formatCode="&quot;$&quot;#,##0.000000"/>
    <numFmt numFmtId="168" formatCode="0.0000000"/>
    <numFmt numFmtId="169" formatCode="0.000000"/>
    <numFmt numFmtId="170" formatCode="0.00000"/>
    <numFmt numFmtId="171" formatCode="0.0000"/>
    <numFmt numFmtId="172" formatCode="0.000"/>
    <numFmt numFmtId="173" formatCode="&quot;$&quot;\ #,##0.000_);[Red]\(&quot;$&quot;\ #,##0.000\)"/>
    <numFmt numFmtId="174" formatCode="&quot;$&quot;\ #,##0.00"/>
    <numFmt numFmtId="175" formatCode="###,##0.00"/>
    <numFmt numFmtId="176" formatCode="###,##0.0000"/>
    <numFmt numFmtId="177" formatCode="###,##0.00000"/>
    <numFmt numFmtId="178" formatCode="###,##0.000"/>
    <numFmt numFmtId="179" formatCode="_-* #,##0.00\ _€_-;\-* #,##0.00\ _€_-;_-* &quot;-&quot;??\ _€_-;_-@_-"/>
    <numFmt numFmtId="180" formatCode="&quot;$&quot;#,##0.00000"/>
    <numFmt numFmtId="181" formatCode="&quot;$&quot;\ #,##0.000000"/>
    <numFmt numFmtId="182" formatCode="&quot;$&quot;#,##0.000"/>
    <numFmt numFmtId="183" formatCode="_-&quot;$&quot;* #,##0.00_-;\-&quot;$&quot;* #,##0.00_-;_-&quot;$&quot;* &quot;-&quot;_-;_-@_-"/>
    <numFmt numFmtId="184" formatCode="_-&quot;$&quot;* #,##0.000000000_-;\-&quot;$&quot;* #,##0.000000000_-;_-&quot;$&quot;* &quot;-&quot;_-;_-@_-"/>
    <numFmt numFmtId="185" formatCode="_-&quot;$&quot;* #,##0.000_-;\-&quot;$&quot;* #,##0.000_-;_-&quot;$&quot;* &quot;-&quot;_-;_-@_-"/>
  </numFmts>
  <fonts count="20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 (Body)"/>
    </font>
    <font>
      <sz val="10"/>
      <name val="Arial"/>
      <family val="2"/>
    </font>
    <font>
      <b/>
      <sz val="11"/>
      <color theme="1"/>
      <name val="Calibri (Body)"/>
    </font>
    <font>
      <sz val="11"/>
      <color rgb="FF000000"/>
      <name val="Calibri (Body)"/>
    </font>
    <font>
      <sz val="11"/>
      <name val="Calibri (Body)"/>
    </font>
    <font>
      <sz val="1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theme="1"/>
      <name val="Arial"/>
      <family val="2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indexed="65"/>
        <bgColor indexed="8"/>
      </patternFill>
    </fill>
    <fill>
      <patternFill patternType="solid">
        <fgColor theme="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</fills>
  <borders count="9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8">
    <xf numFmtId="0" fontId="0" fillId="0" borderId="0"/>
    <xf numFmtId="0" fontId="3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701">
    <xf numFmtId="0" fontId="0" fillId="0" borderId="0" xfId="0"/>
    <xf numFmtId="165" fontId="0" fillId="0" borderId="0" xfId="0" applyNumberFormat="1"/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 vertical="center"/>
    </xf>
    <xf numFmtId="165" fontId="0" fillId="4" borderId="0" xfId="0" applyNumberFormat="1" applyFill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NumberFormat="1"/>
    <xf numFmtId="167" fontId="0" fillId="0" borderId="0" xfId="0" applyNumberFormat="1"/>
    <xf numFmtId="167" fontId="0" fillId="6" borderId="0" xfId="0" applyNumberFormat="1" applyFill="1"/>
    <xf numFmtId="0" fontId="0" fillId="0" borderId="5" xfId="0" applyNumberFormat="1" applyBorder="1"/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Border="1"/>
    <xf numFmtId="0" fontId="0" fillId="7" borderId="1" xfId="0" applyFill="1" applyBorder="1"/>
    <xf numFmtId="0" fontId="0" fillId="0" borderId="5" xfId="0" applyBorder="1"/>
    <xf numFmtId="0" fontId="0" fillId="0" borderId="7" xfId="0" applyBorder="1"/>
    <xf numFmtId="170" fontId="0" fillId="0" borderId="0" xfId="0" applyNumberFormat="1"/>
    <xf numFmtId="171" fontId="0" fillId="0" borderId="0" xfId="0" applyNumberFormat="1"/>
    <xf numFmtId="172" fontId="0" fillId="0" borderId="0" xfId="0" applyNumberFormat="1"/>
    <xf numFmtId="0" fontId="1" fillId="0" borderId="1" xfId="0" applyFont="1" applyBorder="1"/>
    <xf numFmtId="0" fontId="0" fillId="0" borderId="23" xfId="0" applyBorder="1"/>
    <xf numFmtId="0" fontId="0" fillId="0" borderId="0" xfId="0" applyBorder="1"/>
    <xf numFmtId="0" fontId="0" fillId="0" borderId="24" xfId="0" applyBorder="1"/>
    <xf numFmtId="0" fontId="1" fillId="0" borderId="5" xfId="0" applyFont="1" applyBorder="1"/>
    <xf numFmtId="0" fontId="1" fillId="0" borderId="6" xfId="0" applyFont="1" applyBorder="1"/>
    <xf numFmtId="0" fontId="0" fillId="0" borderId="6" xfId="0" applyBorder="1"/>
    <xf numFmtId="0" fontId="1" fillId="2" borderId="6" xfId="0" applyFont="1" applyFill="1" applyBorder="1"/>
    <xf numFmtId="0" fontId="0" fillId="0" borderId="25" xfId="0" applyBorder="1"/>
    <xf numFmtId="0" fontId="0" fillId="0" borderId="26" xfId="0" applyBorder="1"/>
    <xf numFmtId="0" fontId="0" fillId="0" borderId="8" xfId="0" applyBorder="1" applyAlignment="1">
      <alignment horizontal="left" vertical="center"/>
    </xf>
    <xf numFmtId="0" fontId="0" fillId="2" borderId="9" xfId="0" applyFill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3" fillId="0" borderId="0" xfId="1"/>
    <xf numFmtId="0" fontId="3" fillId="0" borderId="0" xfId="1" applyBorder="1" applyAlignment="1"/>
    <xf numFmtId="0" fontId="3" fillId="0" borderId="0" xfId="1" applyBorder="1"/>
    <xf numFmtId="0" fontId="3" fillId="0" borderId="1" xfId="1" applyBorder="1"/>
    <xf numFmtId="0" fontId="3" fillId="2" borderId="1" xfId="1" applyFill="1" applyBorder="1"/>
    <xf numFmtId="170" fontId="3" fillId="2" borderId="1" xfId="1" applyNumberFormat="1" applyFill="1" applyBorder="1"/>
    <xf numFmtId="0" fontId="3" fillId="0" borderId="1" xfId="1" applyBorder="1" applyAlignment="1">
      <alignment horizontal="center" vertical="center"/>
    </xf>
    <xf numFmtId="0" fontId="3" fillId="8" borderId="1" xfId="1" applyFill="1" applyBorder="1"/>
    <xf numFmtId="0" fontId="3" fillId="8" borderId="1" xfId="1" applyFill="1" applyBorder="1" applyAlignment="1">
      <alignment horizontal="center" vertical="center"/>
    </xf>
    <xf numFmtId="0" fontId="3" fillId="6" borderId="1" xfId="1" applyFill="1" applyBorder="1"/>
    <xf numFmtId="173" fontId="3" fillId="6" borderId="1" xfId="1" applyNumberFormat="1" applyFill="1" applyBorder="1" applyAlignment="1">
      <alignment horizontal="center" vertical="center"/>
    </xf>
    <xf numFmtId="8" fontId="3" fillId="0" borderId="0" xfId="1" applyNumberFormat="1"/>
    <xf numFmtId="0" fontId="3" fillId="0" borderId="0" xfId="1" applyFill="1" applyBorder="1"/>
    <xf numFmtId="173" fontId="3" fillId="0" borderId="0" xfId="1" applyNumberFormat="1" applyFill="1" applyBorder="1" applyAlignment="1">
      <alignment horizontal="center" vertical="center"/>
    </xf>
    <xf numFmtId="0" fontId="3" fillId="10" borderId="1" xfId="1" applyFill="1" applyBorder="1"/>
    <xf numFmtId="172" fontId="3" fillId="8" borderId="1" xfId="1" applyNumberFormat="1" applyFill="1" applyBorder="1" applyAlignment="1">
      <alignment horizontal="center" vertical="center"/>
    </xf>
    <xf numFmtId="0" fontId="3" fillId="2" borderId="0" xfId="1" applyFill="1"/>
    <xf numFmtId="0" fontId="3" fillId="6" borderId="0" xfId="1" applyFill="1" applyBorder="1"/>
    <xf numFmtId="173" fontId="3" fillId="6" borderId="0" xfId="1" applyNumberForma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3" fillId="0" borderId="1" xfId="1" applyBorder="1" applyAlignment="1">
      <alignment horizontal="center"/>
    </xf>
    <xf numFmtId="0" fontId="3" fillId="10" borderId="1" xfId="1" applyFill="1" applyBorder="1" applyAlignment="1">
      <alignment horizontal="center"/>
    </xf>
    <xf numFmtId="0" fontId="4" fillId="0" borderId="0" xfId="1" applyFont="1"/>
    <xf numFmtId="0" fontId="4" fillId="0" borderId="0" xfId="1" applyFont="1" applyAlignment="1">
      <alignment horizontal="center" vertical="center"/>
    </xf>
    <xf numFmtId="172" fontId="4" fillId="0" borderId="0" xfId="1" applyNumberFormat="1" applyFont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171" fontId="4" fillId="0" borderId="0" xfId="1" applyNumberFormat="1" applyFont="1" applyAlignment="1">
      <alignment horizontal="center" vertical="center"/>
    </xf>
    <xf numFmtId="170" fontId="4" fillId="0" borderId="0" xfId="1" applyNumberFormat="1" applyFont="1" applyAlignment="1">
      <alignment horizontal="center" vertical="center"/>
    </xf>
    <xf numFmtId="0" fontId="6" fillId="9" borderId="0" xfId="1" applyFont="1" applyFill="1" applyAlignment="1">
      <alignment horizontal="left"/>
    </xf>
    <xf numFmtId="0" fontId="6" fillId="0" borderId="0" xfId="1" applyFont="1" applyAlignment="1">
      <alignment horizontal="left"/>
    </xf>
    <xf numFmtId="0" fontId="4" fillId="0" borderId="0" xfId="1" applyFont="1" applyAlignment="1">
      <alignment horizontal="left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172" fontId="6" fillId="0" borderId="29" xfId="1" applyNumberFormat="1" applyFont="1" applyBorder="1" applyAlignment="1">
      <alignment horizontal="center" vertical="center" wrapText="1"/>
    </xf>
    <xf numFmtId="0" fontId="6" fillId="0" borderId="29" xfId="1" applyFont="1" applyBorder="1" applyAlignment="1">
      <alignment horizontal="center" vertical="center" wrapText="1"/>
    </xf>
    <xf numFmtId="171" fontId="6" fillId="0" borderId="3" xfId="1" applyNumberFormat="1" applyFont="1" applyFill="1" applyBorder="1" applyAlignment="1">
      <alignment horizontal="center" vertical="center" wrapText="1"/>
    </xf>
    <xf numFmtId="0" fontId="6" fillId="11" borderId="29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171" fontId="6" fillId="9" borderId="3" xfId="1" applyNumberFormat="1" applyFont="1" applyFill="1" applyBorder="1" applyAlignment="1">
      <alignment horizontal="center" vertical="center" wrapText="1"/>
    </xf>
    <xf numFmtId="170" fontId="6" fillId="0" borderId="4" xfId="1" applyNumberFormat="1" applyFont="1" applyBorder="1" applyAlignment="1">
      <alignment horizontal="center" vertical="center" wrapText="1"/>
    </xf>
    <xf numFmtId="0" fontId="6" fillId="0" borderId="0" xfId="1" applyFont="1" applyAlignment="1">
      <alignment horizontal="left" vertical="center"/>
    </xf>
    <xf numFmtId="0" fontId="4" fillId="0" borderId="5" xfId="1" applyFont="1" applyBorder="1"/>
    <xf numFmtId="0" fontId="4" fillId="0" borderId="1" xfId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172" fontId="4" fillId="0" borderId="1" xfId="1" applyNumberFormat="1" applyFont="1" applyBorder="1" applyAlignment="1">
      <alignment horizontal="center" vertical="center"/>
    </xf>
    <xf numFmtId="171" fontId="4" fillId="0" borderId="1" xfId="1" applyNumberFormat="1" applyFont="1" applyFill="1" applyBorder="1" applyAlignment="1">
      <alignment horizontal="center" vertical="center"/>
    </xf>
    <xf numFmtId="171" fontId="4" fillId="0" borderId="1" xfId="1" applyNumberFormat="1" applyFont="1" applyBorder="1" applyAlignment="1">
      <alignment horizontal="center" vertical="center"/>
    </xf>
    <xf numFmtId="170" fontId="4" fillId="0" borderId="6" xfId="1" applyNumberFormat="1" applyFont="1" applyBorder="1" applyAlignment="1">
      <alignment horizontal="center" vertical="center"/>
    </xf>
    <xf numFmtId="0" fontId="4" fillId="0" borderId="5" xfId="1" applyFont="1" applyFill="1" applyBorder="1"/>
    <xf numFmtId="0" fontId="4" fillId="0" borderId="1" xfId="1" applyFont="1" applyFill="1" applyBorder="1" applyAlignment="1">
      <alignment horizontal="center" vertical="center"/>
    </xf>
    <xf numFmtId="172" fontId="4" fillId="0" borderId="1" xfId="1" applyNumberFormat="1" applyFont="1" applyFill="1" applyBorder="1" applyAlignment="1">
      <alignment horizontal="center" vertical="center"/>
    </xf>
    <xf numFmtId="170" fontId="4" fillId="0" borderId="6" xfId="1" applyNumberFormat="1" applyFont="1" applyFill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center" vertical="center"/>
    </xf>
    <xf numFmtId="0" fontId="4" fillId="0" borderId="7" xfId="1" applyFont="1" applyBorder="1"/>
    <xf numFmtId="0" fontId="4" fillId="0" borderId="8" xfId="1" applyFont="1" applyBorder="1" applyAlignment="1">
      <alignment horizontal="center" vertical="center"/>
    </xf>
    <xf numFmtId="172" fontId="4" fillId="0" borderId="8" xfId="1" applyNumberFormat="1" applyFont="1" applyBorder="1" applyAlignment="1">
      <alignment horizontal="center" vertical="center"/>
    </xf>
    <xf numFmtId="171" fontId="4" fillId="0" borderId="8" xfId="1" applyNumberFormat="1" applyFont="1" applyFill="1" applyBorder="1" applyAlignment="1">
      <alignment horizontal="center" vertical="center"/>
    </xf>
    <xf numFmtId="171" fontId="4" fillId="0" borderId="8" xfId="1" applyNumberFormat="1" applyFont="1" applyBorder="1" applyAlignment="1">
      <alignment horizontal="center" vertical="center"/>
    </xf>
    <xf numFmtId="2" fontId="4" fillId="0" borderId="9" xfId="1" applyNumberFormat="1" applyFont="1" applyBorder="1" applyAlignment="1">
      <alignment horizontal="center" vertical="center"/>
    </xf>
    <xf numFmtId="0" fontId="4" fillId="0" borderId="0" xfId="1" applyFont="1" applyBorder="1"/>
    <xf numFmtId="172" fontId="4" fillId="0" borderId="0" xfId="1" applyNumberFormat="1" applyFont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171" fontId="4" fillId="0" borderId="0" xfId="1" applyNumberFormat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171" fontId="4" fillId="10" borderId="3" xfId="1" applyNumberFormat="1" applyFont="1" applyFill="1" applyBorder="1" applyAlignment="1">
      <alignment horizontal="center" vertical="center"/>
    </xf>
    <xf numFmtId="10" fontId="4" fillId="6" borderId="1" xfId="1" applyNumberFormat="1" applyFont="1" applyFill="1" applyBorder="1" applyAlignment="1">
      <alignment horizontal="center" vertical="center"/>
    </xf>
    <xf numFmtId="172" fontId="4" fillId="6" borderId="6" xfId="1" applyNumberFormat="1" applyFont="1" applyFill="1" applyBorder="1" applyAlignment="1">
      <alignment horizontal="center" vertical="center"/>
    </xf>
    <xf numFmtId="171" fontId="4" fillId="12" borderId="8" xfId="1" applyNumberFormat="1" applyFont="1" applyFill="1" applyBorder="1" applyAlignment="1">
      <alignment horizontal="center" vertical="center"/>
    </xf>
    <xf numFmtId="174" fontId="4" fillId="12" borderId="9" xfId="1" applyNumberFormat="1" applyFont="1" applyFill="1" applyBorder="1" applyAlignment="1">
      <alignment horizontal="center" vertical="center"/>
    </xf>
    <xf numFmtId="0" fontId="4" fillId="9" borderId="0" xfId="1" applyFont="1" applyFill="1"/>
    <xf numFmtId="0" fontId="4" fillId="0" borderId="0" xfId="1" applyFont="1" applyAlignment="1">
      <alignment horizontal="center" vertical="center" wrapText="1"/>
    </xf>
    <xf numFmtId="0" fontId="4" fillId="0" borderId="14" xfId="1" applyFont="1" applyBorder="1" applyAlignment="1">
      <alignment horizontal="center" vertical="center"/>
    </xf>
    <xf numFmtId="170" fontId="4" fillId="0" borderId="1" xfId="1" applyNumberFormat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26" xfId="1" applyFont="1" applyBorder="1" applyAlignment="1">
      <alignment horizontal="center" vertical="center"/>
    </xf>
    <xf numFmtId="171" fontId="4" fillId="0" borderId="26" xfId="1" applyNumberFormat="1" applyFont="1" applyBorder="1" applyAlignment="1">
      <alignment horizontal="center" vertical="center"/>
    </xf>
    <xf numFmtId="170" fontId="4" fillId="0" borderId="38" xfId="1" applyNumberFormat="1" applyFont="1" applyBorder="1" applyAlignment="1">
      <alignment horizontal="center" vertical="center"/>
    </xf>
    <xf numFmtId="0" fontId="4" fillId="13" borderId="0" xfId="1" applyFont="1" applyFill="1"/>
    <xf numFmtId="170" fontId="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171" fontId="7" fillId="14" borderId="34" xfId="1" applyNumberFormat="1" applyFont="1" applyFill="1" applyBorder="1" applyAlignment="1">
      <alignment horizontal="center" vertical="center"/>
    </xf>
    <xf numFmtId="0" fontId="7" fillId="0" borderId="5" xfId="1" applyFont="1" applyBorder="1"/>
    <xf numFmtId="0" fontId="8" fillId="15" borderId="1" xfId="1" applyNumberFormat="1" applyFont="1" applyFill="1" applyBorder="1" applyAlignment="1">
      <alignment horizontal="center" vertical="center"/>
    </xf>
    <xf numFmtId="172" fontId="4" fillId="0" borderId="8" xfId="1" applyNumberFormat="1" applyFont="1" applyFill="1" applyBorder="1" applyAlignment="1">
      <alignment horizontal="center" vertical="center"/>
    </xf>
    <xf numFmtId="2" fontId="4" fillId="0" borderId="9" xfId="1" applyNumberFormat="1" applyFont="1" applyFill="1" applyBorder="1" applyAlignment="1">
      <alignment horizontal="center" vertical="center"/>
    </xf>
    <xf numFmtId="0" fontId="4" fillId="12" borderId="0" xfId="1" applyFont="1" applyFill="1"/>
    <xf numFmtId="174" fontId="7" fillId="14" borderId="39" xfId="1" applyNumberFormat="1" applyFont="1" applyFill="1" applyBorder="1" applyAlignment="1">
      <alignment horizontal="center" vertical="center"/>
    </xf>
    <xf numFmtId="0" fontId="4" fillId="6" borderId="0" xfId="1" applyFont="1" applyFill="1"/>
    <xf numFmtId="0" fontId="7" fillId="0" borderId="1" xfId="1" applyFont="1" applyBorder="1" applyAlignment="1">
      <alignment horizontal="center" vertical="center"/>
    </xf>
    <xf numFmtId="165" fontId="4" fillId="0" borderId="0" xfId="1" applyNumberFormat="1" applyFont="1"/>
    <xf numFmtId="0" fontId="6" fillId="0" borderId="1" xfId="1" applyFont="1" applyBorder="1" applyAlignment="1">
      <alignment horizontal="center" vertical="center"/>
    </xf>
    <xf numFmtId="0" fontId="4" fillId="16" borderId="0" xfId="1" applyFont="1" applyFill="1"/>
    <xf numFmtId="0" fontId="4" fillId="0" borderId="0" xfId="1" applyFont="1" applyAlignment="1">
      <alignment horizontal="center" vertical="center" wrapText="1" shrinkToFit="1"/>
    </xf>
    <xf numFmtId="0" fontId="9" fillId="15" borderId="1" xfId="1" applyNumberFormat="1" applyFont="1" applyFill="1" applyBorder="1" applyAlignment="1">
      <alignment horizontal="center" vertical="center"/>
    </xf>
    <xf numFmtId="0" fontId="4" fillId="0" borderId="0" xfId="1" applyFont="1" applyFill="1" applyBorder="1"/>
    <xf numFmtId="0" fontId="6" fillId="0" borderId="0" xfId="1" applyFont="1" applyFill="1" applyBorder="1" applyAlignment="1">
      <alignment horizontal="center" vertical="center" wrapText="1"/>
    </xf>
    <xf numFmtId="171" fontId="6" fillId="0" borderId="0" xfId="1" applyNumberFormat="1" applyFont="1" applyFill="1" applyBorder="1" applyAlignment="1">
      <alignment horizontal="center" vertical="center" wrapText="1"/>
    </xf>
    <xf numFmtId="170" fontId="6" fillId="0" borderId="0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171" fontId="4" fillId="0" borderId="0" xfId="1" applyNumberFormat="1" applyFont="1" applyFill="1" applyBorder="1" applyAlignment="1">
      <alignment horizontal="center" vertical="center"/>
    </xf>
    <xf numFmtId="170" fontId="4" fillId="0" borderId="0" xfId="1" applyNumberFormat="1" applyFont="1" applyFill="1" applyBorder="1" applyAlignment="1">
      <alignment horizontal="center" vertical="center"/>
    </xf>
    <xf numFmtId="169" fontId="4" fillId="0" borderId="1" xfId="1" applyNumberFormat="1" applyFont="1" applyBorder="1" applyAlignment="1">
      <alignment horizontal="center" vertical="center"/>
    </xf>
    <xf numFmtId="49" fontId="4" fillId="0" borderId="0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center" vertical="center"/>
    </xf>
    <xf numFmtId="171" fontId="7" fillId="0" borderId="0" xfId="1" applyNumberFormat="1" applyFont="1" applyFill="1" applyBorder="1" applyAlignment="1">
      <alignment horizontal="center" vertical="center"/>
    </xf>
    <xf numFmtId="174" fontId="7" fillId="0" borderId="0" xfId="1" applyNumberFormat="1" applyFont="1" applyFill="1" applyBorder="1" applyAlignment="1">
      <alignment horizontal="center" vertical="center"/>
    </xf>
    <xf numFmtId="10" fontId="4" fillId="0" borderId="0" xfId="1" applyNumberFormat="1" applyFont="1" applyFill="1" applyBorder="1" applyAlignment="1">
      <alignment horizontal="center" vertical="center"/>
    </xf>
    <xf numFmtId="174" fontId="4" fillId="0" borderId="0" xfId="1" applyNumberFormat="1" applyFont="1" applyFill="1" applyBorder="1" applyAlignment="1">
      <alignment horizontal="center" vertical="center"/>
    </xf>
    <xf numFmtId="0" fontId="4" fillId="0" borderId="1" xfId="1" quotePrefix="1" applyFont="1" applyBorder="1" applyAlignment="1">
      <alignment horizontal="center" vertical="center"/>
    </xf>
    <xf numFmtId="0" fontId="4" fillId="0" borderId="0" xfId="1" quotePrefix="1" applyFont="1" applyFill="1" applyBorder="1" applyAlignment="1">
      <alignment horizontal="center" vertical="center"/>
    </xf>
    <xf numFmtId="0" fontId="4" fillId="0" borderId="14" xfId="1" applyFont="1" applyFill="1" applyBorder="1" applyAlignment="1">
      <alignment horizontal="center" vertical="center"/>
    </xf>
    <xf numFmtId="169" fontId="4" fillId="0" borderId="1" xfId="1" applyNumberFormat="1" applyFont="1" applyFill="1" applyBorder="1" applyAlignment="1">
      <alignment horizontal="center" vertical="center"/>
    </xf>
    <xf numFmtId="43" fontId="4" fillId="0" borderId="6" xfId="4" applyNumberFormat="1" applyFont="1" applyFill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0" fontId="7" fillId="0" borderId="26" xfId="1" applyFont="1" applyBorder="1" applyAlignment="1">
      <alignment horizontal="center" vertical="center"/>
    </xf>
    <xf numFmtId="171" fontId="7" fillId="0" borderId="26" xfId="1" applyNumberFormat="1" applyFont="1" applyBorder="1" applyAlignment="1">
      <alignment horizontal="center" vertical="center"/>
    </xf>
    <xf numFmtId="170" fontId="7" fillId="0" borderId="38" xfId="1" applyNumberFormat="1" applyFont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170" fontId="7" fillId="0" borderId="0" xfId="1" applyNumberFormat="1" applyFont="1" applyFill="1" applyBorder="1" applyAlignment="1">
      <alignment horizontal="center" vertical="center"/>
    </xf>
    <xf numFmtId="171" fontId="7" fillId="14" borderId="40" xfId="1" applyNumberFormat="1" applyFont="1" applyFill="1" applyBorder="1" applyAlignment="1">
      <alignment horizontal="center" vertical="center"/>
    </xf>
    <xf numFmtId="0" fontId="10" fillId="0" borderId="23" xfId="1" applyNumberFormat="1" applyFont="1" applyFill="1" applyBorder="1" applyAlignment="1" applyProtection="1"/>
    <xf numFmtId="0" fontId="10" fillId="0" borderId="0" xfId="1" applyNumberFormat="1" applyFont="1" applyFill="1" applyBorder="1" applyAlignment="1" applyProtection="1"/>
    <xf numFmtId="0" fontId="10" fillId="0" borderId="24" xfId="1" applyNumberFormat="1" applyFont="1" applyFill="1" applyBorder="1" applyAlignment="1" applyProtection="1"/>
    <xf numFmtId="0" fontId="11" fillId="0" borderId="23" xfId="1" applyNumberFormat="1" applyFont="1" applyFill="1" applyBorder="1" applyAlignment="1" applyProtection="1"/>
    <xf numFmtId="0" fontId="10" fillId="0" borderId="30" xfId="1" applyNumberFormat="1" applyFont="1" applyFill="1" applyBorder="1" applyAlignment="1" applyProtection="1"/>
    <xf numFmtId="0" fontId="10" fillId="0" borderId="17" xfId="1" applyNumberFormat="1" applyFont="1" applyFill="1" applyBorder="1" applyAlignment="1" applyProtection="1"/>
    <xf numFmtId="0" fontId="10" fillId="0" borderId="41" xfId="1" applyNumberFormat="1" applyFont="1" applyFill="1" applyBorder="1" applyAlignment="1" applyProtection="1"/>
    <xf numFmtId="175" fontId="10" fillId="17" borderId="42" xfId="1" applyNumberFormat="1" applyFont="1" applyFill="1" applyBorder="1" applyAlignment="1" applyProtection="1"/>
    <xf numFmtId="176" fontId="10" fillId="17" borderId="43" xfId="1" applyNumberFormat="1" applyFont="1" applyFill="1" applyBorder="1" applyAlignment="1" applyProtection="1"/>
    <xf numFmtId="176" fontId="10" fillId="17" borderId="42" xfId="1" applyNumberFormat="1" applyFont="1" applyFill="1" applyBorder="1" applyAlignment="1" applyProtection="1"/>
    <xf numFmtId="176" fontId="10" fillId="17" borderId="44" xfId="1" applyNumberFormat="1" applyFont="1" applyFill="1" applyBorder="1" applyAlignment="1" applyProtection="1"/>
    <xf numFmtId="0" fontId="10" fillId="0" borderId="51" xfId="1" applyNumberFormat="1" applyFont="1" applyFill="1" applyBorder="1" applyAlignment="1" applyProtection="1"/>
    <xf numFmtId="175" fontId="10" fillId="0" borderId="42" xfId="1" applyNumberFormat="1" applyFont="1" applyFill="1" applyBorder="1" applyAlignment="1" applyProtection="1"/>
    <xf numFmtId="175" fontId="10" fillId="0" borderId="52" xfId="1" applyNumberFormat="1" applyFont="1" applyFill="1" applyBorder="1" applyAlignment="1" applyProtection="1"/>
    <xf numFmtId="175" fontId="10" fillId="0" borderId="53" xfId="1" applyNumberFormat="1" applyFont="1" applyFill="1" applyBorder="1" applyAlignment="1" applyProtection="1"/>
    <xf numFmtId="0" fontId="10" fillId="0" borderId="42" xfId="1" applyNumberFormat="1" applyFont="1" applyFill="1" applyBorder="1" applyAlignment="1" applyProtection="1"/>
    <xf numFmtId="0" fontId="10" fillId="0" borderId="52" xfId="1" applyNumberFormat="1" applyFont="1" applyFill="1" applyBorder="1" applyAlignment="1" applyProtection="1"/>
    <xf numFmtId="179" fontId="10" fillId="0" borderId="53" xfId="1" applyNumberFormat="1" applyFont="1" applyFill="1" applyBorder="1" applyAlignment="1" applyProtection="1"/>
    <xf numFmtId="0" fontId="10" fillId="0" borderId="54" xfId="1" applyNumberFormat="1" applyFont="1" applyFill="1" applyBorder="1" applyAlignment="1" applyProtection="1"/>
    <xf numFmtId="0" fontId="10" fillId="0" borderId="55" xfId="1" applyNumberFormat="1" applyFont="1" applyFill="1" applyBorder="1" applyAlignment="1" applyProtection="1"/>
    <xf numFmtId="0" fontId="10" fillId="0" borderId="56" xfId="1" applyNumberFormat="1" applyFont="1" applyFill="1" applyBorder="1" applyAlignment="1" applyProtection="1"/>
    <xf numFmtId="179" fontId="10" fillId="0" borderId="57" xfId="1" applyNumberFormat="1" applyFont="1" applyFill="1" applyBorder="1" applyAlignment="1" applyProtection="1"/>
    <xf numFmtId="178" fontId="10" fillId="0" borderId="6" xfId="1" applyNumberFormat="1" applyFont="1" applyFill="1" applyBorder="1" applyAlignment="1" applyProtection="1"/>
    <xf numFmtId="175" fontId="10" fillId="0" borderId="58" xfId="1" applyNumberFormat="1" applyFont="1" applyFill="1" applyBorder="1" applyAlignment="1" applyProtection="1"/>
    <xf numFmtId="175" fontId="10" fillId="0" borderId="31" xfId="1" applyNumberFormat="1" applyFont="1" applyFill="1" applyBorder="1" applyAlignment="1" applyProtection="1"/>
    <xf numFmtId="176" fontId="10" fillId="0" borderId="31" xfId="1" applyNumberFormat="1" applyFont="1" applyFill="1" applyBorder="1" applyAlignment="1" applyProtection="1"/>
    <xf numFmtId="175" fontId="10" fillId="0" borderId="32" xfId="1" applyNumberFormat="1" applyFont="1" applyFill="1" applyBorder="1" applyAlignment="1" applyProtection="1"/>
    <xf numFmtId="176" fontId="10" fillId="0" borderId="52" xfId="1" applyNumberFormat="1" applyFont="1" applyFill="1" applyBorder="1" applyAlignment="1" applyProtection="1"/>
    <xf numFmtId="175" fontId="10" fillId="0" borderId="6" xfId="1" applyNumberFormat="1" applyFont="1" applyFill="1" applyBorder="1" applyAlignment="1" applyProtection="1"/>
    <xf numFmtId="0" fontId="10" fillId="0" borderId="58" xfId="1" applyNumberFormat="1" applyFont="1" applyFill="1" applyBorder="1" applyAlignment="1" applyProtection="1"/>
    <xf numFmtId="178" fontId="10" fillId="0" borderId="58" xfId="1" applyNumberFormat="1" applyFont="1" applyFill="1" applyBorder="1" applyAlignment="1" applyProtection="1"/>
    <xf numFmtId="177" fontId="10" fillId="0" borderId="32" xfId="1" applyNumberFormat="1" applyFont="1" applyFill="1" applyBorder="1" applyAlignment="1" applyProtection="1"/>
    <xf numFmtId="175" fontId="10" fillId="17" borderId="52" xfId="1" applyNumberFormat="1" applyFont="1" applyFill="1" applyBorder="1" applyAlignment="1" applyProtection="1"/>
    <xf numFmtId="178" fontId="10" fillId="17" borderId="53" xfId="1" applyNumberFormat="1" applyFont="1" applyFill="1" applyBorder="1" applyAlignment="1" applyProtection="1"/>
    <xf numFmtId="178" fontId="10" fillId="0" borderId="53" xfId="1" applyNumberFormat="1" applyFont="1" applyFill="1" applyBorder="1" applyAlignment="1" applyProtection="1"/>
    <xf numFmtId="178" fontId="10" fillId="0" borderId="42" xfId="1" applyNumberFormat="1" applyFont="1" applyFill="1" applyBorder="1" applyAlignment="1" applyProtection="1"/>
    <xf numFmtId="176" fontId="10" fillId="0" borderId="53" xfId="1" applyNumberFormat="1" applyFont="1" applyFill="1" applyBorder="1" applyAlignment="1" applyProtection="1"/>
    <xf numFmtId="175" fontId="10" fillId="0" borderId="24" xfId="1" applyNumberFormat="1" applyFont="1" applyFill="1" applyBorder="1" applyAlignment="1" applyProtection="1"/>
    <xf numFmtId="0" fontId="10" fillId="0" borderId="43" xfId="1" applyNumberFormat="1" applyFont="1" applyFill="1" applyBorder="1" applyAlignment="1" applyProtection="1"/>
    <xf numFmtId="175" fontId="10" fillId="0" borderId="44" xfId="1" applyNumberFormat="1" applyFont="1" applyFill="1" applyBorder="1" applyAlignment="1" applyProtection="1"/>
    <xf numFmtId="175" fontId="10" fillId="0" borderId="57" xfId="1" applyNumberFormat="1" applyFont="1" applyFill="1" applyBorder="1" applyAlignment="1" applyProtection="1"/>
    <xf numFmtId="179" fontId="10" fillId="0" borderId="6" xfId="1" applyNumberFormat="1" applyFont="1" applyFill="1" applyBorder="1" applyAlignment="1" applyProtection="1"/>
    <xf numFmtId="0" fontId="10" fillId="0" borderId="27" xfId="1" applyNumberFormat="1" applyFont="1" applyFill="1" applyBorder="1" applyAlignment="1" applyProtection="1"/>
    <xf numFmtId="0" fontId="10" fillId="0" borderId="70" xfId="1" applyNumberFormat="1" applyFont="1" applyFill="1" applyBorder="1" applyAlignment="1" applyProtection="1"/>
    <xf numFmtId="175" fontId="10" fillId="0" borderId="71" xfId="1" applyNumberFormat="1" applyFont="1" applyFill="1" applyBorder="1" applyAlignment="1" applyProtection="1"/>
    <xf numFmtId="0" fontId="10" fillId="0" borderId="25" xfId="1" applyNumberFormat="1" applyFont="1" applyFill="1" applyBorder="1" applyAlignment="1" applyProtection="1"/>
    <xf numFmtId="0" fontId="10" fillId="0" borderId="26" xfId="1" applyNumberFormat="1" applyFont="1" applyFill="1" applyBorder="1" applyAlignment="1" applyProtection="1"/>
    <xf numFmtId="0" fontId="10" fillId="0" borderId="72" xfId="1" applyNumberFormat="1" applyFont="1" applyFill="1" applyBorder="1" applyAlignment="1" applyProtection="1"/>
    <xf numFmtId="0" fontId="10" fillId="0" borderId="73" xfId="1" applyNumberFormat="1" applyFont="1" applyFill="1" applyBorder="1" applyAlignment="1" applyProtection="1"/>
    <xf numFmtId="175" fontId="10" fillId="17" borderId="74" xfId="1" applyNumberFormat="1" applyFont="1" applyFill="1" applyBorder="1" applyAlignment="1" applyProtection="1"/>
    <xf numFmtId="0" fontId="10" fillId="2" borderId="0" xfId="1" applyNumberFormat="1" applyFont="1" applyFill="1" applyBorder="1" applyAlignment="1" applyProtection="1"/>
    <xf numFmtId="175" fontId="10" fillId="18" borderId="0" xfId="1" applyNumberFormat="1" applyFont="1" applyFill="1" applyBorder="1" applyAlignment="1" applyProtection="1"/>
    <xf numFmtId="0" fontId="12" fillId="0" borderId="0" xfId="1" applyNumberFormat="1" applyFont="1" applyFill="1" applyBorder="1" applyAlignment="1" applyProtection="1"/>
    <xf numFmtId="0" fontId="12" fillId="0" borderId="23" xfId="1" applyNumberFormat="1" applyFont="1" applyFill="1" applyBorder="1" applyAlignment="1" applyProtection="1"/>
    <xf numFmtId="0" fontId="12" fillId="0" borderId="24" xfId="1" applyNumberFormat="1" applyFont="1" applyFill="1" applyBorder="1" applyAlignment="1" applyProtection="1"/>
    <xf numFmtId="0" fontId="13" fillId="0" borderId="23" xfId="1" applyNumberFormat="1" applyFont="1" applyFill="1" applyBorder="1" applyAlignment="1" applyProtection="1"/>
    <xf numFmtId="176" fontId="12" fillId="19" borderId="43" xfId="1" applyNumberFormat="1" applyFont="1" applyFill="1" applyBorder="1" applyAlignment="1" applyProtection="1"/>
    <xf numFmtId="176" fontId="12" fillId="19" borderId="46" xfId="1" applyNumberFormat="1" applyFont="1" applyFill="1" applyBorder="1" applyAlignment="1" applyProtection="1"/>
    <xf numFmtId="0" fontId="14" fillId="0" borderId="23" xfId="1" applyFont="1" applyBorder="1"/>
    <xf numFmtId="0" fontId="14" fillId="0" borderId="0" xfId="1" applyFont="1" applyBorder="1"/>
    <xf numFmtId="178" fontId="12" fillId="0" borderId="18" xfId="1" applyNumberFormat="1" applyFont="1" applyFill="1" applyBorder="1" applyAlignment="1" applyProtection="1"/>
    <xf numFmtId="0" fontId="12" fillId="0" borderId="23" xfId="1" applyNumberFormat="1" applyFont="1" applyFill="1" applyBorder="1" applyAlignment="1" applyProtection="1">
      <alignment horizontal="left"/>
    </xf>
    <xf numFmtId="0" fontId="12" fillId="0" borderId="0" xfId="1" applyNumberFormat="1" applyFont="1" applyFill="1" applyBorder="1" applyAlignment="1" applyProtection="1">
      <alignment horizontal="left"/>
    </xf>
    <xf numFmtId="178" fontId="12" fillId="0" borderId="24" xfId="1" applyNumberFormat="1" applyFont="1" applyFill="1" applyBorder="1" applyAlignment="1" applyProtection="1"/>
    <xf numFmtId="0" fontId="12" fillId="0" borderId="30" xfId="1" applyNumberFormat="1" applyFont="1" applyFill="1" applyBorder="1" applyAlignment="1" applyProtection="1"/>
    <xf numFmtId="0" fontId="12" fillId="0" borderId="41" xfId="1" applyNumberFormat="1" applyFont="1" applyFill="1" applyBorder="1" applyAlignment="1" applyProtection="1"/>
    <xf numFmtId="175" fontId="12" fillId="0" borderId="43" xfId="1" applyNumberFormat="1" applyFont="1" applyFill="1" applyBorder="1" applyAlignment="1" applyProtection="1"/>
    <xf numFmtId="176" fontId="12" fillId="0" borderId="43" xfId="1" applyNumberFormat="1" applyFont="1" applyFill="1" applyBorder="1" applyAlignment="1" applyProtection="1"/>
    <xf numFmtId="175" fontId="12" fillId="0" borderId="44" xfId="1" applyNumberFormat="1" applyFont="1" applyFill="1" applyBorder="1" applyAlignment="1" applyProtection="1"/>
    <xf numFmtId="175" fontId="12" fillId="0" borderId="52" xfId="1" applyNumberFormat="1" applyFont="1" applyFill="1" applyBorder="1" applyAlignment="1" applyProtection="1"/>
    <xf numFmtId="0" fontId="12" fillId="0" borderId="51" xfId="1" applyNumberFormat="1" applyFont="1" applyFill="1" applyBorder="1" applyAlignment="1" applyProtection="1">
      <alignment wrapText="1"/>
    </xf>
    <xf numFmtId="0" fontId="12" fillId="0" borderId="51" xfId="1" applyNumberFormat="1" applyFont="1" applyFill="1" applyBorder="1" applyAlignment="1" applyProtection="1"/>
    <xf numFmtId="0" fontId="12" fillId="0" borderId="52" xfId="1" applyNumberFormat="1" applyFont="1" applyFill="1" applyBorder="1" applyAlignment="1" applyProtection="1"/>
    <xf numFmtId="179" fontId="12" fillId="0" borderId="53" xfId="1" applyNumberFormat="1" applyFont="1" applyFill="1" applyBorder="1" applyAlignment="1" applyProtection="1"/>
    <xf numFmtId="0" fontId="12" fillId="0" borderId="54" xfId="1" applyNumberFormat="1" applyFont="1" applyFill="1" applyBorder="1" applyAlignment="1" applyProtection="1"/>
    <xf numFmtId="0" fontId="12" fillId="0" borderId="56" xfId="1" applyNumberFormat="1" applyFont="1" applyFill="1" applyBorder="1" applyAlignment="1" applyProtection="1"/>
    <xf numFmtId="179" fontId="12" fillId="0" borderId="57" xfId="1" applyNumberFormat="1" applyFont="1" applyFill="1" applyBorder="1" applyAlignment="1" applyProtection="1"/>
    <xf numFmtId="175" fontId="12" fillId="0" borderId="6" xfId="1" applyNumberFormat="1" applyFont="1" applyFill="1" applyBorder="1" applyAlignment="1" applyProtection="1"/>
    <xf numFmtId="0" fontId="12" fillId="0" borderId="43" xfId="1" applyNumberFormat="1" applyFont="1" applyFill="1" applyBorder="1" applyAlignment="1" applyProtection="1"/>
    <xf numFmtId="177" fontId="12" fillId="0" borderId="43" xfId="1" applyNumberFormat="1" applyFont="1" applyFill="1" applyBorder="1" applyAlignment="1" applyProtection="1"/>
    <xf numFmtId="177" fontId="12" fillId="0" borderId="44" xfId="1" applyNumberFormat="1" applyFont="1" applyFill="1" applyBorder="1" applyAlignment="1" applyProtection="1"/>
    <xf numFmtId="178" fontId="12" fillId="0" borderId="43" xfId="1" applyNumberFormat="1" applyFont="1" applyFill="1" applyBorder="1" applyAlignment="1" applyProtection="1"/>
    <xf numFmtId="177" fontId="12" fillId="0" borderId="52" xfId="1" applyNumberFormat="1" applyFont="1" applyFill="1" applyBorder="1" applyAlignment="1" applyProtection="1"/>
    <xf numFmtId="178" fontId="12" fillId="0" borderId="44" xfId="1" applyNumberFormat="1" applyFont="1" applyFill="1" applyBorder="1" applyAlignment="1" applyProtection="1"/>
    <xf numFmtId="178" fontId="12" fillId="0" borderId="52" xfId="1" applyNumberFormat="1" applyFont="1" applyFill="1" applyBorder="1" applyAlignment="1" applyProtection="1"/>
    <xf numFmtId="178" fontId="12" fillId="0" borderId="6" xfId="1" applyNumberFormat="1" applyFont="1" applyFill="1" applyBorder="1" applyAlignment="1" applyProtection="1"/>
    <xf numFmtId="175" fontId="12" fillId="0" borderId="24" xfId="1" applyNumberFormat="1" applyFont="1" applyFill="1" applyBorder="1" applyAlignment="1" applyProtection="1"/>
    <xf numFmtId="175" fontId="12" fillId="0" borderId="53" xfId="1" applyNumberFormat="1" applyFont="1" applyFill="1" applyBorder="1" applyAlignment="1" applyProtection="1"/>
    <xf numFmtId="175" fontId="12" fillId="0" borderId="57" xfId="1" applyNumberFormat="1" applyFont="1" applyFill="1" applyBorder="1" applyAlignment="1" applyProtection="1"/>
    <xf numFmtId="179" fontId="12" fillId="0" borderId="6" xfId="1" applyNumberFormat="1" applyFont="1" applyFill="1" applyBorder="1" applyAlignment="1" applyProtection="1"/>
    <xf numFmtId="0" fontId="12" fillId="0" borderId="27" xfId="1" applyNumberFormat="1" applyFont="1" applyFill="1" applyBorder="1" applyAlignment="1" applyProtection="1"/>
    <xf numFmtId="0" fontId="12" fillId="0" borderId="70" xfId="1" applyNumberFormat="1" applyFont="1" applyFill="1" applyBorder="1" applyAlignment="1" applyProtection="1"/>
    <xf numFmtId="175" fontId="12" fillId="0" borderId="71" xfId="1" applyNumberFormat="1" applyFont="1" applyFill="1" applyBorder="1" applyAlignment="1" applyProtection="1"/>
    <xf numFmtId="0" fontId="12" fillId="0" borderId="25" xfId="1" applyNumberFormat="1" applyFont="1" applyFill="1" applyBorder="1" applyAlignment="1" applyProtection="1"/>
    <xf numFmtId="0" fontId="12" fillId="0" borderId="26" xfId="1" applyNumberFormat="1" applyFont="1" applyFill="1" applyBorder="1" applyAlignment="1" applyProtection="1"/>
    <xf numFmtId="0" fontId="12" fillId="0" borderId="72" xfId="1" applyNumberFormat="1" applyFont="1" applyFill="1" applyBorder="1" applyAlignment="1" applyProtection="1"/>
    <xf numFmtId="0" fontId="12" fillId="0" borderId="73" xfId="1" applyNumberFormat="1" applyFont="1" applyFill="1" applyBorder="1" applyAlignment="1" applyProtection="1"/>
    <xf numFmtId="175" fontId="12" fillId="19" borderId="74" xfId="1" applyNumberFormat="1" applyFont="1" applyFill="1" applyBorder="1" applyAlignment="1" applyProtection="1"/>
    <xf numFmtId="175" fontId="12" fillId="19" borderId="52" xfId="1" applyNumberFormat="1" applyFont="1" applyFill="1" applyBorder="1" applyAlignment="1" applyProtection="1"/>
    <xf numFmtId="176" fontId="12" fillId="19" borderId="52" xfId="1" applyNumberFormat="1" applyFont="1" applyFill="1" applyBorder="1" applyAlignment="1" applyProtection="1"/>
    <xf numFmtId="178" fontId="12" fillId="19" borderId="53" xfId="1" applyNumberFormat="1" applyFont="1" applyFill="1" applyBorder="1" applyAlignment="1" applyProtection="1"/>
    <xf numFmtId="176" fontId="12" fillId="19" borderId="53" xfId="1" applyNumberFormat="1" applyFont="1" applyFill="1" applyBorder="1" applyAlignment="1" applyProtection="1"/>
    <xf numFmtId="176" fontId="12" fillId="0" borderId="52" xfId="1" applyNumberFormat="1" applyFont="1" applyFill="1" applyBorder="1" applyAlignment="1" applyProtection="1"/>
    <xf numFmtId="171" fontId="12" fillId="0" borderId="52" xfId="1" applyNumberFormat="1" applyFont="1" applyFill="1" applyBorder="1" applyAlignment="1" applyProtection="1"/>
    <xf numFmtId="176" fontId="12" fillId="0" borderId="44" xfId="1" applyNumberFormat="1" applyFont="1" applyFill="1" applyBorder="1" applyAlignment="1" applyProtection="1"/>
    <xf numFmtId="175" fontId="12" fillId="0" borderId="49" xfId="1" applyNumberFormat="1" applyFont="1" applyFill="1" applyBorder="1" applyAlignment="1" applyProtection="1"/>
    <xf numFmtId="0" fontId="12" fillId="2" borderId="0" xfId="1" applyNumberFormat="1" applyFont="1" applyFill="1" applyBorder="1" applyAlignment="1" applyProtection="1"/>
    <xf numFmtId="0" fontId="14" fillId="2" borderId="0" xfId="1" applyFont="1" applyFill="1"/>
    <xf numFmtId="177" fontId="12" fillId="19" borderId="53" xfId="1" applyNumberFormat="1" applyFont="1" applyFill="1" applyBorder="1" applyAlignment="1" applyProtection="1"/>
    <xf numFmtId="178" fontId="12" fillId="19" borderId="52" xfId="1" applyNumberFormat="1" applyFont="1" applyFill="1" applyBorder="1" applyAlignment="1" applyProtection="1"/>
    <xf numFmtId="2" fontId="12" fillId="0" borderId="52" xfId="1" applyNumberFormat="1" applyFont="1" applyFill="1" applyBorder="1" applyAlignment="1" applyProtection="1"/>
    <xf numFmtId="2" fontId="12" fillId="0" borderId="56" xfId="1" applyNumberFormat="1" applyFont="1" applyFill="1" applyBorder="1" applyAlignment="1" applyProtection="1"/>
    <xf numFmtId="0" fontId="12" fillId="0" borderId="45" xfId="1" applyNumberFormat="1" applyFont="1" applyFill="1" applyBorder="1" applyAlignment="1" applyProtection="1"/>
    <xf numFmtId="0" fontId="10" fillId="0" borderId="1" xfId="1" applyNumberFormat="1" applyFont="1" applyFill="1" applyBorder="1" applyAlignment="1" applyProtection="1"/>
    <xf numFmtId="178" fontId="10" fillId="0" borderId="1" xfId="1" applyNumberFormat="1" applyFont="1" applyFill="1" applyBorder="1" applyAlignment="1" applyProtection="1"/>
    <xf numFmtId="176" fontId="10" fillId="0" borderId="32" xfId="1" applyNumberFormat="1" applyFont="1" applyFill="1" applyBorder="1" applyAlignment="1" applyProtection="1"/>
    <xf numFmtId="0" fontId="0" fillId="0" borderId="0" xfId="0" quotePrefix="1"/>
    <xf numFmtId="170" fontId="0" fillId="0" borderId="1" xfId="0" applyNumberFormat="1" applyBorder="1"/>
    <xf numFmtId="172" fontId="0" fillId="0" borderId="5" xfId="0" applyNumberFormat="1" applyBorder="1"/>
    <xf numFmtId="172" fontId="0" fillId="0" borderId="7" xfId="0" applyNumberFormat="1" applyBorder="1"/>
    <xf numFmtId="170" fontId="0" fillId="0" borderId="8" xfId="0" applyNumberFormat="1" applyBorder="1"/>
    <xf numFmtId="0" fontId="0" fillId="20" borderId="6" xfId="0" applyFill="1" applyBorder="1" applyAlignment="1">
      <alignment horizontal="center" vertical="center"/>
    </xf>
    <xf numFmtId="0" fontId="0" fillId="20" borderId="9" xfId="0" applyFill="1" applyBorder="1" applyAlignment="1">
      <alignment horizontal="center" vertical="center"/>
    </xf>
    <xf numFmtId="171" fontId="0" fillId="21" borderId="6" xfId="0" applyNumberFormat="1" applyFill="1" applyBorder="1"/>
    <xf numFmtId="171" fontId="0" fillId="21" borderId="9" xfId="0" applyNumberFormat="1" applyFill="1" applyBorder="1"/>
    <xf numFmtId="0" fontId="0" fillId="10" borderId="6" xfId="0" applyFill="1" applyBorder="1"/>
    <xf numFmtId="0" fontId="0" fillId="10" borderId="9" xfId="0" applyFill="1" applyBorder="1"/>
    <xf numFmtId="167" fontId="15" fillId="22" borderId="21" xfId="0" applyNumberFormat="1" applyFont="1" applyFill="1" applyBorder="1"/>
    <xf numFmtId="167" fontId="0" fillId="20" borderId="6" xfId="0" applyNumberFormat="1" applyFill="1" applyBorder="1"/>
    <xf numFmtId="171" fontId="4" fillId="0" borderId="31" xfId="1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 applyAlignment="1">
      <alignment horizontal="center" vertical="center" wrapText="1"/>
    </xf>
    <xf numFmtId="167" fontId="15" fillId="0" borderId="0" xfId="0" applyNumberFormat="1" applyFont="1" applyFill="1" applyBorder="1"/>
    <xf numFmtId="0" fontId="0" fillId="4" borderId="0" xfId="0" applyFill="1"/>
    <xf numFmtId="180" fontId="15" fillId="22" borderId="76" xfId="0" applyNumberFormat="1" applyFont="1" applyFill="1" applyBorder="1"/>
    <xf numFmtId="169" fontId="0" fillId="21" borderId="6" xfId="0" applyNumberFormat="1" applyFill="1" applyBorder="1"/>
    <xf numFmtId="181" fontId="0" fillId="0" borderId="0" xfId="0" applyNumberFormat="1"/>
    <xf numFmtId="168" fontId="0" fillId="20" borderId="6" xfId="0" applyNumberFormat="1" applyFill="1" applyBorder="1"/>
    <xf numFmtId="0" fontId="0" fillId="7" borderId="0" xfId="0" applyFill="1" applyAlignment="1">
      <alignment horizontal="center" vertical="center" wrapText="1"/>
    </xf>
    <xf numFmtId="165" fontId="0" fillId="0" borderId="5" xfId="0" applyNumberFormat="1" applyBorder="1"/>
    <xf numFmtId="2" fontId="4" fillId="6" borderId="1" xfId="1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0" fillId="0" borderId="0" xfId="0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 vertical="center"/>
    </xf>
    <xf numFmtId="0" fontId="0" fillId="0" borderId="82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2" borderId="8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79" xfId="0" applyBorder="1" applyAlignment="1">
      <alignment horizontal="right" vertical="center"/>
    </xf>
    <xf numFmtId="0" fontId="0" fillId="0" borderId="80" xfId="0" applyFill="1" applyBorder="1" applyAlignment="1">
      <alignment horizontal="center" vertical="center"/>
    </xf>
    <xf numFmtId="0" fontId="0" fillId="0" borderId="77" xfId="0" applyBorder="1" applyAlignment="1">
      <alignment horizontal="left" vertical="center" wrapText="1"/>
    </xf>
    <xf numFmtId="165" fontId="0" fillId="0" borderId="14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165" fontId="0" fillId="0" borderId="9" xfId="0" applyNumberFormat="1" applyBorder="1" applyAlignment="1">
      <alignment horizontal="center" vertical="center"/>
    </xf>
    <xf numFmtId="165" fontId="0" fillId="2" borderId="81" xfId="0" applyNumberFormat="1" applyFill="1" applyBorder="1" applyAlignment="1">
      <alignment horizontal="center" vertical="center"/>
    </xf>
    <xf numFmtId="165" fontId="0" fillId="4" borderId="0" xfId="0" applyNumberFormat="1" applyFill="1"/>
    <xf numFmtId="1" fontId="0" fillId="0" borderId="0" xfId="0" applyNumberFormat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6" xfId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6" fillId="0" borderId="83" xfId="1" applyFont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7" borderId="0" xfId="0" applyFill="1" applyBorder="1"/>
    <xf numFmtId="0" fontId="0" fillId="5" borderId="0" xfId="0" applyFill="1" applyBorder="1" applyAlignment="1">
      <alignment horizontal="center" vertical="center" wrapText="1"/>
    </xf>
    <xf numFmtId="172" fontId="0" fillId="21" borderId="0" xfId="0" applyNumberFormat="1" applyFill="1" applyBorder="1" applyAlignment="1">
      <alignment horizontal="center" wrapText="1"/>
    </xf>
    <xf numFmtId="171" fontId="0" fillId="0" borderId="0" xfId="0" applyNumberFormat="1" applyBorder="1" applyAlignment="1">
      <alignment horizontal="center" vertical="center" wrapText="1"/>
    </xf>
    <xf numFmtId="171" fontId="0" fillId="21" borderId="0" xfId="0" applyNumberFormat="1" applyFill="1" applyBorder="1"/>
    <xf numFmtId="0" fontId="4" fillId="0" borderId="30" xfId="1" applyFont="1" applyBorder="1"/>
    <xf numFmtId="0" fontId="4" fillId="0" borderId="31" xfId="1" applyFont="1" applyBorder="1" applyAlignment="1">
      <alignment horizontal="center" vertical="center"/>
    </xf>
    <xf numFmtId="172" fontId="4" fillId="0" borderId="31" xfId="1" applyNumberFormat="1" applyFont="1" applyBorder="1" applyAlignment="1">
      <alignment horizontal="center" vertical="center"/>
    </xf>
    <xf numFmtId="166" fontId="4" fillId="0" borderId="6" xfId="1" applyNumberFormat="1" applyFont="1" applyBorder="1" applyAlignment="1">
      <alignment horizontal="center" vertical="center"/>
    </xf>
    <xf numFmtId="166" fontId="4" fillId="0" borderId="6" xfId="1" applyNumberFormat="1" applyFont="1" applyFill="1" applyBorder="1" applyAlignment="1">
      <alignment horizontal="center" vertical="center"/>
    </xf>
    <xf numFmtId="166" fontId="4" fillId="0" borderId="0" xfId="1" applyNumberFormat="1" applyFont="1" applyAlignment="1">
      <alignment horizontal="center" vertical="center"/>
    </xf>
    <xf numFmtId="166" fontId="6" fillId="0" borderId="4" xfId="1" applyNumberFormat="1" applyFont="1" applyBorder="1" applyAlignment="1">
      <alignment horizontal="center" vertical="center" wrapText="1"/>
    </xf>
    <xf numFmtId="166" fontId="4" fillId="0" borderId="9" xfId="1" applyNumberFormat="1" applyFont="1" applyBorder="1" applyAlignment="1">
      <alignment horizontal="center" vertical="center"/>
    </xf>
    <xf numFmtId="166" fontId="4" fillId="0" borderId="22" xfId="1" applyNumberFormat="1" applyFont="1" applyBorder="1" applyAlignment="1">
      <alignment horizontal="center" vertical="center"/>
    </xf>
    <xf numFmtId="166" fontId="4" fillId="0" borderId="0" xfId="1" applyNumberFormat="1" applyFont="1" applyBorder="1" applyAlignment="1">
      <alignment horizontal="center" vertical="center"/>
    </xf>
    <xf numFmtId="166" fontId="4" fillId="0" borderId="9" xfId="1" applyNumberFormat="1" applyFont="1" applyFill="1" applyBorder="1" applyAlignment="1">
      <alignment horizontal="center" vertical="center"/>
    </xf>
    <xf numFmtId="166" fontId="4" fillId="0" borderId="32" xfId="1" applyNumberFormat="1" applyFont="1" applyBorder="1" applyAlignment="1">
      <alignment horizontal="center" vertical="center"/>
    </xf>
    <xf numFmtId="166" fontId="4" fillId="0" borderId="0" xfId="1" applyNumberFormat="1" applyFont="1"/>
    <xf numFmtId="0" fontId="6" fillId="0" borderId="6" xfId="1" applyFont="1" applyBorder="1" applyAlignment="1">
      <alignment horizontal="center" vertical="center"/>
    </xf>
    <xf numFmtId="171" fontId="6" fillId="10" borderId="33" xfId="1" applyNumberFormat="1" applyFont="1" applyFill="1" applyBorder="1" applyAlignment="1">
      <alignment vertical="center"/>
    </xf>
    <xf numFmtId="171" fontId="6" fillId="6" borderId="35" xfId="1" applyNumberFormat="1" applyFont="1" applyFill="1" applyBorder="1" applyAlignment="1">
      <alignment vertical="center"/>
    </xf>
    <xf numFmtId="171" fontId="6" fillId="12" borderId="36" xfId="1" applyNumberFormat="1" applyFont="1" applyFill="1" applyBorder="1" applyAlignment="1">
      <alignment vertical="center"/>
    </xf>
    <xf numFmtId="170" fontId="4" fillId="0" borderId="0" xfId="1" applyNumberFormat="1" applyFont="1" applyFill="1" applyAlignment="1">
      <alignment horizontal="center" vertical="center"/>
    </xf>
    <xf numFmtId="170" fontId="6" fillId="0" borderId="3" xfId="1" applyNumberFormat="1" applyFont="1" applyFill="1" applyBorder="1" applyAlignment="1">
      <alignment horizontal="center" vertical="center" wrapText="1"/>
    </xf>
    <xf numFmtId="170" fontId="4" fillId="0" borderId="8" xfId="1" applyNumberFormat="1" applyFont="1" applyFill="1" applyBorder="1" applyAlignment="1">
      <alignment horizontal="center" vertical="center"/>
    </xf>
    <xf numFmtId="170" fontId="4" fillId="0" borderId="31" xfId="1" applyNumberFormat="1" applyFont="1" applyFill="1" applyBorder="1" applyAlignment="1">
      <alignment horizontal="center" vertical="center"/>
    </xf>
    <xf numFmtId="170" fontId="4" fillId="0" borderId="0" xfId="1" applyNumberFormat="1" applyFont="1"/>
    <xf numFmtId="171" fontId="4" fillId="0" borderId="13" xfId="1" applyNumberFormat="1" applyFont="1" applyBorder="1" applyAlignment="1">
      <alignment horizontal="center" vertical="center"/>
    </xf>
    <xf numFmtId="171" fontId="4" fillId="0" borderId="11" xfId="1" applyNumberFormat="1" applyFont="1" applyBorder="1" applyAlignment="1">
      <alignment horizontal="center" vertical="center"/>
    </xf>
    <xf numFmtId="166" fontId="4" fillId="0" borderId="12" xfId="1" applyNumberFormat="1" applyFont="1" applyBorder="1" applyAlignment="1">
      <alignment horizontal="center" vertical="center"/>
    </xf>
    <xf numFmtId="182" fontId="4" fillId="0" borderId="6" xfId="4" applyNumberFormat="1" applyFont="1" applyFill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171" fontId="7" fillId="0" borderId="11" xfId="1" applyNumberFormat="1" applyFont="1" applyBorder="1" applyAlignment="1">
      <alignment horizontal="center" vertical="center"/>
    </xf>
    <xf numFmtId="166" fontId="7" fillId="0" borderId="12" xfId="1" applyNumberFormat="1" applyFont="1" applyBorder="1" applyAlignment="1">
      <alignment horizontal="center" vertical="center"/>
    </xf>
    <xf numFmtId="165" fontId="7" fillId="14" borderId="39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10" fillId="0" borderId="70" xfId="5" applyNumberFormat="1" applyFont="1" applyFill="1" applyBorder="1" applyAlignment="1" applyProtection="1"/>
    <xf numFmtId="0" fontId="12" fillId="0" borderId="49" xfId="1" applyNumberFormat="1" applyFont="1" applyFill="1" applyBorder="1" applyAlignment="1" applyProtection="1"/>
    <xf numFmtId="178" fontId="12" fillId="19" borderId="46" xfId="1" applyNumberFormat="1" applyFont="1" applyFill="1" applyBorder="1" applyAlignment="1" applyProtection="1"/>
    <xf numFmtId="177" fontId="12" fillId="19" borderId="47" xfId="1" applyNumberFormat="1" applyFont="1" applyFill="1" applyBorder="1" applyAlignment="1" applyProtection="1"/>
    <xf numFmtId="175" fontId="12" fillId="19" borderId="46" xfId="1" applyNumberFormat="1" applyFont="1" applyFill="1" applyBorder="1" applyAlignment="1" applyProtection="1"/>
    <xf numFmtId="2" fontId="12" fillId="0" borderId="14" xfId="1" applyNumberFormat="1" applyFont="1" applyFill="1" applyBorder="1" applyAlignment="1" applyProtection="1"/>
    <xf numFmtId="171" fontId="12" fillId="0" borderId="14" xfId="1" applyNumberFormat="1" applyFont="1" applyFill="1" applyBorder="1" applyAlignment="1" applyProtection="1"/>
    <xf numFmtId="178" fontId="12" fillId="19" borderId="14" xfId="1" applyNumberFormat="1" applyFont="1" applyFill="1" applyBorder="1" applyAlignment="1" applyProtection="1"/>
    <xf numFmtId="0" fontId="12" fillId="0" borderId="51" xfId="1" applyNumberFormat="1" applyFont="1" applyFill="1" applyBorder="1" applyAlignment="1" applyProtection="1">
      <alignment horizontal="left" vertical="center"/>
    </xf>
    <xf numFmtId="2" fontId="12" fillId="0" borderId="69" xfId="1" applyNumberFormat="1" applyFont="1" applyFill="1" applyBorder="1" applyAlignment="1" applyProtection="1">
      <alignment horizontal="right" vertical="center"/>
    </xf>
    <xf numFmtId="2" fontId="12" fillId="0" borderId="52" xfId="1" applyNumberFormat="1" applyFont="1" applyFill="1" applyBorder="1" applyAlignment="1" applyProtection="1">
      <alignment horizontal="right" vertical="center"/>
    </xf>
    <xf numFmtId="0" fontId="12" fillId="0" borderId="31" xfId="1" applyNumberFormat="1" applyFont="1" applyFill="1" applyBorder="1" applyAlignment="1" applyProtection="1"/>
    <xf numFmtId="177" fontId="12" fillId="0" borderId="32" xfId="1" applyNumberFormat="1" applyFont="1" applyFill="1" applyBorder="1" applyAlignment="1" applyProtection="1"/>
    <xf numFmtId="177" fontId="12" fillId="0" borderId="53" xfId="1" applyNumberFormat="1" applyFont="1" applyFill="1" applyBorder="1" applyAlignment="1" applyProtection="1"/>
    <xf numFmtId="178" fontId="12" fillId="0" borderId="53" xfId="1" applyNumberFormat="1" applyFont="1" applyFill="1" applyBorder="1" applyAlignment="1" applyProtection="1"/>
    <xf numFmtId="175" fontId="12" fillId="0" borderId="31" xfId="1" applyNumberFormat="1" applyFont="1" applyFill="1" applyBorder="1" applyAlignment="1" applyProtection="1"/>
    <xf numFmtId="176" fontId="12" fillId="0" borderId="31" xfId="1" applyNumberFormat="1" applyFont="1" applyFill="1" applyBorder="1" applyAlignment="1" applyProtection="1"/>
    <xf numFmtId="178" fontId="12" fillId="0" borderId="31" xfId="1" applyNumberFormat="1" applyFont="1" applyFill="1" applyBorder="1" applyAlignment="1" applyProtection="1"/>
    <xf numFmtId="178" fontId="12" fillId="0" borderId="32" xfId="1" applyNumberFormat="1" applyFont="1" applyFill="1" applyBorder="1" applyAlignment="1" applyProtection="1"/>
    <xf numFmtId="175" fontId="10" fillId="17" borderId="86" xfId="1" applyNumberFormat="1" applyFont="1" applyFill="1" applyBorder="1" applyAlignment="1" applyProtection="1"/>
    <xf numFmtId="176" fontId="10" fillId="17" borderId="86" xfId="1" applyNumberFormat="1" applyFont="1" applyFill="1" applyBorder="1" applyAlignment="1" applyProtection="1"/>
    <xf numFmtId="176" fontId="10" fillId="17" borderId="52" xfId="1" applyNumberFormat="1" applyFont="1" applyFill="1" applyBorder="1" applyAlignment="1" applyProtection="1"/>
    <xf numFmtId="0" fontId="10" fillId="0" borderId="51" xfId="1" applyFont="1" applyFill="1" applyBorder="1"/>
    <xf numFmtId="2" fontId="10" fillId="0" borderId="42" xfId="1" applyNumberFormat="1" applyFont="1" applyFill="1" applyBorder="1"/>
    <xf numFmtId="176" fontId="10" fillId="0" borderId="52" xfId="1" applyNumberFormat="1" applyFont="1" applyFill="1" applyBorder="1"/>
    <xf numFmtId="175" fontId="10" fillId="0" borderId="42" xfId="1" applyNumberFormat="1" applyFont="1" applyFill="1" applyBorder="1"/>
    <xf numFmtId="171" fontId="10" fillId="0" borderId="53" xfId="1" applyNumberFormat="1" applyFont="1" applyFill="1" applyBorder="1"/>
    <xf numFmtId="175" fontId="10" fillId="0" borderId="86" xfId="1" applyNumberFormat="1" applyFont="1" applyFill="1" applyBorder="1" applyAlignment="1" applyProtection="1"/>
    <xf numFmtId="175" fontId="10" fillId="0" borderId="43" xfId="1" applyNumberFormat="1" applyFont="1" applyFill="1" applyBorder="1" applyAlignment="1" applyProtection="1"/>
    <xf numFmtId="176" fontId="10" fillId="0" borderId="43" xfId="1" applyNumberFormat="1" applyFont="1" applyFill="1" applyBorder="1" applyAlignment="1" applyProtection="1"/>
    <xf numFmtId="175" fontId="10" fillId="17" borderId="43" xfId="1" applyNumberFormat="1" applyFont="1" applyFill="1" applyBorder="1" applyAlignment="1" applyProtection="1"/>
    <xf numFmtId="178" fontId="10" fillId="0" borderId="44" xfId="1" applyNumberFormat="1" applyFont="1" applyFill="1" applyBorder="1" applyAlignment="1" applyProtection="1"/>
    <xf numFmtId="2" fontId="10" fillId="0" borderId="52" xfId="1" applyNumberFormat="1" applyFont="1" applyFill="1" applyBorder="1"/>
    <xf numFmtId="175" fontId="10" fillId="0" borderId="52" xfId="1" applyNumberFormat="1" applyFont="1" applyFill="1" applyBorder="1"/>
    <xf numFmtId="175" fontId="10" fillId="0" borderId="55" xfId="1" applyNumberFormat="1" applyFont="1" applyFill="1" applyBorder="1" applyAlignment="1" applyProtection="1"/>
    <xf numFmtId="176" fontId="10" fillId="0" borderId="56" xfId="1" applyNumberFormat="1" applyFont="1" applyFill="1" applyBorder="1" applyAlignment="1" applyProtection="1"/>
    <xf numFmtId="175" fontId="12" fillId="19" borderId="43" xfId="1" applyNumberFormat="1" applyFont="1" applyFill="1" applyBorder="1" applyAlignment="1" applyProtection="1"/>
    <xf numFmtId="176" fontId="12" fillId="19" borderId="44" xfId="1" applyNumberFormat="1" applyFont="1" applyFill="1" applyBorder="1" applyAlignment="1" applyProtection="1"/>
    <xf numFmtId="176" fontId="14" fillId="0" borderId="52" xfId="1" applyNumberFormat="1" applyFont="1" applyBorder="1"/>
    <xf numFmtId="176" fontId="12" fillId="0" borderId="56" xfId="1" applyNumberFormat="1" applyFont="1" applyFill="1" applyBorder="1" applyAlignment="1" applyProtection="1"/>
    <xf numFmtId="176" fontId="12" fillId="19" borderId="56" xfId="1" applyNumberFormat="1" applyFont="1" applyFill="1" applyBorder="1" applyAlignment="1" applyProtection="1"/>
    <xf numFmtId="176" fontId="12" fillId="19" borderId="57" xfId="1" applyNumberFormat="1" applyFont="1" applyFill="1" applyBorder="1" applyAlignment="1" applyProtection="1"/>
    <xf numFmtId="165" fontId="4" fillId="10" borderId="4" xfId="1" applyNumberFormat="1" applyFont="1" applyFill="1" applyBorder="1" applyAlignment="1">
      <alignment horizontal="center" vertical="center"/>
    </xf>
    <xf numFmtId="165" fontId="4" fillId="6" borderId="6" xfId="1" applyNumberFormat="1" applyFont="1" applyFill="1" applyBorder="1" applyAlignment="1">
      <alignment horizontal="center" vertical="center"/>
    </xf>
    <xf numFmtId="165" fontId="4" fillId="12" borderId="9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/>
    <xf numFmtId="0" fontId="0" fillId="0" borderId="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167" fontId="0" fillId="20" borderId="6" xfId="0" applyNumberFormat="1" applyFill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8" fontId="0" fillId="20" borderId="6" xfId="0" applyNumberFormat="1" applyFill="1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167" fontId="0" fillId="20" borderId="9" xfId="0" applyNumberFormat="1" applyFill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8" fontId="0" fillId="20" borderId="9" xfId="0" applyNumberFormat="1" applyFill="1" applyBorder="1" applyAlignment="1">
      <alignment horizontal="center" vertical="center"/>
    </xf>
    <xf numFmtId="0" fontId="0" fillId="2" borderId="17" xfId="0" applyFill="1" applyBorder="1"/>
    <xf numFmtId="0" fontId="0" fillId="2" borderId="5" xfId="0" applyFill="1" applyBorder="1"/>
    <xf numFmtId="0" fontId="0" fillId="2" borderId="7" xfId="0" applyFill="1" applyBorder="1"/>
    <xf numFmtId="177" fontId="12" fillId="19" borderId="44" xfId="1" applyNumberFormat="1" applyFont="1" applyFill="1" applyBorder="1" applyAlignment="1" applyProtection="1"/>
    <xf numFmtId="177" fontId="12" fillId="19" borderId="57" xfId="1" applyNumberFormat="1" applyFont="1" applyFill="1" applyBorder="1" applyAlignment="1" applyProtection="1"/>
    <xf numFmtId="0" fontId="12" fillId="0" borderId="48" xfId="1" applyNumberFormat="1" applyFont="1" applyFill="1" applyBorder="1" applyAlignment="1" applyProtection="1"/>
    <xf numFmtId="178" fontId="12" fillId="0" borderId="49" xfId="1" applyNumberFormat="1" applyFont="1" applyFill="1" applyBorder="1" applyAlignment="1" applyProtection="1"/>
    <xf numFmtId="176" fontId="12" fillId="0" borderId="49" xfId="1" applyNumberFormat="1" applyFont="1" applyFill="1" applyBorder="1" applyAlignment="1" applyProtection="1"/>
    <xf numFmtId="178" fontId="12" fillId="0" borderId="50" xfId="1" applyNumberFormat="1" applyFont="1" applyFill="1" applyBorder="1" applyAlignment="1" applyProtection="1"/>
    <xf numFmtId="175" fontId="12" fillId="0" borderId="32" xfId="1" applyNumberFormat="1" applyFont="1" applyFill="1" applyBorder="1" applyAlignment="1" applyProtection="1"/>
    <xf numFmtId="2" fontId="12" fillId="0" borderId="69" xfId="1" applyNumberFormat="1" applyFont="1" applyFill="1" applyBorder="1" applyAlignment="1" applyProtection="1"/>
    <xf numFmtId="0" fontId="12" fillId="0" borderId="54" xfId="1" applyNumberFormat="1" applyFont="1" applyFill="1" applyBorder="1" applyAlignment="1" applyProtection="1">
      <alignment vertical="center"/>
    </xf>
    <xf numFmtId="0" fontId="12" fillId="0" borderId="65" xfId="1" applyNumberFormat="1" applyFont="1" applyFill="1" applyBorder="1" applyAlignment="1" applyProtection="1">
      <alignment vertical="center"/>
    </xf>
    <xf numFmtId="171" fontId="12" fillId="0" borderId="56" xfId="1" applyNumberFormat="1" applyFont="1" applyFill="1" applyBorder="1" applyAlignment="1" applyProtection="1"/>
    <xf numFmtId="176" fontId="12" fillId="0" borderId="53" xfId="1" applyNumberFormat="1" applyFont="1" applyFill="1" applyBorder="1" applyAlignment="1" applyProtection="1"/>
    <xf numFmtId="177" fontId="12" fillId="0" borderId="49" xfId="1" applyNumberFormat="1" applyFont="1" applyFill="1" applyBorder="1" applyAlignment="1" applyProtection="1"/>
    <xf numFmtId="169" fontId="3" fillId="0" borderId="0" xfId="1" applyNumberFormat="1"/>
    <xf numFmtId="169" fontId="10" fillId="0" borderId="0" xfId="1" applyNumberFormat="1" applyFont="1" applyFill="1" applyBorder="1" applyAlignment="1" applyProtection="1"/>
    <xf numFmtId="169" fontId="10" fillId="17" borderId="43" xfId="1" applyNumberFormat="1" applyFont="1" applyFill="1" applyBorder="1" applyAlignment="1" applyProtection="1"/>
    <xf numFmtId="169" fontId="10" fillId="17" borderId="52" xfId="1" applyNumberFormat="1" applyFont="1" applyFill="1" applyBorder="1" applyAlignment="1" applyProtection="1"/>
    <xf numFmtId="169" fontId="10" fillId="0" borderId="52" xfId="1" applyNumberFormat="1" applyFont="1" applyFill="1" applyBorder="1"/>
    <xf numFmtId="169" fontId="10" fillId="0" borderId="56" xfId="1" applyNumberFormat="1" applyFont="1" applyFill="1" applyBorder="1" applyAlignment="1" applyProtection="1"/>
    <xf numFmtId="169" fontId="10" fillId="0" borderId="86" xfId="1" applyNumberFormat="1" applyFont="1" applyFill="1" applyBorder="1" applyAlignment="1" applyProtection="1"/>
    <xf numFmtId="169" fontId="10" fillId="0" borderId="42" xfId="1" applyNumberFormat="1" applyFont="1" applyFill="1" applyBorder="1" applyAlignment="1" applyProtection="1"/>
    <xf numFmtId="169" fontId="10" fillId="0" borderId="55" xfId="1" applyNumberFormat="1" applyFont="1" applyFill="1" applyBorder="1" applyAlignment="1" applyProtection="1"/>
    <xf numFmtId="169" fontId="10" fillId="0" borderId="52" xfId="1" applyNumberFormat="1" applyFont="1" applyFill="1" applyBorder="1" applyAlignment="1" applyProtection="1"/>
    <xf numFmtId="169" fontId="10" fillId="0" borderId="43" xfId="1" applyNumberFormat="1" applyFont="1" applyFill="1" applyBorder="1" applyAlignment="1" applyProtection="1"/>
    <xf numFmtId="169" fontId="10" fillId="0" borderId="70" xfId="1" applyNumberFormat="1" applyFont="1" applyFill="1" applyBorder="1" applyAlignment="1" applyProtection="1"/>
    <xf numFmtId="169" fontId="10" fillId="0" borderId="73" xfId="1" applyNumberFormat="1" applyFont="1" applyFill="1" applyBorder="1" applyAlignment="1" applyProtection="1"/>
    <xf numFmtId="169" fontId="10" fillId="2" borderId="0" xfId="1" applyNumberFormat="1" applyFont="1" applyFill="1" applyBorder="1" applyAlignment="1" applyProtection="1"/>
    <xf numFmtId="169" fontId="3" fillId="2" borderId="0" xfId="1" applyNumberFormat="1" applyFill="1"/>
    <xf numFmtId="169" fontId="12" fillId="0" borderId="0" xfId="1" applyNumberFormat="1" applyFont="1" applyFill="1" applyBorder="1" applyAlignment="1" applyProtection="1"/>
    <xf numFmtId="169" fontId="12" fillId="19" borderId="43" xfId="1" applyNumberFormat="1" applyFont="1" applyFill="1" applyBorder="1" applyAlignment="1" applyProtection="1"/>
    <xf numFmtId="169" fontId="12" fillId="19" borderId="52" xfId="1" applyNumberFormat="1" applyFont="1" applyFill="1" applyBorder="1" applyAlignment="1" applyProtection="1"/>
    <xf numFmtId="169" fontId="12" fillId="19" borderId="56" xfId="1" applyNumberFormat="1" applyFont="1" applyFill="1" applyBorder="1" applyAlignment="1" applyProtection="1"/>
    <xf numFmtId="169" fontId="12" fillId="0" borderId="31" xfId="1" applyNumberFormat="1" applyFont="1" applyFill="1" applyBorder="1" applyAlignment="1" applyProtection="1"/>
    <xf numFmtId="169" fontId="12" fillId="0" borderId="52" xfId="1" applyNumberFormat="1" applyFont="1" applyFill="1" applyBorder="1" applyAlignment="1" applyProtection="1"/>
    <xf numFmtId="169" fontId="12" fillId="0" borderId="56" xfId="1" applyNumberFormat="1" applyFont="1" applyFill="1" applyBorder="1" applyAlignment="1" applyProtection="1"/>
    <xf numFmtId="169" fontId="12" fillId="0" borderId="43" xfId="1" applyNumberFormat="1" applyFont="1" applyFill="1" applyBorder="1" applyAlignment="1" applyProtection="1"/>
    <xf numFmtId="169" fontId="12" fillId="0" borderId="70" xfId="1" applyNumberFormat="1" applyFont="1" applyFill="1" applyBorder="1" applyAlignment="1" applyProtection="1"/>
    <xf numFmtId="169" fontId="12" fillId="0" borderId="73" xfId="1" applyNumberFormat="1" applyFont="1" applyFill="1" applyBorder="1" applyAlignment="1" applyProtection="1"/>
    <xf numFmtId="169" fontId="12" fillId="0" borderId="49" xfId="1" applyNumberFormat="1" applyFont="1" applyFill="1" applyBorder="1" applyAlignment="1" applyProtection="1"/>
    <xf numFmtId="169" fontId="14" fillId="2" borderId="0" xfId="1" applyNumberFormat="1" applyFont="1" applyFill="1"/>
    <xf numFmtId="169" fontId="12" fillId="0" borderId="1" xfId="1" applyNumberFormat="1" applyFont="1" applyFill="1" applyBorder="1" applyAlignment="1" applyProtection="1"/>
    <xf numFmtId="169" fontId="12" fillId="19" borderId="46" xfId="1" applyNumberFormat="1" applyFont="1" applyFill="1" applyBorder="1" applyAlignment="1" applyProtection="1"/>
    <xf numFmtId="169" fontId="12" fillId="19" borderId="14" xfId="1" applyNumberFormat="1" applyFont="1" applyFill="1" applyBorder="1" applyAlignment="1" applyProtection="1"/>
    <xf numFmtId="169" fontId="10" fillId="0" borderId="58" xfId="1" applyNumberFormat="1" applyFont="1" applyFill="1" applyBorder="1" applyAlignment="1" applyProtection="1"/>
    <xf numFmtId="169" fontId="10" fillId="0" borderId="31" xfId="1" applyNumberFormat="1" applyFont="1" applyFill="1" applyBorder="1" applyAlignment="1" applyProtection="1"/>
    <xf numFmtId="169" fontId="10" fillId="0" borderId="1" xfId="1" applyNumberFormat="1" applyFont="1" applyFill="1" applyBorder="1" applyAlignment="1" applyProtection="1"/>
    <xf numFmtId="0" fontId="12" fillId="0" borderId="54" xfId="1" applyNumberFormat="1" applyFont="1" applyFill="1" applyBorder="1" applyAlignment="1" applyProtection="1">
      <alignment horizontal="left" vertical="center"/>
    </xf>
    <xf numFmtId="2" fontId="12" fillId="0" borderId="65" xfId="1" applyNumberFormat="1" applyFont="1" applyFill="1" applyBorder="1" applyAlignment="1" applyProtection="1">
      <alignment horizontal="right" vertical="center"/>
    </xf>
    <xf numFmtId="178" fontId="12" fillId="19" borderId="43" xfId="1" applyNumberFormat="1" applyFont="1" applyFill="1" applyBorder="1" applyAlignment="1" applyProtection="1"/>
    <xf numFmtId="178" fontId="12" fillId="19" borderId="56" xfId="1" applyNumberFormat="1" applyFont="1" applyFill="1" applyBorder="1" applyAlignment="1" applyProtection="1"/>
    <xf numFmtId="0" fontId="12" fillId="0" borderId="17" xfId="1" applyNumberFormat="1" applyFont="1" applyFill="1" applyBorder="1" applyAlignment="1" applyProtection="1"/>
    <xf numFmtId="177" fontId="12" fillId="19" borderId="18" xfId="1" applyNumberFormat="1" applyFont="1" applyFill="1" applyBorder="1" applyAlignment="1" applyProtection="1"/>
    <xf numFmtId="0" fontId="0" fillId="0" borderId="0" xfId="0" applyAlignment="1">
      <alignment horizontal="center" vertical="center"/>
    </xf>
    <xf numFmtId="0" fontId="10" fillId="0" borderId="51" xfId="1" applyNumberFormat="1" applyFont="1" applyFill="1" applyBorder="1" applyAlignment="1" applyProtection="1">
      <alignment wrapText="1"/>
    </xf>
    <xf numFmtId="178" fontId="10" fillId="0" borderId="18" xfId="1" applyNumberFormat="1" applyFont="1" applyFill="1" applyBorder="1" applyAlignment="1" applyProtection="1"/>
    <xf numFmtId="175" fontId="10" fillId="0" borderId="56" xfId="1" applyNumberFormat="1" applyFont="1" applyFill="1" applyBorder="1" applyAlignment="1" applyProtection="1"/>
    <xf numFmtId="169" fontId="10" fillId="0" borderId="56" xfId="1" applyNumberFormat="1" applyFont="1" applyFill="1" applyBorder="1"/>
    <xf numFmtId="176" fontId="10" fillId="17" borderId="55" xfId="1" applyNumberFormat="1" applyFont="1" applyFill="1" applyBorder="1" applyAlignment="1" applyProtection="1"/>
    <xf numFmtId="171" fontId="10" fillId="0" borderId="57" xfId="1" applyNumberFormat="1" applyFont="1" applyFill="1" applyBorder="1"/>
    <xf numFmtId="175" fontId="10" fillId="0" borderId="88" xfId="1" applyNumberFormat="1" applyFont="1" applyFill="1" applyBorder="1" applyAlignment="1" applyProtection="1"/>
    <xf numFmtId="175" fontId="10" fillId="0" borderId="14" xfId="1" applyNumberFormat="1" applyFont="1" applyFill="1" applyBorder="1" applyAlignment="1" applyProtection="1"/>
    <xf numFmtId="169" fontId="10" fillId="0" borderId="14" xfId="1" applyNumberFormat="1" applyFont="1" applyFill="1" applyBorder="1"/>
    <xf numFmtId="176" fontId="10" fillId="17" borderId="88" xfId="1" applyNumberFormat="1" applyFont="1" applyFill="1" applyBorder="1" applyAlignment="1" applyProtection="1"/>
    <xf numFmtId="175" fontId="12" fillId="19" borderId="56" xfId="1" applyNumberFormat="1" applyFont="1" applyFill="1" applyBorder="1" applyAlignment="1" applyProtection="1"/>
    <xf numFmtId="175" fontId="12" fillId="0" borderId="50" xfId="1" applyNumberFormat="1" applyFont="1" applyFill="1" applyBorder="1" applyAlignment="1" applyProtection="1"/>
    <xf numFmtId="171" fontId="10" fillId="0" borderId="18" xfId="1" applyNumberFormat="1" applyFont="1" applyFill="1" applyBorder="1"/>
    <xf numFmtId="174" fontId="0" fillId="0" borderId="0" xfId="0" applyNumberFormat="1"/>
    <xf numFmtId="174" fontId="0" fillId="0" borderId="1" xfId="0" applyNumberFormat="1" applyBorder="1" applyAlignment="1">
      <alignment horizontal="center" vertical="center"/>
    </xf>
    <xf numFmtId="174" fontId="0" fillId="0" borderId="0" xfId="0" applyNumberFormat="1" applyBorder="1" applyAlignment="1">
      <alignment horizontal="center" vertical="center"/>
    </xf>
    <xf numFmtId="0" fontId="0" fillId="8" borderId="58" xfId="0" applyFill="1" applyBorder="1"/>
    <xf numFmtId="174" fontId="0" fillId="0" borderId="1" xfId="0" applyNumberFormat="1" applyFill="1" applyBorder="1" applyAlignment="1">
      <alignment horizontal="center" vertical="center"/>
    </xf>
    <xf numFmtId="0" fontId="0" fillId="8" borderId="0" xfId="0" applyFill="1"/>
    <xf numFmtId="0" fontId="0" fillId="26" borderId="0" xfId="0" applyFill="1"/>
    <xf numFmtId="0" fontId="0" fillId="27" borderId="0" xfId="0" applyFill="1"/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0" borderId="96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183" fontId="0" fillId="0" borderId="1" xfId="3" applyNumberFormat="1" applyFont="1" applyBorder="1" applyAlignment="1">
      <alignment horizontal="center" vertical="center"/>
    </xf>
    <xf numFmtId="164" fontId="0" fillId="0" borderId="1" xfId="3" applyFont="1" applyBorder="1" applyAlignment="1">
      <alignment horizontal="center" vertical="center"/>
    </xf>
    <xf numFmtId="183" fontId="0" fillId="2" borderId="1" xfId="3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184" fontId="0" fillId="0" borderId="1" xfId="3" applyNumberFormat="1" applyFont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5" borderId="38" xfId="0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185" fontId="0" fillId="0" borderId="1" xfId="3" applyNumberFormat="1" applyFon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3" fillId="0" borderId="27" xfId="1" applyBorder="1" applyAlignment="1">
      <alignment horizontal="center" vertical="center"/>
    </xf>
    <xf numFmtId="0" fontId="3" fillId="0" borderId="28" xfId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0" fillId="6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20" borderId="19" xfId="0" applyFill="1" applyBorder="1" applyAlignment="1">
      <alignment horizontal="center"/>
    </xf>
    <xf numFmtId="0" fontId="0" fillId="20" borderId="20" xfId="0" applyFill="1" applyBorder="1" applyAlignment="1">
      <alignment horizontal="center"/>
    </xf>
    <xf numFmtId="0" fontId="0" fillId="20" borderId="19" xfId="0" applyFill="1" applyBorder="1" applyAlignment="1">
      <alignment horizontal="center" vertical="center" wrapText="1"/>
    </xf>
    <xf numFmtId="0" fontId="0" fillId="20" borderId="20" xfId="0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20" borderId="10" xfId="0" applyFill="1" applyBorder="1" applyAlignment="1">
      <alignment horizontal="center" wrapText="1"/>
    </xf>
    <xf numFmtId="0" fontId="0" fillId="20" borderId="11" xfId="0" applyFill="1" applyBorder="1" applyAlignment="1">
      <alignment horizontal="center" wrapText="1"/>
    </xf>
    <xf numFmtId="0" fontId="0" fillId="20" borderId="12" xfId="0" applyFill="1" applyBorder="1" applyAlignment="1">
      <alignment horizontal="center" wrapText="1"/>
    </xf>
    <xf numFmtId="0" fontId="0" fillId="5" borderId="10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75" xfId="0" applyFill="1" applyBorder="1" applyAlignment="1">
      <alignment horizontal="center" vertical="center" wrapText="1"/>
    </xf>
    <xf numFmtId="0" fontId="0" fillId="5" borderId="76" xfId="0" applyFill="1" applyBorder="1" applyAlignment="1">
      <alignment horizontal="center" vertical="center" wrapText="1"/>
    </xf>
    <xf numFmtId="172" fontId="0" fillId="21" borderId="10" xfId="0" applyNumberFormat="1" applyFill="1" applyBorder="1" applyAlignment="1">
      <alignment horizontal="center" wrapText="1"/>
    </xf>
    <xf numFmtId="172" fontId="0" fillId="21" borderId="11" xfId="0" applyNumberFormat="1" applyFill="1" applyBorder="1" applyAlignment="1">
      <alignment horizontal="center" wrapText="1"/>
    </xf>
    <xf numFmtId="172" fontId="0" fillId="21" borderId="12" xfId="0" applyNumberFormat="1" applyFill="1" applyBorder="1" applyAlignment="1">
      <alignment horizontal="center" wrapText="1"/>
    </xf>
    <xf numFmtId="172" fontId="0" fillId="0" borderId="2" xfId="0" applyNumberFormat="1" applyBorder="1" applyAlignment="1">
      <alignment horizontal="center" vertical="center"/>
    </xf>
    <xf numFmtId="172" fontId="0" fillId="0" borderId="5" xfId="0" applyNumberFormat="1" applyBorder="1" applyAlignment="1">
      <alignment horizontal="center" vertical="center"/>
    </xf>
    <xf numFmtId="170" fontId="0" fillId="0" borderId="3" xfId="0" applyNumberFormat="1" applyBorder="1" applyAlignment="1">
      <alignment horizontal="center" vertical="center" wrapText="1"/>
    </xf>
    <xf numFmtId="170" fontId="0" fillId="0" borderId="1" xfId="0" applyNumberFormat="1" applyBorder="1" applyAlignment="1">
      <alignment horizontal="center" vertical="center" wrapText="1"/>
    </xf>
    <xf numFmtId="171" fontId="0" fillId="0" borderId="4" xfId="0" applyNumberFormat="1" applyBorder="1" applyAlignment="1">
      <alignment horizontal="center" vertical="center" wrapText="1"/>
    </xf>
    <xf numFmtId="171" fontId="0" fillId="0" borderId="6" xfId="0" applyNumberFormat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 wrapText="1"/>
    </xf>
    <xf numFmtId="0" fontId="0" fillId="10" borderId="20" xfId="0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20" borderId="10" xfId="0" applyFill="1" applyBorder="1" applyAlignment="1">
      <alignment horizontal="center" vertical="center" wrapText="1"/>
    </xf>
    <xf numFmtId="0" fontId="0" fillId="20" borderId="11" xfId="0" applyFill="1" applyBorder="1" applyAlignment="1">
      <alignment horizontal="center" vertical="center" wrapText="1"/>
    </xf>
    <xf numFmtId="0" fontId="0" fillId="20" borderId="12" xfId="0" applyFill="1" applyBorder="1" applyAlignment="1">
      <alignment horizontal="center" vertical="center" wrapText="1"/>
    </xf>
    <xf numFmtId="0" fontId="0" fillId="20" borderId="19" xfId="0" applyFill="1" applyBorder="1" applyAlignment="1">
      <alignment horizontal="center" vertical="center"/>
    </xf>
    <xf numFmtId="0" fontId="0" fillId="20" borderId="20" xfId="0" applyFill="1" applyBorder="1" applyAlignment="1">
      <alignment horizontal="center" vertical="center"/>
    </xf>
    <xf numFmtId="0" fontId="0" fillId="0" borderId="75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6" fillId="2" borderId="10" xfId="1" applyFont="1" applyFill="1" applyBorder="1" applyAlignment="1">
      <alignment horizontal="center"/>
    </xf>
    <xf numFmtId="0" fontId="6" fillId="2" borderId="11" xfId="1" applyFont="1" applyFill="1" applyBorder="1" applyAlignment="1">
      <alignment horizontal="center"/>
    </xf>
    <xf numFmtId="0" fontId="6" fillId="2" borderId="12" xfId="1" applyFont="1" applyFill="1" applyBorder="1" applyAlignment="1">
      <alignment horizontal="center"/>
    </xf>
    <xf numFmtId="0" fontId="6" fillId="2" borderId="10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center" vertical="center"/>
    </xf>
    <xf numFmtId="171" fontId="6" fillId="6" borderId="35" xfId="1" applyNumberFormat="1" applyFont="1" applyFill="1" applyBorder="1" applyAlignment="1">
      <alignment horizontal="center" vertical="center"/>
    </xf>
    <xf numFmtId="171" fontId="6" fillId="6" borderId="28" xfId="1" applyNumberFormat="1" applyFont="1" applyFill="1" applyBorder="1" applyAlignment="1">
      <alignment horizontal="center" vertical="center"/>
    </xf>
    <xf numFmtId="171" fontId="6" fillId="12" borderId="36" xfId="1" applyNumberFormat="1" applyFont="1" applyFill="1" applyBorder="1" applyAlignment="1">
      <alignment horizontal="center" vertical="center"/>
    </xf>
    <xf numFmtId="171" fontId="6" fillId="12" borderId="37" xfId="1" applyNumberFormat="1" applyFont="1" applyFill="1" applyBorder="1" applyAlignment="1">
      <alignment horizontal="center" vertical="center"/>
    </xf>
    <xf numFmtId="171" fontId="6" fillId="10" borderId="33" xfId="1" applyNumberFormat="1" applyFont="1" applyFill="1" applyBorder="1" applyAlignment="1">
      <alignment horizontal="center" vertical="center"/>
    </xf>
    <xf numFmtId="171" fontId="6" fillId="10" borderId="34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/>
    </xf>
    <xf numFmtId="171" fontId="6" fillId="0" borderId="0" xfId="1" applyNumberFormat="1" applyFont="1" applyFill="1" applyBorder="1" applyAlignment="1">
      <alignment horizontal="center" vertical="center"/>
    </xf>
    <xf numFmtId="171" fontId="6" fillId="12" borderId="36" xfId="1" applyNumberFormat="1" applyFont="1" applyFill="1" applyBorder="1" applyAlignment="1">
      <alignment horizontal="left" vertical="center" wrapText="1"/>
    </xf>
    <xf numFmtId="171" fontId="6" fillId="12" borderId="37" xfId="1" applyNumberFormat="1" applyFont="1" applyFill="1" applyBorder="1" applyAlignment="1">
      <alignment horizontal="left" vertical="center" wrapText="1"/>
    </xf>
    <xf numFmtId="0" fontId="12" fillId="0" borderId="59" xfId="1" applyNumberFormat="1" applyFont="1" applyFill="1" applyBorder="1" applyAlignment="1" applyProtection="1">
      <alignment horizontal="left" vertical="center" wrapText="1"/>
    </xf>
    <xf numFmtId="0" fontId="12" fillId="0" borderId="60" xfId="1" applyNumberFormat="1" applyFont="1" applyFill="1" applyBorder="1" applyAlignment="1" applyProtection="1">
      <alignment horizontal="left" vertical="center" wrapText="1"/>
    </xf>
    <xf numFmtId="0" fontId="12" fillId="0" borderId="61" xfId="1" applyNumberFormat="1" applyFont="1" applyFill="1" applyBorder="1" applyAlignment="1" applyProtection="1">
      <alignment horizontal="left" vertical="center" wrapText="1"/>
    </xf>
    <xf numFmtId="0" fontId="12" fillId="0" borderId="40" xfId="1" applyNumberFormat="1" applyFont="1" applyFill="1" applyBorder="1" applyAlignment="1" applyProtection="1">
      <alignment horizontal="left" vertical="center" wrapText="1"/>
    </xf>
    <xf numFmtId="0" fontId="10" fillId="0" borderId="68" xfId="1" applyNumberFormat="1" applyFont="1" applyFill="1" applyBorder="1" applyAlignment="1" applyProtection="1">
      <alignment horizontal="left"/>
    </xf>
    <xf numFmtId="0" fontId="10" fillId="0" borderId="69" xfId="1" applyNumberFormat="1" applyFont="1" applyFill="1" applyBorder="1" applyAlignment="1" applyProtection="1">
      <alignment horizontal="left"/>
    </xf>
    <xf numFmtId="0" fontId="10" fillId="0" borderId="59" xfId="1" applyNumberFormat="1" applyFont="1" applyFill="1" applyBorder="1" applyAlignment="1" applyProtection="1">
      <alignment horizontal="left"/>
    </xf>
    <xf numFmtId="0" fontId="10" fillId="0" borderId="60" xfId="1" applyNumberFormat="1" applyFont="1" applyFill="1" applyBorder="1" applyAlignment="1" applyProtection="1">
      <alignment horizontal="left"/>
    </xf>
    <xf numFmtId="0" fontId="10" fillId="0" borderId="64" xfId="1" applyNumberFormat="1" applyFont="1" applyFill="1" applyBorder="1" applyAlignment="1" applyProtection="1">
      <alignment horizontal="left"/>
    </xf>
    <xf numFmtId="0" fontId="10" fillId="0" borderId="65" xfId="1" applyNumberFormat="1" applyFont="1" applyFill="1" applyBorder="1" applyAlignment="1" applyProtection="1">
      <alignment horizontal="left"/>
    </xf>
    <xf numFmtId="0" fontId="10" fillId="0" borderId="62" xfId="1" applyNumberFormat="1" applyFont="1" applyFill="1" applyBorder="1" applyAlignment="1" applyProtection="1">
      <alignment horizontal="left"/>
    </xf>
    <xf numFmtId="0" fontId="10" fillId="0" borderId="63" xfId="1" applyNumberFormat="1" applyFont="1" applyFill="1" applyBorder="1" applyAlignment="1" applyProtection="1">
      <alignment horizontal="left"/>
    </xf>
    <xf numFmtId="0" fontId="10" fillId="0" borderId="66" xfId="1" applyNumberFormat="1" applyFont="1" applyFill="1" applyBorder="1" applyAlignment="1" applyProtection="1">
      <alignment horizontal="center"/>
    </xf>
    <xf numFmtId="0" fontId="10" fillId="0" borderId="67" xfId="1" applyNumberFormat="1" applyFont="1" applyFill="1" applyBorder="1" applyAlignment="1" applyProtection="1">
      <alignment horizontal="center"/>
    </xf>
    <xf numFmtId="0" fontId="10" fillId="0" borderId="68" xfId="1" applyNumberFormat="1" applyFont="1" applyFill="1" applyBorder="1" applyAlignment="1" applyProtection="1">
      <alignment horizontal="center"/>
    </xf>
    <xf numFmtId="0" fontId="10" fillId="0" borderId="69" xfId="1" applyNumberFormat="1" applyFont="1" applyFill="1" applyBorder="1" applyAlignment="1" applyProtection="1">
      <alignment horizontal="center"/>
    </xf>
    <xf numFmtId="0" fontId="10" fillId="0" borderId="64" xfId="1" applyNumberFormat="1" applyFont="1" applyFill="1" applyBorder="1" applyAlignment="1" applyProtection="1">
      <alignment horizontal="center"/>
    </xf>
    <xf numFmtId="0" fontId="10" fillId="0" borderId="65" xfId="1" applyNumberFormat="1" applyFont="1" applyFill="1" applyBorder="1" applyAlignment="1" applyProtection="1">
      <alignment horizontal="center"/>
    </xf>
    <xf numFmtId="0" fontId="10" fillId="0" borderId="90" xfId="1" applyNumberFormat="1" applyFont="1" applyFill="1" applyBorder="1" applyAlignment="1" applyProtection="1">
      <alignment horizontal="center" vertical="center"/>
    </xf>
    <xf numFmtId="0" fontId="10" fillId="0" borderId="17" xfId="1" applyNumberFormat="1" applyFont="1" applyFill="1" applyBorder="1" applyAlignment="1" applyProtection="1">
      <alignment horizontal="center" vertical="center"/>
    </xf>
    <xf numFmtId="0" fontId="10" fillId="0" borderId="13" xfId="1" applyNumberFormat="1" applyFont="1" applyFill="1" applyBorder="1" applyAlignment="1" applyProtection="1">
      <alignment horizontal="left" vertical="center"/>
    </xf>
    <xf numFmtId="0" fontId="10" fillId="0" borderId="22" xfId="1" applyNumberFormat="1" applyFont="1" applyFill="1" applyBorder="1" applyAlignment="1" applyProtection="1">
      <alignment horizontal="left" vertical="center"/>
    </xf>
    <xf numFmtId="0" fontId="10" fillId="0" borderId="88" xfId="1" applyNumberFormat="1" applyFont="1" applyFill="1" applyBorder="1" applyAlignment="1" applyProtection="1">
      <alignment horizontal="left" vertical="center"/>
    </xf>
    <xf numFmtId="0" fontId="10" fillId="0" borderId="89" xfId="1" applyNumberFormat="1" applyFont="1" applyFill="1" applyBorder="1" applyAlignment="1" applyProtection="1">
      <alignment horizontal="left" vertical="center"/>
    </xf>
    <xf numFmtId="0" fontId="10" fillId="0" borderId="31" xfId="1" applyNumberFormat="1" applyFont="1" applyFill="1" applyBorder="1" applyAlignment="1" applyProtection="1">
      <alignment horizontal="center" vertical="center" wrapText="1"/>
    </xf>
    <xf numFmtId="0" fontId="10" fillId="0" borderId="14" xfId="1" applyNumberFormat="1" applyFont="1" applyFill="1" applyBorder="1" applyAlignment="1" applyProtection="1">
      <alignment horizontal="center" vertical="center" wrapText="1"/>
    </xf>
    <xf numFmtId="169" fontId="10" fillId="0" borderId="31" xfId="1" applyNumberFormat="1" applyFont="1" applyFill="1" applyBorder="1" applyAlignment="1" applyProtection="1">
      <alignment horizontal="center" vertical="center" wrapText="1"/>
    </xf>
    <xf numFmtId="169" fontId="10" fillId="0" borderId="14" xfId="1" applyNumberFormat="1" applyFont="1" applyFill="1" applyBorder="1" applyAlignment="1" applyProtection="1">
      <alignment horizontal="center" vertical="center" wrapText="1"/>
    </xf>
    <xf numFmtId="0" fontId="10" fillId="0" borderId="32" xfId="1" applyNumberFormat="1" applyFont="1" applyFill="1" applyBorder="1" applyAlignment="1" applyProtection="1">
      <alignment horizontal="center" vertical="center" wrapText="1"/>
    </xf>
    <xf numFmtId="0" fontId="10" fillId="0" borderId="18" xfId="1" applyNumberFormat="1" applyFont="1" applyFill="1" applyBorder="1" applyAlignment="1" applyProtection="1">
      <alignment horizontal="center" vertical="center" wrapText="1"/>
    </xf>
    <xf numFmtId="0" fontId="12" fillId="0" borderId="66" xfId="1" applyNumberFormat="1" applyFont="1" applyFill="1" applyBorder="1" applyAlignment="1" applyProtection="1">
      <alignment horizontal="left"/>
    </xf>
    <xf numFmtId="0" fontId="12" fillId="0" borderId="67" xfId="1" applyNumberFormat="1" applyFont="1" applyFill="1" applyBorder="1" applyAlignment="1" applyProtection="1">
      <alignment horizontal="left"/>
    </xf>
    <xf numFmtId="0" fontId="12" fillId="0" borderId="68" xfId="1" applyNumberFormat="1" applyFont="1" applyFill="1" applyBorder="1" applyAlignment="1" applyProtection="1">
      <alignment horizontal="left"/>
    </xf>
    <xf numFmtId="0" fontId="12" fillId="0" borderId="69" xfId="1" applyNumberFormat="1" applyFont="1" applyFill="1" applyBorder="1" applyAlignment="1" applyProtection="1">
      <alignment horizontal="left"/>
    </xf>
    <xf numFmtId="0" fontId="12" fillId="0" borderId="64" xfId="1" applyNumberFormat="1" applyFont="1" applyFill="1" applyBorder="1" applyAlignment="1" applyProtection="1">
      <alignment horizontal="left"/>
    </xf>
    <xf numFmtId="0" fontId="12" fillId="0" borderId="65" xfId="1" applyNumberFormat="1" applyFont="1" applyFill="1" applyBorder="1" applyAlignment="1" applyProtection="1">
      <alignment horizontal="left"/>
    </xf>
    <xf numFmtId="0" fontId="12" fillId="0" borderId="66" xfId="1" applyNumberFormat="1" applyFont="1" applyFill="1" applyBorder="1" applyAlignment="1" applyProtection="1">
      <alignment horizontal="center"/>
    </xf>
    <xf numFmtId="0" fontId="12" fillId="0" borderId="67" xfId="1" applyNumberFormat="1" applyFont="1" applyFill="1" applyBorder="1" applyAlignment="1" applyProtection="1">
      <alignment horizontal="center"/>
    </xf>
    <xf numFmtId="0" fontId="10" fillId="0" borderId="66" xfId="1" applyNumberFormat="1" applyFont="1" applyFill="1" applyBorder="1" applyAlignment="1" applyProtection="1">
      <alignment horizontal="left"/>
    </xf>
    <xf numFmtId="0" fontId="10" fillId="0" borderId="67" xfId="1" applyNumberFormat="1" applyFont="1" applyFill="1" applyBorder="1" applyAlignment="1" applyProtection="1">
      <alignment horizontal="left"/>
    </xf>
    <xf numFmtId="0" fontId="12" fillId="0" borderId="68" xfId="1" applyNumberFormat="1" applyFont="1" applyFill="1" applyBorder="1" applyAlignment="1" applyProtection="1">
      <alignment horizontal="center"/>
    </xf>
    <xf numFmtId="0" fontId="12" fillId="0" borderId="69" xfId="1" applyNumberFormat="1" applyFont="1" applyFill="1" applyBorder="1" applyAlignment="1" applyProtection="1">
      <alignment horizontal="center"/>
    </xf>
    <xf numFmtId="0" fontId="12" fillId="0" borderId="64" xfId="1" applyNumberFormat="1" applyFont="1" applyFill="1" applyBorder="1" applyAlignment="1" applyProtection="1">
      <alignment horizontal="center"/>
    </xf>
    <xf numFmtId="0" fontId="12" fillId="0" borderId="65" xfId="1" applyNumberFormat="1" applyFont="1" applyFill="1" applyBorder="1" applyAlignment="1" applyProtection="1">
      <alignment horizontal="center"/>
    </xf>
    <xf numFmtId="0" fontId="12" fillId="0" borderId="30" xfId="1" applyNumberFormat="1" applyFont="1" applyFill="1" applyBorder="1" applyAlignment="1" applyProtection="1">
      <alignment horizontal="left" vertical="center" wrapText="1"/>
    </xf>
    <xf numFmtId="0" fontId="12" fillId="0" borderId="17" xfId="1" applyNumberFormat="1" applyFont="1" applyFill="1" applyBorder="1" applyAlignment="1" applyProtection="1">
      <alignment horizontal="left" vertical="center" wrapText="1"/>
    </xf>
    <xf numFmtId="0" fontId="12" fillId="0" borderId="90" xfId="1" applyNumberFormat="1" applyFont="1" applyFill="1" applyBorder="1" applyAlignment="1" applyProtection="1">
      <alignment horizontal="center" vertical="center"/>
    </xf>
    <xf numFmtId="0" fontId="12" fillId="0" borderId="17" xfId="1" applyNumberFormat="1" applyFont="1" applyFill="1" applyBorder="1" applyAlignment="1" applyProtection="1">
      <alignment horizontal="center" vertical="center"/>
    </xf>
    <xf numFmtId="0" fontId="12" fillId="0" borderId="13" xfId="1" applyNumberFormat="1" applyFont="1" applyFill="1" applyBorder="1" applyAlignment="1" applyProtection="1">
      <alignment horizontal="left" vertical="center"/>
    </xf>
    <xf numFmtId="0" fontId="12" fillId="0" borderId="22" xfId="1" applyNumberFormat="1" applyFont="1" applyFill="1" applyBorder="1" applyAlignment="1" applyProtection="1">
      <alignment horizontal="left" vertical="center"/>
    </xf>
    <xf numFmtId="0" fontId="12" fillId="0" borderId="88" xfId="1" applyNumberFormat="1" applyFont="1" applyFill="1" applyBorder="1" applyAlignment="1" applyProtection="1">
      <alignment horizontal="left" vertical="center"/>
    </xf>
    <xf numFmtId="0" fontId="12" fillId="0" borderId="89" xfId="1" applyNumberFormat="1" applyFont="1" applyFill="1" applyBorder="1" applyAlignment="1" applyProtection="1">
      <alignment horizontal="left" vertical="center"/>
    </xf>
    <xf numFmtId="0" fontId="12" fillId="0" borderId="84" xfId="1" applyNumberFormat="1" applyFont="1" applyFill="1" applyBorder="1" applyAlignment="1" applyProtection="1">
      <alignment horizontal="left"/>
    </xf>
    <xf numFmtId="0" fontId="12" fillId="0" borderId="85" xfId="1" applyNumberFormat="1" applyFont="1" applyFill="1" applyBorder="1" applyAlignment="1" applyProtection="1">
      <alignment horizontal="left"/>
    </xf>
    <xf numFmtId="0" fontId="12" fillId="0" borderId="59" xfId="1" applyNumberFormat="1" applyFont="1" applyFill="1" applyBorder="1" applyAlignment="1" applyProtection="1">
      <alignment horizontal="left"/>
    </xf>
    <xf numFmtId="0" fontId="12" fillId="0" borderId="60" xfId="1" applyNumberFormat="1" applyFont="1" applyFill="1" applyBorder="1" applyAlignment="1" applyProtection="1">
      <alignment horizontal="left"/>
    </xf>
    <xf numFmtId="0" fontId="12" fillId="0" borderId="51" xfId="1" applyNumberFormat="1" applyFont="1" applyFill="1" applyBorder="1" applyAlignment="1" applyProtection="1">
      <alignment horizontal="left"/>
    </xf>
    <xf numFmtId="0" fontId="12" fillId="0" borderId="52" xfId="1" applyNumberFormat="1" applyFont="1" applyFill="1" applyBorder="1" applyAlignment="1" applyProtection="1">
      <alignment horizontal="left"/>
    </xf>
    <xf numFmtId="0" fontId="12" fillId="0" borderId="54" xfId="1" applyNumberFormat="1" applyFont="1" applyFill="1" applyBorder="1" applyAlignment="1" applyProtection="1">
      <alignment horizontal="left"/>
    </xf>
    <xf numFmtId="0" fontId="12" fillId="0" borderId="56" xfId="1" applyNumberFormat="1" applyFont="1" applyFill="1" applyBorder="1" applyAlignment="1" applyProtection="1">
      <alignment horizontal="left"/>
    </xf>
    <xf numFmtId="0" fontId="10" fillId="0" borderId="90" xfId="1" applyNumberFormat="1" applyFont="1" applyFill="1" applyBorder="1" applyAlignment="1" applyProtection="1">
      <alignment horizontal="left" vertical="center"/>
    </xf>
    <xf numFmtId="0" fontId="10" fillId="0" borderId="17" xfId="1" applyNumberFormat="1" applyFont="1" applyFill="1" applyBorder="1" applyAlignment="1" applyProtection="1">
      <alignment horizontal="left" vertical="center"/>
    </xf>
    <xf numFmtId="0" fontId="10" fillId="0" borderId="91" xfId="1" applyNumberFormat="1" applyFont="1" applyFill="1" applyBorder="1" applyAlignment="1" applyProtection="1">
      <alignment horizontal="left" vertical="center"/>
    </xf>
    <xf numFmtId="0" fontId="10" fillId="0" borderId="92" xfId="1" applyNumberFormat="1" applyFont="1" applyFill="1" applyBorder="1" applyAlignment="1" applyProtection="1">
      <alignment horizontal="left" vertical="center"/>
    </xf>
    <xf numFmtId="0" fontId="10" fillId="0" borderId="35" xfId="1" applyNumberFormat="1" applyFont="1" applyFill="1" applyBorder="1" applyAlignment="1" applyProtection="1">
      <alignment horizontal="left"/>
    </xf>
    <xf numFmtId="0" fontId="10" fillId="0" borderId="28" xfId="1" applyNumberFormat="1" applyFont="1" applyFill="1" applyBorder="1" applyAlignment="1" applyProtection="1">
      <alignment horizontal="left"/>
    </xf>
    <xf numFmtId="0" fontId="0" fillId="2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4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25" borderId="1" xfId="0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0" borderId="93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0" fontId="0" fillId="0" borderId="94" xfId="0" applyBorder="1" applyAlignment="1">
      <alignment vertical="center" wrapText="1"/>
    </xf>
    <xf numFmtId="0" fontId="0" fillId="0" borderId="95" xfId="0" applyBorder="1" applyAlignment="1">
      <alignment vertical="center" wrapText="1"/>
    </xf>
    <xf numFmtId="0" fontId="0" fillId="0" borderId="92" xfId="0" applyBorder="1" applyAlignment="1">
      <alignment vertical="center" wrapText="1"/>
    </xf>
    <xf numFmtId="0" fontId="0" fillId="0" borderId="40" xfId="0" applyBorder="1" applyAlignment="1">
      <alignment vertical="center" wrapText="1"/>
    </xf>
    <xf numFmtId="0" fontId="0" fillId="12" borderId="31" xfId="0" applyFill="1" applyBorder="1" applyAlignment="1">
      <alignment horizontal="center" vertical="center" wrapText="1"/>
    </xf>
    <xf numFmtId="0" fontId="0" fillId="12" borderId="14" xfId="0" applyFill="1" applyBorder="1" applyAlignment="1">
      <alignment horizontal="center" vertical="center" wrapText="1"/>
    </xf>
    <xf numFmtId="0" fontId="0" fillId="23" borderId="31" xfId="0" applyFill="1" applyBorder="1" applyAlignment="1">
      <alignment horizontal="center" vertical="center" wrapText="1"/>
    </xf>
    <xf numFmtId="0" fontId="0" fillId="23" borderId="14" xfId="0" applyFill="1" applyBorder="1" applyAlignment="1">
      <alignment horizontal="center" vertical="center" wrapText="1"/>
    </xf>
    <xf numFmtId="0" fontId="0" fillId="24" borderId="31" xfId="0" applyFill="1" applyBorder="1" applyAlignment="1">
      <alignment horizontal="center" vertical="center" wrapText="1"/>
    </xf>
    <xf numFmtId="0" fontId="0" fillId="24" borderId="14" xfId="0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</cellXfs>
  <cellStyles count="8">
    <cellStyle name="Hipervínculo" xfId="6" builtinId="8" hidden="1"/>
    <cellStyle name="Hipervínculo visitado" xfId="7" builtinId="9" hidden="1"/>
    <cellStyle name="Millares 2" xfId="4"/>
    <cellStyle name="Millares 4" xfId="2"/>
    <cellStyle name="Moneda [0] 2" xfId="3"/>
    <cellStyle name="Normal" xfId="0" builtinId="0"/>
    <cellStyle name="Normal 2" xfId="1"/>
    <cellStyle name="Porcentaje 2" xf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1"/>
          <c:order val="0"/>
          <c:spPr>
            <a:ln>
              <a:solidFill>
                <a:schemeClr val="bg2"/>
              </a:solidFill>
            </a:ln>
          </c:spPr>
          <c:dPt>
            <c:idx val="0"/>
            <c:bubble3D val="0"/>
            <c:spPr>
              <a:solidFill>
                <a:srgbClr val="0070C0"/>
              </a:solidFill>
              <a:ln>
                <a:solidFill>
                  <a:schemeClr val="bg2"/>
                </a:solidFill>
              </a:ln>
            </c:spPr>
          </c:dPt>
          <c:dPt>
            <c:idx val="1"/>
            <c:bubble3D val="0"/>
            <c:spPr>
              <a:solidFill>
                <a:srgbClr val="92D050"/>
              </a:solidFill>
              <a:ln>
                <a:solidFill>
                  <a:schemeClr val="bg2"/>
                </a:solidFill>
              </a:ln>
            </c:spPr>
          </c:dPt>
          <c:dPt>
            <c:idx val="2"/>
            <c:bubble3D val="0"/>
            <c:spPr>
              <a:solidFill>
                <a:srgbClr val="FFC000"/>
              </a:solidFill>
              <a:ln>
                <a:solidFill>
                  <a:schemeClr val="bg2"/>
                </a:solidFill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Precio obtenido PVP;  $32,82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20757042869641301"/>
                  <c:y val="-0.3595920822397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LMC PUCE; $32,25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4725"/>
                  <c:y val="6.38148877223679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Mercado; $37,00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[2]Comparación!$D$17:$F$17</c:f>
              <c:strCache>
                <c:ptCount val="3"/>
                <c:pt idx="0">
                  <c:v>Precio obtenido PVP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[2]Comparación!$D$19:$F$19</c:f>
              <c:numCache>
                <c:formatCode>General</c:formatCode>
                <c:ptCount val="3"/>
                <c:pt idx="0">
                  <c:v>28.98574</c:v>
                </c:pt>
                <c:pt idx="1">
                  <c:v>32.25</c:v>
                </c:pt>
                <c:pt idx="2">
                  <c:v>37</c:v>
                </c:pt>
              </c:numCache>
            </c:numRef>
          </c:val>
        </c:ser>
        <c:ser>
          <c:idx val="2"/>
          <c:order val="1"/>
          <c:tx>
            <c:strRef>
              <c:f>[2]Comparación!$D$19:$F$19</c:f>
              <c:strCache>
                <c:ptCount val="1"/>
                <c:pt idx="0">
                  <c:v>28,98574 32,25 37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0"/>
          <c:order val="2"/>
          <c:tx>
            <c:strRef>
              <c:f>Comparaciones!$B$19:$D$19</c:f>
              <c:strCache>
                <c:ptCount val="1"/>
                <c:pt idx="0">
                  <c:v>$ 32,82 $ 32,25 $ 37,00</c:v>
                </c:pt>
              </c:strCache>
            </c:strRef>
          </c:tx>
          <c:dLbls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Comparaciones!$F$16:$F$18</c:f>
              <c:numCache>
                <c:formatCode>General</c:formatCode>
                <c:ptCount val="3"/>
                <c:pt idx="0">
                  <c:v>36.249226230563082</c:v>
                </c:pt>
                <c:pt idx="1">
                  <c:v>31.595609349612413</c:v>
                </c:pt>
                <c:pt idx="2">
                  <c:v>32.155164419824509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es-EC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Clasificación SUCS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Conclusiones1!$C$5:$E$5</c:f>
              <c:numCache>
                <c:formatCode>_-"$"* #,##0.00_-;\-"$"* #,##0.00_-;_-"$"* "-"_-;_-@_-</c:formatCode>
                <c:ptCount val="3"/>
                <c:pt idx="0">
                  <c:v>32.821144262946817</c:v>
                </c:pt>
                <c:pt idx="1">
                  <c:v>32.25</c:v>
                </c:pt>
                <c:pt idx="2" formatCode="_-&quot;$&quot;* #,##0_-;\-&quot;$&quot;* #,##0_-;_-&quot;$&quot;* &quot;-&quot;_-;_-@_-">
                  <c:v>37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75830400"/>
        <c:axId val="75831936"/>
      </c:barChart>
      <c:catAx>
        <c:axId val="75830400"/>
        <c:scaling>
          <c:orientation val="minMax"/>
        </c:scaling>
        <c:delete val="0"/>
        <c:axPos val="b"/>
        <c:majorTickMark val="none"/>
        <c:minorTickMark val="none"/>
        <c:tickLblPos val="nextTo"/>
        <c:crossAx val="75831936"/>
        <c:crosses val="autoZero"/>
        <c:auto val="1"/>
        <c:lblAlgn val="ctr"/>
        <c:lblOffset val="100"/>
        <c:noMultiLvlLbl val="0"/>
      </c:catAx>
      <c:valAx>
        <c:axId val="75831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75830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Densidad</a:t>
            </a:r>
            <a:r>
              <a:rPr lang="en-US" sz="1200" baseline="0"/>
              <a:t> de sólidos</a:t>
            </a:r>
            <a:endParaRPr lang="en-US" sz="12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Conclusiones1!$C$6:$E$6</c:f>
              <c:numCache>
                <c:formatCode>_-"$"* #,##0.00_-;\-"$"* #,##0.00_-;_-"$"* "-"_-;_-@_-</c:formatCode>
                <c:ptCount val="3"/>
                <c:pt idx="0">
                  <c:v>9.9759999999999991</c:v>
                </c:pt>
                <c:pt idx="1">
                  <c:v>14.5</c:v>
                </c:pt>
                <c:pt idx="2" formatCode="_-&quot;$&quot;* #,##0_-;\-&quot;$&quot;* #,##0_-;_-&quot;$&quot;* &quot;-&quot;_-;_-@_-">
                  <c:v>8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78048640"/>
        <c:axId val="78161792"/>
      </c:barChart>
      <c:catAx>
        <c:axId val="78048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78161792"/>
        <c:crosses val="autoZero"/>
        <c:auto val="1"/>
        <c:lblAlgn val="ctr"/>
        <c:lblOffset val="100"/>
        <c:noMultiLvlLbl val="0"/>
      </c:catAx>
      <c:valAx>
        <c:axId val="78161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78048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Granulometría por hidrómetro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Conclusiones1!$C$7:$E$7</c:f>
              <c:numCache>
                <c:formatCode>_-"$"* #,##0.00_-;\-"$"* #,##0.00_-;_-"$"* "-"_-;_-@_-</c:formatCode>
                <c:ptCount val="3"/>
                <c:pt idx="0">
                  <c:v>16.670999999999999</c:v>
                </c:pt>
                <c:pt idx="1">
                  <c:v>41.75</c:v>
                </c:pt>
                <c:pt idx="2" formatCode="_-&quot;$&quot;* #,##0_-;\-&quot;$&quot;* #,##0_-;_-&quot;$&quot;* &quot;-&quot;_-;_-@_-">
                  <c:v>50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1261056"/>
        <c:axId val="31262592"/>
      </c:barChart>
      <c:catAx>
        <c:axId val="31261056"/>
        <c:scaling>
          <c:orientation val="minMax"/>
        </c:scaling>
        <c:delete val="0"/>
        <c:axPos val="b"/>
        <c:majorTickMark val="none"/>
        <c:minorTickMark val="none"/>
        <c:tickLblPos val="nextTo"/>
        <c:crossAx val="31262592"/>
        <c:crosses val="autoZero"/>
        <c:auto val="1"/>
        <c:lblAlgn val="ctr"/>
        <c:lblOffset val="100"/>
        <c:noMultiLvlLbl val="0"/>
      </c:catAx>
      <c:valAx>
        <c:axId val="31262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1261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Compactación</a:t>
            </a:r>
            <a:r>
              <a:rPr lang="en-US" sz="1200" baseline="0"/>
              <a:t> estándar</a:t>
            </a:r>
            <a:endParaRPr lang="en-US" sz="12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Conclusiones1!$C$8:$E$8</c:f>
              <c:numCache>
                <c:formatCode>_-"$"* #,##0.00_-;\-"$"* #,##0.00_-;_-"$"* "-"_-;_-@_-</c:formatCode>
                <c:ptCount val="3"/>
                <c:pt idx="0">
                  <c:v>18.55536</c:v>
                </c:pt>
                <c:pt idx="1">
                  <c:v>23</c:v>
                </c:pt>
                <c:pt idx="2" formatCode="_-&quot;$&quot;* #,##0_-;\-&quot;$&quot;* #,##0_-;_-&quot;$&quot;* &quot;-&quot;_-;_-@_-">
                  <c:v>20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1293824"/>
        <c:axId val="31295360"/>
      </c:barChart>
      <c:catAx>
        <c:axId val="31293824"/>
        <c:scaling>
          <c:orientation val="minMax"/>
        </c:scaling>
        <c:delete val="0"/>
        <c:axPos val="b"/>
        <c:majorTickMark val="none"/>
        <c:minorTickMark val="none"/>
        <c:tickLblPos val="nextTo"/>
        <c:crossAx val="31295360"/>
        <c:crosses val="autoZero"/>
        <c:auto val="1"/>
        <c:lblAlgn val="ctr"/>
        <c:lblOffset val="100"/>
        <c:noMultiLvlLbl val="0"/>
      </c:catAx>
      <c:valAx>
        <c:axId val="31295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1293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Compactación modificada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invertIfNegative val="0"/>
          <c:val>
            <c:numRef>
              <c:f>Conclusiones1!$C$9:$E$9</c:f>
              <c:numCache>
                <c:formatCode>_-"$"* #,##0.00_-;\-"$"* #,##0.00_-;_-"$"* "-"_-;_-@_-</c:formatCode>
                <c:ptCount val="3"/>
                <c:pt idx="0">
                  <c:v>21.81231882215841</c:v>
                </c:pt>
                <c:pt idx="1">
                  <c:v>24.25</c:v>
                </c:pt>
                <c:pt idx="2" formatCode="_-&quot;$&quot;* #,##0_-;\-&quot;$&quot;* #,##0_-;_-&quot;$&quot;* &quot;-&quot;_-;_-@_-">
                  <c:v>20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1314304"/>
        <c:axId val="31315840"/>
      </c:barChart>
      <c:catAx>
        <c:axId val="31314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31315840"/>
        <c:crosses val="autoZero"/>
        <c:auto val="1"/>
        <c:lblAlgn val="ctr"/>
        <c:lblOffset val="100"/>
        <c:noMultiLvlLbl val="0"/>
      </c:catAx>
      <c:valAx>
        <c:axId val="31315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1314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Compresión simple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Conclusiones1!$C$10:$E$10</c:f>
              <c:numCache>
                <c:formatCode>_-"$"* #,##0.00_-;\-"$"* #,##0.00_-;_-"$"* "-"_-;_-@_-</c:formatCode>
                <c:ptCount val="3"/>
                <c:pt idx="0">
                  <c:v>18.153600000000001</c:v>
                </c:pt>
                <c:pt idx="1">
                  <c:v>20.25</c:v>
                </c:pt>
                <c:pt idx="2" formatCode="_-&quot;$&quot;* #,##0_-;\-&quot;$&quot;* #,##0_-;_-&quot;$&quot;* &quot;-&quot;_-;_-@_-">
                  <c:v>20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1535488"/>
        <c:axId val="31537024"/>
      </c:barChart>
      <c:catAx>
        <c:axId val="31535488"/>
        <c:scaling>
          <c:orientation val="minMax"/>
        </c:scaling>
        <c:delete val="0"/>
        <c:axPos val="b"/>
        <c:majorTickMark val="none"/>
        <c:minorTickMark val="none"/>
        <c:tickLblPos val="nextTo"/>
        <c:crossAx val="31537024"/>
        <c:crosses val="autoZero"/>
        <c:auto val="1"/>
        <c:lblAlgn val="ctr"/>
        <c:lblOffset val="100"/>
        <c:noMultiLvlLbl val="0"/>
      </c:catAx>
      <c:valAx>
        <c:axId val="31537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1535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Corte directo C-U saturado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Conclusiones1!$C$11:$E$11</c:f>
              <c:numCache>
                <c:formatCode>_-"$"* #,##0.00_-;\-"$"* #,##0.00_-;_-"$"* "-"_-;_-@_-</c:formatCode>
                <c:ptCount val="3"/>
                <c:pt idx="0">
                  <c:v>27.479640000000003</c:v>
                </c:pt>
                <c:pt idx="1">
                  <c:v>61.25</c:v>
                </c:pt>
                <c:pt idx="2" formatCode="_-&quot;$&quot;* #,##0_-;\-&quot;$&quot;* #,##0_-;_-&quot;$&quot;* &quot;-&quot;_-;_-@_-">
                  <c:v>75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1568640"/>
        <c:axId val="31570176"/>
      </c:barChart>
      <c:catAx>
        <c:axId val="31568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31570176"/>
        <c:crosses val="autoZero"/>
        <c:auto val="1"/>
        <c:lblAlgn val="ctr"/>
        <c:lblOffset val="100"/>
        <c:noMultiLvlLbl val="0"/>
      </c:catAx>
      <c:valAx>
        <c:axId val="31570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1568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Triaxial U-U sin saturar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Conclusiones1!$C$12:$E$12</c:f>
              <c:numCache>
                <c:formatCode>_-"$"* #,##0.00_-;\-"$"* #,##0.00_-;_-"$"* "-"_-;_-@_-</c:formatCode>
                <c:ptCount val="3"/>
                <c:pt idx="0">
                  <c:v>31.421599999999998</c:v>
                </c:pt>
                <c:pt idx="1">
                  <c:v>61.25</c:v>
                </c:pt>
                <c:pt idx="2" formatCode="_-&quot;$&quot;* #,##0_-;\-&quot;$&quot;* #,##0_-;_-&quot;$&quot;* &quot;-&quot;_-;_-@_-">
                  <c:v>75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1601792"/>
        <c:axId val="31603328"/>
      </c:barChart>
      <c:catAx>
        <c:axId val="31601792"/>
        <c:scaling>
          <c:orientation val="minMax"/>
        </c:scaling>
        <c:delete val="0"/>
        <c:axPos val="b"/>
        <c:majorTickMark val="none"/>
        <c:minorTickMark val="none"/>
        <c:tickLblPos val="nextTo"/>
        <c:crossAx val="31603328"/>
        <c:crosses val="autoZero"/>
        <c:auto val="1"/>
        <c:lblAlgn val="ctr"/>
        <c:lblOffset val="100"/>
        <c:noMultiLvlLbl val="0"/>
      </c:catAx>
      <c:valAx>
        <c:axId val="31603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1601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Triaxial U-U saturado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invertIfNegative val="0"/>
          <c:cat>
            <c:strRef>
              <c:f>Conclusiones1!$C$3:$E$3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Conclusiones1!$C$13:$E$13</c:f>
              <c:numCache>
                <c:formatCode>_-"$"* #,##0.00_-;\-"$"* #,##0.00_-;_-"$"* "-"_-;_-@_-</c:formatCode>
                <c:ptCount val="3"/>
                <c:pt idx="0">
                  <c:v>165.73591999999996</c:v>
                </c:pt>
                <c:pt idx="1">
                  <c:v>126.75</c:v>
                </c:pt>
                <c:pt idx="2" formatCode="_-&quot;$&quot;* #,##0_-;\-&quot;$&quot;* #,##0_-;_-&quot;$&quot;* &quot;-&quot;_-;_-@_-">
                  <c:v>75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1622272"/>
        <c:axId val="31623808"/>
      </c:barChart>
      <c:catAx>
        <c:axId val="31622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1623808"/>
        <c:crosses val="autoZero"/>
        <c:auto val="1"/>
        <c:lblAlgn val="ctr"/>
        <c:lblOffset val="100"/>
        <c:noMultiLvlLbl val="0"/>
      </c:catAx>
      <c:valAx>
        <c:axId val="31623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162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499999999999994E-2"/>
          <c:y val="0.104166666666667"/>
          <c:w val="0.81388888888888899"/>
          <c:h val="0.77314814814814803"/>
        </c:manualLayout>
      </c:layout>
      <c:pie3DChart>
        <c:varyColors val="1"/>
        <c:ser>
          <c:idx val="1"/>
          <c:order val="0"/>
          <c:spPr>
            <a:ln>
              <a:solidFill>
                <a:schemeClr val="bg2"/>
              </a:solidFill>
            </a:ln>
          </c:spPr>
          <c:dPt>
            <c:idx val="0"/>
            <c:bubble3D val="0"/>
            <c:spPr>
              <a:solidFill>
                <a:srgbClr val="0070C0"/>
              </a:solidFill>
              <a:ln>
                <a:solidFill>
                  <a:schemeClr val="bg2"/>
                </a:solidFill>
              </a:ln>
              <a:effectLst>
                <a:innerShdw blurRad="114300">
                  <a:prstClr val="black"/>
                </a:innerShdw>
              </a:effectLst>
            </c:spPr>
          </c:dPt>
          <c:dPt>
            <c:idx val="1"/>
            <c:bubble3D val="0"/>
            <c:spPr>
              <a:solidFill>
                <a:srgbClr val="92D050"/>
              </a:solidFill>
              <a:ln>
                <a:solidFill>
                  <a:schemeClr val="bg2"/>
                </a:solidFill>
              </a:ln>
            </c:spPr>
          </c:dPt>
          <c:dPt>
            <c:idx val="2"/>
            <c:bubble3D val="0"/>
            <c:spPr>
              <a:solidFill>
                <a:srgbClr val="FFC000"/>
              </a:solidFill>
              <a:ln>
                <a:solidFill>
                  <a:schemeClr val="bg2"/>
                </a:solidFill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Precio obtenido PVP; $9,98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1309016875402962"/>
                  <c:y val="-0.3963527968617807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LMC PUCE; $14,5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91694444444444"/>
                  <c:y val="0.11937044327792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Mercado; $8,00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[2]Comparación!$D$47:$F$48</c:f>
              <c:multiLvlStrCache>
                <c:ptCount val="3"/>
                <c:lvl/>
                <c:lvl>
                  <c:pt idx="0">
                    <c:v>Precio obtenido PVP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[2]Comparación!$D$49:$F$49</c:f>
              <c:numCache>
                <c:formatCode>General</c:formatCode>
                <c:ptCount val="3"/>
                <c:pt idx="0">
                  <c:v>10.17586</c:v>
                </c:pt>
                <c:pt idx="1">
                  <c:v>14.5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effectLst>
          <a:innerShdw blurRad="114300">
            <a:prstClr val="black"/>
          </a:innerShdw>
        </a:effectLst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ENSAYO SUCS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6111111111111101E-2"/>
          <c:y val="0.19226851851851801"/>
          <c:w val="0.93888888888888899"/>
          <c:h val="0.71818642461358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[2]conclusiones!$B$4</c:f>
              <c:strCache>
                <c:ptCount val="1"/>
                <c:pt idx="0">
                  <c:v>Ensayo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[2]conclusiones!$C$3:$E$3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[2]conclusiones!$C$4:$E$4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tx>
            <c:strRef>
              <c:f>[2]conclusiones!$B$5</c:f>
              <c:strCache>
                <c:ptCount val="1"/>
                <c:pt idx="0">
                  <c:v>SUCS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[2]conclusiones!$C$3:$E$3</c:f>
              <c:strCache>
                <c:ptCount val="3"/>
                <c:pt idx="0">
                  <c:v>Precio obtenido</c:v>
                </c:pt>
                <c:pt idx="1">
                  <c:v>Precio LMC PUCE</c:v>
                </c:pt>
                <c:pt idx="2">
                  <c:v>Precio Mercado</c:v>
                </c:pt>
              </c:strCache>
            </c:strRef>
          </c:cat>
          <c:val>
            <c:numRef>
              <c:f>[2]conclusiones!$C$5:$E$5</c:f>
              <c:numCache>
                <c:formatCode>General</c:formatCode>
                <c:ptCount val="3"/>
                <c:pt idx="0">
                  <c:v>28.98574</c:v>
                </c:pt>
                <c:pt idx="1">
                  <c:v>32.25</c:v>
                </c:pt>
                <c:pt idx="2">
                  <c:v>37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639040"/>
        <c:axId val="31640576"/>
      </c:barChart>
      <c:catAx>
        <c:axId val="31639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1640576"/>
        <c:crosses val="autoZero"/>
        <c:auto val="1"/>
        <c:lblAlgn val="ctr"/>
        <c:lblOffset val="100"/>
        <c:noMultiLvlLbl val="0"/>
      </c:catAx>
      <c:valAx>
        <c:axId val="316405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163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ENSAYO densidad </a:t>
            </a:r>
          </a:p>
        </c:rich>
      </c:tx>
      <c:layout>
        <c:manualLayout>
          <c:xMode val="edge"/>
          <c:yMode val="edge"/>
          <c:x val="0.28332633420822401"/>
          <c:y val="2.777777777777780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[2]conclusiones!$B$6</c:f>
              <c:strCache>
                <c:ptCount val="1"/>
                <c:pt idx="0">
                  <c:v>Densidad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[2]conclusiones!$C$3:$E$4</c:f>
              <c:multiLvlStrCache>
                <c:ptCount val="3"/>
                <c:lvl/>
                <c:lvl>
                  <c:pt idx="0">
                    <c:v>Precio obtenido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[2]conclusiones!$C$6:$E$6</c:f>
              <c:numCache>
                <c:formatCode>General</c:formatCode>
                <c:ptCount val="3"/>
                <c:pt idx="0">
                  <c:v>10.17586</c:v>
                </c:pt>
                <c:pt idx="1">
                  <c:v>14.5</c:v>
                </c:pt>
                <c:pt idx="2">
                  <c:v>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655808"/>
        <c:axId val="31679232"/>
      </c:barChart>
      <c:catAx>
        <c:axId val="31655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1679232"/>
        <c:crosses val="autoZero"/>
        <c:auto val="1"/>
        <c:lblAlgn val="ctr"/>
        <c:lblOffset val="100"/>
        <c:noMultiLvlLbl val="0"/>
      </c:catAx>
      <c:valAx>
        <c:axId val="31679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165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[2]conclusiones!$B$7</c:f>
              <c:strCache>
                <c:ptCount val="1"/>
                <c:pt idx="0">
                  <c:v>Granulmetria por hidrómetro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[2]conclusiones!$C$3:$E$4</c:f>
              <c:multiLvlStrCache>
                <c:ptCount val="3"/>
                <c:lvl/>
                <c:lvl>
                  <c:pt idx="0">
                    <c:v>Precio obtenido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[2]conclusiones!$C$7:$E$7</c:f>
              <c:numCache>
                <c:formatCode>General</c:formatCode>
                <c:ptCount val="3"/>
                <c:pt idx="0">
                  <c:v>20.266200000000001</c:v>
                </c:pt>
                <c:pt idx="1">
                  <c:v>41.75</c:v>
                </c:pt>
                <c:pt idx="2">
                  <c:v>50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686016"/>
        <c:axId val="31693056"/>
      </c:barChart>
      <c:catAx>
        <c:axId val="3168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1693056"/>
        <c:crosses val="autoZero"/>
        <c:auto val="1"/>
        <c:lblAlgn val="ctr"/>
        <c:lblOffset val="100"/>
        <c:noMultiLvlLbl val="0"/>
      </c:catAx>
      <c:valAx>
        <c:axId val="31693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1686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[2]conclusiones!$B$8</c:f>
              <c:strCache>
                <c:ptCount val="1"/>
                <c:pt idx="0">
                  <c:v>Compactación estándar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[2]conclusiones!$C$3:$E$4</c:f>
              <c:multiLvlStrCache>
                <c:ptCount val="3"/>
                <c:lvl/>
                <c:lvl>
                  <c:pt idx="0">
                    <c:v>Precio obtenido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[2]conclusiones!$C$8:$E$8</c:f>
              <c:numCache>
                <c:formatCode>General</c:formatCode>
                <c:ptCount val="3"/>
                <c:pt idx="0">
                  <c:v>24.810500000000001</c:v>
                </c:pt>
                <c:pt idx="1">
                  <c:v>23</c:v>
                </c:pt>
                <c:pt idx="2">
                  <c:v>20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713152"/>
        <c:axId val="31716096"/>
      </c:barChart>
      <c:catAx>
        <c:axId val="3171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1716096"/>
        <c:crosses val="autoZero"/>
        <c:auto val="1"/>
        <c:lblAlgn val="ctr"/>
        <c:lblOffset val="100"/>
        <c:noMultiLvlLbl val="0"/>
      </c:catAx>
      <c:valAx>
        <c:axId val="31716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1713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3.8888888888888903E-2"/>
          <c:y val="0.18300925925925901"/>
          <c:w val="0.93888888888888899"/>
          <c:h val="0.71818642461358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[2]conclusiones!$B$9</c:f>
              <c:strCache>
                <c:ptCount val="1"/>
                <c:pt idx="0">
                  <c:v>Compactación modificada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[2]conclusiones!$C$3:$E$4</c:f>
              <c:multiLvlStrCache>
                <c:ptCount val="3"/>
                <c:lvl/>
                <c:lvl>
                  <c:pt idx="0">
                    <c:v>Precio obtenido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[2]conclusiones!$C$9:$E$9</c:f>
              <c:numCache>
                <c:formatCode>General</c:formatCode>
                <c:ptCount val="3"/>
                <c:pt idx="0">
                  <c:v>29.907799999999998</c:v>
                </c:pt>
                <c:pt idx="1">
                  <c:v>24.25</c:v>
                </c:pt>
                <c:pt idx="2">
                  <c:v>29.907799999999998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736192"/>
        <c:axId val="31738880"/>
      </c:barChart>
      <c:catAx>
        <c:axId val="3173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1738880"/>
        <c:crosses val="autoZero"/>
        <c:auto val="1"/>
        <c:lblAlgn val="ctr"/>
        <c:lblOffset val="100"/>
        <c:noMultiLvlLbl val="0"/>
      </c:catAx>
      <c:valAx>
        <c:axId val="31738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173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[2]conclusiones!$B$10</c:f>
              <c:strCache>
                <c:ptCount val="1"/>
                <c:pt idx="0">
                  <c:v>Compresión simple en el suelo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[2]conclusiones!$C$3:$E$4</c:f>
              <c:multiLvlStrCache>
                <c:ptCount val="3"/>
                <c:lvl/>
                <c:lvl>
                  <c:pt idx="0">
                    <c:v>Precio obtenido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[2]conclusiones!$C$10:$E$10</c:f>
              <c:numCache>
                <c:formatCode>General</c:formatCode>
                <c:ptCount val="3"/>
                <c:pt idx="0">
                  <c:v>14.8642</c:v>
                </c:pt>
                <c:pt idx="1">
                  <c:v>20.25</c:v>
                </c:pt>
                <c:pt idx="2">
                  <c:v>40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754496"/>
        <c:axId val="31765632"/>
      </c:barChart>
      <c:catAx>
        <c:axId val="3175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1765632"/>
        <c:crosses val="autoZero"/>
        <c:auto val="1"/>
        <c:lblAlgn val="ctr"/>
        <c:lblOffset val="100"/>
        <c:noMultiLvlLbl val="0"/>
      </c:catAx>
      <c:valAx>
        <c:axId val="31765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175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[2]conclusiones!$B$11</c:f>
              <c:strCache>
                <c:ptCount val="1"/>
                <c:pt idx="0">
                  <c:v>Corte directo C-U saturado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[2]conclusiones!$C$3:$E$4</c:f>
              <c:multiLvlStrCache>
                <c:ptCount val="3"/>
                <c:lvl/>
                <c:lvl>
                  <c:pt idx="0">
                    <c:v>Precio obtenido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[2]conclusiones!$C$11:$E$11</c:f>
              <c:numCache>
                <c:formatCode>General</c:formatCode>
                <c:ptCount val="3"/>
                <c:pt idx="0">
                  <c:v>16.3566</c:v>
                </c:pt>
                <c:pt idx="1">
                  <c:v>61.25</c:v>
                </c:pt>
                <c:pt idx="2">
                  <c:v>75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789824"/>
        <c:axId val="31792512"/>
      </c:barChart>
      <c:catAx>
        <c:axId val="31789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1792512"/>
        <c:crosses val="autoZero"/>
        <c:auto val="1"/>
        <c:lblAlgn val="ctr"/>
        <c:lblOffset val="100"/>
        <c:noMultiLvlLbl val="0"/>
      </c:catAx>
      <c:valAx>
        <c:axId val="31792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178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[2]conclusiones!$B$13</c:f>
              <c:strCache>
                <c:ptCount val="1"/>
                <c:pt idx="0">
                  <c:v>Triaxial U-U saturado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[2]conclusiones!$C$3:$E$4</c:f>
              <c:multiLvlStrCache>
                <c:ptCount val="3"/>
                <c:lvl/>
                <c:lvl>
                  <c:pt idx="0">
                    <c:v>Precio obtenido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[2]conclusiones!$C$13:$E$13</c:f>
              <c:numCache>
                <c:formatCode>General</c:formatCode>
                <c:ptCount val="3"/>
                <c:pt idx="0">
                  <c:v>83.059600000000017</c:v>
                </c:pt>
                <c:pt idx="1">
                  <c:v>126.75</c:v>
                </c:pt>
                <c:pt idx="2">
                  <c:v>75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812608"/>
        <c:axId val="31831936"/>
      </c:barChart>
      <c:catAx>
        <c:axId val="31812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1831936"/>
        <c:crosses val="autoZero"/>
        <c:auto val="1"/>
        <c:lblAlgn val="ctr"/>
        <c:lblOffset val="100"/>
        <c:noMultiLvlLbl val="0"/>
      </c:catAx>
      <c:valAx>
        <c:axId val="318319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1812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[2]conclusiones!$B$12</c:f>
              <c:strCache>
                <c:ptCount val="1"/>
                <c:pt idx="0">
                  <c:v>Triaxial U-U sin saturar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[2]conclusiones!$C$12:$E$12</c:f>
              <c:numCache>
                <c:formatCode>General</c:formatCode>
                <c:ptCount val="3"/>
                <c:pt idx="0">
                  <c:v>28.035799999999998</c:v>
                </c:pt>
                <c:pt idx="1">
                  <c:v>61.25</c:v>
                </c:pt>
                <c:pt idx="2">
                  <c:v>75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847936"/>
        <c:axId val="31916416"/>
      </c:barChart>
      <c:catAx>
        <c:axId val="31847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1916416"/>
        <c:crosses val="autoZero"/>
        <c:auto val="1"/>
        <c:lblAlgn val="ctr"/>
        <c:lblOffset val="100"/>
        <c:noMultiLvlLbl val="0"/>
      </c:catAx>
      <c:valAx>
        <c:axId val="31916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184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833333333333298E-2"/>
          <c:y val="9.9537037037036993E-2"/>
          <c:w val="0.81388888888888899"/>
          <c:h val="0.77314814814814803"/>
        </c:manualLayout>
      </c:layout>
      <c:pie3DChart>
        <c:varyColors val="1"/>
        <c:ser>
          <c:idx val="1"/>
          <c:order val="0"/>
          <c:spPr>
            <a:ln>
              <a:solidFill>
                <a:schemeClr val="bg2"/>
              </a:solidFill>
            </a:ln>
          </c:spPr>
          <c:dPt>
            <c:idx val="0"/>
            <c:bubble3D val="0"/>
            <c:spPr>
              <a:solidFill>
                <a:srgbClr val="0070C0"/>
              </a:solidFill>
              <a:ln>
                <a:solidFill>
                  <a:schemeClr val="bg2"/>
                </a:solidFill>
              </a:ln>
              <a:effectLst>
                <a:innerShdw blurRad="114300">
                  <a:prstClr val="black"/>
                </a:innerShdw>
              </a:effectLst>
            </c:spPr>
          </c:dPt>
          <c:dPt>
            <c:idx val="1"/>
            <c:bubble3D val="0"/>
            <c:spPr>
              <a:solidFill>
                <a:srgbClr val="92D050"/>
              </a:solidFill>
              <a:ln>
                <a:solidFill>
                  <a:schemeClr val="bg2"/>
                </a:solidFill>
              </a:ln>
            </c:spPr>
          </c:dPt>
          <c:dPt>
            <c:idx val="2"/>
            <c:bubble3D val="0"/>
            <c:spPr>
              <a:solidFill>
                <a:srgbClr val="FFC000"/>
              </a:solidFill>
              <a:ln>
                <a:solidFill>
                  <a:schemeClr val="bg2"/>
                </a:solidFill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Precio obtenido PVP; $16,67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28027712160979901"/>
                  <c:y val="-0.262369860017498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LMC PUCE; $41,75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4990429312451409"/>
                  <c:y val="7.37649846683541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Mercado; $50,00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[2]Comparación!$D$47:$F$48</c:f>
              <c:multiLvlStrCache>
                <c:ptCount val="3"/>
                <c:lvl/>
                <c:lvl>
                  <c:pt idx="0">
                    <c:v>Precio obtenido PVP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[2]Comparación!$D$80:$F$80</c:f>
              <c:numCache>
                <c:formatCode>General</c:formatCode>
                <c:ptCount val="3"/>
                <c:pt idx="0">
                  <c:v>20.266200000000001</c:v>
                </c:pt>
                <c:pt idx="1">
                  <c:v>41.75</c:v>
                </c:pt>
                <c:pt idx="2">
                  <c:v>50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effectLst>
          <a:innerShdw blurRad="114300">
            <a:prstClr val="black"/>
          </a:innerShdw>
        </a:effectLst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833333333333298E-2"/>
          <c:y val="9.9537037037036993E-2"/>
          <c:w val="0.81388888888888899"/>
          <c:h val="0.77314814814814803"/>
        </c:manualLayout>
      </c:layout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0070C0"/>
              </a:solidFill>
            </c:spPr>
          </c:dPt>
          <c:dPt>
            <c:idx val="1"/>
            <c:bubble3D val="0"/>
            <c:spPr>
              <a:solidFill>
                <a:srgbClr val="92D050"/>
              </a:solidFill>
            </c:spPr>
          </c:dPt>
          <c:dPt>
            <c:idx val="2"/>
            <c:bubble3D val="0"/>
            <c:spPr>
              <a:solidFill>
                <a:srgbClr val="FFC000"/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Precio obtenido PVP; $18,56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8056211723534594E-2"/>
                  <c:y val="-0.39199948964712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LMC PUCE; $23,00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8337873862485043"/>
                  <c:y val="8.7446579834621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Mercado;     $20,00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[2]Comparación!$D$47:$F$48</c:f>
              <c:multiLvlStrCache>
                <c:ptCount val="3"/>
                <c:lvl/>
                <c:lvl>
                  <c:pt idx="0">
                    <c:v>Precio obtenido PVP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[2]Comparación!$D$112:$F$112</c:f>
              <c:numCache>
                <c:formatCode>General</c:formatCode>
                <c:ptCount val="3"/>
                <c:pt idx="0">
                  <c:v>24.810500000000001</c:v>
                </c:pt>
                <c:pt idx="1">
                  <c:v>23</c:v>
                </c:pt>
                <c:pt idx="2">
                  <c:v>20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833333333333298E-2"/>
          <c:y val="9.9537037037036993E-2"/>
          <c:w val="0.81388888888888899"/>
          <c:h val="0.77314814814814803"/>
        </c:manualLayout>
      </c:layout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0070C0"/>
              </a:solidFill>
            </c:spPr>
          </c:dPt>
          <c:dPt>
            <c:idx val="1"/>
            <c:bubble3D val="0"/>
            <c:spPr>
              <a:solidFill>
                <a:srgbClr val="92D050"/>
              </a:solidFill>
            </c:spPr>
          </c:dPt>
          <c:dPt>
            <c:idx val="2"/>
            <c:bubble3D val="0"/>
            <c:spPr>
              <a:solidFill>
                <a:srgbClr val="FFC000"/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Precio obtenido PVP; $21,85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2805599300087501"/>
                  <c:y val="-0.3595920822397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LMC PUCE; $24,25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91694444444444"/>
                  <c:y val="0.11937044327792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Mercado; $20,00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[2]Comparación!$D$47:$F$48</c:f>
              <c:multiLvlStrCache>
                <c:ptCount val="3"/>
                <c:lvl/>
                <c:lvl>
                  <c:pt idx="0">
                    <c:v>Precio obtenido PVP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[2]Comparación!$D$142:$F$142</c:f>
              <c:numCache>
                <c:formatCode>General</c:formatCode>
                <c:ptCount val="3"/>
                <c:pt idx="0">
                  <c:v>29.907799999999998</c:v>
                </c:pt>
                <c:pt idx="1">
                  <c:v>24.25</c:v>
                </c:pt>
                <c:pt idx="2">
                  <c:v>20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833333333333298E-2"/>
          <c:y val="9.9537037037036993E-2"/>
          <c:w val="0.81388888888888899"/>
          <c:h val="0.77314814814814803"/>
        </c:manualLayout>
      </c:layout>
      <c:pie3D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6"/>
              </a:solidFill>
            </c:spPr>
          </c:dPt>
          <c:dPt>
            <c:idx val="2"/>
            <c:bubble3D val="0"/>
            <c:spPr>
              <a:solidFill>
                <a:schemeClr val="accent4"/>
              </a:solidFill>
            </c:spPr>
          </c:dPt>
          <c:dLbls>
            <c:dLbl>
              <c:idx val="0"/>
              <c:layout>
                <c:manualLayout>
                  <c:x val="-0.23612372340659218"/>
                  <c:y val="0.1065649553124016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obtenido $ 18,15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9851121263577249E-2"/>
                  <c:y val="-0.3652688490338372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LMC PUCE $ 20,25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2371215396086405"/>
                  <c:y val="8.4150139179999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Mercado $ 20,00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val>
            <c:numRef>
              <c:f>Comparaciones!$B$173:$D$173</c:f>
              <c:numCache>
                <c:formatCode>"$"\ #,##0.00</c:formatCode>
                <c:ptCount val="3"/>
                <c:pt idx="0">
                  <c:v>18.153600000000001</c:v>
                </c:pt>
                <c:pt idx="1">
                  <c:v>20.25</c:v>
                </c:pt>
                <c:pt idx="2">
                  <c:v>20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7777777777801"/>
          <c:y val="0.113425925925926"/>
          <c:w val="0.81388888888888899"/>
          <c:h val="0.77314814814814803"/>
        </c:manualLayout>
      </c:layout>
      <c:pie3DChart>
        <c:varyColors val="1"/>
        <c:ser>
          <c:idx val="0"/>
          <c:order val="0"/>
          <c:tx>
            <c:strRef>
              <c:f>[2]Comparación!$D$203:$F$203</c:f>
              <c:strCache>
                <c:ptCount val="1"/>
                <c:pt idx="0">
                  <c:v>16,3566 61,25 75</c:v>
                </c:pt>
              </c:strCache>
            </c:strRef>
          </c:tx>
          <c:dPt>
            <c:idx val="0"/>
            <c:bubble3D val="0"/>
            <c:spPr>
              <a:solidFill>
                <a:srgbClr val="0070C0"/>
              </a:solidFill>
            </c:spPr>
          </c:dPt>
          <c:dPt>
            <c:idx val="1"/>
            <c:bubble3D val="0"/>
            <c:spPr>
              <a:solidFill>
                <a:srgbClr val="92D050"/>
              </a:solidFill>
            </c:spPr>
          </c:dPt>
          <c:dPt>
            <c:idx val="2"/>
            <c:bubble3D val="0"/>
            <c:spPr>
              <a:solidFill>
                <a:srgbClr val="FFC000"/>
              </a:solidFill>
            </c:spPr>
          </c:dPt>
          <c:dLbls>
            <c:dLbl>
              <c:idx val="0"/>
              <c:layout>
                <c:manualLayout>
                  <c:x val="-0.12202245635616174"/>
                  <c:y val="0.1255181916290232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obtenido PVP; $27,48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20370133420822401"/>
                  <c:y val="-0.21103091280256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LMC PUCE; $61,25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8460889390789179"/>
                  <c:y val="3.84197727347811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Mercado;           $ 75,00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[2]Comparación!$D$201:$F$202</c:f>
              <c:multiLvlStrCache>
                <c:ptCount val="3"/>
                <c:lvl/>
                <c:lvl>
                  <c:pt idx="0">
                    <c:v>Precio obtenido PVP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[2]Comparación!$D$203:$F$203</c:f>
              <c:numCache>
                <c:formatCode>General</c:formatCode>
                <c:ptCount val="3"/>
                <c:pt idx="0">
                  <c:v>16.3566</c:v>
                </c:pt>
                <c:pt idx="1">
                  <c:v>61.25</c:v>
                </c:pt>
                <c:pt idx="2">
                  <c:v>75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7777777777801"/>
          <c:y val="0.113425925925926"/>
          <c:w val="0.81388888888888899"/>
          <c:h val="0.773148148148148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</c:spPr>
          </c:dPt>
          <c:dPt>
            <c:idx val="1"/>
            <c:bubble3D val="0"/>
            <c:spPr>
              <a:solidFill>
                <a:srgbClr val="92D050"/>
              </a:solidFill>
            </c:spPr>
          </c:dPt>
          <c:dPt>
            <c:idx val="2"/>
            <c:bubble3D val="0"/>
            <c:spPr>
              <a:solidFill>
                <a:srgbClr val="FFC000"/>
              </a:solidFill>
            </c:spPr>
          </c:dPt>
          <c:dLbls>
            <c:dLbl>
              <c:idx val="0"/>
              <c:layout>
                <c:manualLayout>
                  <c:x val="-0.15181288276465399"/>
                  <c:y val="0.1234423301254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obtenido PVP; $31,42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5647900262467199"/>
                  <c:y val="-0.224919801691455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LMC PUCE; $61,25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5697222222222199"/>
                  <c:y val="3.62492709244678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Mercado;           $ 75,00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[2]Comparación!$D$201:$F$202</c:f>
              <c:multiLvlStrCache>
                <c:ptCount val="3"/>
                <c:lvl/>
                <c:lvl>
                  <c:pt idx="0">
                    <c:v>Precio obtenido PVP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[2]Comparación!$D$233:$F$233</c:f>
              <c:numCache>
                <c:formatCode>General</c:formatCode>
                <c:ptCount val="3"/>
                <c:pt idx="0">
                  <c:v>28.035799999999998</c:v>
                </c:pt>
                <c:pt idx="1">
                  <c:v>61.25</c:v>
                </c:pt>
                <c:pt idx="2">
                  <c:v>75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7777777777801"/>
          <c:y val="0.113425925925926"/>
          <c:w val="0.81388888888888899"/>
          <c:h val="0.773148148148148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</c:spPr>
          </c:dPt>
          <c:dPt>
            <c:idx val="1"/>
            <c:bubble3D val="0"/>
            <c:spPr>
              <a:solidFill>
                <a:srgbClr val="92D050"/>
              </a:solidFill>
            </c:spPr>
          </c:dPt>
          <c:dPt>
            <c:idx val="2"/>
            <c:bubble3D val="0"/>
            <c:spPr>
              <a:solidFill>
                <a:srgbClr val="FFC000"/>
              </a:solidFill>
            </c:spPr>
          </c:dPt>
          <c:dLbls>
            <c:dLbl>
              <c:idx val="0"/>
              <c:layout>
                <c:manualLayout>
                  <c:x val="-0.25923990236943528"/>
                  <c:y val="5.820805525255337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obtenido PVP; $165,74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773534474290743"/>
                  <c:y val="-0.3725750930106993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LMC PUCE; $126,75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6250983805567282"/>
                  <c:y val="0.1381011597755356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Precio Mercado;           $ 75,00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[2]Comparación!$D$201:$F$202</c:f>
              <c:multiLvlStrCache>
                <c:ptCount val="3"/>
                <c:lvl/>
                <c:lvl>
                  <c:pt idx="0">
                    <c:v>Precio obtenido PVP</c:v>
                  </c:pt>
                  <c:pt idx="1">
                    <c:v>Precio LMC PUCE</c:v>
                  </c:pt>
                  <c:pt idx="2">
                    <c:v>Precio Mercado</c:v>
                  </c:pt>
                </c:lvl>
              </c:multiLvlStrCache>
            </c:multiLvlStrRef>
          </c:cat>
          <c:val>
            <c:numRef>
              <c:f>[2]Comparación!$D$266:$F$266</c:f>
              <c:numCache>
                <c:formatCode>General</c:formatCode>
                <c:ptCount val="3"/>
                <c:pt idx="0">
                  <c:v>83.059600000000017</c:v>
                </c:pt>
                <c:pt idx="1">
                  <c:v>126.75</c:v>
                </c:pt>
                <c:pt idx="2">
                  <c:v>75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182880</xdr:colOff>
      <xdr:row>9</xdr:row>
      <xdr:rowOff>140970</xdr:rowOff>
    </xdr:from>
    <xdr:ext cx="1623060" cy="42088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1 CuadroTexto"/>
            <xdr:cNvSpPr txBox="1"/>
          </xdr:nvSpPr>
          <xdr:spPr>
            <a:xfrm>
              <a:off x="8425180" y="1855470"/>
              <a:ext cx="1623060" cy="4208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EC" sz="1100" b="0" i="1">
                        <a:latin typeface="Cambria Math"/>
                      </a:rPr>
                      <m:t>𝑃</m:t>
                    </m:r>
                    <m:d>
                      <m:dPr>
                        <m:ctrlPr>
                          <a:rPr lang="es-EC" sz="1100" b="0" i="1">
                            <a:latin typeface="Cambria Math"/>
                          </a:rPr>
                        </m:ctrlPr>
                      </m:dPr>
                      <m:e>
                        <m:r>
                          <a:rPr lang="es-EC" sz="1100" b="0" i="1">
                            <a:latin typeface="Cambria Math"/>
                          </a:rPr>
                          <m:t>𝑘𝑤</m:t>
                        </m:r>
                      </m:e>
                    </m:d>
                    <m:r>
                      <a:rPr lang="es-EC" sz="1100" b="0" i="1">
                        <a:latin typeface="Cambria Math"/>
                      </a:rPr>
                      <m:t>= </m:t>
                    </m:r>
                    <m:f>
                      <m:fPr>
                        <m:ctrlPr>
                          <a:rPr lang="es-EC" sz="11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es-EC" sz="1100" b="0" i="1">
                            <a:latin typeface="Cambria Math"/>
                          </a:rPr>
                          <m:t>𝐼</m:t>
                        </m:r>
                        <m:d>
                          <m:dPr>
                            <m:ctrlPr>
                              <a:rPr lang="es-EC" sz="1100" b="0" i="1">
                                <a:latin typeface="Cambria Math"/>
                              </a:rPr>
                            </m:ctrlPr>
                          </m:dPr>
                          <m:e>
                            <m:r>
                              <a:rPr lang="es-EC" sz="1100" b="0" i="1">
                                <a:latin typeface="Cambria Math"/>
                              </a:rPr>
                              <m:t>𝐴</m:t>
                            </m:r>
                          </m:e>
                        </m:d>
                        <m:r>
                          <a:rPr lang="es-EC" sz="1100" b="0" i="1">
                            <a:latin typeface="Cambria Math"/>
                          </a:rPr>
                          <m:t>∗</m:t>
                        </m:r>
                        <m:r>
                          <a:rPr lang="es-EC" sz="1100" b="0" i="1">
                            <a:latin typeface="Cambria Math"/>
                          </a:rPr>
                          <m:t>𝑉</m:t>
                        </m:r>
                        <m:r>
                          <a:rPr lang="es-EC" sz="1100" b="0" i="1">
                            <a:latin typeface="Cambria Math"/>
                          </a:rPr>
                          <m:t> (</m:t>
                        </m:r>
                        <m:r>
                          <a:rPr lang="es-EC" sz="1100" b="0" i="1">
                            <a:latin typeface="Cambria Math"/>
                          </a:rPr>
                          <m:t>𝑣</m:t>
                        </m:r>
                        <m:r>
                          <a:rPr lang="es-EC" sz="1100" b="0" i="1">
                            <a:latin typeface="Cambria Math"/>
                          </a:rPr>
                          <m:t>)</m:t>
                        </m:r>
                      </m:num>
                      <m:den>
                        <m:r>
                          <a:rPr lang="es-EC" sz="1100" b="0" i="1">
                            <a:latin typeface="Cambria Math"/>
                          </a:rPr>
                          <m:t>1000</m:t>
                        </m:r>
                      </m:den>
                    </m:f>
                  </m:oMath>
                </m:oMathPara>
              </a14:m>
              <a:endParaRPr lang="es-EC" sz="1100"/>
            </a:p>
          </xdr:txBody>
        </xdr:sp>
      </mc:Choice>
      <mc:Fallback xmlns="">
        <xdr:sp macro="" textlink="">
          <xdr:nvSpPr>
            <xdr:cNvPr id="2" name="1 CuadroTexto"/>
            <xdr:cNvSpPr txBox="1"/>
          </xdr:nvSpPr>
          <xdr:spPr>
            <a:xfrm>
              <a:off x="8425180" y="1855470"/>
              <a:ext cx="1623060" cy="4208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s-EC" sz="1100" b="0" i="0">
                  <a:latin typeface="Cambria Math"/>
                </a:rPr>
                <a:t>𝑃</a:t>
              </a:r>
              <a:r>
                <a:rPr lang="es-EC" sz="1100" b="0" i="0">
                  <a:latin typeface="Cambria Math" charset="0"/>
                </a:rPr>
                <a:t>(</a:t>
              </a:r>
              <a:r>
                <a:rPr lang="es-EC" sz="1100" b="0" i="0">
                  <a:latin typeface="Cambria Math"/>
                </a:rPr>
                <a:t>𝑘𝑤</a:t>
              </a:r>
              <a:r>
                <a:rPr lang="es-EC" sz="1100" b="0" i="0">
                  <a:latin typeface="Cambria Math" charset="0"/>
                </a:rPr>
                <a:t>)</a:t>
              </a:r>
              <a:r>
                <a:rPr lang="es-EC" sz="1100" b="0" i="0">
                  <a:latin typeface="Cambria Math"/>
                </a:rPr>
                <a:t>=  </a:t>
              </a:r>
              <a:r>
                <a:rPr lang="es-EC" sz="1100" b="0" i="0">
                  <a:latin typeface="Cambria Math" charset="0"/>
                </a:rPr>
                <a:t>(</a:t>
              </a:r>
              <a:r>
                <a:rPr lang="es-EC" sz="1100" b="0" i="0">
                  <a:latin typeface="Cambria Math"/>
                </a:rPr>
                <a:t>𝐼</a:t>
              </a:r>
              <a:r>
                <a:rPr lang="es-EC" sz="1100" b="0" i="0">
                  <a:latin typeface="Cambria Math" charset="0"/>
                </a:rPr>
                <a:t>(</a:t>
              </a:r>
              <a:r>
                <a:rPr lang="es-EC" sz="1100" b="0" i="0">
                  <a:latin typeface="Cambria Math"/>
                </a:rPr>
                <a:t>𝐴</a:t>
              </a:r>
              <a:r>
                <a:rPr lang="es-EC" sz="1100" b="0" i="0">
                  <a:latin typeface="Cambria Math" charset="0"/>
                </a:rPr>
                <a:t>)</a:t>
              </a:r>
              <a:r>
                <a:rPr lang="es-EC" sz="1100" b="0" i="0">
                  <a:latin typeface="Cambria Math"/>
                </a:rPr>
                <a:t>∗𝑉 (𝑣)</a:t>
              </a:r>
              <a:r>
                <a:rPr lang="es-EC" sz="1100" b="0" i="0">
                  <a:latin typeface="Cambria Math" charset="0"/>
                </a:rPr>
                <a:t>)/</a:t>
              </a:r>
              <a:r>
                <a:rPr lang="es-EC" sz="1100" b="0" i="0">
                  <a:latin typeface="Cambria Math"/>
                </a:rPr>
                <a:t>1000</a:t>
              </a:r>
              <a:endParaRPr lang="es-EC" sz="1100"/>
            </a:p>
          </xdr:txBody>
        </xdr:sp>
      </mc:Fallback>
    </mc:AlternateContent>
    <xdr:clientData/>
  </xdr:oneCellAnchor>
  <xdr:twoCellAnchor editAs="oneCell">
    <xdr:from>
      <xdr:col>3</xdr:col>
      <xdr:colOff>763693</xdr:colOff>
      <xdr:row>31</xdr:row>
      <xdr:rowOff>16934</xdr:rowOff>
    </xdr:from>
    <xdr:to>
      <xdr:col>7</xdr:col>
      <xdr:colOff>776056</xdr:colOff>
      <xdr:row>36</xdr:row>
      <xdr:rowOff>160113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5993" y="7255934"/>
          <a:ext cx="4279563" cy="1095679"/>
        </a:xfrm>
        <a:prstGeom prst="rect">
          <a:avLst/>
        </a:prstGeom>
      </xdr:spPr>
    </xdr:pic>
    <xdr:clientData/>
  </xdr:twoCellAnchor>
  <xdr:twoCellAnchor editAs="oneCell">
    <xdr:from>
      <xdr:col>3</xdr:col>
      <xdr:colOff>773852</xdr:colOff>
      <xdr:row>37</xdr:row>
      <xdr:rowOff>90816</xdr:rowOff>
    </xdr:from>
    <xdr:to>
      <xdr:col>7</xdr:col>
      <xdr:colOff>103511</xdr:colOff>
      <xdr:row>46</xdr:row>
      <xdr:rowOff>57811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6152" y="8663316"/>
          <a:ext cx="3596859" cy="1681496"/>
        </a:xfrm>
        <a:prstGeom prst="rect">
          <a:avLst/>
        </a:prstGeom>
      </xdr:spPr>
    </xdr:pic>
    <xdr:clientData/>
  </xdr:twoCellAnchor>
  <xdr:twoCellAnchor editAs="oneCell">
    <xdr:from>
      <xdr:col>4</xdr:col>
      <xdr:colOff>24222</xdr:colOff>
      <xdr:row>47</xdr:row>
      <xdr:rowOff>152399</xdr:rowOff>
    </xdr:from>
    <xdr:to>
      <xdr:col>9</xdr:col>
      <xdr:colOff>257912</xdr:colOff>
      <xdr:row>61</xdr:row>
      <xdr:rowOff>116325</xdr:rowOff>
    </xdr:to>
    <xdr:pic>
      <xdr:nvPicPr>
        <xdr:cNvPr id="5" name="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54022" y="10820399"/>
          <a:ext cx="4818390" cy="2630926"/>
        </a:xfrm>
        <a:prstGeom prst="rect">
          <a:avLst/>
        </a:prstGeom>
      </xdr:spPr>
    </xdr:pic>
    <xdr:clientData/>
  </xdr:twoCellAnchor>
  <xdr:twoCellAnchor editAs="oneCell">
    <xdr:from>
      <xdr:col>3</xdr:col>
      <xdr:colOff>820296</xdr:colOff>
      <xdr:row>63</xdr:row>
      <xdr:rowOff>60960</xdr:rowOff>
    </xdr:from>
    <xdr:to>
      <xdr:col>8</xdr:col>
      <xdr:colOff>533223</xdr:colOff>
      <xdr:row>82</xdr:row>
      <xdr:rowOff>134620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62596" y="13776960"/>
          <a:ext cx="5059627" cy="3693160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</xdr:colOff>
      <xdr:row>82</xdr:row>
      <xdr:rowOff>148390</xdr:rowOff>
    </xdr:from>
    <xdr:to>
      <xdr:col>7</xdr:col>
      <xdr:colOff>573162</xdr:colOff>
      <xdr:row>85</xdr:row>
      <xdr:rowOff>17517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50120" y="18055390"/>
          <a:ext cx="3232542" cy="44062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0.36013</cdr:x>
      <cdr:y>0.35475</cdr:y>
    </cdr:from>
    <cdr:to>
      <cdr:x>0.48431</cdr:x>
      <cdr:y>0.43712</cdr:y>
    </cdr:to>
    <cdr:sp macro="" textlink="">
      <cdr:nvSpPr>
        <cdr:cNvPr id="2" name="15 Rectángulo"/>
        <cdr:cNvSpPr/>
      </cdr:nvSpPr>
      <cdr:spPr>
        <a:xfrm xmlns:a="http://schemas.openxmlformats.org/drawingml/2006/main">
          <a:off x="1399540" y="820420"/>
          <a:ext cx="48260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$33,77</a:t>
          </a:r>
        </a:p>
      </cdr:txBody>
    </cdr:sp>
  </cdr:relSizeAnchor>
  <cdr:relSizeAnchor xmlns:cdr="http://schemas.openxmlformats.org/drawingml/2006/chartDrawing">
    <cdr:from>
      <cdr:x>0.66601</cdr:x>
      <cdr:y>0.24272</cdr:y>
    </cdr:from>
    <cdr:to>
      <cdr:x>0.78824</cdr:x>
      <cdr:y>0.3251</cdr:y>
    </cdr:to>
    <cdr:sp macro="" textlink="">
      <cdr:nvSpPr>
        <cdr:cNvPr id="3" name="15 Rectángulo"/>
        <cdr:cNvSpPr/>
      </cdr:nvSpPr>
      <cdr:spPr>
        <a:xfrm xmlns:a="http://schemas.openxmlformats.org/drawingml/2006/main">
          <a:off x="2588260" y="561340"/>
          <a:ext cx="47498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$47,52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0.36013</cdr:x>
      <cdr:y>0.35146</cdr:y>
    </cdr:from>
    <cdr:to>
      <cdr:x>0.49608</cdr:x>
      <cdr:y>0.43383</cdr:y>
    </cdr:to>
    <cdr:sp macro="" textlink="">
      <cdr:nvSpPr>
        <cdr:cNvPr id="2" name="15 Rectángulo"/>
        <cdr:cNvSpPr/>
      </cdr:nvSpPr>
      <cdr:spPr>
        <a:xfrm xmlns:a="http://schemas.openxmlformats.org/drawingml/2006/main">
          <a:off x="1399540" y="812800"/>
          <a:ext cx="52832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$29,83</a:t>
          </a:r>
        </a:p>
      </cdr:txBody>
    </cdr:sp>
  </cdr:relSizeAnchor>
  <cdr:relSizeAnchor xmlns:cdr="http://schemas.openxmlformats.org/drawingml/2006/chartDrawing">
    <cdr:from>
      <cdr:x>0.66405</cdr:x>
      <cdr:y>0.24602</cdr:y>
    </cdr:from>
    <cdr:to>
      <cdr:x>0.79412</cdr:x>
      <cdr:y>0.32839</cdr:y>
    </cdr:to>
    <cdr:sp macro="" textlink="">
      <cdr:nvSpPr>
        <cdr:cNvPr id="3" name="15 Rectángulo"/>
        <cdr:cNvSpPr/>
      </cdr:nvSpPr>
      <cdr:spPr>
        <a:xfrm xmlns:a="http://schemas.openxmlformats.org/drawingml/2006/main">
          <a:off x="2580640" y="568960"/>
          <a:ext cx="50546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$43,58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0.37582</cdr:x>
      <cdr:y>0.3877</cdr:y>
    </cdr:from>
    <cdr:to>
      <cdr:x>0.51373</cdr:x>
      <cdr:y>0.47007</cdr:y>
    </cdr:to>
    <cdr:sp macro="" textlink="">
      <cdr:nvSpPr>
        <cdr:cNvPr id="2" name="15 Rectángulo"/>
        <cdr:cNvSpPr/>
      </cdr:nvSpPr>
      <cdr:spPr>
        <a:xfrm xmlns:a="http://schemas.openxmlformats.org/drawingml/2006/main">
          <a:off x="1460500" y="896620"/>
          <a:ext cx="53594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-$38,99</a:t>
          </a:r>
        </a:p>
      </cdr:txBody>
    </cdr:sp>
  </cdr:relSizeAnchor>
  <cdr:relSizeAnchor xmlns:cdr="http://schemas.openxmlformats.org/drawingml/2006/chartDrawing">
    <cdr:from>
      <cdr:x>0.66797</cdr:x>
      <cdr:y>0.58869</cdr:y>
    </cdr:from>
    <cdr:to>
      <cdr:x>0.8098</cdr:x>
      <cdr:y>0.67106</cdr:y>
    </cdr:to>
    <cdr:sp macro="" textlink="">
      <cdr:nvSpPr>
        <cdr:cNvPr id="3" name="15 Rectángulo"/>
        <cdr:cNvSpPr/>
      </cdr:nvSpPr>
      <cdr:spPr>
        <a:xfrm xmlns:a="http://schemas.openxmlformats.org/drawingml/2006/main">
          <a:off x="2595880" y="1361440"/>
          <a:ext cx="55118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-$90,74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14</xdr:row>
      <xdr:rowOff>176212</xdr:rowOff>
    </xdr:from>
    <xdr:to>
      <xdr:col>5</xdr:col>
      <xdr:colOff>495300</xdr:colOff>
      <xdr:row>29</xdr:row>
      <xdr:rowOff>80962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1376723</xdr:colOff>
      <xdr:row>17</xdr:row>
      <xdr:rowOff>123825</xdr:rowOff>
    </xdr:from>
    <xdr:to>
      <xdr:col>1</xdr:col>
      <xdr:colOff>1847850</xdr:colOff>
      <xdr:row>19</xdr:row>
      <xdr:rowOff>53361</xdr:rowOff>
    </xdr:to>
    <xdr:sp macro="" textlink="">
      <xdr:nvSpPr>
        <xdr:cNvPr id="3" name="Elipse 2"/>
        <xdr:cNvSpPr/>
      </xdr:nvSpPr>
      <xdr:spPr>
        <a:xfrm>
          <a:off x="1521503" y="3232785"/>
          <a:ext cx="471127" cy="295296"/>
        </a:xfrm>
        <a:prstGeom prst="ellips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800"/>
            <a:t>++</a:t>
          </a:r>
        </a:p>
      </xdr:txBody>
    </xdr:sp>
    <xdr:clientData/>
  </xdr:twoCellAnchor>
  <xdr:twoCellAnchor>
    <xdr:from>
      <xdr:col>3</xdr:col>
      <xdr:colOff>466724</xdr:colOff>
      <xdr:row>16</xdr:row>
      <xdr:rowOff>160085</xdr:rowOff>
    </xdr:from>
    <xdr:to>
      <xdr:col>4</xdr:col>
      <xdr:colOff>258792</xdr:colOff>
      <xdr:row>18</xdr:row>
      <xdr:rowOff>114301</xdr:rowOff>
    </xdr:to>
    <xdr:sp macro="" textlink="">
      <xdr:nvSpPr>
        <xdr:cNvPr id="4" name="Elipse 3"/>
        <xdr:cNvSpPr/>
      </xdr:nvSpPr>
      <xdr:spPr>
        <a:xfrm>
          <a:off x="3476624" y="3086165"/>
          <a:ext cx="485488" cy="319976"/>
        </a:xfrm>
        <a:prstGeom prst="ellips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800"/>
            <a:t>9.19</a:t>
          </a:r>
        </a:p>
      </xdr:txBody>
    </xdr:sp>
    <xdr:clientData/>
  </xdr:twoCellAnchor>
  <xdr:twoCellAnchor>
    <xdr:from>
      <xdr:col>1</xdr:col>
      <xdr:colOff>115651</xdr:colOff>
      <xdr:row>31</xdr:row>
      <xdr:rowOff>170214</xdr:rowOff>
    </xdr:from>
    <xdr:to>
      <xdr:col>5</xdr:col>
      <xdr:colOff>475015</xdr:colOff>
      <xdr:row>46</xdr:row>
      <xdr:rowOff>73945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120797</xdr:colOff>
      <xdr:row>48</xdr:row>
      <xdr:rowOff>73999</xdr:rowOff>
    </xdr:from>
    <xdr:to>
      <xdr:col>5</xdr:col>
      <xdr:colOff>472128</xdr:colOff>
      <xdr:row>62</xdr:row>
      <xdr:rowOff>150198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804880</xdr:colOff>
      <xdr:row>32</xdr:row>
      <xdr:rowOff>68730</xdr:rowOff>
    </xdr:from>
    <xdr:to>
      <xdr:col>10</xdr:col>
      <xdr:colOff>502455</xdr:colOff>
      <xdr:row>46</xdr:row>
      <xdr:rowOff>135721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1034502</xdr:colOff>
      <xdr:row>15</xdr:row>
      <xdr:rowOff>23012</xdr:rowOff>
    </xdr:from>
    <xdr:to>
      <xdr:col>13</xdr:col>
      <xdr:colOff>652890</xdr:colOff>
      <xdr:row>29</xdr:row>
      <xdr:rowOff>114661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1242024</xdr:colOff>
      <xdr:row>48</xdr:row>
      <xdr:rowOff>36067</xdr:rowOff>
    </xdr:from>
    <xdr:to>
      <xdr:col>13</xdr:col>
      <xdr:colOff>1097558</xdr:colOff>
      <xdr:row>62</xdr:row>
      <xdr:rowOff>112267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907476</xdr:colOff>
      <xdr:row>48</xdr:row>
      <xdr:rowOff>81496</xdr:rowOff>
    </xdr:from>
    <xdr:to>
      <xdr:col>10</xdr:col>
      <xdr:colOff>601876</xdr:colOff>
      <xdr:row>62</xdr:row>
      <xdr:rowOff>160871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1255152</xdr:colOff>
      <xdr:row>31</xdr:row>
      <xdr:rowOff>41981</xdr:rowOff>
    </xdr:from>
    <xdr:to>
      <xdr:col>13</xdr:col>
      <xdr:colOff>968389</xdr:colOff>
      <xdr:row>45</xdr:row>
      <xdr:rowOff>121356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857383</xdr:colOff>
      <xdr:row>14</xdr:row>
      <xdr:rowOff>182748</xdr:rowOff>
    </xdr:from>
    <xdr:to>
      <xdr:col>10</xdr:col>
      <xdr:colOff>249464</xdr:colOff>
      <xdr:row>29</xdr:row>
      <xdr:rowOff>77520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1317142</xdr:colOff>
      <xdr:row>35</xdr:row>
      <xdr:rowOff>94001</xdr:rowOff>
    </xdr:from>
    <xdr:to>
      <xdr:col>1</xdr:col>
      <xdr:colOff>1845733</xdr:colOff>
      <xdr:row>36</xdr:row>
      <xdr:rowOff>180726</xdr:rowOff>
    </xdr:to>
    <xdr:sp macro="" textlink="">
      <xdr:nvSpPr>
        <xdr:cNvPr id="13" name="Elipse 12"/>
        <xdr:cNvSpPr/>
      </xdr:nvSpPr>
      <xdr:spPr>
        <a:xfrm>
          <a:off x="1461922" y="6494801"/>
          <a:ext cx="528591" cy="269605"/>
        </a:xfrm>
        <a:prstGeom prst="ellips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800"/>
            <a:t>4.63</a:t>
          </a:r>
        </a:p>
      </xdr:txBody>
    </xdr:sp>
    <xdr:clientData/>
  </xdr:twoCellAnchor>
  <xdr:twoCellAnchor>
    <xdr:from>
      <xdr:col>3</xdr:col>
      <xdr:colOff>298822</xdr:colOff>
      <xdr:row>36</xdr:row>
      <xdr:rowOff>160084</xdr:rowOff>
    </xdr:from>
    <xdr:to>
      <xdr:col>4</xdr:col>
      <xdr:colOff>172528</xdr:colOff>
      <xdr:row>38</xdr:row>
      <xdr:rowOff>53361</xdr:rowOff>
    </xdr:to>
    <xdr:sp macro="" textlink="">
      <xdr:nvSpPr>
        <xdr:cNvPr id="14" name="Elipse 13"/>
        <xdr:cNvSpPr/>
      </xdr:nvSpPr>
      <xdr:spPr>
        <a:xfrm>
          <a:off x="3308722" y="6743764"/>
          <a:ext cx="567126" cy="259037"/>
        </a:xfrm>
        <a:prstGeom prst="ellips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800"/>
            <a:t>-1.87</a:t>
          </a: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0.22673</cdr:x>
      <cdr:y>0.41772</cdr:y>
    </cdr:from>
    <cdr:to>
      <cdr:x>0.34443</cdr:x>
      <cdr:y>0.51148</cdr:y>
    </cdr:to>
    <cdr:sp macro="" textlink="">
      <cdr:nvSpPr>
        <cdr:cNvPr id="4" name="Elipse 3"/>
        <cdr:cNvSpPr/>
      </cdr:nvSpPr>
      <cdr:spPr>
        <a:xfrm xmlns:a="http://schemas.openxmlformats.org/drawingml/2006/main">
          <a:off x="1157191" y="1152893"/>
          <a:ext cx="600720" cy="258768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21.60</a:t>
          </a:r>
        </a:p>
      </cdr:txBody>
    </cdr:sp>
  </cdr:relSizeAnchor>
  <cdr:relSizeAnchor xmlns:cdr="http://schemas.openxmlformats.org/drawingml/2006/chartDrawing">
    <cdr:from>
      <cdr:x>0.6518</cdr:x>
      <cdr:y>0.22096</cdr:y>
    </cdr:from>
    <cdr:to>
      <cdr:x>0.77134</cdr:x>
      <cdr:y>0.32129</cdr:y>
    </cdr:to>
    <cdr:sp macro="" textlink="">
      <cdr:nvSpPr>
        <cdr:cNvPr id="5" name="Elipse 4"/>
        <cdr:cNvSpPr/>
      </cdr:nvSpPr>
      <cdr:spPr>
        <a:xfrm xmlns:a="http://schemas.openxmlformats.org/drawingml/2006/main">
          <a:off x="3326683" y="609845"/>
          <a:ext cx="610130" cy="276913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29.85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0.22846</cdr:x>
      <cdr:y>0.24242</cdr:y>
    </cdr:from>
    <cdr:to>
      <cdr:x>0.3482</cdr:x>
      <cdr:y>0.36253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073967" y="626176"/>
          <a:ext cx="562908" cy="310250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-$1.55</a:t>
          </a:r>
        </a:p>
        <a:p xmlns:a="http://schemas.openxmlformats.org/drawingml/2006/main">
          <a:pPr algn="l"/>
          <a:endParaRPr lang="es-CO" sz="800"/>
        </a:p>
      </cdr:txBody>
    </cdr:sp>
  </cdr:relSizeAnchor>
  <cdr:relSizeAnchor xmlns:cdr="http://schemas.openxmlformats.org/drawingml/2006/chartDrawing">
    <cdr:from>
      <cdr:x>0.65694</cdr:x>
      <cdr:y>0.2953</cdr:y>
    </cdr:from>
    <cdr:to>
      <cdr:x>0.7825</cdr:x>
      <cdr:y>0.41406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3088206" y="762760"/>
          <a:ext cx="590254" cy="306769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-$4.55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0.2379</cdr:x>
      <cdr:y>0.17182</cdr:y>
    </cdr:from>
    <cdr:to>
      <cdr:x>0.35403</cdr:x>
      <cdr:y>0.27272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208976" y="474133"/>
          <a:ext cx="590108" cy="278423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-5.46</a:t>
          </a:r>
        </a:p>
      </cdr:txBody>
    </cdr:sp>
  </cdr:relSizeAnchor>
  <cdr:relSizeAnchor xmlns:cdr="http://schemas.openxmlformats.org/drawingml/2006/chartDrawing">
    <cdr:from>
      <cdr:x>0.66071</cdr:x>
      <cdr:y>0.35418</cdr:y>
    </cdr:from>
    <cdr:to>
      <cdr:x>0.77683</cdr:x>
      <cdr:y>0.45508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3357592" y="977341"/>
          <a:ext cx="590108" cy="278423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-9.71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0.2303</cdr:x>
      <cdr:y>0.57985</cdr:y>
    </cdr:from>
    <cdr:to>
      <cdr:x>0.32876</cdr:x>
      <cdr:y>0.67154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225887" y="1616845"/>
          <a:ext cx="524124" cy="255675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5.49</a:t>
          </a:r>
        </a:p>
      </cdr:txBody>
    </cdr:sp>
  </cdr:relSizeAnchor>
  <cdr:relSizeAnchor xmlns:cdr="http://schemas.openxmlformats.org/drawingml/2006/chartDrawing">
    <cdr:from>
      <cdr:x>0.65093</cdr:x>
      <cdr:y>0.23835</cdr:y>
    </cdr:from>
    <cdr:to>
      <cdr:x>0.76172</cdr:x>
      <cdr:y>0.33188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3464869" y="664621"/>
          <a:ext cx="589762" cy="260782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25.24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0.2286</cdr:x>
      <cdr:y>0.48379</cdr:y>
    </cdr:from>
    <cdr:to>
      <cdr:x>0.34092</cdr:x>
      <cdr:y>0.58455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200989" y="1336775"/>
          <a:ext cx="590108" cy="278423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35.69</a:t>
          </a:r>
        </a:p>
      </cdr:txBody>
    </cdr:sp>
  </cdr:relSizeAnchor>
  <cdr:relSizeAnchor xmlns:cdr="http://schemas.openxmlformats.org/drawingml/2006/chartDrawing">
    <cdr:from>
      <cdr:x>0.65126</cdr:x>
      <cdr:y>0.17159</cdr:y>
    </cdr:from>
    <cdr:to>
      <cdr:x>0.76358</cdr:x>
      <cdr:y>0.27235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3421492" y="474134"/>
          <a:ext cx="590108" cy="278423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49.44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0.21888</cdr:x>
      <cdr:y>0.1727</cdr:y>
    </cdr:from>
    <cdr:to>
      <cdr:x>0.3568</cdr:x>
      <cdr:y>0.27814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133086" y="477202"/>
          <a:ext cx="713923" cy="291330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-105.13</a:t>
          </a:r>
        </a:p>
      </cdr:txBody>
    </cdr:sp>
  </cdr:relSizeAnchor>
  <cdr:relSizeAnchor xmlns:cdr="http://schemas.openxmlformats.org/drawingml/2006/chartDrawing">
    <cdr:from>
      <cdr:x>0.63086</cdr:x>
      <cdr:y>0.53871</cdr:y>
    </cdr:from>
    <cdr:to>
      <cdr:x>0.76723</cdr:x>
      <cdr:y>0.63947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3265728" y="1488536"/>
          <a:ext cx="705935" cy="278423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-156.88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789708</xdr:colOff>
      <xdr:row>19</xdr:row>
      <xdr:rowOff>138545</xdr:rowOff>
    </xdr:from>
    <xdr:to>
      <xdr:col>6</xdr:col>
      <xdr:colOff>512617</xdr:colOff>
      <xdr:row>35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6</xdr:col>
      <xdr:colOff>512618</xdr:colOff>
      <xdr:row>65</xdr:row>
      <xdr:rowOff>41564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81</xdr:row>
      <xdr:rowOff>0</xdr:rowOff>
    </xdr:from>
    <xdr:to>
      <xdr:col>6</xdr:col>
      <xdr:colOff>512618</xdr:colOff>
      <xdr:row>96</xdr:row>
      <xdr:rowOff>41563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113</xdr:row>
      <xdr:rowOff>0</xdr:rowOff>
    </xdr:from>
    <xdr:to>
      <xdr:col>6</xdr:col>
      <xdr:colOff>512618</xdr:colOff>
      <xdr:row>128</xdr:row>
      <xdr:rowOff>41563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6</xdr:col>
      <xdr:colOff>512618</xdr:colOff>
      <xdr:row>158</xdr:row>
      <xdr:rowOff>41564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174</xdr:row>
      <xdr:rowOff>0</xdr:rowOff>
    </xdr:from>
    <xdr:to>
      <xdr:col>6</xdr:col>
      <xdr:colOff>512618</xdr:colOff>
      <xdr:row>189</xdr:row>
      <xdr:rowOff>41564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152400</xdr:colOff>
      <xdr:row>204</xdr:row>
      <xdr:rowOff>76200</xdr:rowOff>
    </xdr:from>
    <xdr:to>
      <xdr:col>6</xdr:col>
      <xdr:colOff>665018</xdr:colOff>
      <xdr:row>219</xdr:row>
      <xdr:rowOff>117764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193963</xdr:colOff>
      <xdr:row>235</xdr:row>
      <xdr:rowOff>96982</xdr:rowOff>
    </xdr:from>
    <xdr:to>
      <xdr:col>6</xdr:col>
      <xdr:colOff>706581</xdr:colOff>
      <xdr:row>250</xdr:row>
      <xdr:rowOff>138545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6</xdr:col>
      <xdr:colOff>512618</xdr:colOff>
      <xdr:row>283</xdr:row>
      <xdr:rowOff>41563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1242060</xdr:colOff>
      <xdr:row>21</xdr:row>
      <xdr:rowOff>19050</xdr:rowOff>
    </xdr:from>
    <xdr:to>
      <xdr:col>11</xdr:col>
      <xdr:colOff>121920</xdr:colOff>
      <xdr:row>34</xdr:row>
      <xdr:rowOff>186690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0.21562</cdr:x>
      <cdr:y>0.41285</cdr:y>
    </cdr:from>
    <cdr:to>
      <cdr:x>0.3348</cdr:x>
      <cdr:y>0.51393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067907" y="1150336"/>
          <a:ext cx="590286" cy="281666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28.10</a:t>
          </a:r>
        </a:p>
      </cdr:txBody>
    </cdr:sp>
  </cdr:relSizeAnchor>
  <cdr:relSizeAnchor xmlns:cdr="http://schemas.openxmlformats.org/drawingml/2006/chartDrawing">
    <cdr:from>
      <cdr:x>0.64685</cdr:x>
      <cdr:y>0.16855</cdr:y>
    </cdr:from>
    <cdr:to>
      <cdr:x>0.76571</cdr:x>
      <cdr:y>0.27613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3203746" y="469641"/>
          <a:ext cx="588689" cy="299763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O" sz="800"/>
            <a:t>41.85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14</xdr:row>
      <xdr:rowOff>0</xdr:rowOff>
    </xdr:from>
    <xdr:to>
      <xdr:col>3</xdr:col>
      <xdr:colOff>495300</xdr:colOff>
      <xdr:row>25</xdr:row>
      <xdr:rowOff>133350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14</xdr:row>
      <xdr:rowOff>0</xdr:rowOff>
    </xdr:from>
    <xdr:to>
      <xdr:col>7</xdr:col>
      <xdr:colOff>739140</xdr:colOff>
      <xdr:row>25</xdr:row>
      <xdr:rowOff>133350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1089660</xdr:colOff>
      <xdr:row>14</xdr:row>
      <xdr:rowOff>0</xdr:rowOff>
    </xdr:from>
    <xdr:to>
      <xdr:col>12</xdr:col>
      <xdr:colOff>457200</xdr:colOff>
      <xdr:row>25</xdr:row>
      <xdr:rowOff>133350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26</xdr:row>
      <xdr:rowOff>182880</xdr:rowOff>
    </xdr:from>
    <xdr:to>
      <xdr:col>3</xdr:col>
      <xdr:colOff>472440</xdr:colOff>
      <xdr:row>38</xdr:row>
      <xdr:rowOff>118110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7</xdr:col>
      <xdr:colOff>739140</xdr:colOff>
      <xdr:row>38</xdr:row>
      <xdr:rowOff>133350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12</xdr:col>
      <xdr:colOff>472440</xdr:colOff>
      <xdr:row>38</xdr:row>
      <xdr:rowOff>133350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114300</xdr:colOff>
      <xdr:row>39</xdr:row>
      <xdr:rowOff>190500</xdr:rowOff>
    </xdr:from>
    <xdr:to>
      <xdr:col>3</xdr:col>
      <xdr:colOff>472440</xdr:colOff>
      <xdr:row>51</xdr:row>
      <xdr:rowOff>125730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40</xdr:row>
      <xdr:rowOff>0</xdr:rowOff>
    </xdr:from>
    <xdr:to>
      <xdr:col>7</xdr:col>
      <xdr:colOff>739140</xdr:colOff>
      <xdr:row>51</xdr:row>
      <xdr:rowOff>133350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40</xdr:row>
      <xdr:rowOff>0</xdr:rowOff>
    </xdr:from>
    <xdr:to>
      <xdr:col>12</xdr:col>
      <xdr:colOff>472440</xdr:colOff>
      <xdr:row>51</xdr:row>
      <xdr:rowOff>133350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838200</xdr:colOff>
      <xdr:row>3</xdr:row>
      <xdr:rowOff>53340</xdr:rowOff>
    </xdr:from>
    <xdr:to>
      <xdr:col>10</xdr:col>
      <xdr:colOff>449580</xdr:colOff>
      <xdr:row>4</xdr:row>
      <xdr:rowOff>45720</xdr:rowOff>
    </xdr:to>
    <xdr:sp macro="" textlink="">
      <xdr:nvSpPr>
        <xdr:cNvPr id="16" name="15 Rectángulo"/>
        <xdr:cNvSpPr/>
      </xdr:nvSpPr>
      <xdr:spPr>
        <a:xfrm>
          <a:off x="10325100" y="647700"/>
          <a:ext cx="464820" cy="1905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EC" sz="800"/>
            <a:t>-$0,57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0.37315</cdr:x>
      <cdr:y>0.61834</cdr:y>
    </cdr:from>
    <cdr:to>
      <cdr:x>0.49069</cdr:x>
      <cdr:y>0.70071</cdr:y>
    </cdr:to>
    <cdr:sp macro="" textlink="">
      <cdr:nvSpPr>
        <cdr:cNvPr id="3" name="15 Rectángulo"/>
        <cdr:cNvSpPr/>
      </cdr:nvSpPr>
      <cdr:spPr>
        <a:xfrm xmlns:a="http://schemas.openxmlformats.org/drawingml/2006/main">
          <a:off x="1475740" y="1430020"/>
          <a:ext cx="46482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-$0,57</a:t>
          </a:r>
        </a:p>
      </cdr:txBody>
    </cdr:sp>
  </cdr:relSizeAnchor>
  <cdr:relSizeAnchor xmlns:cdr="http://schemas.openxmlformats.org/drawingml/2006/chartDrawing">
    <cdr:from>
      <cdr:x>0.67759</cdr:x>
      <cdr:y>0.27567</cdr:y>
    </cdr:from>
    <cdr:to>
      <cdr:x>0.78805</cdr:x>
      <cdr:y>0.35805</cdr:y>
    </cdr:to>
    <cdr:sp macro="" textlink="">
      <cdr:nvSpPr>
        <cdr:cNvPr id="4" name="15 Rectángulo"/>
        <cdr:cNvSpPr/>
      </cdr:nvSpPr>
      <cdr:spPr>
        <a:xfrm xmlns:a="http://schemas.openxmlformats.org/drawingml/2006/main">
          <a:off x="2679700" y="637540"/>
          <a:ext cx="43688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$4,18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0.36993</cdr:x>
      <cdr:y>0.2592</cdr:y>
    </cdr:from>
    <cdr:to>
      <cdr:x>0.48039</cdr:x>
      <cdr:y>0.34157</cdr:y>
    </cdr:to>
    <cdr:sp macro="" textlink="">
      <cdr:nvSpPr>
        <cdr:cNvPr id="4" name="15 Rectángulo"/>
        <cdr:cNvSpPr/>
      </cdr:nvSpPr>
      <cdr:spPr>
        <a:xfrm xmlns:a="http://schemas.openxmlformats.org/drawingml/2006/main">
          <a:off x="1437640" y="599440"/>
          <a:ext cx="42926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$4,52</a:t>
          </a:r>
        </a:p>
      </cdr:txBody>
    </cdr:sp>
  </cdr:relSizeAnchor>
  <cdr:relSizeAnchor xmlns:cdr="http://schemas.openxmlformats.org/drawingml/2006/chartDrawing">
    <cdr:from>
      <cdr:x>0.66797</cdr:x>
      <cdr:y>0.52608</cdr:y>
    </cdr:from>
    <cdr:to>
      <cdr:x>0.81498</cdr:x>
      <cdr:y>0.62857</cdr:y>
    </cdr:to>
    <cdr:sp macro="" textlink="">
      <cdr:nvSpPr>
        <cdr:cNvPr id="6" name="15 Rectángulo"/>
        <cdr:cNvSpPr/>
      </cdr:nvSpPr>
      <cdr:spPr>
        <a:xfrm xmlns:a="http://schemas.openxmlformats.org/drawingml/2006/main">
          <a:off x="2599681" y="1227672"/>
          <a:ext cx="572143" cy="239177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-$1,98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0.36013</cdr:x>
      <cdr:y>0.39758</cdr:y>
    </cdr:from>
    <cdr:to>
      <cdr:x>0.48627</cdr:x>
      <cdr:y>0.47996</cdr:y>
    </cdr:to>
    <cdr:sp macro="" textlink="">
      <cdr:nvSpPr>
        <cdr:cNvPr id="2" name="15 Rectángulo"/>
        <cdr:cNvSpPr/>
      </cdr:nvSpPr>
      <cdr:spPr>
        <a:xfrm xmlns:a="http://schemas.openxmlformats.org/drawingml/2006/main">
          <a:off x="1399540" y="919480"/>
          <a:ext cx="49022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$25,08</a:t>
          </a:r>
        </a:p>
      </cdr:txBody>
    </cdr:sp>
  </cdr:relSizeAnchor>
  <cdr:relSizeAnchor xmlns:cdr="http://schemas.openxmlformats.org/drawingml/2006/chartDrawing">
    <cdr:from>
      <cdr:x>0.65621</cdr:x>
      <cdr:y>0.31192</cdr:y>
    </cdr:from>
    <cdr:to>
      <cdr:x>0.78431</cdr:x>
      <cdr:y>0.39429</cdr:y>
    </cdr:to>
    <cdr:sp macro="" textlink="">
      <cdr:nvSpPr>
        <cdr:cNvPr id="3" name="15 Rectángulo"/>
        <cdr:cNvSpPr/>
      </cdr:nvSpPr>
      <cdr:spPr>
        <a:xfrm xmlns:a="http://schemas.openxmlformats.org/drawingml/2006/main">
          <a:off x="2550160" y="721360"/>
          <a:ext cx="49784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$33,33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0.37582</cdr:x>
      <cdr:y>0.24272</cdr:y>
    </cdr:from>
    <cdr:to>
      <cdr:x>0.48627</cdr:x>
      <cdr:y>0.3251</cdr:y>
    </cdr:to>
    <cdr:sp macro="" textlink="">
      <cdr:nvSpPr>
        <cdr:cNvPr id="2" name="15 Rectángulo"/>
        <cdr:cNvSpPr/>
      </cdr:nvSpPr>
      <cdr:spPr>
        <a:xfrm xmlns:a="http://schemas.openxmlformats.org/drawingml/2006/main">
          <a:off x="1460500" y="561340"/>
          <a:ext cx="42926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$4,44</a:t>
          </a:r>
        </a:p>
      </cdr:txBody>
    </cdr:sp>
  </cdr:relSizeAnchor>
  <cdr:relSizeAnchor xmlns:cdr="http://schemas.openxmlformats.org/drawingml/2006/chartDrawing">
    <cdr:from>
      <cdr:x>0.66993</cdr:x>
      <cdr:y>0.32839</cdr:y>
    </cdr:from>
    <cdr:to>
      <cdr:x>0.78039</cdr:x>
      <cdr:y>0.41076</cdr:y>
    </cdr:to>
    <cdr:sp macro="" textlink="">
      <cdr:nvSpPr>
        <cdr:cNvPr id="3" name="15 Rectángulo"/>
        <cdr:cNvSpPr/>
      </cdr:nvSpPr>
      <cdr:spPr>
        <a:xfrm xmlns:a="http://schemas.openxmlformats.org/drawingml/2006/main">
          <a:off x="2603500" y="759460"/>
          <a:ext cx="42926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$1,44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0.37776</cdr:x>
      <cdr:y>0.33228</cdr:y>
    </cdr:from>
    <cdr:to>
      <cdr:x>0.48822</cdr:x>
      <cdr:y>0.41465</cdr:y>
    </cdr:to>
    <cdr:sp macro="" textlink="">
      <cdr:nvSpPr>
        <cdr:cNvPr id="2" name="15 Rectángulo"/>
        <cdr:cNvSpPr/>
      </cdr:nvSpPr>
      <cdr:spPr>
        <a:xfrm xmlns:a="http://schemas.openxmlformats.org/drawingml/2006/main">
          <a:off x="1470223" y="775411"/>
          <a:ext cx="429891" cy="192226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$2,44</a:t>
          </a:r>
        </a:p>
      </cdr:txBody>
    </cdr:sp>
  </cdr:relSizeAnchor>
  <cdr:relSizeAnchor xmlns:cdr="http://schemas.openxmlformats.org/drawingml/2006/chartDrawing">
    <cdr:from>
      <cdr:x>0.66405</cdr:x>
      <cdr:y>0.41553</cdr:y>
    </cdr:from>
    <cdr:to>
      <cdr:x>0.78431</cdr:x>
      <cdr:y>0.4979</cdr:y>
    </cdr:to>
    <cdr:sp macro="" textlink="">
      <cdr:nvSpPr>
        <cdr:cNvPr id="3" name="15 Rectángulo"/>
        <cdr:cNvSpPr/>
      </cdr:nvSpPr>
      <cdr:spPr>
        <a:xfrm xmlns:a="http://schemas.openxmlformats.org/drawingml/2006/main">
          <a:off x="2584435" y="969693"/>
          <a:ext cx="468047" cy="192226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-$1,81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0.3719</cdr:x>
      <cdr:y>0.56892</cdr:y>
    </cdr:from>
    <cdr:to>
      <cdr:x>0.48235</cdr:x>
      <cdr:y>0.65129</cdr:y>
    </cdr:to>
    <cdr:sp macro="" textlink="">
      <cdr:nvSpPr>
        <cdr:cNvPr id="2" name="15 Rectángulo"/>
        <cdr:cNvSpPr/>
      </cdr:nvSpPr>
      <cdr:spPr>
        <a:xfrm xmlns:a="http://schemas.openxmlformats.org/drawingml/2006/main">
          <a:off x="1445260" y="1315720"/>
          <a:ext cx="42926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$2,10</a:t>
          </a:r>
        </a:p>
      </cdr:txBody>
    </cdr:sp>
  </cdr:relSizeAnchor>
  <cdr:relSizeAnchor xmlns:cdr="http://schemas.openxmlformats.org/drawingml/2006/chartDrawing">
    <cdr:from>
      <cdr:x>0.66601</cdr:x>
      <cdr:y>0.26908</cdr:y>
    </cdr:from>
    <cdr:to>
      <cdr:x>0.7902</cdr:x>
      <cdr:y>0.35146</cdr:y>
    </cdr:to>
    <cdr:sp macro="" textlink="">
      <cdr:nvSpPr>
        <cdr:cNvPr id="3" name="15 Rectángulo"/>
        <cdr:cNvSpPr/>
      </cdr:nvSpPr>
      <cdr:spPr>
        <a:xfrm xmlns:a="http://schemas.openxmlformats.org/drawingml/2006/main">
          <a:off x="2588260" y="622300"/>
          <a:ext cx="482600" cy="19050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C" sz="800"/>
            <a:t>$1,85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TESIS/Tesis%20costos/Costos%20finales-con%20luz%20en%20materia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ostos%20finales-con%20luz%20en%20mater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os"/>
      <sheetName val="Costos M.O."/>
      <sheetName val="# Ensayos mesuales"/>
      <sheetName val="Costos horarios"/>
      <sheetName val="Rendimientos"/>
      <sheetName val="Costos totales"/>
      <sheetName val="APUS"/>
      <sheetName val="Comparación"/>
      <sheetName val="conclusiones"/>
    </sheetNames>
    <sheetDataSet>
      <sheetData sheetId="0"/>
      <sheetData sheetId="1"/>
      <sheetData sheetId="2"/>
      <sheetData sheetId="3">
        <row r="6">
          <cell r="F6">
            <v>9.9754098360655741E-2</v>
          </cell>
        </row>
        <row r="14">
          <cell r="F14">
            <v>1.008E-2</v>
          </cell>
        </row>
        <row r="22">
          <cell r="C22">
            <v>2651.04</v>
          </cell>
        </row>
        <row r="35">
          <cell r="F35">
            <v>0.8</v>
          </cell>
        </row>
        <row r="114">
          <cell r="F114">
            <v>0.84636986301369865</v>
          </cell>
        </row>
      </sheetData>
      <sheetData sheetId="4">
        <row r="3">
          <cell r="B3">
            <v>0.66110000000000002</v>
          </cell>
        </row>
      </sheetData>
      <sheetData sheetId="5">
        <row r="13">
          <cell r="K13">
            <v>6.6699999999999995E-2</v>
          </cell>
        </row>
        <row r="172">
          <cell r="I172">
            <v>7.0000000000000007E-2</v>
          </cell>
        </row>
        <row r="174">
          <cell r="I174">
            <v>0.38</v>
          </cell>
        </row>
        <row r="176">
          <cell r="I176">
            <v>37.31</v>
          </cell>
        </row>
        <row r="205">
          <cell r="I205">
            <v>7.0000000000000007E-2</v>
          </cell>
        </row>
        <row r="207">
          <cell r="I207">
            <v>0.89</v>
          </cell>
        </row>
        <row r="209">
          <cell r="I209">
            <v>39.28</v>
          </cell>
        </row>
        <row r="220">
          <cell r="I220">
            <v>7.0000000000000007E-2</v>
          </cell>
        </row>
        <row r="222">
          <cell r="I222">
            <v>20.329999999999998</v>
          </cell>
        </row>
        <row r="224">
          <cell r="I224">
            <v>45.75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os"/>
      <sheetName val="Costos M.O."/>
      <sheetName val="# Ensayos mesuales"/>
      <sheetName val="Costos horarios"/>
      <sheetName val="Rendimientos"/>
      <sheetName val="Costos totales"/>
      <sheetName val="APUS"/>
      <sheetName val="Comparación"/>
      <sheetName val="conclu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17">
          <cell r="D17" t="str">
            <v>Precio obtenido PVP</v>
          </cell>
          <cell r="E17" t="str">
            <v>Precio LMC PUCE</v>
          </cell>
          <cell r="F17" t="str">
            <v>Precio Mercado</v>
          </cell>
        </row>
        <row r="19">
          <cell r="D19">
            <v>28.98574</v>
          </cell>
          <cell r="E19">
            <v>32.25</v>
          </cell>
          <cell r="F19">
            <v>37</v>
          </cell>
        </row>
        <row r="47">
          <cell r="D47" t="str">
            <v>Precio obtenido PVP</v>
          </cell>
          <cell r="E47" t="str">
            <v>Precio LMC PUCE</v>
          </cell>
          <cell r="F47" t="str">
            <v>Precio Mercado</v>
          </cell>
        </row>
        <row r="49">
          <cell r="D49">
            <v>10.17586</v>
          </cell>
          <cell r="E49">
            <v>14.5</v>
          </cell>
          <cell r="F49">
            <v>8</v>
          </cell>
        </row>
        <row r="80">
          <cell r="D80">
            <v>20.266200000000001</v>
          </cell>
          <cell r="E80">
            <v>41.75</v>
          </cell>
          <cell r="F80">
            <v>50</v>
          </cell>
        </row>
        <row r="112">
          <cell r="D112">
            <v>24.810500000000001</v>
          </cell>
          <cell r="E112">
            <v>23</v>
          </cell>
          <cell r="F112">
            <v>20</v>
          </cell>
        </row>
        <row r="142">
          <cell r="D142">
            <v>29.907799999999998</v>
          </cell>
          <cell r="E142">
            <v>24.25</v>
          </cell>
          <cell r="F142">
            <v>20</v>
          </cell>
        </row>
        <row r="201">
          <cell r="D201" t="str">
            <v>Precio obtenido PVP</v>
          </cell>
          <cell r="E201" t="str">
            <v>Precio LMC PUCE</v>
          </cell>
          <cell r="F201" t="str">
            <v>Precio Mercado</v>
          </cell>
        </row>
        <row r="203">
          <cell r="D203">
            <v>16.3566</v>
          </cell>
          <cell r="E203">
            <v>61.25</v>
          </cell>
          <cell r="F203">
            <v>75</v>
          </cell>
        </row>
        <row r="233">
          <cell r="D233">
            <v>28.035799999999998</v>
          </cell>
          <cell r="E233">
            <v>61.25</v>
          </cell>
          <cell r="F233">
            <v>75</v>
          </cell>
        </row>
        <row r="266">
          <cell r="D266">
            <v>83.059600000000017</v>
          </cell>
          <cell r="E266">
            <v>126.75</v>
          </cell>
          <cell r="F266">
            <v>75</v>
          </cell>
        </row>
      </sheetData>
      <sheetData sheetId="8">
        <row r="3">
          <cell r="C3" t="str">
            <v>Precio obtenido</v>
          </cell>
          <cell r="D3" t="str">
            <v>Precio LMC PUCE</v>
          </cell>
          <cell r="E3" t="str">
            <v>Precio Mercado</v>
          </cell>
        </row>
        <row r="4">
          <cell r="B4" t="str">
            <v xml:space="preserve">Ensayo </v>
          </cell>
        </row>
        <row r="5">
          <cell r="B5" t="str">
            <v>SUCS</v>
          </cell>
          <cell r="C5">
            <v>28.98574</v>
          </cell>
          <cell r="D5">
            <v>32.25</v>
          </cell>
          <cell r="E5">
            <v>37</v>
          </cell>
        </row>
        <row r="6">
          <cell r="B6" t="str">
            <v>Densidad</v>
          </cell>
          <cell r="C6">
            <v>10.17586</v>
          </cell>
          <cell r="D6">
            <v>14.5</v>
          </cell>
          <cell r="E6">
            <v>8</v>
          </cell>
        </row>
        <row r="7">
          <cell r="B7" t="str">
            <v>Granulmetria por hidrómetro</v>
          </cell>
          <cell r="C7">
            <v>20.266200000000001</v>
          </cell>
          <cell r="D7">
            <v>41.75</v>
          </cell>
          <cell r="E7">
            <v>50</v>
          </cell>
        </row>
        <row r="8">
          <cell r="B8" t="str">
            <v>Compactación estándar</v>
          </cell>
          <cell r="C8">
            <v>24.810500000000001</v>
          </cell>
          <cell r="D8">
            <v>23</v>
          </cell>
          <cell r="E8">
            <v>20</v>
          </cell>
        </row>
        <row r="9">
          <cell r="B9" t="str">
            <v>Compactación modificada</v>
          </cell>
          <cell r="C9">
            <v>29.907799999999998</v>
          </cell>
          <cell r="D9">
            <v>24.25</v>
          </cell>
          <cell r="E9">
            <v>29.907799999999998</v>
          </cell>
        </row>
        <row r="10">
          <cell r="B10" t="str">
            <v>Compresión simple en el suelo</v>
          </cell>
          <cell r="C10">
            <v>14.8642</v>
          </cell>
          <cell r="D10">
            <v>20.25</v>
          </cell>
          <cell r="E10">
            <v>40</v>
          </cell>
        </row>
        <row r="11">
          <cell r="B11" t="str">
            <v>Corte directo C-U saturado</v>
          </cell>
          <cell r="C11">
            <v>16.3566</v>
          </cell>
          <cell r="D11">
            <v>61.25</v>
          </cell>
          <cell r="E11">
            <v>75</v>
          </cell>
        </row>
        <row r="12">
          <cell r="B12" t="str">
            <v>Triaxial U-U sin saturar</v>
          </cell>
          <cell r="C12">
            <v>28.035799999999998</v>
          </cell>
          <cell r="D12">
            <v>61.25</v>
          </cell>
          <cell r="E12">
            <v>75</v>
          </cell>
        </row>
        <row r="13">
          <cell r="B13" t="str">
            <v>Triaxial U-U saturado</v>
          </cell>
          <cell r="C13">
            <v>83.059600000000017</v>
          </cell>
          <cell r="D13">
            <v>126.75</v>
          </cell>
          <cell r="E13">
            <v>75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B2:L277"/>
  <sheetViews>
    <sheetView topLeftCell="A52" zoomScale="87" zoomScaleNormal="125" zoomScalePageLayoutView="125" workbookViewId="0">
      <selection activeCell="B63" sqref="B63:C67"/>
    </sheetView>
  </sheetViews>
  <sheetFormatPr baseColWidth="10" defaultColWidth="10.796875" defaultRowHeight="14.4"/>
  <cols>
    <col min="1" max="1" width="10.796875" style="40"/>
    <col min="2" max="2" width="19.5" style="40" customWidth="1"/>
    <col min="3" max="3" width="21.5" style="40" customWidth="1"/>
    <col min="4" max="4" width="20.796875" style="40" bestFit="1" customWidth="1"/>
    <col min="5" max="5" width="10.796875" style="40"/>
    <col min="6" max="6" width="13.5" style="40" bestFit="1" customWidth="1"/>
    <col min="7" max="7" width="10.796875" style="40"/>
    <col min="8" max="8" width="14.19921875" style="40" bestFit="1" customWidth="1"/>
    <col min="9" max="16384" width="10.796875" style="40"/>
  </cols>
  <sheetData>
    <row r="2" spans="2:12">
      <c r="B2" s="537" t="s">
        <v>111</v>
      </c>
      <c r="C2" s="537"/>
      <c r="D2" s="41"/>
    </row>
    <row r="3" spans="2:12">
      <c r="B3" s="537" t="s">
        <v>112</v>
      </c>
      <c r="C3" s="537"/>
      <c r="D3" s="42"/>
      <c r="H3" s="40" t="s">
        <v>113</v>
      </c>
    </row>
    <row r="4" spans="2:12">
      <c r="B4" s="43" t="s">
        <v>114</v>
      </c>
      <c r="C4" s="43">
        <v>122</v>
      </c>
      <c r="D4" s="42"/>
    </row>
    <row r="5" spans="2:12">
      <c r="B5" s="43" t="s">
        <v>115</v>
      </c>
      <c r="C5" s="43">
        <v>12.17</v>
      </c>
      <c r="D5" s="42"/>
      <c r="I5" s="40" t="s">
        <v>116</v>
      </c>
      <c r="J5" s="40" t="s">
        <v>117</v>
      </c>
      <c r="K5" s="40">
        <v>1500</v>
      </c>
    </row>
    <row r="6" spans="2:12">
      <c r="B6" s="44" t="s">
        <v>118</v>
      </c>
      <c r="C6" s="45">
        <f>+C5/C4</f>
        <v>9.9754098360655741E-2</v>
      </c>
      <c r="D6" s="42"/>
      <c r="J6" s="40" t="s">
        <v>119</v>
      </c>
      <c r="K6" s="40">
        <v>1200</v>
      </c>
    </row>
    <row r="7" spans="2:12">
      <c r="J7" s="40" t="s">
        <v>120</v>
      </c>
      <c r="K7" s="40">
        <v>1000</v>
      </c>
    </row>
    <row r="8" spans="2:12">
      <c r="J8" s="40" t="s">
        <v>64</v>
      </c>
      <c r="K8" s="40">
        <v>650</v>
      </c>
    </row>
    <row r="9" spans="2:12">
      <c r="B9" s="537" t="s">
        <v>122</v>
      </c>
      <c r="C9" s="537"/>
      <c r="J9" s="40" t="s">
        <v>123</v>
      </c>
      <c r="K9" s="40">
        <v>160</v>
      </c>
    </row>
    <row r="10" spans="2:12">
      <c r="B10" s="43">
        <v>12</v>
      </c>
      <c r="C10" s="43" t="s">
        <v>124</v>
      </c>
    </row>
    <row r="11" spans="2:12">
      <c r="B11" s="43">
        <v>0.84</v>
      </c>
      <c r="C11" s="43" t="s">
        <v>125</v>
      </c>
      <c r="K11" s="40">
        <f>SUM(K5:K10)</f>
        <v>4510</v>
      </c>
      <c r="L11" s="40">
        <f>+K11/(30*8)</f>
        <v>18.791666666666668</v>
      </c>
    </row>
    <row r="12" spans="2:12">
      <c r="B12" s="43"/>
      <c r="C12" s="43"/>
    </row>
    <row r="13" spans="2:12">
      <c r="B13" s="43"/>
      <c r="C13" s="46"/>
    </row>
    <row r="14" spans="2:12">
      <c r="B14" s="47" t="s">
        <v>126</v>
      </c>
      <c r="C14" s="48">
        <f>+B10*B11/1000</f>
        <v>1.008E-2</v>
      </c>
    </row>
    <row r="15" spans="2:12">
      <c r="B15" s="49" t="s">
        <v>128</v>
      </c>
      <c r="C15" s="50">
        <f>+C14*C6</f>
        <v>1.0055213114754098E-3</v>
      </c>
    </row>
    <row r="17" spans="2:9">
      <c r="B17" s="537" t="s">
        <v>129</v>
      </c>
      <c r="C17" s="537"/>
      <c r="F17" s="51"/>
    </row>
    <row r="18" spans="2:9">
      <c r="B18" s="43">
        <v>120</v>
      </c>
      <c r="C18" s="43" t="s">
        <v>124</v>
      </c>
    </row>
    <row r="19" spans="2:9">
      <c r="B19" s="43">
        <v>0.3</v>
      </c>
      <c r="C19" s="43" t="s">
        <v>125</v>
      </c>
    </row>
    <row r="20" spans="2:9">
      <c r="B20" s="43"/>
      <c r="C20" s="43"/>
      <c r="H20" s="40" t="s">
        <v>130</v>
      </c>
      <c r="I20" s="40">
        <v>25000</v>
      </c>
    </row>
    <row r="21" spans="2:9">
      <c r="B21" s="47" t="s">
        <v>126</v>
      </c>
      <c r="C21" s="48">
        <f>+B18*B19/1000</f>
        <v>3.5999999999999997E-2</v>
      </c>
    </row>
    <row r="22" spans="2:9">
      <c r="B22" s="49" t="s">
        <v>128</v>
      </c>
      <c r="C22" s="50">
        <f>+C21*C6</f>
        <v>3.5911475409836063E-3</v>
      </c>
    </row>
    <row r="23" spans="2:9">
      <c r="B23" s="52"/>
      <c r="C23" s="53"/>
    </row>
    <row r="25" spans="2:9">
      <c r="B25" s="537" t="s">
        <v>134</v>
      </c>
      <c r="C25" s="537"/>
    </row>
    <row r="26" spans="2:9">
      <c r="B26" s="43">
        <v>800</v>
      </c>
      <c r="C26" s="43" t="s">
        <v>135</v>
      </c>
    </row>
    <row r="27" spans="2:9">
      <c r="B27" s="43"/>
      <c r="C27" s="43"/>
    </row>
    <row r="28" spans="2:9">
      <c r="B28" s="47" t="s">
        <v>126</v>
      </c>
      <c r="C28" s="55">
        <f>+B26/1000</f>
        <v>0.8</v>
      </c>
    </row>
    <row r="29" spans="2:9">
      <c r="B29" s="49" t="s">
        <v>128</v>
      </c>
      <c r="C29" s="50">
        <f>+C28*C6</f>
        <v>7.9803278688524604E-2</v>
      </c>
    </row>
    <row r="32" spans="2:9">
      <c r="B32" s="537" t="s">
        <v>136</v>
      </c>
      <c r="C32" s="537"/>
    </row>
    <row r="33" spans="2:5">
      <c r="B33" s="43">
        <v>650</v>
      </c>
      <c r="C33" s="43" t="s">
        <v>135</v>
      </c>
    </row>
    <row r="34" spans="2:5">
      <c r="B34" s="43"/>
      <c r="C34" s="43"/>
    </row>
    <row r="35" spans="2:5">
      <c r="B35" s="47" t="s">
        <v>126</v>
      </c>
      <c r="C35" s="48">
        <f>+B33/1000</f>
        <v>0.65</v>
      </c>
    </row>
    <row r="36" spans="2:5">
      <c r="B36" s="49" t="s">
        <v>128</v>
      </c>
      <c r="C36" s="50">
        <f>+C35*C6</f>
        <v>6.4840163934426237E-2</v>
      </c>
    </row>
    <row r="40" spans="2:5">
      <c r="B40" s="538" t="s">
        <v>137</v>
      </c>
      <c r="C40" s="539"/>
      <c r="D40" s="40" t="s">
        <v>138</v>
      </c>
    </row>
    <row r="41" spans="2:5">
      <c r="B41" s="43">
        <v>250</v>
      </c>
      <c r="C41" s="43" t="s">
        <v>135</v>
      </c>
    </row>
    <row r="42" spans="2:5">
      <c r="B42" s="43"/>
      <c r="C42" s="43"/>
    </row>
    <row r="43" spans="2:5">
      <c r="B43" s="47" t="s">
        <v>126</v>
      </c>
      <c r="C43" s="48">
        <f>B41/1000</f>
        <v>0.25</v>
      </c>
    </row>
    <row r="44" spans="2:5">
      <c r="B44" s="49" t="s">
        <v>128</v>
      </c>
      <c r="C44" s="50">
        <f>+C43*C6</f>
        <v>2.4938524590163935E-2</v>
      </c>
    </row>
    <row r="47" spans="2:5">
      <c r="B47" s="537" t="s">
        <v>139</v>
      </c>
      <c r="C47" s="537"/>
      <c r="E47" s="40" t="s">
        <v>140</v>
      </c>
    </row>
    <row r="48" spans="2:5">
      <c r="B48" s="43">
        <v>120</v>
      </c>
      <c r="C48" s="43" t="s">
        <v>124</v>
      </c>
    </row>
    <row r="49" spans="2:5">
      <c r="B49" s="43">
        <v>2.2000000000000002</v>
      </c>
      <c r="C49" s="43" t="s">
        <v>125</v>
      </c>
    </row>
    <row r="50" spans="2:5">
      <c r="B50" s="43"/>
      <c r="C50" s="43"/>
    </row>
    <row r="51" spans="2:5">
      <c r="B51" s="47" t="s">
        <v>126</v>
      </c>
      <c r="C51" s="48">
        <f>+B48*B49/1000</f>
        <v>0.26400000000000001</v>
      </c>
    </row>
    <row r="52" spans="2:5">
      <c r="B52" s="49" t="s">
        <v>128</v>
      </c>
      <c r="C52" s="50">
        <f>+C51*C6</f>
        <v>2.6335081967213118E-2</v>
      </c>
    </row>
    <row r="55" spans="2:5">
      <c r="B55" s="537" t="s">
        <v>141</v>
      </c>
      <c r="C55" s="537"/>
    </row>
    <row r="56" spans="2:5">
      <c r="B56" s="43">
        <v>2000</v>
      </c>
      <c r="C56" s="43" t="s">
        <v>135</v>
      </c>
    </row>
    <row r="57" spans="2:5">
      <c r="B57" s="43"/>
      <c r="C57" s="43"/>
    </row>
    <row r="58" spans="2:5">
      <c r="B58" s="43"/>
      <c r="C58" s="43"/>
    </row>
    <row r="59" spans="2:5">
      <c r="B59" s="47" t="s">
        <v>126</v>
      </c>
      <c r="C59" s="48">
        <f>+B56/1000</f>
        <v>2</v>
      </c>
    </row>
    <row r="60" spans="2:5">
      <c r="B60" s="49" t="s">
        <v>128</v>
      </c>
      <c r="C60" s="50">
        <f>+C59*C6</f>
        <v>0.19950819672131148</v>
      </c>
    </row>
    <row r="63" spans="2:5">
      <c r="B63" s="537" t="s">
        <v>142</v>
      </c>
      <c r="C63" s="537"/>
      <c r="D63" s="56"/>
      <c r="E63" s="40" t="s">
        <v>143</v>
      </c>
    </row>
    <row r="64" spans="2:5">
      <c r="B64" s="43">
        <v>1250</v>
      </c>
      <c r="C64" s="43" t="s">
        <v>135</v>
      </c>
    </row>
    <row r="65" spans="2:4">
      <c r="B65" s="43"/>
      <c r="C65" s="43"/>
    </row>
    <row r="66" spans="2:4">
      <c r="B66" s="47" t="s">
        <v>126</v>
      </c>
      <c r="C66" s="48">
        <f>+B64/1000</f>
        <v>1.25</v>
      </c>
    </row>
    <row r="67" spans="2:4">
      <c r="B67" s="49" t="s">
        <v>128</v>
      </c>
      <c r="C67" s="50">
        <f>+C66*C6</f>
        <v>0.12469262295081968</v>
      </c>
    </row>
    <row r="68" spans="2:4">
      <c r="B68" s="57"/>
      <c r="C68" s="58"/>
    </row>
    <row r="71" spans="2:4">
      <c r="B71" s="537" t="s">
        <v>144</v>
      </c>
      <c r="C71" s="537"/>
      <c r="D71" s="56"/>
    </row>
    <row r="72" spans="2:4">
      <c r="B72" s="43">
        <v>2000</v>
      </c>
      <c r="C72" s="43" t="s">
        <v>135</v>
      </c>
    </row>
    <row r="73" spans="2:4">
      <c r="B73" s="43"/>
      <c r="C73" s="43"/>
    </row>
    <row r="74" spans="2:4">
      <c r="B74" s="47" t="s">
        <v>126</v>
      </c>
      <c r="C74" s="48">
        <f>+B72/1000</f>
        <v>2</v>
      </c>
    </row>
    <row r="75" spans="2:4">
      <c r="B75" s="49" t="s">
        <v>128</v>
      </c>
      <c r="C75" s="50">
        <f>+C74*C6</f>
        <v>0.19950819672131148</v>
      </c>
    </row>
    <row r="78" spans="2:4">
      <c r="B78" s="537" t="s">
        <v>145</v>
      </c>
      <c r="C78" s="537"/>
      <c r="D78" s="56" t="s">
        <v>146</v>
      </c>
    </row>
    <row r="79" spans="2:4">
      <c r="B79" s="43">
        <v>190</v>
      </c>
      <c r="C79" s="43" t="s">
        <v>135</v>
      </c>
    </row>
    <row r="80" spans="2:4">
      <c r="B80" s="43"/>
      <c r="C80" s="43"/>
    </row>
    <row r="81" spans="2:5">
      <c r="B81" s="47" t="s">
        <v>126</v>
      </c>
      <c r="C81" s="48">
        <f>+B79/1000</f>
        <v>0.19</v>
      </c>
    </row>
    <row r="82" spans="2:5">
      <c r="B82" s="49" t="s">
        <v>128</v>
      </c>
      <c r="C82" s="50">
        <f>+C81*C6</f>
        <v>1.8953278688524592E-2</v>
      </c>
      <c r="E82" s="40" t="s">
        <v>147</v>
      </c>
    </row>
    <row r="83" spans="2:5">
      <c r="E83" s="42"/>
    </row>
    <row r="84" spans="2:5">
      <c r="E84" s="59"/>
    </row>
    <row r="90" spans="2:5">
      <c r="B90" s="537" t="s">
        <v>148</v>
      </c>
      <c r="C90" s="537"/>
    </row>
    <row r="91" spans="2:5">
      <c r="B91" s="43">
        <v>1800</v>
      </c>
      <c r="C91" s="43" t="s">
        <v>135</v>
      </c>
    </row>
    <row r="92" spans="2:5">
      <c r="B92" s="43"/>
      <c r="C92" s="43"/>
    </row>
    <row r="93" spans="2:5">
      <c r="B93" s="43"/>
      <c r="C93" s="43"/>
    </row>
    <row r="94" spans="2:5">
      <c r="B94" s="47" t="s">
        <v>126</v>
      </c>
      <c r="C94" s="48">
        <f>+B91/1000</f>
        <v>1.8</v>
      </c>
    </row>
    <row r="95" spans="2:5">
      <c r="B95" s="49" t="s">
        <v>128</v>
      </c>
      <c r="C95" s="50">
        <f>+C94*C6</f>
        <v>0.17955737704918034</v>
      </c>
    </row>
    <row r="97" spans="2:3">
      <c r="B97" s="537" t="s">
        <v>149</v>
      </c>
      <c r="C97" s="537"/>
    </row>
    <row r="98" spans="2:3">
      <c r="B98" s="43" t="s">
        <v>131</v>
      </c>
      <c r="C98" s="60">
        <v>24714</v>
      </c>
    </row>
    <row r="99" spans="2:3">
      <c r="B99" s="43" t="s">
        <v>127</v>
      </c>
      <c r="C99" s="60">
        <v>365</v>
      </c>
    </row>
    <row r="100" spans="2:3">
      <c r="B100" s="43" t="s">
        <v>132</v>
      </c>
      <c r="C100" s="60">
        <v>10</v>
      </c>
    </row>
    <row r="101" spans="2:3">
      <c r="B101" s="43" t="s">
        <v>133</v>
      </c>
      <c r="C101" s="60">
        <v>8</v>
      </c>
    </row>
    <row r="102" spans="2:3">
      <c r="B102" s="54" t="s">
        <v>62</v>
      </c>
      <c r="C102" s="61">
        <f>+C98/(C99*C100*C101)</f>
        <v>0.84636986301369865</v>
      </c>
    </row>
    <row r="263" spans="4:9">
      <c r="G263" s="40" t="s">
        <v>151</v>
      </c>
      <c r="H263" s="40" t="s">
        <v>152</v>
      </c>
      <c r="I263" s="40" t="s">
        <v>153</v>
      </c>
    </row>
    <row r="264" spans="4:9">
      <c r="D264" s="40" t="s">
        <v>154</v>
      </c>
      <c r="E264" s="40">
        <v>25000</v>
      </c>
      <c r="F264" s="40" t="s">
        <v>155</v>
      </c>
      <c r="G264" s="40">
        <f>+E264/58</f>
        <v>431.0344827586207</v>
      </c>
      <c r="H264" s="40">
        <f>+G264/365</f>
        <v>1.1809163911195089</v>
      </c>
      <c r="I264" s="40">
        <f>+H264/24</f>
        <v>4.9204849629979536E-2</v>
      </c>
    </row>
    <row r="265" spans="4:9">
      <c r="D265" s="40" t="s">
        <v>156</v>
      </c>
      <c r="E265" s="40">
        <v>365</v>
      </c>
      <c r="F265" s="40" t="s">
        <v>157</v>
      </c>
      <c r="G265" s="40">
        <v>1338.4</v>
      </c>
      <c r="H265" s="40">
        <f>+G265/365</f>
        <v>3.6668493150684935</v>
      </c>
      <c r="I265" s="40">
        <f>+H265/24</f>
        <v>0.15278538812785389</v>
      </c>
    </row>
    <row r="266" spans="4:9">
      <c r="D266" s="40" t="s">
        <v>158</v>
      </c>
      <c r="E266" s="40">
        <v>24</v>
      </c>
    </row>
    <row r="267" spans="4:9">
      <c r="D267" s="40" t="s">
        <v>159</v>
      </c>
      <c r="E267" s="40">
        <f>+E264/(E265*E266)</f>
        <v>2.8538812785388128</v>
      </c>
    </row>
    <row r="276" spans="7:7">
      <c r="G276" s="40">
        <f>431.03/365</f>
        <v>1.1809041095890411</v>
      </c>
    </row>
    <row r="277" spans="7:7">
      <c r="G277" s="40">
        <f>25000/365</f>
        <v>68.493150684931507</v>
      </c>
    </row>
  </sheetData>
  <mergeCells count="14">
    <mergeCell ref="B71:C71"/>
    <mergeCell ref="B78:C78"/>
    <mergeCell ref="B90:C90"/>
    <mergeCell ref="B97:C97"/>
    <mergeCell ref="B2:C2"/>
    <mergeCell ref="B3:C3"/>
    <mergeCell ref="B9:C9"/>
    <mergeCell ref="B17:C17"/>
    <mergeCell ref="B63:C63"/>
    <mergeCell ref="B25:C25"/>
    <mergeCell ref="B32:C32"/>
    <mergeCell ref="B40:C40"/>
    <mergeCell ref="B47:C47"/>
    <mergeCell ref="B55:C55"/>
  </mergeCells>
  <pageMargins left="0.7" right="0.7" top="0.75" bottom="0.75" header="0.3" footer="0.3"/>
  <pageSetup paperSize="9" orientation="portrait" horizont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93"/>
  <sheetViews>
    <sheetView topLeftCell="A167" zoomScaleNormal="100" workbookViewId="0">
      <selection activeCell="H194" sqref="H194"/>
    </sheetView>
  </sheetViews>
  <sheetFormatPr baseColWidth="10" defaultRowHeight="15.6"/>
  <cols>
    <col min="2" max="2" width="11.796875" customWidth="1"/>
    <col min="7" max="7" width="11.3984375" customWidth="1"/>
    <col min="8" max="8" width="28.59765625" bestFit="1" customWidth="1"/>
    <col min="9" max="9" width="23.69921875" bestFit="1" customWidth="1"/>
  </cols>
  <sheetData>
    <row r="1" spans="2:15">
      <c r="I1" s="304" t="s">
        <v>65</v>
      </c>
      <c r="J1" t="s">
        <v>300</v>
      </c>
    </row>
    <row r="2" spans="2:15">
      <c r="I2" s="304" t="s">
        <v>81</v>
      </c>
      <c r="J2" s="503">
        <f>+APUS!G45</f>
        <v>5.4691442629468181</v>
      </c>
    </row>
    <row r="3" spans="2:15">
      <c r="I3" s="304" t="s">
        <v>89</v>
      </c>
      <c r="J3" s="503">
        <f>+APUS!G240</f>
        <v>9.9759999999999991</v>
      </c>
    </row>
    <row r="4" spans="2:15">
      <c r="I4" s="304" t="s">
        <v>163</v>
      </c>
      <c r="J4" s="503">
        <f>+APUS!G96</f>
        <v>7.7080000000000002</v>
      </c>
    </row>
    <row r="5" spans="2:15">
      <c r="I5" s="304" t="s">
        <v>90</v>
      </c>
      <c r="J5" s="503">
        <f>+APUS!G292</f>
        <v>16.670999999999999</v>
      </c>
    </row>
    <row r="6" spans="2:15">
      <c r="I6" s="304" t="s">
        <v>91</v>
      </c>
      <c r="J6" s="503">
        <f>+APUS!G144</f>
        <v>10.327</v>
      </c>
    </row>
    <row r="7" spans="2:15">
      <c r="I7" s="304" t="s">
        <v>92</v>
      </c>
      <c r="J7" s="503">
        <f>+APUS!G191</f>
        <v>9.3170000000000002</v>
      </c>
    </row>
    <row r="8" spans="2:15">
      <c r="I8" s="304" t="s">
        <v>93</v>
      </c>
      <c r="J8" s="503">
        <f>+APUS!G346</f>
        <v>18.55536</v>
      </c>
    </row>
    <row r="9" spans="2:15">
      <c r="I9" s="304" t="s">
        <v>94</v>
      </c>
      <c r="J9" s="503">
        <f>+APUS!G400</f>
        <v>21.81231882215841</v>
      </c>
    </row>
    <row r="10" spans="2:15">
      <c r="I10" s="304" t="s">
        <v>164</v>
      </c>
      <c r="J10" s="503">
        <f>+APUS!G446</f>
        <v>18.153600000000001</v>
      </c>
    </row>
    <row r="11" spans="2:15">
      <c r="I11" s="304" t="s">
        <v>106</v>
      </c>
      <c r="J11" s="503">
        <f>+APUS!G492</f>
        <v>27.479640000000003</v>
      </c>
    </row>
    <row r="12" spans="2:15" ht="14.55" customHeight="1">
      <c r="I12" s="304" t="s">
        <v>301</v>
      </c>
      <c r="J12" s="503">
        <f>+APUS!G538</f>
        <v>31.421599999999998</v>
      </c>
      <c r="M12" s="690" t="s">
        <v>302</v>
      </c>
      <c r="N12" s="692" t="s">
        <v>303</v>
      </c>
      <c r="O12" s="694" t="s">
        <v>304</v>
      </c>
    </row>
    <row r="13" spans="2:15" ht="14.55" customHeight="1">
      <c r="B13" t="s">
        <v>86</v>
      </c>
      <c r="C13" t="s">
        <v>305</v>
      </c>
      <c r="I13" s="304" t="s">
        <v>306</v>
      </c>
      <c r="J13" s="503">
        <f>+APUS!G584</f>
        <v>165.73591999999996</v>
      </c>
      <c r="M13" s="691"/>
      <c r="N13" s="693"/>
      <c r="O13" s="695"/>
    </row>
    <row r="14" spans="2:15" ht="14.55" customHeight="1">
      <c r="B14" t="s">
        <v>307</v>
      </c>
      <c r="C14" s="696" t="s">
        <v>308</v>
      </c>
      <c r="D14" s="696"/>
      <c r="E14" s="696"/>
      <c r="M14" s="504">
        <v>25.16</v>
      </c>
      <c r="N14" s="504">
        <v>32.25</v>
      </c>
      <c r="O14" s="504">
        <v>37</v>
      </c>
    </row>
    <row r="15" spans="2:15">
      <c r="C15" s="696"/>
      <c r="D15" s="696"/>
      <c r="E15" s="696"/>
      <c r="F15" t="s">
        <v>376</v>
      </c>
    </row>
    <row r="16" spans="2:15">
      <c r="E16" t="s">
        <v>375</v>
      </c>
      <c r="F16">
        <f>+D19*100/F19</f>
        <v>36.249226230563082</v>
      </c>
      <c r="H16" t="s">
        <v>309</v>
      </c>
      <c r="I16">
        <f>29+8</f>
        <v>37</v>
      </c>
    </row>
    <row r="17" spans="2:9" ht="14.55" customHeight="1">
      <c r="B17" s="682" t="s">
        <v>302</v>
      </c>
      <c r="C17" s="683" t="s">
        <v>303</v>
      </c>
      <c r="D17" s="679" t="s">
        <v>310</v>
      </c>
      <c r="E17" t="s">
        <v>374</v>
      </c>
      <c r="F17">
        <f>+C19*100/F19</f>
        <v>31.595609349612413</v>
      </c>
      <c r="H17" t="s">
        <v>311</v>
      </c>
    </row>
    <row r="18" spans="2:9">
      <c r="B18" s="682"/>
      <c r="C18" s="683"/>
      <c r="D18" s="679"/>
      <c r="E18" t="s">
        <v>373</v>
      </c>
      <c r="F18">
        <f>+B19*100/F19</f>
        <v>32.155164419824509</v>
      </c>
    </row>
    <row r="19" spans="2:9">
      <c r="B19" s="504">
        <f>+J4+J2+J6+J7</f>
        <v>32.821144262946817</v>
      </c>
      <c r="C19" s="504">
        <v>32.25</v>
      </c>
      <c r="D19" s="504">
        <v>37</v>
      </c>
      <c r="F19" s="503">
        <f>+D19+C19+B19</f>
        <v>102.07114426294682</v>
      </c>
      <c r="H19" t="s">
        <v>312</v>
      </c>
      <c r="I19">
        <v>32.25</v>
      </c>
    </row>
    <row r="20" spans="2:9">
      <c r="B20" s="505"/>
      <c r="C20" s="505"/>
      <c r="D20" s="505"/>
      <c r="H20" t="s">
        <v>313</v>
      </c>
    </row>
    <row r="21" spans="2:9">
      <c r="B21" s="505"/>
      <c r="C21" s="505"/>
      <c r="D21" s="505"/>
    </row>
    <row r="22" spans="2:9">
      <c r="B22" s="505"/>
      <c r="C22" s="505"/>
      <c r="D22" s="505"/>
    </row>
    <row r="23" spans="2:9">
      <c r="B23" s="505"/>
      <c r="C23" s="505"/>
      <c r="D23" s="505"/>
    </row>
    <row r="24" spans="2:9">
      <c r="B24" s="505"/>
      <c r="C24" s="505"/>
      <c r="D24" s="505"/>
    </row>
    <row r="25" spans="2:9">
      <c r="B25" s="505"/>
      <c r="C25" s="505"/>
      <c r="D25" s="505"/>
    </row>
    <row r="26" spans="2:9">
      <c r="B26" s="505"/>
      <c r="C26" s="505"/>
      <c r="D26" s="505"/>
    </row>
    <row r="27" spans="2:9">
      <c r="B27" s="505"/>
      <c r="C27" s="505"/>
      <c r="D27" s="505"/>
    </row>
    <row r="28" spans="2:9">
      <c r="B28" s="505"/>
      <c r="C28" s="505"/>
      <c r="D28" s="505"/>
    </row>
    <row r="29" spans="2:9">
      <c r="B29" s="505"/>
      <c r="C29" s="505"/>
      <c r="D29" s="505"/>
    </row>
    <row r="30" spans="2:9">
      <c r="B30" s="505"/>
      <c r="C30" s="505"/>
      <c r="D30" s="505"/>
    </row>
    <row r="31" spans="2:9">
      <c r="B31" s="505"/>
      <c r="C31" s="505"/>
      <c r="D31" s="505"/>
    </row>
    <row r="32" spans="2:9">
      <c r="B32" s="505"/>
      <c r="C32" s="505"/>
      <c r="D32" s="505"/>
    </row>
    <row r="33" spans="2:7">
      <c r="B33" s="505"/>
      <c r="C33" s="505"/>
      <c r="D33" s="505"/>
    </row>
    <row r="34" spans="2:7">
      <c r="B34" s="505"/>
      <c r="C34" s="505"/>
      <c r="D34" s="505"/>
    </row>
    <row r="35" spans="2:7">
      <c r="B35" s="505"/>
      <c r="C35" s="505"/>
      <c r="D35" s="505"/>
    </row>
    <row r="36" spans="2:7">
      <c r="B36" s="505"/>
      <c r="C36" s="505"/>
      <c r="D36" s="505"/>
    </row>
    <row r="37" spans="2:7">
      <c r="B37" t="s">
        <v>314</v>
      </c>
    </row>
    <row r="39" spans="2:7">
      <c r="B39" s="677" t="s">
        <v>315</v>
      </c>
      <c r="C39" s="677"/>
      <c r="D39" s="678" t="s">
        <v>316</v>
      </c>
      <c r="E39" s="678"/>
      <c r="F39" s="679" t="s">
        <v>317</v>
      </c>
      <c r="G39" s="679"/>
    </row>
    <row r="40" spans="2:7" ht="14.55" customHeight="1">
      <c r="B40" s="680" t="s">
        <v>318</v>
      </c>
      <c r="C40" s="680"/>
      <c r="D40" s="680" t="s">
        <v>319</v>
      </c>
      <c r="E40" s="680"/>
      <c r="F40" s="680" t="s">
        <v>320</v>
      </c>
      <c r="G40" s="680"/>
    </row>
    <row r="41" spans="2:7">
      <c r="B41" s="680"/>
      <c r="C41" s="680"/>
      <c r="D41" s="680"/>
      <c r="E41" s="680"/>
      <c r="F41" s="680"/>
      <c r="G41" s="680"/>
    </row>
    <row r="42" spans="2:7">
      <c r="B42" s="680"/>
      <c r="C42" s="680"/>
      <c r="D42" s="680"/>
      <c r="E42" s="680"/>
      <c r="F42" s="680"/>
      <c r="G42" s="680"/>
    </row>
    <row r="45" spans="2:7">
      <c r="B45" s="506" t="s">
        <v>86</v>
      </c>
      <c r="C45" s="506" t="s">
        <v>321</v>
      </c>
      <c r="D45" s="506"/>
      <c r="E45" s="506"/>
      <c r="F45" s="506"/>
      <c r="G45" s="506"/>
    </row>
    <row r="47" spans="2:7" ht="14.55" customHeight="1">
      <c r="B47" s="682" t="s">
        <v>302</v>
      </c>
      <c r="C47" s="683" t="s">
        <v>303</v>
      </c>
      <c r="D47" s="679" t="s">
        <v>310</v>
      </c>
    </row>
    <row r="48" spans="2:7">
      <c r="B48" s="682"/>
      <c r="C48" s="683"/>
      <c r="D48" s="679"/>
    </row>
    <row r="49" spans="2:6">
      <c r="B49" s="504">
        <f>+J3</f>
        <v>9.9759999999999991</v>
      </c>
      <c r="C49" s="504">
        <v>14.5</v>
      </c>
      <c r="D49" s="504">
        <v>8</v>
      </c>
      <c r="F49" s="503"/>
    </row>
    <row r="69" spans="2:8">
      <c r="B69" t="s">
        <v>314</v>
      </c>
    </row>
    <row r="71" spans="2:8">
      <c r="B71" s="677" t="s">
        <v>315</v>
      </c>
      <c r="C71" s="677"/>
      <c r="D71" s="678" t="s">
        <v>316</v>
      </c>
      <c r="E71" s="678"/>
      <c r="F71" s="679" t="s">
        <v>317</v>
      </c>
      <c r="G71" s="679"/>
    </row>
    <row r="72" spans="2:8" ht="14.55" customHeight="1">
      <c r="B72" s="680" t="s">
        <v>322</v>
      </c>
      <c r="C72" s="680"/>
      <c r="D72" s="684" t="s">
        <v>323</v>
      </c>
      <c r="E72" s="685"/>
      <c r="F72" s="680" t="s">
        <v>324</v>
      </c>
      <c r="G72" s="680"/>
    </row>
    <row r="73" spans="2:8">
      <c r="B73" s="680"/>
      <c r="C73" s="680"/>
      <c r="D73" s="686"/>
      <c r="E73" s="687"/>
      <c r="F73" s="680"/>
      <c r="G73" s="680"/>
    </row>
    <row r="74" spans="2:8">
      <c r="B74" s="680"/>
      <c r="C74" s="680"/>
      <c r="D74" s="688"/>
      <c r="E74" s="689"/>
      <c r="F74" s="680"/>
      <c r="G74" s="680"/>
    </row>
    <row r="76" spans="2:8">
      <c r="B76" s="506" t="s">
        <v>86</v>
      </c>
      <c r="C76" s="506" t="s">
        <v>90</v>
      </c>
      <c r="D76" s="506"/>
      <c r="E76" s="506"/>
      <c r="F76" s="506"/>
      <c r="G76" s="506"/>
      <c r="H76" s="292"/>
    </row>
    <row r="78" spans="2:8" ht="14.55" customHeight="1">
      <c r="B78" s="682" t="s">
        <v>302</v>
      </c>
      <c r="C78" s="683" t="s">
        <v>303</v>
      </c>
      <c r="D78" s="679" t="s">
        <v>310</v>
      </c>
    </row>
    <row r="79" spans="2:8">
      <c r="B79" s="682"/>
      <c r="C79" s="683"/>
      <c r="D79" s="679"/>
    </row>
    <row r="80" spans="2:8">
      <c r="B80" s="507">
        <f>+J5</f>
        <v>16.670999999999999</v>
      </c>
      <c r="C80" s="504">
        <v>41.75</v>
      </c>
      <c r="D80" s="504">
        <v>50</v>
      </c>
    </row>
    <row r="99" spans="2:7">
      <c r="B99" t="s">
        <v>314</v>
      </c>
    </row>
    <row r="101" spans="2:7">
      <c r="B101" s="677" t="s">
        <v>315</v>
      </c>
      <c r="C101" s="677"/>
      <c r="D101" s="678" t="s">
        <v>316</v>
      </c>
      <c r="E101" s="678"/>
      <c r="F101" s="679" t="s">
        <v>317</v>
      </c>
      <c r="G101" s="679"/>
    </row>
    <row r="102" spans="2:7">
      <c r="B102" s="680" t="s">
        <v>325</v>
      </c>
      <c r="C102" s="680"/>
      <c r="D102" s="681" t="s">
        <v>326</v>
      </c>
      <c r="E102" s="681"/>
      <c r="F102" s="680" t="s">
        <v>327</v>
      </c>
      <c r="G102" s="680"/>
    </row>
    <row r="103" spans="2:7">
      <c r="B103" s="680"/>
      <c r="C103" s="680"/>
      <c r="D103" s="681"/>
      <c r="E103" s="681"/>
      <c r="F103" s="680"/>
      <c r="G103" s="680"/>
    </row>
    <row r="104" spans="2:7">
      <c r="B104" s="680"/>
      <c r="C104" s="680"/>
      <c r="D104" s="681"/>
      <c r="E104" s="681"/>
      <c r="F104" s="680"/>
      <c r="G104" s="680"/>
    </row>
    <row r="108" spans="2:7">
      <c r="B108" s="508" t="s">
        <v>86</v>
      </c>
      <c r="C108" s="508" t="s">
        <v>328</v>
      </c>
      <c r="D108" s="508"/>
      <c r="E108" s="508"/>
      <c r="F108" s="508"/>
      <c r="G108" s="508"/>
    </row>
    <row r="110" spans="2:7" ht="14.55" customHeight="1">
      <c r="B110" s="682" t="s">
        <v>302</v>
      </c>
      <c r="C110" s="683" t="s">
        <v>303</v>
      </c>
      <c r="D110" s="679" t="s">
        <v>310</v>
      </c>
    </row>
    <row r="111" spans="2:7">
      <c r="B111" s="682"/>
      <c r="C111" s="683"/>
      <c r="D111" s="679"/>
    </row>
    <row r="112" spans="2:7">
      <c r="B112" s="504">
        <f>+J8</f>
        <v>18.55536</v>
      </c>
      <c r="C112" s="504">
        <v>23</v>
      </c>
      <c r="D112" s="504">
        <v>20</v>
      </c>
    </row>
    <row r="113" spans="2:4">
      <c r="B113" s="505"/>
      <c r="C113" s="505"/>
      <c r="D113" s="505"/>
    </row>
    <row r="114" spans="2:4">
      <c r="B114" s="505"/>
      <c r="C114" s="505"/>
      <c r="D114" s="505"/>
    </row>
    <row r="115" spans="2:4">
      <c r="B115" s="505"/>
      <c r="C115" s="505"/>
      <c r="D115" s="505"/>
    </row>
    <row r="116" spans="2:4">
      <c r="B116" s="505"/>
      <c r="C116" s="505"/>
      <c r="D116" s="505"/>
    </row>
    <row r="117" spans="2:4">
      <c r="B117" s="505"/>
      <c r="C117" s="505"/>
      <c r="D117" s="505"/>
    </row>
    <row r="118" spans="2:4">
      <c r="B118" s="505"/>
      <c r="C118" s="505"/>
      <c r="D118" s="505"/>
    </row>
    <row r="119" spans="2:4">
      <c r="B119" s="505"/>
      <c r="C119" s="505"/>
      <c r="D119" s="505"/>
    </row>
    <row r="120" spans="2:4">
      <c r="B120" s="505"/>
      <c r="C120" s="505"/>
      <c r="D120" s="505"/>
    </row>
    <row r="121" spans="2:4">
      <c r="B121" s="505"/>
      <c r="C121" s="505"/>
      <c r="D121" s="505"/>
    </row>
    <row r="122" spans="2:4">
      <c r="B122" s="505"/>
      <c r="C122" s="505"/>
      <c r="D122" s="505"/>
    </row>
    <row r="123" spans="2:4">
      <c r="B123" s="505"/>
      <c r="C123" s="505"/>
      <c r="D123" s="505"/>
    </row>
    <row r="124" spans="2:4">
      <c r="B124" s="505"/>
      <c r="C124" s="505"/>
      <c r="D124" s="505"/>
    </row>
    <row r="125" spans="2:4">
      <c r="B125" s="505"/>
      <c r="C125" s="505"/>
      <c r="D125" s="505"/>
    </row>
    <row r="126" spans="2:4">
      <c r="B126" s="505"/>
      <c r="C126" s="505"/>
      <c r="D126" s="505"/>
    </row>
    <row r="127" spans="2:4">
      <c r="B127" s="505"/>
      <c r="C127" s="505"/>
      <c r="D127" s="505"/>
    </row>
    <row r="130" spans="2:7">
      <c r="B130" t="s">
        <v>314</v>
      </c>
    </row>
    <row r="132" spans="2:7">
      <c r="B132" s="677" t="s">
        <v>315</v>
      </c>
      <c r="C132" s="677"/>
      <c r="D132" s="678" t="s">
        <v>316</v>
      </c>
      <c r="E132" s="678"/>
      <c r="F132" s="679" t="s">
        <v>317</v>
      </c>
      <c r="G132" s="679"/>
    </row>
    <row r="133" spans="2:7" ht="14.55" customHeight="1">
      <c r="B133" s="680" t="s">
        <v>329</v>
      </c>
      <c r="C133" s="680"/>
      <c r="D133" s="684" t="s">
        <v>330</v>
      </c>
      <c r="E133" s="685"/>
      <c r="F133" s="680" t="s">
        <v>331</v>
      </c>
      <c r="G133" s="680"/>
    </row>
    <row r="134" spans="2:7">
      <c r="B134" s="680"/>
      <c r="C134" s="680"/>
      <c r="D134" s="686"/>
      <c r="E134" s="687"/>
      <c r="F134" s="680"/>
      <c r="G134" s="680"/>
    </row>
    <row r="135" spans="2:7">
      <c r="B135" s="680"/>
      <c r="C135" s="680"/>
      <c r="D135" s="688"/>
      <c r="E135" s="689"/>
      <c r="F135" s="680"/>
      <c r="G135" s="680"/>
    </row>
    <row r="138" spans="2:7">
      <c r="B138" s="508" t="s">
        <v>86</v>
      </c>
      <c r="C138" s="508" t="s">
        <v>94</v>
      </c>
      <c r="D138" s="508"/>
      <c r="E138" s="508"/>
      <c r="F138" s="508"/>
      <c r="G138" s="508"/>
    </row>
    <row r="140" spans="2:7" ht="14.55" customHeight="1">
      <c r="B140" s="682" t="s">
        <v>302</v>
      </c>
      <c r="C140" s="683" t="s">
        <v>303</v>
      </c>
      <c r="D140" s="679" t="s">
        <v>310</v>
      </c>
    </row>
    <row r="141" spans="2:7">
      <c r="B141" s="682"/>
      <c r="C141" s="683"/>
      <c r="D141" s="679"/>
    </row>
    <row r="142" spans="2:7">
      <c r="B142" s="504">
        <f>+J9</f>
        <v>21.81231882215841</v>
      </c>
      <c r="C142" s="504">
        <v>24.25</v>
      </c>
      <c r="D142" s="504">
        <v>20</v>
      </c>
    </row>
    <row r="143" spans="2:7">
      <c r="B143" s="505"/>
      <c r="C143" s="505"/>
      <c r="D143" s="505"/>
    </row>
    <row r="144" spans="2:7">
      <c r="B144" s="505"/>
      <c r="C144" s="505"/>
      <c r="D144" s="505"/>
    </row>
    <row r="145" spans="2:4">
      <c r="B145" s="505"/>
      <c r="C145" s="505"/>
      <c r="D145" s="505"/>
    </row>
    <row r="146" spans="2:4">
      <c r="B146" s="505"/>
      <c r="C146" s="505"/>
      <c r="D146" s="505"/>
    </row>
    <row r="147" spans="2:4">
      <c r="B147" s="505"/>
      <c r="C147" s="505"/>
      <c r="D147" s="505"/>
    </row>
    <row r="148" spans="2:4">
      <c r="B148" s="505"/>
      <c r="C148" s="505"/>
      <c r="D148" s="505"/>
    </row>
    <row r="149" spans="2:4">
      <c r="B149" s="505"/>
      <c r="C149" s="505"/>
      <c r="D149" s="505"/>
    </row>
    <row r="150" spans="2:4">
      <c r="B150" s="505"/>
      <c r="C150" s="505"/>
      <c r="D150" s="505"/>
    </row>
    <row r="151" spans="2:4">
      <c r="B151" s="505"/>
      <c r="C151" s="505"/>
      <c r="D151" s="505"/>
    </row>
    <row r="152" spans="2:4">
      <c r="B152" s="505"/>
      <c r="C152" s="505"/>
      <c r="D152" s="505"/>
    </row>
    <row r="153" spans="2:4">
      <c r="B153" s="505"/>
      <c r="C153" s="505"/>
      <c r="D153" s="505"/>
    </row>
    <row r="154" spans="2:4">
      <c r="B154" s="505"/>
      <c r="C154" s="505"/>
      <c r="D154" s="505"/>
    </row>
    <row r="155" spans="2:4">
      <c r="B155" s="505"/>
      <c r="C155" s="505"/>
      <c r="D155" s="505"/>
    </row>
    <row r="156" spans="2:4">
      <c r="B156" s="505"/>
      <c r="C156" s="505"/>
      <c r="D156" s="505"/>
    </row>
    <row r="157" spans="2:4">
      <c r="B157" s="505"/>
      <c r="C157" s="505"/>
      <c r="D157" s="505"/>
    </row>
    <row r="158" spans="2:4">
      <c r="B158" s="505"/>
      <c r="C158" s="505"/>
      <c r="D158" s="505"/>
    </row>
    <row r="159" spans="2:4">
      <c r="B159" s="505"/>
      <c r="C159" s="505"/>
      <c r="D159" s="505"/>
    </row>
    <row r="161" spans="2:7">
      <c r="B161" t="s">
        <v>314</v>
      </c>
    </row>
    <row r="163" spans="2:7">
      <c r="B163" s="677" t="s">
        <v>315</v>
      </c>
      <c r="C163" s="677"/>
      <c r="D163" s="678" t="s">
        <v>316</v>
      </c>
      <c r="E163" s="678"/>
      <c r="F163" s="679" t="s">
        <v>317</v>
      </c>
      <c r="G163" s="679"/>
    </row>
    <row r="164" spans="2:7" ht="14.55" customHeight="1">
      <c r="B164" s="680" t="s">
        <v>332</v>
      </c>
      <c r="C164" s="680"/>
      <c r="D164" s="681" t="s">
        <v>333</v>
      </c>
      <c r="E164" s="681"/>
      <c r="F164" s="680" t="s">
        <v>334</v>
      </c>
      <c r="G164" s="680"/>
    </row>
    <row r="165" spans="2:7">
      <c r="B165" s="680"/>
      <c r="C165" s="680"/>
      <c r="D165" s="681"/>
      <c r="E165" s="681"/>
      <c r="F165" s="680"/>
      <c r="G165" s="680"/>
    </row>
    <row r="166" spans="2:7">
      <c r="B166" s="680"/>
      <c r="C166" s="680"/>
      <c r="D166" s="681"/>
      <c r="E166" s="681"/>
      <c r="F166" s="680"/>
      <c r="G166" s="680"/>
    </row>
    <row r="169" spans="2:7">
      <c r="B169" s="508" t="s">
        <v>86</v>
      </c>
      <c r="C169" s="508" t="s">
        <v>95</v>
      </c>
      <c r="D169" s="508"/>
      <c r="E169" s="508"/>
      <c r="F169" s="508"/>
      <c r="G169" s="508"/>
    </row>
    <row r="171" spans="2:7" ht="14.55" customHeight="1">
      <c r="B171" s="682" t="s">
        <v>302</v>
      </c>
      <c r="C171" s="683" t="s">
        <v>303</v>
      </c>
      <c r="D171" s="679" t="s">
        <v>310</v>
      </c>
    </row>
    <row r="172" spans="2:7">
      <c r="B172" s="682"/>
      <c r="C172" s="683"/>
      <c r="D172" s="679"/>
    </row>
    <row r="173" spans="2:7">
      <c r="B173" s="504">
        <f>+J10</f>
        <v>18.153600000000001</v>
      </c>
      <c r="C173" s="504">
        <v>20.25</v>
      </c>
      <c r="D173" s="504">
        <v>20</v>
      </c>
    </row>
    <row r="174" spans="2:7">
      <c r="B174" s="505"/>
      <c r="C174" s="505"/>
      <c r="D174" s="505"/>
    </row>
    <row r="175" spans="2:7">
      <c r="B175" s="505"/>
      <c r="C175" s="505"/>
      <c r="D175" s="505"/>
    </row>
    <row r="176" spans="2:7">
      <c r="B176" s="505"/>
      <c r="C176" s="505"/>
      <c r="D176" s="505"/>
    </row>
    <row r="177" spans="2:4">
      <c r="B177" s="505"/>
      <c r="C177" s="505"/>
      <c r="D177" s="505"/>
    </row>
    <row r="178" spans="2:4">
      <c r="B178" s="505"/>
      <c r="C178" s="505"/>
      <c r="D178" s="505"/>
    </row>
    <row r="179" spans="2:4">
      <c r="B179" s="505"/>
      <c r="C179" s="505"/>
      <c r="D179" s="505"/>
    </row>
    <row r="180" spans="2:4">
      <c r="B180" s="505"/>
      <c r="C180" s="505"/>
      <c r="D180" s="505"/>
    </row>
    <row r="181" spans="2:4">
      <c r="B181" s="505"/>
      <c r="C181" s="505"/>
      <c r="D181" s="505"/>
    </row>
    <row r="182" spans="2:4">
      <c r="B182" s="505"/>
      <c r="C182" s="505"/>
      <c r="D182" s="505"/>
    </row>
    <row r="183" spans="2:4">
      <c r="B183" s="505"/>
      <c r="C183" s="505"/>
      <c r="D183" s="505"/>
    </row>
    <row r="184" spans="2:4">
      <c r="B184" s="505"/>
      <c r="C184" s="505"/>
      <c r="D184" s="505"/>
    </row>
    <row r="185" spans="2:4">
      <c r="B185" s="505"/>
      <c r="C185" s="505"/>
      <c r="D185" s="505"/>
    </row>
    <row r="186" spans="2:4">
      <c r="B186" s="505"/>
      <c r="C186" s="505"/>
      <c r="D186" s="505"/>
    </row>
    <row r="187" spans="2:4">
      <c r="B187" s="505"/>
      <c r="C187" s="505"/>
      <c r="D187" s="505"/>
    </row>
    <row r="188" spans="2:4">
      <c r="B188" s="505"/>
      <c r="C188" s="505"/>
      <c r="D188" s="505"/>
    </row>
    <row r="189" spans="2:4">
      <c r="B189" s="505"/>
      <c r="C189" s="505"/>
      <c r="D189" s="505"/>
    </row>
    <row r="191" spans="2:4">
      <c r="B191" t="s">
        <v>314</v>
      </c>
    </row>
    <row r="193" spans="2:7">
      <c r="B193" s="677" t="s">
        <v>315</v>
      </c>
      <c r="C193" s="677"/>
      <c r="D193" s="678" t="s">
        <v>316</v>
      </c>
      <c r="E193" s="678"/>
      <c r="F193" s="679" t="s">
        <v>317</v>
      </c>
      <c r="G193" s="679"/>
    </row>
    <row r="194" spans="2:7">
      <c r="B194" s="680" t="s">
        <v>335</v>
      </c>
      <c r="C194" s="680"/>
      <c r="D194" s="681" t="s">
        <v>336</v>
      </c>
      <c r="E194" s="681"/>
      <c r="F194" s="680" t="s">
        <v>337</v>
      </c>
      <c r="G194" s="680"/>
    </row>
    <row r="195" spans="2:7">
      <c r="B195" s="680"/>
      <c r="C195" s="680"/>
      <c r="D195" s="681"/>
      <c r="E195" s="681"/>
      <c r="F195" s="680"/>
      <c r="G195" s="680"/>
    </row>
    <row r="196" spans="2:7">
      <c r="B196" s="680"/>
      <c r="C196" s="680"/>
      <c r="D196" s="681"/>
      <c r="E196" s="681"/>
      <c r="F196" s="680"/>
      <c r="G196" s="680"/>
    </row>
    <row r="199" spans="2:7">
      <c r="B199" s="509" t="s">
        <v>86</v>
      </c>
      <c r="C199" s="509" t="s">
        <v>96</v>
      </c>
      <c r="D199" s="509"/>
      <c r="E199" s="509"/>
      <c r="F199" s="509" t="s">
        <v>338</v>
      </c>
      <c r="G199" s="509"/>
    </row>
    <row r="201" spans="2:7" ht="14.55" customHeight="1">
      <c r="B201" s="682" t="s">
        <v>302</v>
      </c>
      <c r="C201" s="683" t="s">
        <v>303</v>
      </c>
      <c r="D201" s="679" t="s">
        <v>310</v>
      </c>
    </row>
    <row r="202" spans="2:7">
      <c r="B202" s="682"/>
      <c r="C202" s="683"/>
      <c r="D202" s="679"/>
    </row>
    <row r="203" spans="2:7">
      <c r="B203" s="504">
        <f>+J11</f>
        <v>27.479640000000003</v>
      </c>
      <c r="C203" s="504">
        <v>61.25</v>
      </c>
      <c r="D203" s="504">
        <v>75</v>
      </c>
    </row>
    <row r="204" spans="2:7">
      <c r="B204" s="505"/>
      <c r="C204" s="505"/>
      <c r="D204" s="505"/>
    </row>
    <row r="205" spans="2:7">
      <c r="B205" s="505"/>
      <c r="C205" s="505"/>
      <c r="D205" s="505"/>
    </row>
    <row r="206" spans="2:7">
      <c r="B206" s="505"/>
      <c r="C206" s="505"/>
      <c r="D206" s="505"/>
    </row>
    <row r="207" spans="2:7">
      <c r="B207" s="505"/>
      <c r="C207" s="505"/>
      <c r="D207" s="505"/>
    </row>
    <row r="208" spans="2:7">
      <c r="B208" s="505"/>
      <c r="C208" s="505"/>
      <c r="D208" s="505"/>
    </row>
    <row r="209" spans="2:7">
      <c r="B209" s="505"/>
      <c r="C209" s="505"/>
      <c r="D209" s="505"/>
    </row>
    <row r="210" spans="2:7">
      <c r="B210" s="505"/>
      <c r="C210" s="505"/>
      <c r="D210" s="505"/>
    </row>
    <row r="211" spans="2:7">
      <c r="B211" s="505"/>
      <c r="C211" s="505"/>
      <c r="D211" s="505"/>
    </row>
    <row r="212" spans="2:7">
      <c r="B212" s="505"/>
      <c r="C212" s="505"/>
      <c r="D212" s="505"/>
    </row>
    <row r="213" spans="2:7">
      <c r="B213" s="505"/>
      <c r="C213" s="505"/>
      <c r="D213" s="505"/>
    </row>
    <row r="214" spans="2:7">
      <c r="B214" s="505"/>
      <c r="C214" s="505"/>
      <c r="D214" s="505"/>
    </row>
    <row r="215" spans="2:7">
      <c r="B215" s="505"/>
      <c r="C215" s="505"/>
      <c r="D215" s="505"/>
    </row>
    <row r="216" spans="2:7">
      <c r="B216" s="505"/>
      <c r="C216" s="505"/>
      <c r="D216" s="505"/>
    </row>
    <row r="217" spans="2:7">
      <c r="B217" s="505"/>
      <c r="C217" s="505"/>
      <c r="D217" s="505"/>
    </row>
    <row r="218" spans="2:7">
      <c r="B218" s="505"/>
      <c r="C218" s="505"/>
      <c r="D218" s="505"/>
    </row>
    <row r="219" spans="2:7">
      <c r="B219" s="505"/>
      <c r="C219" s="505"/>
      <c r="D219" s="505"/>
    </row>
    <row r="221" spans="2:7">
      <c r="B221" t="s">
        <v>314</v>
      </c>
    </row>
    <row r="223" spans="2:7">
      <c r="B223" s="677" t="s">
        <v>315</v>
      </c>
      <c r="C223" s="677"/>
      <c r="D223" s="678" t="s">
        <v>316</v>
      </c>
      <c r="E223" s="678"/>
      <c r="F223" s="679" t="s">
        <v>317</v>
      </c>
      <c r="G223" s="679"/>
    </row>
    <row r="224" spans="2:7" ht="14.55" customHeight="1">
      <c r="B224" s="680" t="s">
        <v>339</v>
      </c>
      <c r="C224" s="680"/>
      <c r="D224" s="681" t="s">
        <v>340</v>
      </c>
      <c r="E224" s="681"/>
      <c r="F224" s="680" t="s">
        <v>341</v>
      </c>
      <c r="G224" s="680"/>
    </row>
    <row r="225" spans="2:7">
      <c r="B225" s="680"/>
      <c r="C225" s="680"/>
      <c r="D225" s="681"/>
      <c r="E225" s="681"/>
      <c r="F225" s="680"/>
      <c r="G225" s="680"/>
    </row>
    <row r="226" spans="2:7">
      <c r="B226" s="680"/>
      <c r="C226" s="680"/>
      <c r="D226" s="681"/>
      <c r="E226" s="681"/>
      <c r="F226" s="680"/>
      <c r="G226" s="680"/>
    </row>
    <row r="229" spans="2:7">
      <c r="B229" s="509" t="s">
        <v>86</v>
      </c>
      <c r="C229" s="509" t="s">
        <v>97</v>
      </c>
      <c r="D229" s="509"/>
      <c r="E229" s="509"/>
      <c r="F229" s="509" t="s">
        <v>342</v>
      </c>
      <c r="G229" s="509"/>
    </row>
    <row r="231" spans="2:7" ht="14.55" customHeight="1">
      <c r="B231" s="682" t="s">
        <v>302</v>
      </c>
      <c r="C231" s="683" t="s">
        <v>303</v>
      </c>
      <c r="D231" s="679" t="s">
        <v>310</v>
      </c>
    </row>
    <row r="232" spans="2:7">
      <c r="B232" s="682"/>
      <c r="C232" s="683"/>
      <c r="D232" s="679"/>
    </row>
    <row r="233" spans="2:7">
      <c r="B233" s="504">
        <f>+J12</f>
        <v>31.421599999999998</v>
      </c>
      <c r="C233" s="504">
        <v>61.25</v>
      </c>
      <c r="D233" s="504">
        <v>75</v>
      </c>
    </row>
    <row r="234" spans="2:7">
      <c r="B234" s="505"/>
      <c r="C234" s="505"/>
      <c r="D234" s="505"/>
    </row>
    <row r="235" spans="2:7">
      <c r="B235" s="505"/>
      <c r="C235" s="505"/>
      <c r="D235" s="505"/>
    </row>
    <row r="236" spans="2:7">
      <c r="B236" s="505"/>
      <c r="C236" s="505"/>
      <c r="D236" s="505"/>
    </row>
    <row r="237" spans="2:7">
      <c r="B237" s="505"/>
      <c r="C237" s="505"/>
      <c r="D237" s="505"/>
    </row>
    <row r="238" spans="2:7">
      <c r="B238" s="505"/>
      <c r="C238" s="505"/>
      <c r="D238" s="505"/>
    </row>
    <row r="239" spans="2:7">
      <c r="B239" s="505"/>
      <c r="C239" s="505"/>
      <c r="D239" s="505"/>
    </row>
    <row r="240" spans="2:7">
      <c r="B240" s="505"/>
      <c r="C240" s="505"/>
      <c r="D240" s="505"/>
    </row>
    <row r="241" spans="2:7">
      <c r="B241" s="505"/>
      <c r="C241" s="505"/>
      <c r="D241" s="505"/>
    </row>
    <row r="242" spans="2:7">
      <c r="B242" s="505"/>
      <c r="C242" s="505"/>
      <c r="D242" s="505"/>
    </row>
    <row r="243" spans="2:7">
      <c r="B243" s="505"/>
      <c r="C243" s="505"/>
      <c r="D243" s="505"/>
    </row>
    <row r="244" spans="2:7">
      <c r="B244" s="505"/>
      <c r="C244" s="505"/>
      <c r="D244" s="505"/>
    </row>
    <row r="245" spans="2:7">
      <c r="B245" s="505"/>
      <c r="C245" s="505"/>
      <c r="D245" s="505"/>
    </row>
    <row r="246" spans="2:7">
      <c r="B246" s="505"/>
      <c r="C246" s="505"/>
      <c r="D246" s="505"/>
    </row>
    <row r="247" spans="2:7">
      <c r="B247" s="505"/>
      <c r="C247" s="505"/>
      <c r="D247" s="505"/>
    </row>
    <row r="248" spans="2:7">
      <c r="B248" s="505"/>
      <c r="C248" s="505"/>
      <c r="D248" s="505"/>
    </row>
    <row r="249" spans="2:7">
      <c r="B249" s="505"/>
      <c r="C249" s="505"/>
      <c r="D249" s="505"/>
    </row>
    <row r="250" spans="2:7">
      <c r="B250" s="505"/>
      <c r="C250" s="505"/>
      <c r="D250" s="505"/>
    </row>
    <row r="251" spans="2:7">
      <c r="B251" s="505"/>
      <c r="C251" s="505"/>
      <c r="D251" s="505"/>
    </row>
    <row r="252" spans="2:7">
      <c r="B252" s="505"/>
      <c r="C252" s="505"/>
      <c r="D252" s="505"/>
    </row>
    <row r="254" spans="2:7">
      <c r="B254" t="s">
        <v>314</v>
      </c>
    </row>
    <row r="256" spans="2:7">
      <c r="B256" s="677" t="s">
        <v>315</v>
      </c>
      <c r="C256" s="677"/>
      <c r="D256" s="678" t="s">
        <v>316</v>
      </c>
      <c r="E256" s="678"/>
      <c r="F256" s="679" t="s">
        <v>317</v>
      </c>
      <c r="G256" s="679"/>
    </row>
    <row r="257" spans="2:7" ht="14.55" customHeight="1">
      <c r="B257" s="680" t="s">
        <v>339</v>
      </c>
      <c r="C257" s="680"/>
      <c r="D257" s="681" t="s">
        <v>340</v>
      </c>
      <c r="E257" s="681"/>
      <c r="F257" s="680" t="s">
        <v>341</v>
      </c>
      <c r="G257" s="680"/>
    </row>
    <row r="258" spans="2:7">
      <c r="B258" s="680"/>
      <c r="C258" s="680"/>
      <c r="D258" s="681"/>
      <c r="E258" s="681"/>
      <c r="F258" s="680"/>
      <c r="G258" s="680"/>
    </row>
    <row r="259" spans="2:7">
      <c r="B259" s="680"/>
      <c r="C259" s="680"/>
      <c r="D259" s="681"/>
      <c r="E259" s="681"/>
      <c r="F259" s="680"/>
      <c r="G259" s="680"/>
    </row>
    <row r="262" spans="2:7">
      <c r="B262" s="510" t="s">
        <v>86</v>
      </c>
      <c r="C262" s="510" t="s">
        <v>98</v>
      </c>
      <c r="D262" s="510"/>
      <c r="E262" s="510"/>
      <c r="F262" s="510"/>
      <c r="G262" s="510"/>
    </row>
    <row r="264" spans="2:7" ht="14.55" customHeight="1">
      <c r="B264" s="682" t="s">
        <v>302</v>
      </c>
      <c r="C264" s="683" t="s">
        <v>303</v>
      </c>
      <c r="D264" s="679" t="s">
        <v>310</v>
      </c>
    </row>
    <row r="265" spans="2:7">
      <c r="B265" s="682"/>
      <c r="C265" s="683"/>
      <c r="D265" s="679"/>
    </row>
    <row r="266" spans="2:7">
      <c r="B266" s="504">
        <f>+J13</f>
        <v>165.73591999999996</v>
      </c>
      <c r="C266" s="504">
        <v>126.75</v>
      </c>
      <c r="D266" s="504">
        <v>75</v>
      </c>
    </row>
    <row r="267" spans="2:7">
      <c r="B267" s="505"/>
      <c r="C267" s="505"/>
      <c r="D267" s="505"/>
    </row>
    <row r="268" spans="2:7">
      <c r="B268" s="505"/>
      <c r="C268" s="505"/>
      <c r="D268" s="505"/>
    </row>
    <row r="269" spans="2:7">
      <c r="B269" s="505"/>
      <c r="C269" s="505"/>
      <c r="D269" s="505"/>
    </row>
    <row r="270" spans="2:7">
      <c r="B270" s="505"/>
      <c r="C270" s="505"/>
      <c r="D270" s="505"/>
    </row>
    <row r="271" spans="2:7">
      <c r="B271" s="505"/>
      <c r="C271" s="505"/>
      <c r="D271" s="505"/>
    </row>
    <row r="272" spans="2:7">
      <c r="B272" s="505"/>
      <c r="C272" s="505"/>
      <c r="D272" s="505"/>
    </row>
    <row r="273" spans="2:4">
      <c r="B273" s="505"/>
      <c r="C273" s="505"/>
      <c r="D273" s="505"/>
    </row>
    <row r="274" spans="2:4">
      <c r="B274" s="505"/>
      <c r="C274" s="505"/>
      <c r="D274" s="505"/>
    </row>
    <row r="275" spans="2:4">
      <c r="B275" s="505"/>
      <c r="C275" s="505"/>
      <c r="D275" s="505"/>
    </row>
    <row r="276" spans="2:4">
      <c r="B276" s="505"/>
      <c r="C276" s="505"/>
      <c r="D276" s="505"/>
    </row>
    <row r="277" spans="2:4">
      <c r="B277" s="505"/>
      <c r="C277" s="505"/>
      <c r="D277" s="505"/>
    </row>
    <row r="278" spans="2:4">
      <c r="B278" s="505"/>
      <c r="C278" s="505"/>
      <c r="D278" s="505"/>
    </row>
    <row r="279" spans="2:4">
      <c r="B279" s="505"/>
      <c r="C279" s="505"/>
      <c r="D279" s="505"/>
    </row>
    <row r="280" spans="2:4">
      <c r="B280" s="505"/>
      <c r="C280" s="505"/>
      <c r="D280" s="505"/>
    </row>
    <row r="281" spans="2:4">
      <c r="B281" s="505"/>
      <c r="C281" s="505"/>
      <c r="D281" s="505"/>
    </row>
    <row r="282" spans="2:4">
      <c r="B282" s="505"/>
      <c r="C282" s="505"/>
      <c r="D282" s="505"/>
    </row>
    <row r="283" spans="2:4">
      <c r="B283" s="505"/>
      <c r="C283" s="505"/>
      <c r="D283" s="505"/>
    </row>
    <row r="284" spans="2:4">
      <c r="B284" s="505"/>
      <c r="C284" s="505"/>
      <c r="D284" s="505"/>
    </row>
    <row r="285" spans="2:4">
      <c r="B285" s="505"/>
      <c r="C285" s="505"/>
      <c r="D285" s="505"/>
    </row>
    <row r="286" spans="2:4">
      <c r="B286" s="505"/>
      <c r="C286" s="505"/>
      <c r="D286" s="505"/>
    </row>
    <row r="288" spans="2:4">
      <c r="B288" t="s">
        <v>314</v>
      </c>
    </row>
    <row r="290" spans="2:7">
      <c r="B290" s="677" t="s">
        <v>315</v>
      </c>
      <c r="C290" s="677"/>
      <c r="D290" s="678" t="s">
        <v>316</v>
      </c>
      <c r="E290" s="678"/>
      <c r="F290" s="679" t="s">
        <v>317</v>
      </c>
      <c r="G290" s="679"/>
    </row>
    <row r="291" spans="2:7" ht="14.55" customHeight="1">
      <c r="B291" s="680" t="s">
        <v>339</v>
      </c>
      <c r="C291" s="680"/>
      <c r="D291" s="681" t="s">
        <v>343</v>
      </c>
      <c r="E291" s="681"/>
      <c r="F291" s="680" t="s">
        <v>341</v>
      </c>
      <c r="G291" s="680"/>
    </row>
    <row r="292" spans="2:7">
      <c r="B292" s="680"/>
      <c r="C292" s="680"/>
      <c r="D292" s="681"/>
      <c r="E292" s="681"/>
      <c r="F292" s="680"/>
      <c r="G292" s="680"/>
    </row>
    <row r="293" spans="2:7">
      <c r="B293" s="680"/>
      <c r="C293" s="680"/>
      <c r="D293" s="681"/>
      <c r="E293" s="681"/>
      <c r="F293" s="680"/>
      <c r="G293" s="680"/>
    </row>
  </sheetData>
  <mergeCells count="85">
    <mergeCell ref="M12:M13"/>
    <mergeCell ref="N12:N13"/>
    <mergeCell ref="O12:O13"/>
    <mergeCell ref="C14:E15"/>
    <mergeCell ref="B17:B18"/>
    <mergeCell ref="C17:C18"/>
    <mergeCell ref="D17:D18"/>
    <mergeCell ref="F71:G71"/>
    <mergeCell ref="B39:C39"/>
    <mergeCell ref="D39:E39"/>
    <mergeCell ref="F39:G39"/>
    <mergeCell ref="B40:C42"/>
    <mergeCell ref="D40:E42"/>
    <mergeCell ref="F40:G42"/>
    <mergeCell ref="B47:B48"/>
    <mergeCell ref="C47:C48"/>
    <mergeCell ref="D47:D48"/>
    <mergeCell ref="B71:C71"/>
    <mergeCell ref="D71:E71"/>
    <mergeCell ref="B72:C74"/>
    <mergeCell ref="D72:E74"/>
    <mergeCell ref="F72:G74"/>
    <mergeCell ref="B78:B79"/>
    <mergeCell ref="C78:C79"/>
    <mergeCell ref="D78:D79"/>
    <mergeCell ref="F132:G132"/>
    <mergeCell ref="B101:C101"/>
    <mergeCell ref="D101:E101"/>
    <mergeCell ref="F101:G101"/>
    <mergeCell ref="B102:C104"/>
    <mergeCell ref="D102:E104"/>
    <mergeCell ref="F102:G104"/>
    <mergeCell ref="B110:B111"/>
    <mergeCell ref="C110:C111"/>
    <mergeCell ref="D110:D111"/>
    <mergeCell ref="B132:C132"/>
    <mergeCell ref="D132:E132"/>
    <mergeCell ref="B133:C135"/>
    <mergeCell ref="D133:E135"/>
    <mergeCell ref="F133:G135"/>
    <mergeCell ref="B140:B141"/>
    <mergeCell ref="C140:C141"/>
    <mergeCell ref="D140:D141"/>
    <mergeCell ref="F193:G193"/>
    <mergeCell ref="B163:C163"/>
    <mergeCell ref="D163:E163"/>
    <mergeCell ref="F163:G163"/>
    <mergeCell ref="B164:C166"/>
    <mergeCell ref="D164:E166"/>
    <mergeCell ref="F164:G166"/>
    <mergeCell ref="B171:B172"/>
    <mergeCell ref="C171:C172"/>
    <mergeCell ref="D171:D172"/>
    <mergeCell ref="B193:C193"/>
    <mergeCell ref="D193:E193"/>
    <mergeCell ref="B194:C196"/>
    <mergeCell ref="D194:E196"/>
    <mergeCell ref="F194:G196"/>
    <mergeCell ref="B201:B202"/>
    <mergeCell ref="C201:C202"/>
    <mergeCell ref="D201:D202"/>
    <mergeCell ref="F256:G256"/>
    <mergeCell ref="B223:C223"/>
    <mergeCell ref="D223:E223"/>
    <mergeCell ref="F223:G223"/>
    <mergeCell ref="B224:C226"/>
    <mergeCell ref="D224:E226"/>
    <mergeCell ref="F224:G226"/>
    <mergeCell ref="B231:B232"/>
    <mergeCell ref="C231:C232"/>
    <mergeCell ref="D231:D232"/>
    <mergeCell ref="B256:C256"/>
    <mergeCell ref="D256:E256"/>
    <mergeCell ref="B257:C259"/>
    <mergeCell ref="D257:E259"/>
    <mergeCell ref="F257:G259"/>
    <mergeCell ref="B264:B265"/>
    <mergeCell ref="C264:C265"/>
    <mergeCell ref="D264:D265"/>
    <mergeCell ref="B290:C290"/>
    <mergeCell ref="D290:E290"/>
    <mergeCell ref="F290:G290"/>
    <mergeCell ref="B291:C293"/>
    <mergeCell ref="D291:E293"/>
    <mergeCell ref="F291:G29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3"/>
  <sheetViews>
    <sheetView topLeftCell="F8" zoomScale="80" zoomScaleNormal="80" workbookViewId="0">
      <selection activeCell="N16" sqref="N16"/>
    </sheetView>
  </sheetViews>
  <sheetFormatPr baseColWidth="10" defaultRowHeight="15.6"/>
  <cols>
    <col min="2" max="2" width="23.8984375" bestFit="1" customWidth="1"/>
    <col min="6" max="6" width="13" customWidth="1"/>
    <col min="7" max="7" width="17.09765625" customWidth="1"/>
    <col min="8" max="8" width="14.5" customWidth="1"/>
  </cols>
  <sheetData>
    <row r="3" spans="2:8">
      <c r="B3" s="519"/>
      <c r="C3" s="697" t="s">
        <v>347</v>
      </c>
      <c r="D3" s="697" t="s">
        <v>303</v>
      </c>
      <c r="E3" s="698" t="s">
        <v>310</v>
      </c>
      <c r="F3" s="697" t="s">
        <v>348</v>
      </c>
      <c r="G3" s="699" t="s">
        <v>349</v>
      </c>
      <c r="H3" s="697" t="s">
        <v>350</v>
      </c>
    </row>
    <row r="4" spans="2:8">
      <c r="B4" s="519" t="s">
        <v>356</v>
      </c>
      <c r="C4" s="697"/>
      <c r="D4" s="697"/>
      <c r="E4" s="698"/>
      <c r="F4" s="697"/>
      <c r="G4" s="699"/>
      <c r="H4" s="697"/>
    </row>
    <row r="5" spans="2:8">
      <c r="B5" s="523" t="s">
        <v>357</v>
      </c>
      <c r="C5" s="524">
        <f>+Comparaciones!$B$19</f>
        <v>32.821144262946817</v>
      </c>
      <c r="D5" s="524">
        <f>+Comparaciones!$C$19</f>
        <v>32.25</v>
      </c>
      <c r="E5" s="525">
        <f>+Comparaciones!$D$19</f>
        <v>37</v>
      </c>
      <c r="F5" s="524">
        <f>+D5-C5</f>
        <v>-0.57114426294681664</v>
      </c>
      <c r="G5" s="526">
        <f>+D5-E5</f>
        <v>-4.75</v>
      </c>
      <c r="H5" s="524">
        <f>+E5-C5</f>
        <v>4.1788557370531834</v>
      </c>
    </row>
    <row r="6" spans="2:8">
      <c r="B6" s="523" t="s">
        <v>363</v>
      </c>
      <c r="C6" s="524">
        <f>+Comparaciones!$B$49</f>
        <v>9.9759999999999991</v>
      </c>
      <c r="D6" s="524">
        <f>+Comparaciones!$C$49</f>
        <v>14.5</v>
      </c>
      <c r="E6" s="525">
        <f>+Comparaciones!D49</f>
        <v>8</v>
      </c>
      <c r="F6" s="524">
        <f t="shared" ref="F6:F13" si="0">+D6-C6</f>
        <v>4.5240000000000009</v>
      </c>
      <c r="G6" s="526">
        <f t="shared" ref="G6:G13" si="1">+D6-E6</f>
        <v>6.5</v>
      </c>
      <c r="H6" s="524">
        <f>+E6-C6</f>
        <v>-1.9759999999999991</v>
      </c>
    </row>
    <row r="7" spans="2:8">
      <c r="B7" s="523" t="s">
        <v>367</v>
      </c>
      <c r="C7" s="524">
        <f>+Comparaciones!$B$80</f>
        <v>16.670999999999999</v>
      </c>
      <c r="D7" s="524">
        <f>+Comparaciones!C80</f>
        <v>41.75</v>
      </c>
      <c r="E7" s="525">
        <f>+Comparaciones!D80</f>
        <v>50</v>
      </c>
      <c r="F7" s="524">
        <f t="shared" si="0"/>
        <v>25.079000000000001</v>
      </c>
      <c r="G7" s="526">
        <f t="shared" si="1"/>
        <v>-8.25</v>
      </c>
      <c r="H7" s="524">
        <f t="shared" ref="H7:H13" si="2">+E7-C7</f>
        <v>33.329000000000001</v>
      </c>
    </row>
    <row r="8" spans="2:8">
      <c r="B8" s="523" t="s">
        <v>93</v>
      </c>
      <c r="C8" s="524">
        <f>+Comparaciones!$B$112</f>
        <v>18.55536</v>
      </c>
      <c r="D8" s="524">
        <f>+Comparaciones!C112</f>
        <v>23</v>
      </c>
      <c r="E8" s="525">
        <f>+Comparaciones!D112</f>
        <v>20</v>
      </c>
      <c r="F8" s="524">
        <f t="shared" si="0"/>
        <v>4.4446399999999997</v>
      </c>
      <c r="G8" s="526">
        <f t="shared" si="1"/>
        <v>3</v>
      </c>
      <c r="H8" s="524">
        <f t="shared" si="2"/>
        <v>1.4446399999999997</v>
      </c>
    </row>
    <row r="9" spans="2:8">
      <c r="B9" s="523" t="s">
        <v>94</v>
      </c>
      <c r="C9" s="524">
        <f>+Comparaciones!$B$142</f>
        <v>21.81231882215841</v>
      </c>
      <c r="D9" s="524">
        <f>+Comparaciones!C142</f>
        <v>24.25</v>
      </c>
      <c r="E9" s="525">
        <f>+Comparaciones!D142</f>
        <v>20</v>
      </c>
      <c r="F9" s="524">
        <f t="shared" si="0"/>
        <v>2.4376811778415899</v>
      </c>
      <c r="G9" s="526">
        <f t="shared" si="1"/>
        <v>4.25</v>
      </c>
      <c r="H9" s="536">
        <f>+E9-C9</f>
        <v>-1.8123188221584101</v>
      </c>
    </row>
    <row r="10" spans="2:8">
      <c r="B10" s="523" t="s">
        <v>95</v>
      </c>
      <c r="C10" s="524">
        <f>+Comparaciones!$B$173</f>
        <v>18.153600000000001</v>
      </c>
      <c r="D10" s="524">
        <f>+Comparaciones!C173</f>
        <v>20.25</v>
      </c>
      <c r="E10" s="525">
        <f>+Comparaciones!D173</f>
        <v>20</v>
      </c>
      <c r="F10" s="524">
        <f t="shared" si="0"/>
        <v>2.0963999999999992</v>
      </c>
      <c r="G10" s="526">
        <f t="shared" si="1"/>
        <v>0.25</v>
      </c>
      <c r="H10" s="524">
        <f t="shared" si="2"/>
        <v>1.8463999999999992</v>
      </c>
    </row>
    <row r="11" spans="2:8">
      <c r="B11" s="523" t="s">
        <v>96</v>
      </c>
      <c r="C11" s="524">
        <f>+Comparaciones!$B$203</f>
        <v>27.479640000000003</v>
      </c>
      <c r="D11" s="524">
        <f>+Comparaciones!C203</f>
        <v>61.25</v>
      </c>
      <c r="E11" s="525">
        <f>+Comparaciones!D203</f>
        <v>75</v>
      </c>
      <c r="F11" s="524">
        <f t="shared" si="0"/>
        <v>33.770359999999997</v>
      </c>
      <c r="G11" s="526">
        <f t="shared" si="1"/>
        <v>-13.75</v>
      </c>
      <c r="H11" s="524">
        <f t="shared" si="2"/>
        <v>47.520359999999997</v>
      </c>
    </row>
    <row r="12" spans="2:8">
      <c r="B12" s="523" t="s">
        <v>97</v>
      </c>
      <c r="C12" s="524">
        <f>+Comparaciones!$B$233</f>
        <v>31.421599999999998</v>
      </c>
      <c r="D12" s="524">
        <f>+Comparaciones!C233</f>
        <v>61.25</v>
      </c>
      <c r="E12" s="525">
        <f>+Comparaciones!D233</f>
        <v>75</v>
      </c>
      <c r="F12" s="524">
        <f t="shared" si="0"/>
        <v>29.828400000000002</v>
      </c>
      <c r="G12" s="526">
        <f t="shared" si="1"/>
        <v>-13.75</v>
      </c>
      <c r="H12" s="524">
        <f t="shared" si="2"/>
        <v>43.578400000000002</v>
      </c>
    </row>
    <row r="13" spans="2:8">
      <c r="B13" s="523" t="s">
        <v>98</v>
      </c>
      <c r="C13" s="524">
        <f>+Comparaciones!$B$266</f>
        <v>165.73591999999996</v>
      </c>
      <c r="D13" s="524">
        <f>+Comparaciones!C266</f>
        <v>126.75</v>
      </c>
      <c r="E13" s="525">
        <f>+Comparaciones!D266</f>
        <v>75</v>
      </c>
      <c r="F13" s="524">
        <f t="shared" si="0"/>
        <v>-38.985919999999965</v>
      </c>
      <c r="G13" s="526">
        <f t="shared" si="1"/>
        <v>51.75</v>
      </c>
      <c r="H13" s="524">
        <f t="shared" si="2"/>
        <v>-90.735919999999965</v>
      </c>
    </row>
  </sheetData>
  <mergeCells count="6">
    <mergeCell ref="H3:H4"/>
    <mergeCell ref="C3:C4"/>
    <mergeCell ref="D3:D4"/>
    <mergeCell ref="E3:E4"/>
    <mergeCell ref="F3:F4"/>
    <mergeCell ref="G3:G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zoomScale="70" zoomScaleNormal="70" workbookViewId="0">
      <selection activeCell="H5" sqref="H5"/>
    </sheetView>
  </sheetViews>
  <sheetFormatPr baseColWidth="10" defaultColWidth="9.69921875" defaultRowHeight="15.6"/>
  <cols>
    <col min="1" max="1" width="1.8984375" style="489" bestFit="1" customWidth="1"/>
    <col min="2" max="2" width="27.09765625" style="489" bestFit="1" customWidth="1"/>
    <col min="3" max="3" width="10.5" style="489" customWidth="1"/>
    <col min="4" max="4" width="9.09765625" style="489" customWidth="1"/>
    <col min="5" max="5" width="9.296875" style="489" customWidth="1"/>
    <col min="6" max="6" width="12" style="489" customWidth="1"/>
    <col min="7" max="7" width="13.19921875" style="318" bestFit="1" customWidth="1"/>
    <col min="8" max="8" width="13.5" style="489" bestFit="1" customWidth="1"/>
    <col min="9" max="10" width="13.5" style="489" customWidth="1"/>
    <col min="11" max="11" width="23.09765625" style="489" bestFit="1" customWidth="1"/>
    <col min="12" max="12" width="28.19921875" style="489" bestFit="1" customWidth="1"/>
    <col min="13" max="13" width="13.19921875" style="489" bestFit="1" customWidth="1"/>
    <col min="14" max="14" width="23.09765625" style="489" bestFit="1" customWidth="1"/>
    <col min="15" max="15" width="14.19921875" style="489" bestFit="1" customWidth="1"/>
    <col min="16" max="16" width="12.8984375" style="489" bestFit="1" customWidth="1"/>
    <col min="17" max="17" width="30" style="489" bestFit="1" customWidth="1"/>
    <col min="18" max="18" width="12.8984375" style="489" bestFit="1" customWidth="1"/>
    <col min="19" max="16384" width="9.69921875" style="489"/>
  </cols>
  <sheetData>
    <row r="1" spans="1:20" ht="16.2" thickBot="1"/>
    <row r="2" spans="1:20">
      <c r="B2" s="511"/>
      <c r="C2" s="511"/>
      <c r="D2" s="511"/>
      <c r="E2" s="511"/>
      <c r="F2" s="512"/>
      <c r="G2" s="513" t="s">
        <v>344</v>
      </c>
      <c r="H2" s="512"/>
      <c r="I2" s="512"/>
      <c r="J2" s="514"/>
      <c r="K2" s="515" t="s">
        <v>345</v>
      </c>
      <c r="L2" s="516" t="s">
        <v>345</v>
      </c>
      <c r="M2" s="517" t="s">
        <v>346</v>
      </c>
      <c r="N2" s="515"/>
      <c r="O2" s="518"/>
      <c r="P2" s="517" t="s">
        <v>346</v>
      </c>
      <c r="Q2" s="515"/>
      <c r="R2" s="518"/>
    </row>
    <row r="3" spans="1:20" ht="86.4">
      <c r="A3" s="519" t="s">
        <v>65</v>
      </c>
      <c r="B3" s="519"/>
      <c r="C3" s="697" t="s">
        <v>347</v>
      </c>
      <c r="D3" s="697" t="s">
        <v>303</v>
      </c>
      <c r="E3" s="698" t="s">
        <v>310</v>
      </c>
      <c r="F3" s="697" t="s">
        <v>348</v>
      </c>
      <c r="G3" s="699" t="s">
        <v>349</v>
      </c>
      <c r="H3" s="697" t="s">
        <v>350</v>
      </c>
      <c r="I3" s="520"/>
      <c r="J3" s="700" t="s">
        <v>348</v>
      </c>
      <c r="K3" s="424" t="s">
        <v>351</v>
      </c>
      <c r="L3" s="521" t="s">
        <v>352</v>
      </c>
      <c r="M3" s="522" t="s">
        <v>353</v>
      </c>
      <c r="N3" s="424" t="s">
        <v>351</v>
      </c>
      <c r="O3" s="521"/>
      <c r="P3" s="522" t="s">
        <v>354</v>
      </c>
      <c r="Q3" s="424" t="s">
        <v>355</v>
      </c>
      <c r="R3" s="521"/>
    </row>
    <row r="4" spans="1:20">
      <c r="A4" s="519"/>
      <c r="B4" s="519" t="s">
        <v>356</v>
      </c>
      <c r="C4" s="697"/>
      <c r="D4" s="697"/>
      <c r="E4" s="698"/>
      <c r="F4" s="697"/>
      <c r="G4" s="699"/>
      <c r="H4" s="697"/>
      <c r="I4" s="520"/>
      <c r="J4" s="700"/>
      <c r="K4" s="424"/>
      <c r="L4" s="521"/>
      <c r="M4" s="522"/>
      <c r="N4" s="424"/>
      <c r="O4" s="521"/>
      <c r="P4" s="522"/>
      <c r="Q4" s="424"/>
      <c r="R4" s="521"/>
    </row>
    <row r="5" spans="1:20">
      <c r="A5" s="418">
        <v>1</v>
      </c>
      <c r="B5" s="523" t="s">
        <v>357</v>
      </c>
      <c r="C5" s="524">
        <f>+Comparaciones!$B$19</f>
        <v>32.821144262946817</v>
      </c>
      <c r="D5" s="524">
        <f>+Comparaciones!$C$19</f>
        <v>32.25</v>
      </c>
      <c r="E5" s="525">
        <f>+Comparaciones!$D$19</f>
        <v>37</v>
      </c>
      <c r="F5" s="524">
        <f>+D5-C5</f>
        <v>-0.57114426294681664</v>
      </c>
      <c r="G5" s="526">
        <f>+D5-E5</f>
        <v>-4.75</v>
      </c>
      <c r="H5" s="524">
        <f>+E5-C5</f>
        <v>4.1788557370531834</v>
      </c>
      <c r="I5" s="424"/>
      <c r="J5" s="418">
        <v>4.4400000000000004</v>
      </c>
      <c r="K5" s="424" t="s">
        <v>358</v>
      </c>
      <c r="L5" s="521" t="s">
        <v>359</v>
      </c>
      <c r="M5" s="522">
        <f>+D5-E5</f>
        <v>-4.75</v>
      </c>
      <c r="N5" s="424" t="s">
        <v>360</v>
      </c>
      <c r="O5" s="521" t="s">
        <v>361</v>
      </c>
      <c r="P5" s="522">
        <f>+E5-C5</f>
        <v>4.1788557370531834</v>
      </c>
      <c r="Q5" s="424" t="s">
        <v>362</v>
      </c>
      <c r="R5" s="521" t="s">
        <v>361</v>
      </c>
    </row>
    <row r="6" spans="1:20">
      <c r="A6" s="418">
        <v>2</v>
      </c>
      <c r="B6" s="523" t="s">
        <v>363</v>
      </c>
      <c r="C6" s="524">
        <f>+Comparaciones!$B$49</f>
        <v>9.9759999999999991</v>
      </c>
      <c r="D6" s="524">
        <f>+Comparaciones!$C$49</f>
        <v>14.5</v>
      </c>
      <c r="E6" s="525">
        <f>+Comparaciones!D49</f>
        <v>8</v>
      </c>
      <c r="F6" s="524">
        <f t="shared" ref="F6:F13" si="0">+D6-C6</f>
        <v>4.5240000000000009</v>
      </c>
      <c r="G6" s="526">
        <f t="shared" ref="G6:G13" si="1">+D6-E6</f>
        <v>6.5</v>
      </c>
      <c r="H6" s="524">
        <f>+E6-C6</f>
        <v>-1.9759999999999991</v>
      </c>
      <c r="I6" s="424"/>
      <c r="J6" s="418">
        <v>4.6300000000000008</v>
      </c>
      <c r="K6" s="424" t="s">
        <v>358</v>
      </c>
      <c r="L6" s="521" t="s">
        <v>359</v>
      </c>
      <c r="M6" s="522">
        <f t="shared" ref="M6:M13" si="2">+D6-E6</f>
        <v>6.5</v>
      </c>
      <c r="N6" s="527" t="s">
        <v>364</v>
      </c>
      <c r="O6" s="521" t="s">
        <v>365</v>
      </c>
      <c r="P6" s="522">
        <f t="shared" ref="P6:P13" si="3">+E6-C6</f>
        <v>-1.9759999999999991</v>
      </c>
      <c r="Q6" s="528" t="s">
        <v>366</v>
      </c>
      <c r="R6" s="521" t="s">
        <v>365</v>
      </c>
    </row>
    <row r="7" spans="1:20">
      <c r="A7" s="418">
        <v>3</v>
      </c>
      <c r="B7" s="523" t="s">
        <v>367</v>
      </c>
      <c r="C7" s="524">
        <f>+Comparaciones!$B$80</f>
        <v>16.670999999999999</v>
      </c>
      <c r="D7" s="524">
        <f>+Comparaciones!C80</f>
        <v>41.75</v>
      </c>
      <c r="E7" s="525">
        <f>+Comparaciones!D80</f>
        <v>50</v>
      </c>
      <c r="F7" s="524">
        <f t="shared" si="0"/>
        <v>25.079000000000001</v>
      </c>
      <c r="G7" s="526">
        <f t="shared" si="1"/>
        <v>-8.25</v>
      </c>
      <c r="H7" s="524">
        <f t="shared" ref="H7:H13" si="4">+E7-C7</f>
        <v>33.329000000000001</v>
      </c>
      <c r="I7" s="424"/>
      <c r="J7" s="418">
        <v>21.6</v>
      </c>
      <c r="K7" s="424" t="s">
        <v>358</v>
      </c>
      <c r="L7" s="521" t="s">
        <v>359</v>
      </c>
      <c r="M7" s="522">
        <f t="shared" si="2"/>
        <v>-8.25</v>
      </c>
      <c r="N7" s="424" t="s">
        <v>360</v>
      </c>
      <c r="O7" s="521" t="s">
        <v>361</v>
      </c>
      <c r="P7" s="522">
        <f t="shared" si="3"/>
        <v>33.329000000000001</v>
      </c>
      <c r="Q7" s="424" t="s">
        <v>362</v>
      </c>
      <c r="R7" s="521" t="s">
        <v>361</v>
      </c>
    </row>
    <row r="8" spans="1:20">
      <c r="A8" s="418">
        <v>4</v>
      </c>
      <c r="B8" s="523" t="s">
        <v>93</v>
      </c>
      <c r="C8" s="524">
        <f>+Comparaciones!$B$112</f>
        <v>18.55536</v>
      </c>
      <c r="D8" s="524">
        <f>+Comparaciones!C112</f>
        <v>23</v>
      </c>
      <c r="E8" s="525">
        <f>+Comparaciones!D112</f>
        <v>20</v>
      </c>
      <c r="F8" s="524">
        <f t="shared" si="0"/>
        <v>4.4446399999999997</v>
      </c>
      <c r="G8" s="526">
        <f t="shared" si="1"/>
        <v>3</v>
      </c>
      <c r="H8" s="524">
        <f t="shared" si="4"/>
        <v>1.4446399999999997</v>
      </c>
      <c r="I8" s="424"/>
      <c r="J8" s="418">
        <v>-1.5399999999999991</v>
      </c>
      <c r="K8" s="527" t="s">
        <v>368</v>
      </c>
      <c r="L8" s="529" t="s">
        <v>369</v>
      </c>
      <c r="M8" s="522">
        <f t="shared" si="2"/>
        <v>3</v>
      </c>
      <c r="N8" s="527" t="s">
        <v>364</v>
      </c>
      <c r="O8" s="521" t="s">
        <v>365</v>
      </c>
      <c r="P8" s="522">
        <f t="shared" si="3"/>
        <v>1.4446399999999997</v>
      </c>
      <c r="Q8" s="528" t="s">
        <v>366</v>
      </c>
      <c r="R8" s="521" t="s">
        <v>370</v>
      </c>
    </row>
    <row r="9" spans="1:20">
      <c r="A9" s="418">
        <v>5</v>
      </c>
      <c r="B9" s="523" t="s">
        <v>94</v>
      </c>
      <c r="C9" s="524">
        <f>+Comparaciones!$B$142</f>
        <v>21.81231882215841</v>
      </c>
      <c r="D9" s="524">
        <f>+Comparaciones!C142</f>
        <v>24.25</v>
      </c>
      <c r="E9" s="525">
        <f>+Comparaciones!D142</f>
        <v>20</v>
      </c>
      <c r="F9" s="524">
        <f t="shared" si="0"/>
        <v>2.4376811778415899</v>
      </c>
      <c r="G9" s="526">
        <f t="shared" si="1"/>
        <v>4.25</v>
      </c>
      <c r="H9" s="530">
        <f t="shared" si="4"/>
        <v>-1.8123188221584101</v>
      </c>
      <c r="I9" s="424"/>
      <c r="J9" s="418">
        <v>-5.4600000000000009</v>
      </c>
      <c r="K9" s="527" t="s">
        <v>368</v>
      </c>
      <c r="L9" s="529" t="s">
        <v>369</v>
      </c>
      <c r="M9" s="522">
        <f t="shared" si="2"/>
        <v>4.25</v>
      </c>
      <c r="N9" s="527" t="s">
        <v>364</v>
      </c>
      <c r="O9" s="521" t="s">
        <v>365</v>
      </c>
      <c r="P9" s="522">
        <f t="shared" si="3"/>
        <v>-1.8123188221584101</v>
      </c>
      <c r="Q9" s="528" t="s">
        <v>366</v>
      </c>
      <c r="R9" s="521" t="s">
        <v>370</v>
      </c>
    </row>
    <row r="10" spans="1:20">
      <c r="A10" s="418">
        <v>6</v>
      </c>
      <c r="B10" s="523" t="s">
        <v>95</v>
      </c>
      <c r="C10" s="524">
        <f>+Comparaciones!$B$173</f>
        <v>18.153600000000001</v>
      </c>
      <c r="D10" s="524">
        <f>+Comparaciones!C173</f>
        <v>20.25</v>
      </c>
      <c r="E10" s="525">
        <f>+Comparaciones!D173</f>
        <v>20</v>
      </c>
      <c r="F10" s="524">
        <f t="shared" si="0"/>
        <v>2.0963999999999992</v>
      </c>
      <c r="G10" s="526">
        <f t="shared" si="1"/>
        <v>0.25</v>
      </c>
      <c r="H10" s="524">
        <f t="shared" si="4"/>
        <v>1.8463999999999992</v>
      </c>
      <c r="I10" s="424"/>
      <c r="J10" s="418">
        <v>5.49</v>
      </c>
      <c r="K10" s="424" t="s">
        <v>358</v>
      </c>
      <c r="L10" s="521" t="s">
        <v>359</v>
      </c>
      <c r="M10" s="522">
        <f t="shared" si="2"/>
        <v>0.25</v>
      </c>
      <c r="N10" s="424" t="s">
        <v>360</v>
      </c>
      <c r="O10" s="521" t="s">
        <v>361</v>
      </c>
      <c r="P10" s="522">
        <f t="shared" si="3"/>
        <v>1.8463999999999992</v>
      </c>
      <c r="Q10" s="424" t="s">
        <v>362</v>
      </c>
      <c r="R10" s="521" t="s">
        <v>361</v>
      </c>
    </row>
    <row r="11" spans="1:20">
      <c r="A11" s="418">
        <v>7</v>
      </c>
      <c r="B11" s="523" t="s">
        <v>96</v>
      </c>
      <c r="C11" s="524">
        <f>+Comparaciones!$B$203</f>
        <v>27.479640000000003</v>
      </c>
      <c r="D11" s="524">
        <f>+Comparaciones!C203</f>
        <v>61.25</v>
      </c>
      <c r="E11" s="525">
        <f>+Comparaciones!D203</f>
        <v>75</v>
      </c>
      <c r="F11" s="524">
        <f t="shared" si="0"/>
        <v>33.770359999999997</v>
      </c>
      <c r="G11" s="526">
        <f t="shared" si="1"/>
        <v>-13.75</v>
      </c>
      <c r="H11" s="524">
        <f t="shared" si="4"/>
        <v>47.520359999999997</v>
      </c>
      <c r="I11" s="424"/>
      <c r="J11" s="418">
        <v>35.69</v>
      </c>
      <c r="K11" s="424" t="s">
        <v>358</v>
      </c>
      <c r="L11" s="521" t="s">
        <v>359</v>
      </c>
      <c r="M11" s="522">
        <f t="shared" si="2"/>
        <v>-13.75</v>
      </c>
      <c r="N11" s="424" t="s">
        <v>360</v>
      </c>
      <c r="O11" s="521" t="s">
        <v>361</v>
      </c>
      <c r="P11" s="522">
        <f t="shared" si="3"/>
        <v>47.520359999999997</v>
      </c>
      <c r="Q11" s="424" t="s">
        <v>362</v>
      </c>
      <c r="R11" s="521" t="s">
        <v>361</v>
      </c>
    </row>
    <row r="12" spans="1:20">
      <c r="A12" s="418">
        <v>8</v>
      </c>
      <c r="B12" s="523" t="s">
        <v>97</v>
      </c>
      <c r="C12" s="524">
        <f>+Comparaciones!$B$233</f>
        <v>31.421599999999998</v>
      </c>
      <c r="D12" s="524">
        <f>+Comparaciones!C233</f>
        <v>61.25</v>
      </c>
      <c r="E12" s="525">
        <f>+Comparaciones!D233</f>
        <v>75</v>
      </c>
      <c r="F12" s="524">
        <f t="shared" si="0"/>
        <v>29.828400000000002</v>
      </c>
      <c r="G12" s="526">
        <f t="shared" si="1"/>
        <v>-13.75</v>
      </c>
      <c r="H12" s="524">
        <f t="shared" si="4"/>
        <v>43.578400000000002</v>
      </c>
      <c r="I12" s="424"/>
      <c r="J12" s="418">
        <v>28.1</v>
      </c>
      <c r="K12" s="424" t="s">
        <v>358</v>
      </c>
      <c r="L12" s="521" t="s">
        <v>359</v>
      </c>
      <c r="M12" s="522">
        <f t="shared" si="2"/>
        <v>-13.75</v>
      </c>
      <c r="N12" s="424" t="s">
        <v>360</v>
      </c>
      <c r="O12" s="521" t="s">
        <v>361</v>
      </c>
      <c r="P12" s="522">
        <f t="shared" si="3"/>
        <v>43.578400000000002</v>
      </c>
      <c r="Q12" s="424" t="s">
        <v>362</v>
      </c>
      <c r="R12" s="521" t="s">
        <v>361</v>
      </c>
    </row>
    <row r="13" spans="1:20" ht="16.2" thickBot="1">
      <c r="A13" s="418">
        <v>9</v>
      </c>
      <c r="B13" s="523" t="s">
        <v>98</v>
      </c>
      <c r="C13" s="524">
        <f>+Comparaciones!$B$266</f>
        <v>165.73591999999996</v>
      </c>
      <c r="D13" s="524">
        <f>+Comparaciones!C266</f>
        <v>126.75</v>
      </c>
      <c r="E13" s="525">
        <f>+Comparaciones!D266</f>
        <v>75</v>
      </c>
      <c r="F13" s="524">
        <f t="shared" si="0"/>
        <v>-38.985919999999965</v>
      </c>
      <c r="G13" s="526">
        <f t="shared" si="1"/>
        <v>51.75</v>
      </c>
      <c r="H13" s="524">
        <f t="shared" si="4"/>
        <v>-90.735919999999965</v>
      </c>
      <c r="I13" s="424"/>
      <c r="J13" s="418">
        <v>-105.13</v>
      </c>
      <c r="K13" s="531" t="s">
        <v>368</v>
      </c>
      <c r="L13" s="532" t="s">
        <v>369</v>
      </c>
      <c r="M13" s="533">
        <f t="shared" si="2"/>
        <v>51.75</v>
      </c>
      <c r="N13" s="531" t="s">
        <v>364</v>
      </c>
      <c r="O13" s="534" t="s">
        <v>370</v>
      </c>
      <c r="P13" s="533">
        <f t="shared" si="3"/>
        <v>-90.735919999999965</v>
      </c>
      <c r="Q13" s="535" t="s">
        <v>366</v>
      </c>
      <c r="R13" s="534" t="s">
        <v>370</v>
      </c>
    </row>
    <row r="16" spans="1:20">
      <c r="K16" s="696" t="s">
        <v>371</v>
      </c>
      <c r="L16" s="696"/>
      <c r="M16" s="696"/>
      <c r="N16" s="696"/>
      <c r="O16" s="696"/>
      <c r="P16" s="696" t="s">
        <v>372</v>
      </c>
      <c r="Q16" s="696"/>
      <c r="R16" s="696"/>
      <c r="S16" s="696"/>
      <c r="T16" s="696"/>
    </row>
    <row r="17" spans="11:20" s="489" customFormat="1">
      <c r="K17" s="696"/>
      <c r="L17" s="696"/>
      <c r="M17" s="696"/>
      <c r="N17" s="696"/>
      <c r="O17" s="696"/>
      <c r="P17" s="696"/>
      <c r="Q17" s="696"/>
      <c r="R17" s="696"/>
      <c r="S17" s="696"/>
      <c r="T17" s="696"/>
    </row>
  </sheetData>
  <mergeCells count="9">
    <mergeCell ref="J3:J4"/>
    <mergeCell ref="K16:O17"/>
    <mergeCell ref="P16:T17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4"/>
  <sheetViews>
    <sheetView topLeftCell="A2" zoomScale="86" workbookViewId="0">
      <selection activeCell="C9" sqref="C9"/>
    </sheetView>
  </sheetViews>
  <sheetFormatPr baseColWidth="10" defaultRowHeight="15.6"/>
  <cols>
    <col min="1" max="1" width="31.296875" bestFit="1" customWidth="1"/>
    <col min="2" max="2" width="13.5" style="2" bestFit="1" customWidth="1"/>
    <col min="3" max="3" width="13.5" style="2" customWidth="1"/>
    <col min="4" max="4" width="15.5" style="2" customWidth="1"/>
    <col min="5" max="5" width="17.796875" style="2" bestFit="1" customWidth="1"/>
    <col min="6" max="6" width="14.296875" style="2" bestFit="1" customWidth="1"/>
    <col min="7" max="7" width="16" style="2" bestFit="1" customWidth="1"/>
    <col min="8" max="8" width="9.19921875" style="2" bestFit="1" customWidth="1"/>
    <col min="9" max="9" width="10.296875" style="2" bestFit="1" customWidth="1"/>
    <col min="10" max="10" width="15.296875" style="2" customWidth="1"/>
    <col min="11" max="11" width="10.796875" style="2"/>
    <col min="12" max="12" width="13.19921875" style="2" customWidth="1"/>
    <col min="13" max="13" width="15.19921875" style="2" customWidth="1"/>
    <col min="14" max="14" width="12.69921875" style="2" customWidth="1"/>
    <col min="17" max="17" width="10" bestFit="1" customWidth="1"/>
    <col min="18" max="18" width="10.296875" bestFit="1" customWidth="1"/>
  </cols>
  <sheetData>
    <row r="1" spans="1:18" ht="16.2" thickBot="1">
      <c r="G1" s="3"/>
      <c r="H1" s="3"/>
      <c r="L1" s="543" t="s">
        <v>36</v>
      </c>
      <c r="M1" s="543"/>
      <c r="N1" s="543"/>
      <c r="Q1" s="542" t="s">
        <v>48</v>
      </c>
      <c r="R1" s="542"/>
    </row>
    <row r="2" spans="1:18" ht="16.05" customHeight="1">
      <c r="B2" s="540" t="s">
        <v>41</v>
      </c>
      <c r="C2" s="540" t="s">
        <v>43</v>
      </c>
      <c r="D2" s="540" t="s">
        <v>52</v>
      </c>
      <c r="E2" s="540" t="s">
        <v>37</v>
      </c>
      <c r="F2" s="540" t="s">
        <v>38</v>
      </c>
      <c r="G2" s="541" t="s">
        <v>42</v>
      </c>
      <c r="H2" s="540" t="s">
        <v>46</v>
      </c>
      <c r="I2" s="540" t="s">
        <v>45</v>
      </c>
      <c r="J2" s="540" t="s">
        <v>51</v>
      </c>
      <c r="L2" s="544" t="s">
        <v>44</v>
      </c>
      <c r="M2" s="540" t="s">
        <v>40</v>
      </c>
      <c r="N2" s="540" t="s">
        <v>39</v>
      </c>
      <c r="Q2" s="540" t="s">
        <v>49</v>
      </c>
      <c r="R2" s="540" t="s">
        <v>50</v>
      </c>
    </row>
    <row r="3" spans="1:18">
      <c r="A3" t="s">
        <v>0</v>
      </c>
      <c r="B3" s="540"/>
      <c r="C3" s="540"/>
      <c r="D3" s="540"/>
      <c r="E3" s="540"/>
      <c r="F3" s="540"/>
      <c r="G3" s="541"/>
      <c r="H3" s="540"/>
      <c r="I3" s="540"/>
      <c r="J3" s="540"/>
      <c r="L3" s="545"/>
      <c r="M3" s="540"/>
      <c r="N3" s="540"/>
      <c r="Q3" s="540"/>
      <c r="R3" s="540"/>
    </row>
    <row r="4" spans="1:18">
      <c r="A4" t="s">
        <v>1</v>
      </c>
      <c r="B4" s="2">
        <v>2012</v>
      </c>
      <c r="C4" s="2">
        <v>2018</v>
      </c>
      <c r="D4" s="2">
        <v>5</v>
      </c>
      <c r="E4" s="3">
        <v>2651.04</v>
      </c>
      <c r="F4" s="2">
        <v>1679.39</v>
      </c>
      <c r="G4" s="6">
        <f>IF((C4-B4)&lt;D4,D4-(C4-B4),1)</f>
        <v>1</v>
      </c>
      <c r="H4" s="2">
        <v>365</v>
      </c>
      <c r="I4" s="2">
        <v>8</v>
      </c>
      <c r="J4" s="2">
        <f t="shared" ref="J4:J38" si="0">G4*H4*I4</f>
        <v>2920</v>
      </c>
      <c r="L4" s="3">
        <f>(E4-F4)/G4</f>
        <v>971.64999999999986</v>
      </c>
      <c r="M4" s="4">
        <f t="shared" ref="M4:M38" si="1">J4/G4</f>
        <v>2920</v>
      </c>
      <c r="N4" s="5">
        <f>L4/M4</f>
        <v>0.33275684931506844</v>
      </c>
      <c r="Q4" s="12">
        <v>-2E-3</v>
      </c>
      <c r="R4" s="14">
        <f>Q4*E4*G4/J4</f>
        <v>-1.8157808219178082E-3</v>
      </c>
    </row>
    <row r="5" spans="1:18">
      <c r="A5" t="s">
        <v>2</v>
      </c>
      <c r="B5" s="2">
        <v>2011</v>
      </c>
      <c r="C5" s="2">
        <v>2018</v>
      </c>
      <c r="D5" s="2">
        <v>8</v>
      </c>
      <c r="E5" s="7">
        <v>15200</v>
      </c>
      <c r="F5" s="2">
        <v>7600.5</v>
      </c>
      <c r="G5" s="6">
        <f>IF((C5-B5)&lt;D5,D5-(C5-B5),1)</f>
        <v>1</v>
      </c>
      <c r="H5" s="2">
        <v>365</v>
      </c>
      <c r="I5" s="2">
        <v>8</v>
      </c>
      <c r="J5" s="2">
        <f t="shared" si="0"/>
        <v>2920</v>
      </c>
      <c r="L5" s="3">
        <f t="shared" ref="L5:L38" si="2">(E5-F5)/G5</f>
        <v>7599.5</v>
      </c>
      <c r="M5" s="4">
        <f t="shared" si="1"/>
        <v>2920</v>
      </c>
      <c r="N5" s="5">
        <f>L5/M5</f>
        <v>2.6025684931506849</v>
      </c>
      <c r="Q5" s="12">
        <v>-2E-3</v>
      </c>
      <c r="R5" s="14">
        <f>Q5*E5*G5/J5</f>
        <v>-1.0410958904109589E-2</v>
      </c>
    </row>
    <row r="6" spans="1:18">
      <c r="A6" t="s">
        <v>3</v>
      </c>
      <c r="B6" s="2">
        <v>2014</v>
      </c>
      <c r="C6" s="2">
        <v>2018</v>
      </c>
      <c r="D6" s="2">
        <v>3</v>
      </c>
      <c r="E6" s="3">
        <v>10</v>
      </c>
      <c r="F6" s="2">
        <v>1</v>
      </c>
      <c r="G6" s="6">
        <f t="shared" ref="G6:G14" si="3">IF((C6-B6)&lt;D6,D6-(C6-B6),1)</f>
        <v>1</v>
      </c>
      <c r="H6" s="2">
        <v>365</v>
      </c>
      <c r="I6" s="2">
        <v>8</v>
      </c>
      <c r="J6" s="2">
        <f t="shared" si="0"/>
        <v>2920</v>
      </c>
      <c r="L6" s="3">
        <f t="shared" si="2"/>
        <v>9</v>
      </c>
      <c r="M6" s="4">
        <f t="shared" si="1"/>
        <v>2920</v>
      </c>
      <c r="N6" s="5">
        <f t="shared" ref="N6:N38" si="4">L6/M6</f>
        <v>3.0821917808219177E-3</v>
      </c>
      <c r="Q6" s="12">
        <v>-2E-3</v>
      </c>
      <c r="R6" s="14">
        <f t="shared" ref="R6:R38" si="5">Q6*E6*G6/J6</f>
        <v>-6.8493150684931509E-6</v>
      </c>
    </row>
    <row r="7" spans="1:18">
      <c r="A7" t="s">
        <v>4</v>
      </c>
      <c r="B7" s="2">
        <v>2016</v>
      </c>
      <c r="C7" s="2">
        <v>2018</v>
      </c>
      <c r="D7" s="2">
        <v>3</v>
      </c>
      <c r="E7" s="3">
        <v>20</v>
      </c>
      <c r="F7" s="2">
        <v>1</v>
      </c>
      <c r="G7" s="6">
        <f t="shared" si="3"/>
        <v>1</v>
      </c>
      <c r="H7" s="2">
        <v>365</v>
      </c>
      <c r="I7" s="2">
        <v>8</v>
      </c>
      <c r="J7" s="2">
        <f t="shared" si="0"/>
        <v>2920</v>
      </c>
      <c r="L7" s="3">
        <f t="shared" si="2"/>
        <v>19</v>
      </c>
      <c r="M7" s="4">
        <f t="shared" si="1"/>
        <v>2920</v>
      </c>
      <c r="N7" s="5">
        <f t="shared" si="4"/>
        <v>6.5068493150684933E-3</v>
      </c>
      <c r="Q7" s="12">
        <v>-2E-3</v>
      </c>
      <c r="R7" s="14">
        <f t="shared" si="5"/>
        <v>-1.3698630136986302E-5</v>
      </c>
    </row>
    <row r="8" spans="1:18">
      <c r="A8" t="s">
        <v>5</v>
      </c>
      <c r="B8" s="2">
        <v>2016</v>
      </c>
      <c r="C8" s="2">
        <v>2018</v>
      </c>
      <c r="D8" s="2">
        <v>3</v>
      </c>
      <c r="E8" s="3">
        <v>20</v>
      </c>
      <c r="F8" s="2">
        <v>1</v>
      </c>
      <c r="G8" s="6">
        <f t="shared" si="3"/>
        <v>1</v>
      </c>
      <c r="H8" s="2">
        <v>365</v>
      </c>
      <c r="I8" s="2">
        <v>8</v>
      </c>
      <c r="J8" s="2">
        <f t="shared" si="0"/>
        <v>2920</v>
      </c>
      <c r="L8" s="3">
        <f t="shared" si="2"/>
        <v>19</v>
      </c>
      <c r="M8" s="4">
        <f t="shared" si="1"/>
        <v>2920</v>
      </c>
      <c r="N8" s="5">
        <f t="shared" si="4"/>
        <v>6.5068493150684933E-3</v>
      </c>
      <c r="Q8" s="12">
        <v>-2E-3</v>
      </c>
      <c r="R8" s="14">
        <f t="shared" si="5"/>
        <v>-1.3698630136986302E-5</v>
      </c>
    </row>
    <row r="9" spans="1:18">
      <c r="A9" t="s">
        <v>6</v>
      </c>
      <c r="B9" s="2">
        <v>2009</v>
      </c>
      <c r="C9" s="2">
        <v>2018</v>
      </c>
      <c r="D9" s="2">
        <v>8</v>
      </c>
      <c r="E9" s="3">
        <v>334</v>
      </c>
      <c r="F9" s="2">
        <v>95.34</v>
      </c>
      <c r="G9" s="6">
        <f t="shared" si="3"/>
        <v>1</v>
      </c>
      <c r="H9" s="2">
        <v>365</v>
      </c>
      <c r="I9" s="2">
        <v>8</v>
      </c>
      <c r="J9" s="2">
        <f t="shared" si="0"/>
        <v>2920</v>
      </c>
      <c r="L9" s="3">
        <f t="shared" si="2"/>
        <v>238.66</v>
      </c>
      <c r="M9" s="4">
        <f t="shared" si="1"/>
        <v>2920</v>
      </c>
      <c r="N9" s="5">
        <f t="shared" si="4"/>
        <v>8.1732876712328761E-2</v>
      </c>
      <c r="Q9" s="12">
        <v>-2E-3</v>
      </c>
      <c r="R9" s="14">
        <f t="shared" si="5"/>
        <v>-2.2876712328767125E-4</v>
      </c>
    </row>
    <row r="10" spans="1:18">
      <c r="A10" t="s">
        <v>7</v>
      </c>
      <c r="B10" s="2">
        <v>2016</v>
      </c>
      <c r="C10" s="2">
        <v>2018</v>
      </c>
      <c r="D10" s="2">
        <v>3</v>
      </c>
      <c r="E10" s="3">
        <v>40</v>
      </c>
      <c r="F10" s="2">
        <v>1</v>
      </c>
      <c r="G10" s="6">
        <f t="shared" si="3"/>
        <v>1</v>
      </c>
      <c r="H10" s="2">
        <v>365</v>
      </c>
      <c r="I10" s="2">
        <v>8</v>
      </c>
      <c r="J10" s="2">
        <f t="shared" si="0"/>
        <v>2920</v>
      </c>
      <c r="L10" s="3">
        <f t="shared" si="2"/>
        <v>39</v>
      </c>
      <c r="M10" s="4">
        <f t="shared" si="1"/>
        <v>2920</v>
      </c>
      <c r="N10" s="5">
        <f t="shared" si="4"/>
        <v>1.3356164383561644E-2</v>
      </c>
      <c r="Q10" s="12">
        <v>-2E-3</v>
      </c>
      <c r="R10" s="14">
        <f t="shared" si="5"/>
        <v>-2.7397260273972603E-5</v>
      </c>
    </row>
    <row r="11" spans="1:18">
      <c r="A11" t="s">
        <v>8</v>
      </c>
      <c r="B11" s="2">
        <v>2009</v>
      </c>
      <c r="C11" s="2">
        <v>2018</v>
      </c>
      <c r="D11" s="2">
        <v>8</v>
      </c>
      <c r="E11" s="3">
        <v>1091.83</v>
      </c>
      <c r="F11" s="2">
        <v>166.14</v>
      </c>
      <c r="G11" s="6">
        <f t="shared" si="3"/>
        <v>1</v>
      </c>
      <c r="H11" s="2">
        <v>365</v>
      </c>
      <c r="I11" s="2">
        <v>8</v>
      </c>
      <c r="J11" s="2">
        <f t="shared" si="0"/>
        <v>2920</v>
      </c>
      <c r="L11" s="3">
        <f t="shared" si="2"/>
        <v>925.68999999999994</v>
      </c>
      <c r="M11" s="4">
        <f t="shared" si="1"/>
        <v>2920</v>
      </c>
      <c r="N11" s="5">
        <f t="shared" si="4"/>
        <v>0.31701712328767123</v>
      </c>
      <c r="Q11" s="12">
        <v>-2E-3</v>
      </c>
      <c r="R11" s="14">
        <f t="shared" si="5"/>
        <v>-7.4782876712328761E-4</v>
      </c>
    </row>
    <row r="12" spans="1:18">
      <c r="A12" t="s">
        <v>9</v>
      </c>
      <c r="B12" s="2">
        <v>2016</v>
      </c>
      <c r="C12" s="2">
        <v>2018</v>
      </c>
      <c r="D12" s="2">
        <v>3</v>
      </c>
      <c r="E12" s="3">
        <v>20</v>
      </c>
      <c r="F12" s="2">
        <v>1</v>
      </c>
      <c r="G12" s="6">
        <f t="shared" si="3"/>
        <v>1</v>
      </c>
      <c r="H12" s="2">
        <v>365</v>
      </c>
      <c r="I12" s="2">
        <v>8</v>
      </c>
      <c r="J12" s="2">
        <f t="shared" si="0"/>
        <v>2920</v>
      </c>
      <c r="L12" s="3">
        <f t="shared" si="2"/>
        <v>19</v>
      </c>
      <c r="M12" s="4">
        <f t="shared" si="1"/>
        <v>2920</v>
      </c>
      <c r="N12" s="5">
        <f t="shared" si="4"/>
        <v>6.5068493150684933E-3</v>
      </c>
      <c r="Q12" s="12">
        <v>-2E-3</v>
      </c>
      <c r="R12" s="14">
        <f t="shared" si="5"/>
        <v>-1.3698630136986302E-5</v>
      </c>
    </row>
    <row r="13" spans="1:18">
      <c r="A13" t="s">
        <v>10</v>
      </c>
      <c r="B13" s="2">
        <v>2016</v>
      </c>
      <c r="C13" s="2">
        <v>2018</v>
      </c>
      <c r="D13" s="2">
        <v>3</v>
      </c>
      <c r="E13" s="3">
        <v>84</v>
      </c>
      <c r="F13" s="2">
        <v>1</v>
      </c>
      <c r="G13" s="6">
        <f t="shared" si="3"/>
        <v>1</v>
      </c>
      <c r="H13" s="2">
        <v>365</v>
      </c>
      <c r="I13" s="2">
        <v>8</v>
      </c>
      <c r="J13" s="2">
        <f t="shared" si="0"/>
        <v>2920</v>
      </c>
      <c r="L13" s="3">
        <f t="shared" si="2"/>
        <v>83</v>
      </c>
      <c r="M13" s="4">
        <f t="shared" si="1"/>
        <v>2920</v>
      </c>
      <c r="N13" s="5">
        <f t="shared" si="4"/>
        <v>2.8424657534246577E-2</v>
      </c>
      <c r="Q13" s="12">
        <v>-2E-3</v>
      </c>
      <c r="R13" s="14">
        <f t="shared" si="5"/>
        <v>-5.7534246575342469E-5</v>
      </c>
    </row>
    <row r="14" spans="1:18">
      <c r="A14" t="s">
        <v>11</v>
      </c>
      <c r="B14" s="2">
        <v>2016</v>
      </c>
      <c r="C14" s="2">
        <v>2018</v>
      </c>
      <c r="D14" s="2">
        <v>3</v>
      </c>
      <c r="E14" s="3">
        <v>95</v>
      </c>
      <c r="F14" s="2">
        <v>1</v>
      </c>
      <c r="G14" s="6">
        <f t="shared" si="3"/>
        <v>1</v>
      </c>
      <c r="H14" s="2">
        <v>365</v>
      </c>
      <c r="I14" s="2">
        <v>8</v>
      </c>
      <c r="J14" s="2">
        <f t="shared" si="0"/>
        <v>2920</v>
      </c>
      <c r="L14" s="3">
        <f t="shared" si="2"/>
        <v>94</v>
      </c>
      <c r="M14" s="4">
        <f t="shared" si="1"/>
        <v>2920</v>
      </c>
      <c r="N14" s="5">
        <f t="shared" si="4"/>
        <v>3.2191780821917808E-2</v>
      </c>
      <c r="Q14" s="12">
        <v>-2E-3</v>
      </c>
      <c r="R14" s="14">
        <f t="shared" si="5"/>
        <v>-6.5068493150684928E-5</v>
      </c>
    </row>
    <row r="15" spans="1:18">
      <c r="A15" t="s">
        <v>12</v>
      </c>
      <c r="B15" s="2">
        <v>2016</v>
      </c>
      <c r="C15" s="2">
        <v>2018</v>
      </c>
      <c r="D15" s="2">
        <v>3</v>
      </c>
      <c r="E15" s="3">
        <v>84</v>
      </c>
      <c r="F15" s="2">
        <v>1</v>
      </c>
      <c r="G15" s="6">
        <f>IF((C15-B15)&lt;D15,D15-(C15-B15),1)</f>
        <v>1</v>
      </c>
      <c r="H15" s="2">
        <v>365</v>
      </c>
      <c r="I15" s="2">
        <v>8</v>
      </c>
      <c r="J15" s="2">
        <f t="shared" si="0"/>
        <v>2920</v>
      </c>
      <c r="L15" s="3">
        <f t="shared" si="2"/>
        <v>83</v>
      </c>
      <c r="M15" s="4">
        <f t="shared" si="1"/>
        <v>2920</v>
      </c>
      <c r="N15" s="5">
        <f t="shared" si="4"/>
        <v>2.8424657534246577E-2</v>
      </c>
      <c r="Q15" s="12">
        <v>-2E-3</v>
      </c>
      <c r="R15" s="14">
        <f t="shared" si="5"/>
        <v>-5.7534246575342469E-5</v>
      </c>
    </row>
    <row r="16" spans="1:18">
      <c r="A16" t="s">
        <v>13</v>
      </c>
      <c r="B16" s="2">
        <v>2016</v>
      </c>
      <c r="C16" s="2">
        <v>2018</v>
      </c>
      <c r="D16" s="2">
        <v>3</v>
      </c>
      <c r="E16" s="3">
        <v>91</v>
      </c>
      <c r="F16" s="2">
        <v>1</v>
      </c>
      <c r="G16" s="6">
        <f>IF((C16-B16)&lt;D16,D16-(C16-B16),1)</f>
        <v>1</v>
      </c>
      <c r="H16" s="2">
        <v>365</v>
      </c>
      <c r="I16" s="2">
        <v>8</v>
      </c>
      <c r="J16" s="2">
        <f t="shared" si="0"/>
        <v>2920</v>
      </c>
      <c r="L16" s="3">
        <f t="shared" si="2"/>
        <v>90</v>
      </c>
      <c r="M16" s="4">
        <f t="shared" si="1"/>
        <v>2920</v>
      </c>
      <c r="N16" s="5">
        <f t="shared" si="4"/>
        <v>3.0821917808219176E-2</v>
      </c>
      <c r="Q16" s="12">
        <v>-2E-3</v>
      </c>
      <c r="R16" s="14">
        <f t="shared" si="5"/>
        <v>-6.2328767123287667E-5</v>
      </c>
    </row>
    <row r="17" spans="1:18">
      <c r="A17" t="s">
        <v>14</v>
      </c>
      <c r="B17" s="2">
        <v>2016</v>
      </c>
      <c r="C17" s="2">
        <v>2018</v>
      </c>
      <c r="D17" s="2">
        <v>3</v>
      </c>
      <c r="E17" s="3">
        <v>88</v>
      </c>
      <c r="F17" s="2">
        <v>1</v>
      </c>
      <c r="G17" s="6">
        <f t="shared" ref="G17:G21" si="6">IF((C17-B17)&lt;D17,D17-(C17-B17),1)</f>
        <v>1</v>
      </c>
      <c r="H17" s="2">
        <v>365</v>
      </c>
      <c r="I17" s="2">
        <v>8</v>
      </c>
      <c r="J17" s="2">
        <f t="shared" si="0"/>
        <v>2920</v>
      </c>
      <c r="L17" s="3">
        <f t="shared" si="2"/>
        <v>87</v>
      </c>
      <c r="M17" s="4">
        <f t="shared" si="1"/>
        <v>2920</v>
      </c>
      <c r="N17" s="5">
        <f t="shared" si="4"/>
        <v>2.9794520547945205E-2</v>
      </c>
      <c r="Q17" s="12">
        <v>-2E-3</v>
      </c>
      <c r="R17" s="14">
        <f t="shared" si="5"/>
        <v>-6.0273972602739724E-5</v>
      </c>
    </row>
    <row r="18" spans="1:18">
      <c r="A18" t="s">
        <v>15</v>
      </c>
      <c r="B18" s="2">
        <v>2016</v>
      </c>
      <c r="C18" s="2">
        <v>2018</v>
      </c>
      <c r="D18" s="2">
        <v>3</v>
      </c>
      <c r="E18" s="3">
        <v>130</v>
      </c>
      <c r="F18" s="2">
        <v>1</v>
      </c>
      <c r="G18" s="6">
        <f t="shared" si="6"/>
        <v>1</v>
      </c>
      <c r="H18" s="2">
        <v>365</v>
      </c>
      <c r="I18" s="2">
        <v>8</v>
      </c>
      <c r="J18" s="2">
        <f t="shared" si="0"/>
        <v>2920</v>
      </c>
      <c r="L18" s="3">
        <f t="shared" si="2"/>
        <v>129</v>
      </c>
      <c r="M18" s="4">
        <f t="shared" si="1"/>
        <v>2920</v>
      </c>
      <c r="N18" s="5">
        <f t="shared" si="4"/>
        <v>4.4178082191780821E-2</v>
      </c>
      <c r="Q18" s="12">
        <v>-2E-3</v>
      </c>
      <c r="R18" s="14">
        <f t="shared" si="5"/>
        <v>-8.9041095890410958E-5</v>
      </c>
    </row>
    <row r="19" spans="1:18">
      <c r="A19" t="s">
        <v>16</v>
      </c>
      <c r="B19" s="2">
        <v>2009</v>
      </c>
      <c r="C19" s="2">
        <v>2018</v>
      </c>
      <c r="D19" s="2">
        <v>8</v>
      </c>
      <c r="E19" s="3">
        <v>1224</v>
      </c>
      <c r="F19" s="2">
        <v>276.19</v>
      </c>
      <c r="G19" s="6">
        <f t="shared" si="6"/>
        <v>1</v>
      </c>
      <c r="H19" s="2">
        <v>365</v>
      </c>
      <c r="I19" s="2">
        <v>8</v>
      </c>
      <c r="J19" s="2">
        <f t="shared" si="0"/>
        <v>2920</v>
      </c>
      <c r="L19" s="3">
        <f t="shared" si="2"/>
        <v>947.81</v>
      </c>
      <c r="M19" s="4">
        <f t="shared" si="1"/>
        <v>2920</v>
      </c>
      <c r="N19" s="5">
        <f t="shared" si="4"/>
        <v>0.32459246575342465</v>
      </c>
      <c r="Q19" s="12">
        <v>-2E-3</v>
      </c>
      <c r="R19" s="14">
        <f t="shared" si="5"/>
        <v>-8.3835616438356162E-4</v>
      </c>
    </row>
    <row r="20" spans="1:18">
      <c r="A20" t="s">
        <v>17</v>
      </c>
      <c r="B20" s="2">
        <v>2016</v>
      </c>
      <c r="C20" s="2">
        <v>2018</v>
      </c>
      <c r="D20" s="2">
        <v>8</v>
      </c>
      <c r="E20" s="3">
        <v>500</v>
      </c>
      <c r="F20" s="2">
        <v>1</v>
      </c>
      <c r="G20" s="6">
        <f t="shared" si="6"/>
        <v>6</v>
      </c>
      <c r="H20" s="2">
        <v>365</v>
      </c>
      <c r="I20" s="2">
        <v>8</v>
      </c>
      <c r="J20" s="2">
        <f t="shared" si="0"/>
        <v>17520</v>
      </c>
      <c r="L20" s="3">
        <f t="shared" si="2"/>
        <v>83.166666666666671</v>
      </c>
      <c r="M20" s="4">
        <f t="shared" si="1"/>
        <v>2920</v>
      </c>
      <c r="N20" s="5">
        <f t="shared" si="4"/>
        <v>2.8481735159817355E-2</v>
      </c>
      <c r="Q20" s="12">
        <v>-2E-3</v>
      </c>
      <c r="R20" s="14">
        <f t="shared" si="5"/>
        <v>-3.4246575342465754E-4</v>
      </c>
    </row>
    <row r="21" spans="1:18">
      <c r="A21" t="s">
        <v>18</v>
      </c>
      <c r="B21" s="2">
        <v>2016</v>
      </c>
      <c r="C21" s="2">
        <v>2018</v>
      </c>
      <c r="D21" s="2">
        <v>3</v>
      </c>
      <c r="E21" s="3">
        <v>25</v>
      </c>
      <c r="F21" s="2">
        <v>1</v>
      </c>
      <c r="G21" s="6">
        <f t="shared" si="6"/>
        <v>1</v>
      </c>
      <c r="H21" s="2">
        <v>365</v>
      </c>
      <c r="I21" s="2">
        <v>8</v>
      </c>
      <c r="J21" s="2">
        <f t="shared" si="0"/>
        <v>2920</v>
      </c>
      <c r="L21" s="3">
        <f t="shared" si="2"/>
        <v>24</v>
      </c>
      <c r="M21" s="4">
        <f t="shared" si="1"/>
        <v>2920</v>
      </c>
      <c r="N21" s="5">
        <f t="shared" si="4"/>
        <v>8.21917808219178E-3</v>
      </c>
      <c r="Q21" s="12">
        <v>-2E-3</v>
      </c>
      <c r="R21" s="14">
        <f t="shared" si="5"/>
        <v>-1.7123287671232879E-5</v>
      </c>
    </row>
    <row r="22" spans="1:18">
      <c r="A22" t="s">
        <v>19</v>
      </c>
      <c r="B22" s="2">
        <v>2016</v>
      </c>
      <c r="C22" s="2">
        <v>2018</v>
      </c>
      <c r="D22" s="2">
        <v>3</v>
      </c>
      <c r="E22" s="3">
        <v>25</v>
      </c>
      <c r="F22" s="2">
        <v>1</v>
      </c>
      <c r="G22" s="6">
        <f>IF((C22-B22)&lt;D22,D22-(C22-B22),1)</f>
        <v>1</v>
      </c>
      <c r="H22" s="2">
        <v>365</v>
      </c>
      <c r="I22" s="2">
        <v>8</v>
      </c>
      <c r="J22" s="2">
        <f t="shared" si="0"/>
        <v>2920</v>
      </c>
      <c r="L22" s="3">
        <f t="shared" si="2"/>
        <v>24</v>
      </c>
      <c r="M22" s="4">
        <f t="shared" si="1"/>
        <v>2920</v>
      </c>
      <c r="N22" s="5">
        <f t="shared" si="4"/>
        <v>8.21917808219178E-3</v>
      </c>
      <c r="Q22" s="12">
        <v>-2E-3</v>
      </c>
      <c r="R22" s="14">
        <f t="shared" si="5"/>
        <v>-1.7123287671232879E-5</v>
      </c>
    </row>
    <row r="23" spans="1:18">
      <c r="A23" t="s">
        <v>20</v>
      </c>
      <c r="B23" s="2">
        <v>2009</v>
      </c>
      <c r="C23" s="2">
        <v>2018</v>
      </c>
      <c r="D23" s="2">
        <v>8</v>
      </c>
      <c r="E23" s="3">
        <v>90</v>
      </c>
      <c r="F23" s="2">
        <v>1</v>
      </c>
      <c r="G23" s="6">
        <f>IF((C23-B23)&lt;D23,D23-(C23-B23),1)</f>
        <v>1</v>
      </c>
      <c r="H23" s="2">
        <v>365</v>
      </c>
      <c r="I23" s="2">
        <v>8</v>
      </c>
      <c r="J23" s="2">
        <f t="shared" si="0"/>
        <v>2920</v>
      </c>
      <c r="L23" s="3">
        <f t="shared" si="2"/>
        <v>89</v>
      </c>
      <c r="M23" s="4">
        <f t="shared" si="1"/>
        <v>2920</v>
      </c>
      <c r="N23" s="5">
        <f t="shared" si="4"/>
        <v>3.047945205479452E-2</v>
      </c>
      <c r="Q23" s="12">
        <v>-2E-3</v>
      </c>
      <c r="R23" s="14">
        <f t="shared" si="5"/>
        <v>-6.1643835616438354E-5</v>
      </c>
    </row>
    <row r="24" spans="1:18">
      <c r="A24" t="s">
        <v>21</v>
      </c>
      <c r="B24" s="2">
        <v>2014</v>
      </c>
      <c r="C24" s="2">
        <v>2018</v>
      </c>
      <c r="D24" s="2">
        <v>5</v>
      </c>
      <c r="E24" s="3">
        <v>1150</v>
      </c>
      <c r="F24" s="2">
        <v>958.46</v>
      </c>
      <c r="G24" s="6">
        <f t="shared" ref="G24:G25" si="7">IF((C24-B24)&lt;D24,D24-(C24-B24),1)</f>
        <v>1</v>
      </c>
      <c r="H24" s="2">
        <v>365</v>
      </c>
      <c r="I24" s="2">
        <v>8</v>
      </c>
      <c r="J24" s="2">
        <f t="shared" si="0"/>
        <v>2920</v>
      </c>
      <c r="L24" s="3">
        <f>(E24-F24)/G24</f>
        <v>191.53999999999996</v>
      </c>
      <c r="M24" s="4">
        <f t="shared" si="1"/>
        <v>2920</v>
      </c>
      <c r="N24" s="5">
        <f t="shared" si="4"/>
        <v>6.5595890410958896E-2</v>
      </c>
      <c r="Q24" s="12">
        <v>-2E-3</v>
      </c>
      <c r="R24" s="14">
        <f t="shared" si="5"/>
        <v>-7.8767123287671237E-4</v>
      </c>
    </row>
    <row r="25" spans="1:18">
      <c r="A25" t="s">
        <v>22</v>
      </c>
      <c r="B25" s="2">
        <v>2016</v>
      </c>
      <c r="C25" s="2">
        <v>2018</v>
      </c>
      <c r="D25" s="2">
        <v>1</v>
      </c>
      <c r="E25" s="3">
        <v>3.5</v>
      </c>
      <c r="F25" s="2">
        <v>1</v>
      </c>
      <c r="G25" s="6">
        <f t="shared" si="7"/>
        <v>1</v>
      </c>
      <c r="H25" s="2">
        <v>365</v>
      </c>
      <c r="I25" s="2">
        <v>8</v>
      </c>
      <c r="J25" s="2">
        <f t="shared" si="0"/>
        <v>2920</v>
      </c>
      <c r="L25" s="3">
        <f t="shared" si="2"/>
        <v>2.5</v>
      </c>
      <c r="M25" s="4">
        <f t="shared" si="1"/>
        <v>2920</v>
      </c>
      <c r="N25" s="5">
        <f t="shared" si="4"/>
        <v>8.5616438356164379E-4</v>
      </c>
      <c r="Q25" s="12">
        <v>-2E-3</v>
      </c>
      <c r="R25" s="14">
        <f t="shared" si="5"/>
        <v>-2.3972602739726027E-6</v>
      </c>
    </row>
    <row r="26" spans="1:18">
      <c r="A26" t="s">
        <v>23</v>
      </c>
      <c r="B26" s="2">
        <v>2016</v>
      </c>
      <c r="C26" s="2">
        <v>2018</v>
      </c>
      <c r="D26" s="2">
        <v>1</v>
      </c>
      <c r="E26" s="3">
        <v>10</v>
      </c>
      <c r="F26" s="2">
        <v>1</v>
      </c>
      <c r="G26" s="6">
        <f>IF((C26-B26)&lt;D26,D26-(C26-B26),1)</f>
        <v>1</v>
      </c>
      <c r="H26" s="2">
        <v>365</v>
      </c>
      <c r="I26" s="2">
        <v>8</v>
      </c>
      <c r="J26" s="2">
        <f t="shared" si="0"/>
        <v>2920</v>
      </c>
      <c r="L26" s="3">
        <f t="shared" si="2"/>
        <v>9</v>
      </c>
      <c r="M26" s="4">
        <f t="shared" si="1"/>
        <v>2920</v>
      </c>
      <c r="N26" s="5">
        <f t="shared" si="4"/>
        <v>3.0821917808219177E-3</v>
      </c>
      <c r="Q26" s="12">
        <v>-2E-3</v>
      </c>
      <c r="R26" s="14">
        <f t="shared" si="5"/>
        <v>-6.8493150684931509E-6</v>
      </c>
    </row>
    <row r="27" spans="1:18">
      <c r="A27" t="s">
        <v>24</v>
      </c>
      <c r="B27" s="2">
        <v>2016</v>
      </c>
      <c r="C27" s="2">
        <v>2018</v>
      </c>
      <c r="D27" s="2">
        <v>3</v>
      </c>
      <c r="E27" s="3">
        <v>15</v>
      </c>
      <c r="F27" s="2">
        <v>1</v>
      </c>
      <c r="G27" s="6">
        <f>IF((C27-B27)&lt;D27,D27-(C27-B27),1)</f>
        <v>1</v>
      </c>
      <c r="H27" s="2">
        <v>365</v>
      </c>
      <c r="I27" s="2">
        <v>8</v>
      </c>
      <c r="J27" s="2">
        <f t="shared" si="0"/>
        <v>2920</v>
      </c>
      <c r="L27" s="3">
        <f t="shared" si="2"/>
        <v>14</v>
      </c>
      <c r="M27" s="4">
        <f t="shared" si="1"/>
        <v>2920</v>
      </c>
      <c r="N27" s="5">
        <f t="shared" si="4"/>
        <v>4.7945205479452057E-3</v>
      </c>
      <c r="Q27" s="12">
        <v>-2E-3</v>
      </c>
      <c r="R27" s="14">
        <f t="shared" si="5"/>
        <v>-1.0273972602739726E-5</v>
      </c>
    </row>
    <row r="28" spans="1:18">
      <c r="A28" t="s">
        <v>25</v>
      </c>
      <c r="B28" s="2">
        <v>2016</v>
      </c>
      <c r="C28" s="2">
        <v>2018</v>
      </c>
      <c r="D28" s="2">
        <v>3</v>
      </c>
      <c r="E28" s="3">
        <v>52.55</v>
      </c>
      <c r="F28" s="2">
        <v>1</v>
      </c>
      <c r="G28" s="6">
        <f t="shared" ref="G28:G36" si="8">IF((C28-B28)&lt;D28,D28-(C28-B28),1)</f>
        <v>1</v>
      </c>
      <c r="H28" s="2">
        <v>365</v>
      </c>
      <c r="I28" s="2">
        <v>8</v>
      </c>
      <c r="J28" s="2">
        <f t="shared" si="0"/>
        <v>2920</v>
      </c>
      <c r="L28" s="3">
        <f t="shared" si="2"/>
        <v>51.55</v>
      </c>
      <c r="M28" s="4">
        <f t="shared" si="1"/>
        <v>2920</v>
      </c>
      <c r="N28" s="5">
        <f t="shared" si="4"/>
        <v>1.7654109589041095E-2</v>
      </c>
      <c r="Q28" s="12">
        <v>-2E-3</v>
      </c>
      <c r="R28" s="14">
        <f t="shared" si="5"/>
        <v>-3.5993150684931505E-5</v>
      </c>
    </row>
    <row r="29" spans="1:18">
      <c r="A29" t="s">
        <v>26</v>
      </c>
      <c r="B29" s="2">
        <v>1976</v>
      </c>
      <c r="C29" s="2">
        <v>2018</v>
      </c>
      <c r="D29" s="2">
        <v>5</v>
      </c>
      <c r="E29" s="3">
        <v>17.440000000000001</v>
      </c>
      <c r="F29" s="2">
        <v>1</v>
      </c>
      <c r="G29" s="6">
        <f t="shared" si="8"/>
        <v>1</v>
      </c>
      <c r="H29" s="2">
        <v>365</v>
      </c>
      <c r="I29" s="2">
        <v>8</v>
      </c>
      <c r="J29" s="2">
        <f t="shared" si="0"/>
        <v>2920</v>
      </c>
      <c r="L29" s="3">
        <f t="shared" si="2"/>
        <v>16.440000000000001</v>
      </c>
      <c r="M29" s="4">
        <f t="shared" si="1"/>
        <v>2920</v>
      </c>
      <c r="N29" s="5">
        <f t="shared" si="4"/>
        <v>5.6301369863013704E-3</v>
      </c>
      <c r="Q29" s="12">
        <v>-2E-3</v>
      </c>
      <c r="R29" s="14">
        <f t="shared" si="5"/>
        <v>-1.1945205479452055E-5</v>
      </c>
    </row>
    <row r="30" spans="1:18">
      <c r="A30" t="s">
        <v>27</v>
      </c>
      <c r="B30" s="2">
        <v>2014</v>
      </c>
      <c r="C30" s="2">
        <v>2018</v>
      </c>
      <c r="D30" s="2">
        <v>5</v>
      </c>
      <c r="E30" s="3">
        <v>185</v>
      </c>
      <c r="F30" s="2">
        <v>154.36000000000001</v>
      </c>
      <c r="G30" s="6">
        <f t="shared" si="8"/>
        <v>1</v>
      </c>
      <c r="H30" s="2">
        <v>365</v>
      </c>
      <c r="I30" s="2">
        <v>8</v>
      </c>
      <c r="J30" s="2">
        <f t="shared" si="0"/>
        <v>2920</v>
      </c>
      <c r="L30" s="3">
        <f>(E30-F30)/G30</f>
        <v>30.639999999999986</v>
      </c>
      <c r="M30" s="4">
        <f t="shared" si="1"/>
        <v>2920</v>
      </c>
      <c r="N30" s="5">
        <f t="shared" si="4"/>
        <v>1.0493150684931502E-2</v>
      </c>
      <c r="Q30" s="12">
        <v>-2E-3</v>
      </c>
      <c r="R30" s="14">
        <f t="shared" si="5"/>
        <v>-1.267123287671233E-4</v>
      </c>
    </row>
    <row r="31" spans="1:18">
      <c r="A31" t="s">
        <v>28</v>
      </c>
      <c r="B31" s="2">
        <v>2014</v>
      </c>
      <c r="C31" s="2">
        <v>2018</v>
      </c>
      <c r="D31" s="2">
        <v>3</v>
      </c>
      <c r="E31" s="3">
        <v>200</v>
      </c>
      <c r="F31" s="2">
        <v>169.36</v>
      </c>
      <c r="G31" s="6">
        <f t="shared" si="8"/>
        <v>1</v>
      </c>
      <c r="H31" s="2">
        <v>365</v>
      </c>
      <c r="I31" s="2">
        <v>8</v>
      </c>
      <c r="J31" s="2">
        <f t="shared" si="0"/>
        <v>2920</v>
      </c>
      <c r="L31" s="3">
        <f t="shared" si="2"/>
        <v>30.639999999999986</v>
      </c>
      <c r="M31" s="4">
        <f t="shared" si="1"/>
        <v>2920</v>
      </c>
      <c r="N31" s="5">
        <f t="shared" si="4"/>
        <v>1.0493150684931502E-2</v>
      </c>
      <c r="Q31" s="12">
        <v>-2E-3</v>
      </c>
      <c r="R31" s="14">
        <f t="shared" si="5"/>
        <v>-1.3698630136986303E-4</v>
      </c>
    </row>
    <row r="32" spans="1:18">
      <c r="A32" t="s">
        <v>29</v>
      </c>
      <c r="B32" s="2">
        <v>2011</v>
      </c>
      <c r="C32" s="2">
        <v>2018</v>
      </c>
      <c r="D32" s="2">
        <v>5</v>
      </c>
      <c r="E32" s="3">
        <v>2972.55</v>
      </c>
      <c r="F32" s="2">
        <v>1462.01</v>
      </c>
      <c r="G32" s="6">
        <f t="shared" si="8"/>
        <v>1</v>
      </c>
      <c r="H32" s="2">
        <v>365</v>
      </c>
      <c r="I32" s="2">
        <v>8</v>
      </c>
      <c r="J32" s="2">
        <f t="shared" si="0"/>
        <v>2920</v>
      </c>
      <c r="L32" s="3">
        <f t="shared" si="2"/>
        <v>1510.5400000000002</v>
      </c>
      <c r="M32" s="4">
        <f t="shared" si="1"/>
        <v>2920</v>
      </c>
      <c r="N32" s="5">
        <f t="shared" si="4"/>
        <v>0.51730821917808223</v>
      </c>
      <c r="Q32" s="12">
        <v>-2E-3</v>
      </c>
      <c r="R32" s="14">
        <f t="shared" si="5"/>
        <v>-2.0359931506849314E-3</v>
      </c>
    </row>
    <row r="33" spans="1:18">
      <c r="A33" t="s">
        <v>30</v>
      </c>
      <c r="B33" s="2">
        <v>2016</v>
      </c>
      <c r="C33" s="2">
        <v>2018</v>
      </c>
      <c r="D33" s="2">
        <v>1</v>
      </c>
      <c r="E33" s="3">
        <v>20</v>
      </c>
      <c r="F33" s="2">
        <v>1</v>
      </c>
      <c r="G33" s="6">
        <f t="shared" si="8"/>
        <v>1</v>
      </c>
      <c r="H33" s="2">
        <v>365</v>
      </c>
      <c r="I33" s="2">
        <v>8</v>
      </c>
      <c r="J33" s="2">
        <f t="shared" si="0"/>
        <v>2920</v>
      </c>
      <c r="L33" s="3">
        <f t="shared" si="2"/>
        <v>19</v>
      </c>
      <c r="M33" s="4">
        <f t="shared" si="1"/>
        <v>2920</v>
      </c>
      <c r="N33" s="5">
        <f t="shared" si="4"/>
        <v>6.5068493150684933E-3</v>
      </c>
      <c r="Q33" s="12">
        <v>-2E-3</v>
      </c>
      <c r="R33" s="14">
        <f t="shared" si="5"/>
        <v>-1.3698630136986302E-5</v>
      </c>
    </row>
    <row r="34" spans="1:18">
      <c r="A34" t="s">
        <v>31</v>
      </c>
      <c r="B34" s="2">
        <v>2014</v>
      </c>
      <c r="C34" s="2">
        <v>2018</v>
      </c>
      <c r="D34" s="2">
        <v>5</v>
      </c>
      <c r="E34" s="3">
        <v>80</v>
      </c>
      <c r="F34" s="2">
        <v>1</v>
      </c>
      <c r="G34" s="6">
        <f t="shared" si="8"/>
        <v>1</v>
      </c>
      <c r="H34" s="2">
        <v>365</v>
      </c>
      <c r="I34" s="2">
        <v>8</v>
      </c>
      <c r="J34" s="2">
        <f t="shared" si="0"/>
        <v>2920</v>
      </c>
      <c r="L34" s="3">
        <f t="shared" si="2"/>
        <v>79</v>
      </c>
      <c r="M34" s="4">
        <f t="shared" si="1"/>
        <v>2920</v>
      </c>
      <c r="N34" s="5">
        <f t="shared" si="4"/>
        <v>2.7054794520547945E-2</v>
      </c>
      <c r="Q34" s="12">
        <v>-2E-3</v>
      </c>
      <c r="R34" s="14">
        <f t="shared" si="5"/>
        <v>-5.4794520547945207E-5</v>
      </c>
    </row>
    <row r="35" spans="1:18">
      <c r="A35" t="s">
        <v>32</v>
      </c>
      <c r="B35" s="2">
        <v>2009</v>
      </c>
      <c r="C35" s="2">
        <v>2018</v>
      </c>
      <c r="D35" s="2">
        <v>5</v>
      </c>
      <c r="E35" s="3">
        <v>723.33</v>
      </c>
      <c r="F35" s="2">
        <v>205.66</v>
      </c>
      <c r="G35" s="6">
        <f t="shared" si="8"/>
        <v>1</v>
      </c>
      <c r="H35" s="2">
        <v>365</v>
      </c>
      <c r="I35" s="2">
        <v>8</v>
      </c>
      <c r="J35" s="2">
        <f t="shared" si="0"/>
        <v>2920</v>
      </c>
      <c r="L35" s="3">
        <f t="shared" si="2"/>
        <v>517.67000000000007</v>
      </c>
      <c r="M35" s="4">
        <f t="shared" si="1"/>
        <v>2920</v>
      </c>
      <c r="N35" s="5">
        <f t="shared" si="4"/>
        <v>0.1772842465753425</v>
      </c>
      <c r="Q35" s="12">
        <v>-2E-3</v>
      </c>
      <c r="R35" s="14">
        <f t="shared" si="5"/>
        <v>-4.9543150684931508E-4</v>
      </c>
    </row>
    <row r="36" spans="1:18">
      <c r="A36" t="s">
        <v>33</v>
      </c>
      <c r="B36" s="2">
        <v>2006</v>
      </c>
      <c r="C36" s="2">
        <v>2018</v>
      </c>
      <c r="D36" s="2">
        <v>5</v>
      </c>
      <c r="E36" s="3">
        <v>83589.8</v>
      </c>
      <c r="F36" s="2">
        <v>1</v>
      </c>
      <c r="G36" s="6">
        <f t="shared" si="8"/>
        <v>1</v>
      </c>
      <c r="H36" s="2">
        <v>365</v>
      </c>
      <c r="I36" s="2">
        <v>8</v>
      </c>
      <c r="J36" s="2">
        <f t="shared" si="0"/>
        <v>2920</v>
      </c>
      <c r="L36" s="3">
        <f t="shared" si="2"/>
        <v>83588.800000000003</v>
      </c>
      <c r="M36" s="4">
        <f t="shared" si="1"/>
        <v>2920</v>
      </c>
      <c r="N36" s="5">
        <f t="shared" si="4"/>
        <v>28.626301369863015</v>
      </c>
      <c r="Q36" s="12">
        <v>-2E-3</v>
      </c>
      <c r="R36" s="14">
        <f t="shared" si="5"/>
        <v>-5.7253287671232882E-2</v>
      </c>
    </row>
    <row r="37" spans="1:18">
      <c r="A37" t="s">
        <v>34</v>
      </c>
      <c r="B37" s="2">
        <v>1997</v>
      </c>
      <c r="C37" s="2">
        <v>2018</v>
      </c>
      <c r="D37" s="2">
        <v>5</v>
      </c>
      <c r="E37" s="3">
        <v>14141.31</v>
      </c>
      <c r="F37" s="2">
        <v>1</v>
      </c>
      <c r="G37" s="6">
        <f>IF((C37-B37)&lt;D37,D37-(C37-B37),1)</f>
        <v>1</v>
      </c>
      <c r="H37" s="2">
        <v>365</v>
      </c>
      <c r="I37" s="2">
        <v>8</v>
      </c>
      <c r="J37" s="2">
        <f t="shared" si="0"/>
        <v>2920</v>
      </c>
      <c r="L37" s="3">
        <f t="shared" si="2"/>
        <v>14140.31</v>
      </c>
      <c r="M37" s="4">
        <f t="shared" si="1"/>
        <v>2920</v>
      </c>
      <c r="N37" s="5">
        <f t="shared" si="4"/>
        <v>4.8425719178082192</v>
      </c>
      <c r="Q37" s="12">
        <v>-2E-3</v>
      </c>
      <c r="R37" s="14">
        <f t="shared" si="5"/>
        <v>-9.6858287671232873E-3</v>
      </c>
    </row>
    <row r="38" spans="1:18">
      <c r="A38" t="s">
        <v>35</v>
      </c>
      <c r="B38" s="2">
        <v>2006</v>
      </c>
      <c r="C38" s="2">
        <v>2018</v>
      </c>
      <c r="D38" s="2">
        <v>5</v>
      </c>
      <c r="E38" s="3">
        <v>83589.8</v>
      </c>
      <c r="F38" s="2">
        <v>1</v>
      </c>
      <c r="G38" s="6">
        <f>IF((C38-B38)&lt;D38,D38-(C38-B38),1)</f>
        <v>1</v>
      </c>
      <c r="H38" s="2">
        <v>365</v>
      </c>
      <c r="I38" s="2">
        <v>8</v>
      </c>
      <c r="J38" s="2">
        <f t="shared" si="0"/>
        <v>2920</v>
      </c>
      <c r="L38" s="3">
        <f t="shared" si="2"/>
        <v>83588.800000000003</v>
      </c>
      <c r="M38" s="4">
        <f t="shared" si="1"/>
        <v>2920</v>
      </c>
      <c r="N38" s="5">
        <f t="shared" si="4"/>
        <v>28.626301369863015</v>
      </c>
      <c r="Q38" s="12">
        <v>-2E-3</v>
      </c>
      <c r="R38" s="14">
        <f t="shared" si="5"/>
        <v>-5.7253287671232882E-2</v>
      </c>
    </row>
    <row r="39" spans="1:18">
      <c r="M39" s="3"/>
      <c r="Q39" s="12"/>
      <c r="R39" s="13"/>
    </row>
    <row r="40" spans="1:18">
      <c r="M40" s="3"/>
    </row>
    <row r="41" spans="1:18">
      <c r="M41" s="3"/>
    </row>
    <row r="42" spans="1:18">
      <c r="M42" s="3"/>
    </row>
    <row r="43" spans="1:18">
      <c r="M43" s="3"/>
    </row>
    <row r="44" spans="1:18">
      <c r="M44" s="3"/>
    </row>
    <row r="45" spans="1:18">
      <c r="M45" s="3"/>
    </row>
    <row r="46" spans="1:18">
      <c r="M46" s="3"/>
    </row>
    <row r="47" spans="1:18">
      <c r="M47" s="3"/>
    </row>
    <row r="48" spans="1:18">
      <c r="M48" s="3"/>
    </row>
    <row r="49" spans="13:13">
      <c r="M49" s="3"/>
    </row>
    <row r="50" spans="13:13">
      <c r="M50" s="3"/>
    </row>
    <row r="51" spans="13:13">
      <c r="M51" s="3"/>
    </row>
    <row r="52" spans="13:13">
      <c r="M52" s="3"/>
    </row>
    <row r="53" spans="13:13">
      <c r="M53" s="3"/>
    </row>
    <row r="54" spans="13:13">
      <c r="M54" s="3"/>
    </row>
    <row r="55" spans="13:13">
      <c r="M55" s="3"/>
    </row>
    <row r="56" spans="13:13">
      <c r="M56" s="3"/>
    </row>
    <row r="57" spans="13:13">
      <c r="M57" s="3"/>
    </row>
    <row r="58" spans="13:13">
      <c r="M58" s="3"/>
    </row>
    <row r="59" spans="13:13">
      <c r="M59" s="3"/>
    </row>
    <row r="60" spans="13:13">
      <c r="M60" s="3"/>
    </row>
    <row r="61" spans="13:13">
      <c r="M61" s="3"/>
    </row>
    <row r="62" spans="13:13">
      <c r="M62" s="3"/>
    </row>
    <row r="63" spans="13:13">
      <c r="M63" s="3"/>
    </row>
    <row r="64" spans="13:13">
      <c r="M64" s="3"/>
    </row>
    <row r="65" spans="13:13">
      <c r="M65" s="3"/>
    </row>
    <row r="66" spans="13:13">
      <c r="M66" s="3"/>
    </row>
    <row r="67" spans="13:13">
      <c r="M67" s="3"/>
    </row>
    <row r="68" spans="13:13">
      <c r="M68" s="3"/>
    </row>
    <row r="69" spans="13:13">
      <c r="M69" s="3"/>
    </row>
    <row r="70" spans="13:13">
      <c r="M70" s="3"/>
    </row>
    <row r="71" spans="13:13">
      <c r="M71" s="3"/>
    </row>
    <row r="72" spans="13:13">
      <c r="M72" s="3"/>
    </row>
    <row r="73" spans="13:13">
      <c r="M73" s="3"/>
    </row>
    <row r="74" spans="13:13">
      <c r="M74" s="3"/>
    </row>
    <row r="75" spans="13:13">
      <c r="M75" s="3"/>
    </row>
    <row r="76" spans="13:13">
      <c r="M76" s="3"/>
    </row>
    <row r="77" spans="13:13">
      <c r="M77" s="3"/>
    </row>
    <row r="78" spans="13:13">
      <c r="M78" s="3"/>
    </row>
    <row r="79" spans="13:13">
      <c r="M79" s="3"/>
    </row>
    <row r="80" spans="13:13">
      <c r="M80" s="3"/>
    </row>
    <row r="81" spans="13:13">
      <c r="M81" s="3"/>
    </row>
    <row r="82" spans="13:13">
      <c r="M82" s="3"/>
    </row>
    <row r="83" spans="13:13">
      <c r="M83" s="3"/>
    </row>
    <row r="84" spans="13:13">
      <c r="M84" s="3"/>
    </row>
  </sheetData>
  <mergeCells count="16">
    <mergeCell ref="D2:D3"/>
    <mergeCell ref="B2:B3"/>
    <mergeCell ref="C2:C3"/>
    <mergeCell ref="E2:E3"/>
    <mergeCell ref="F2:F3"/>
    <mergeCell ref="H2:H3"/>
    <mergeCell ref="I2:I3"/>
    <mergeCell ref="G2:G3"/>
    <mergeCell ref="Q1:R1"/>
    <mergeCell ref="Q2:Q3"/>
    <mergeCell ref="R2:R3"/>
    <mergeCell ref="L1:N1"/>
    <mergeCell ref="L2:L3"/>
    <mergeCell ref="N2:N3"/>
    <mergeCell ref="M2:M3"/>
    <mergeCell ref="J2:J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"/>
  <sheetViews>
    <sheetView topLeftCell="S1" workbookViewId="0">
      <selection activeCell="D9" sqref="D9"/>
    </sheetView>
  </sheetViews>
  <sheetFormatPr baseColWidth="10" defaultRowHeight="15.6"/>
  <cols>
    <col min="1" max="1" width="16.796875" bestFit="1" customWidth="1"/>
    <col min="2" max="2" width="14.5" bestFit="1" customWidth="1"/>
    <col min="4" max="8" width="10.796875" style="2"/>
    <col min="10" max="10" width="15.296875" customWidth="1"/>
    <col min="11" max="11" width="12.5" customWidth="1"/>
    <col min="12" max="15" width="14.296875" customWidth="1"/>
    <col min="23" max="23" width="12.19921875" bestFit="1" customWidth="1"/>
    <col min="24" max="24" width="12.19921875" customWidth="1"/>
    <col min="25" max="25" width="11.69921875" bestFit="1" customWidth="1"/>
  </cols>
  <sheetData>
    <row r="1" spans="1:27" ht="16.2" thickBot="1">
      <c r="D1" s="316"/>
      <c r="E1" s="316"/>
      <c r="F1" s="316"/>
      <c r="G1" s="316"/>
      <c r="H1" s="316"/>
      <c r="J1" s="551" t="s">
        <v>277</v>
      </c>
      <c r="K1" s="552"/>
      <c r="L1" s="552"/>
      <c r="M1" s="552"/>
      <c r="N1" s="552"/>
      <c r="O1" s="552"/>
      <c r="P1" s="553"/>
      <c r="R1" s="562" t="s">
        <v>278</v>
      </c>
      <c r="S1" s="563"/>
      <c r="U1" s="551" t="s">
        <v>276</v>
      </c>
      <c r="V1" s="552"/>
      <c r="W1" s="553"/>
      <c r="X1" s="338"/>
    </row>
    <row r="2" spans="1:27" ht="16.95" customHeight="1" thickBot="1">
      <c r="J2" s="559" t="s">
        <v>36</v>
      </c>
      <c r="K2" s="560"/>
      <c r="L2" s="561"/>
      <c r="M2" s="554" t="s">
        <v>48</v>
      </c>
      <c r="N2" s="555"/>
      <c r="O2" s="556" t="s">
        <v>47</v>
      </c>
      <c r="P2" s="557"/>
      <c r="R2" s="575" t="s">
        <v>61</v>
      </c>
      <c r="S2" s="576"/>
      <c r="T2" s="300"/>
      <c r="U2" s="566" t="s">
        <v>280</v>
      </c>
      <c r="V2" s="567"/>
      <c r="W2" s="568"/>
      <c r="X2" s="339"/>
    </row>
    <row r="3" spans="1:27" ht="16.95" customHeight="1">
      <c r="C3" s="540" t="s">
        <v>52</v>
      </c>
      <c r="D3" s="540" t="s">
        <v>37</v>
      </c>
      <c r="E3" s="540" t="s">
        <v>38</v>
      </c>
      <c r="F3" s="540" t="s">
        <v>46</v>
      </c>
      <c r="G3" s="540" t="s">
        <v>45</v>
      </c>
      <c r="H3" s="540" t="s">
        <v>51</v>
      </c>
      <c r="I3" s="2"/>
      <c r="J3" s="544" t="s">
        <v>44</v>
      </c>
      <c r="K3" s="548" t="s">
        <v>40</v>
      </c>
      <c r="L3" s="550" t="s">
        <v>39</v>
      </c>
      <c r="M3" s="558" t="s">
        <v>49</v>
      </c>
      <c r="N3" s="546" t="s">
        <v>56</v>
      </c>
      <c r="O3" s="558" t="s">
        <v>53</v>
      </c>
      <c r="P3" s="546" t="s">
        <v>62</v>
      </c>
      <c r="R3" s="558" t="s">
        <v>53</v>
      </c>
      <c r="S3" s="546" t="s">
        <v>54</v>
      </c>
      <c r="T3" s="336"/>
      <c r="U3" s="569" t="s">
        <v>126</v>
      </c>
      <c r="V3" s="571" t="s">
        <v>279</v>
      </c>
      <c r="W3" s="573" t="s">
        <v>62</v>
      </c>
      <c r="X3" s="340"/>
      <c r="Y3" s="564" t="s">
        <v>62</v>
      </c>
    </row>
    <row r="4" spans="1:27" ht="16.05" customHeight="1" thickBot="1">
      <c r="C4" s="540"/>
      <c r="D4" s="540"/>
      <c r="E4" s="540"/>
      <c r="F4" s="540"/>
      <c r="G4" s="540"/>
      <c r="H4" s="540"/>
      <c r="I4" s="2"/>
      <c r="J4" s="545"/>
      <c r="K4" s="549"/>
      <c r="L4" s="547"/>
      <c r="M4" s="545"/>
      <c r="N4" s="547"/>
      <c r="O4" s="545"/>
      <c r="P4" s="547"/>
      <c r="R4" s="545"/>
      <c r="S4" s="547"/>
      <c r="T4" s="336"/>
      <c r="U4" s="570"/>
      <c r="V4" s="572"/>
      <c r="W4" s="574"/>
      <c r="X4" s="340"/>
      <c r="Y4" s="565"/>
    </row>
    <row r="5" spans="1:27">
      <c r="A5" t="s">
        <v>35</v>
      </c>
      <c r="B5" t="s">
        <v>0</v>
      </c>
      <c r="C5" s="2">
        <v>5</v>
      </c>
      <c r="D5" s="3">
        <f>'Costo horario'!E38</f>
        <v>83589.8</v>
      </c>
      <c r="E5" s="2">
        <f>'Costo horario'!F38</f>
        <v>1</v>
      </c>
      <c r="F5" s="2">
        <v>365</v>
      </c>
      <c r="G5" s="2">
        <v>24</v>
      </c>
      <c r="H5" s="2">
        <f t="shared" ref="H5:H6" si="0">C5*F5*G5</f>
        <v>43800</v>
      </c>
      <c r="I5" s="2"/>
      <c r="J5" s="9">
        <f t="shared" ref="J5" si="1">(D5-E5)/C5</f>
        <v>16717.760000000002</v>
      </c>
      <c r="K5" s="8">
        <f t="shared" ref="K5" si="2">H5/C5</f>
        <v>8760</v>
      </c>
      <c r="L5" s="283">
        <f t="shared" ref="L5" si="3">J5/K5</f>
        <v>1.9084200913242011</v>
      </c>
      <c r="M5" s="15">
        <v>-2E-3</v>
      </c>
      <c r="N5" s="290">
        <f t="shared" ref="N5" si="4">M5*C5*D5/H5</f>
        <v>-1.9084429223744294E-2</v>
      </c>
      <c r="O5" s="301">
        <f t="shared" ref="O5" si="5">0.09*D5</f>
        <v>7523.0820000000003</v>
      </c>
      <c r="P5" s="299">
        <f t="shared" ref="P5" si="6">O5/(F5*G5)</f>
        <v>0.85879931506849316</v>
      </c>
      <c r="R5" s="18">
        <v>2500</v>
      </c>
      <c r="S5" s="19">
        <f>R5/(G5*F5)</f>
        <v>0.28538812785388129</v>
      </c>
      <c r="T5" s="337"/>
      <c r="U5" s="337">
        <v>2</v>
      </c>
      <c r="V5" s="279">
        <v>9.9750000000000005E-2</v>
      </c>
      <c r="W5" s="285">
        <f>V5*U5</f>
        <v>0.19950000000000001</v>
      </c>
      <c r="X5" s="341"/>
      <c r="Y5" s="13">
        <f>W5+S5+P5+N5+L5</f>
        <v>3.2330231050228315</v>
      </c>
    </row>
    <row r="6" spans="1:27">
      <c r="B6" t="s">
        <v>57</v>
      </c>
      <c r="C6" s="2">
        <v>8</v>
      </c>
      <c r="D6" s="3">
        <f>'Costo horario'!E12</f>
        <v>1091.83</v>
      </c>
      <c r="E6" s="2">
        <f>'Costo horario'!F12</f>
        <v>166.14</v>
      </c>
      <c r="F6" s="2">
        <v>365</v>
      </c>
      <c r="G6" s="2">
        <v>24</v>
      </c>
      <c r="H6" s="2">
        <f t="shared" si="0"/>
        <v>70080</v>
      </c>
      <c r="I6" s="2"/>
      <c r="J6" s="9">
        <f t="shared" ref="J6" si="7">(D6-E6)/C6</f>
        <v>115.71124999999999</v>
      </c>
      <c r="K6" s="8">
        <f t="shared" ref="K6" si="8">H6/C6</f>
        <v>8760</v>
      </c>
      <c r="L6" s="283">
        <f t="shared" ref="L6" si="9">J6/K6</f>
        <v>1.3209046803652967E-2</v>
      </c>
      <c r="M6" s="15">
        <v>-2E-3</v>
      </c>
      <c r="N6" s="290">
        <f t="shared" ref="N6" si="10">M6*C6*D6/H6</f>
        <v>-2.4927625570776252E-4</v>
      </c>
      <c r="O6" s="301">
        <f t="shared" ref="O6" si="11">0.09*D6</f>
        <v>98.264699999999991</v>
      </c>
      <c r="P6" s="299">
        <f t="shared" ref="P6" si="12">O6/(F6*G6)</f>
        <v>1.1217431506849314E-2</v>
      </c>
      <c r="R6" s="301">
        <v>120.08</v>
      </c>
      <c r="S6" s="19">
        <f>R6/(G6*F6)</f>
        <v>1.3707762557077625E-2</v>
      </c>
      <c r="T6" s="337"/>
      <c r="U6" s="280">
        <v>0.19</v>
      </c>
      <c r="V6" s="279">
        <v>9.9750000000000005E-2</v>
      </c>
      <c r="W6" s="285">
        <f>V6*U6</f>
        <v>1.8952500000000001E-2</v>
      </c>
      <c r="X6" s="341"/>
      <c r="Y6" s="13">
        <f>W6+S6+P6+N6+L6</f>
        <v>5.6837464611872147E-2</v>
      </c>
    </row>
    <row r="7" spans="1:27">
      <c r="B7" t="s">
        <v>58</v>
      </c>
      <c r="C7" s="2">
        <v>5</v>
      </c>
      <c r="D7" s="3">
        <v>769.51</v>
      </c>
      <c r="E7" s="3">
        <v>769.51</v>
      </c>
      <c r="F7" s="2">
        <v>365</v>
      </c>
      <c r="G7" s="2">
        <v>24</v>
      </c>
      <c r="H7" s="2">
        <f>C7*F7*G7</f>
        <v>43800</v>
      </c>
      <c r="J7" s="16"/>
      <c r="K7" s="16"/>
      <c r="L7" s="17"/>
      <c r="M7" s="17"/>
      <c r="N7" s="17"/>
      <c r="O7" s="17"/>
      <c r="Y7">
        <f>D7/(F7*G7)</f>
        <v>8.7843607305936072E-2</v>
      </c>
    </row>
    <row r="8" spans="1:27">
      <c r="B8" t="s">
        <v>59</v>
      </c>
      <c r="D8" s="2">
        <v>1.5</v>
      </c>
      <c r="Y8">
        <f>D8</f>
        <v>1.5</v>
      </c>
      <c r="AA8" s="1"/>
    </row>
    <row r="9" spans="1:27">
      <c r="B9" t="s">
        <v>60</v>
      </c>
      <c r="D9" s="2">
        <v>0.25</v>
      </c>
      <c r="Y9">
        <f>D9</f>
        <v>0.25</v>
      </c>
    </row>
    <row r="10" spans="1:27">
      <c r="E10" s="3"/>
      <c r="W10" t="s">
        <v>55</v>
      </c>
      <c r="Y10" s="13">
        <f>SUM(Y5:Y9)</f>
        <v>5.1277041769406395</v>
      </c>
      <c r="AA10" s="1"/>
    </row>
  </sheetData>
  <mergeCells count="27">
    <mergeCell ref="R1:S1"/>
    <mergeCell ref="Y3:Y4"/>
    <mergeCell ref="U1:W1"/>
    <mergeCell ref="U2:W2"/>
    <mergeCell ref="U3:U4"/>
    <mergeCell ref="V3:V4"/>
    <mergeCell ref="W3:W4"/>
    <mergeCell ref="R3:R4"/>
    <mergeCell ref="R2:S2"/>
    <mergeCell ref="J1:P1"/>
    <mergeCell ref="M2:N2"/>
    <mergeCell ref="O2:P2"/>
    <mergeCell ref="M3:M4"/>
    <mergeCell ref="N3:N4"/>
    <mergeCell ref="O3:O4"/>
    <mergeCell ref="P3:P4"/>
    <mergeCell ref="J2:L2"/>
    <mergeCell ref="C3:C4"/>
    <mergeCell ref="D3:D4"/>
    <mergeCell ref="E3:E4"/>
    <mergeCell ref="F3:F4"/>
    <mergeCell ref="G3:G4"/>
    <mergeCell ref="H3:H4"/>
    <mergeCell ref="S3:S4"/>
    <mergeCell ref="J3:J4"/>
    <mergeCell ref="K3:K4"/>
    <mergeCell ref="L3:L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5"/>
  <sheetViews>
    <sheetView tabSelected="1" topLeftCell="A3" zoomScale="80" zoomScaleNormal="80" workbookViewId="0">
      <pane xSplit="1" topLeftCell="B1" activePane="topRight" state="frozen"/>
      <selection activeCell="A2" sqref="A2"/>
      <selection pane="topRight" activeCell="A11" sqref="A11"/>
    </sheetView>
  </sheetViews>
  <sheetFormatPr baseColWidth="10" defaultRowHeight="15.6"/>
  <cols>
    <col min="1" max="1" width="33" bestFit="1" customWidth="1"/>
    <col min="2" max="2" width="14" customWidth="1"/>
    <col min="3" max="3" width="7.5" customWidth="1"/>
    <col min="4" max="4" width="14.69921875" customWidth="1"/>
    <col min="5" max="5" width="11.796875" customWidth="1"/>
    <col min="6" max="6" width="10.296875" customWidth="1"/>
    <col min="7" max="7" width="8.19921875" customWidth="1"/>
    <col min="8" max="8" width="8.69921875" customWidth="1"/>
    <col min="9" max="9" width="15.5" customWidth="1"/>
    <col min="10" max="10" width="8.19921875" customWidth="1"/>
    <col min="11" max="11" width="13.5" style="372" customWidth="1"/>
    <col min="12" max="12" width="16.5" style="372" customWidth="1"/>
    <col min="13" max="13" width="12.19921875" style="372" customWidth="1"/>
    <col min="14" max="14" width="11.5" style="372" customWidth="1"/>
    <col min="15" max="15" width="15.19921875" style="372" customWidth="1"/>
    <col min="16" max="16" width="10.796875" style="372" customWidth="1"/>
    <col min="17" max="17" width="13.296875" style="372" customWidth="1"/>
    <col min="18" max="19" width="10.796875" customWidth="1"/>
    <col min="20" max="20" width="12.796875" style="24" customWidth="1"/>
    <col min="21" max="21" width="15.19921875" style="22" customWidth="1"/>
    <col min="22" max="22" width="12" style="23" customWidth="1"/>
    <col min="23" max="23" width="10.796875" customWidth="1"/>
    <col min="24" max="25" width="12.796875" customWidth="1"/>
    <col min="26" max="26" width="10.796875" customWidth="1"/>
    <col min="27" max="27" width="11.796875" customWidth="1"/>
    <col min="28" max="28" width="11.796875" style="292" customWidth="1"/>
    <col min="31" max="31" width="12.796875" customWidth="1"/>
  </cols>
  <sheetData>
    <row r="1" spans="1:28" ht="16.95" customHeight="1" thickBot="1">
      <c r="A1" s="583" t="s">
        <v>0</v>
      </c>
      <c r="B1" s="423"/>
      <c r="C1" s="423"/>
      <c r="D1" s="423"/>
      <c r="E1" s="423"/>
      <c r="F1" s="423"/>
      <c r="G1" s="423"/>
      <c r="H1" s="423"/>
      <c r="I1" s="423"/>
      <c r="J1" s="423"/>
      <c r="K1" s="551" t="s">
        <v>277</v>
      </c>
      <c r="L1" s="552"/>
      <c r="M1" s="552"/>
      <c r="N1" s="552"/>
      <c r="O1" s="552"/>
      <c r="P1" s="552"/>
      <c r="Q1" s="553"/>
      <c r="T1" s="551" t="s">
        <v>276</v>
      </c>
      <c r="U1" s="552"/>
      <c r="V1" s="553"/>
      <c r="X1" s="562" t="s">
        <v>278</v>
      </c>
      <c r="Y1" s="563"/>
    </row>
    <row r="2" spans="1:28" ht="16.2" thickBot="1">
      <c r="A2" s="584"/>
      <c r="B2" s="27"/>
      <c r="C2" s="27"/>
      <c r="D2" s="27"/>
      <c r="E2" s="27"/>
      <c r="F2" s="27"/>
      <c r="G2" s="27"/>
      <c r="H2" s="27"/>
      <c r="I2" s="27"/>
      <c r="J2" s="27"/>
      <c r="K2" s="578" t="s">
        <v>36</v>
      </c>
      <c r="L2" s="579"/>
      <c r="M2" s="580"/>
      <c r="N2" s="581" t="s">
        <v>48</v>
      </c>
      <c r="O2" s="582"/>
      <c r="P2" s="556" t="s">
        <v>47</v>
      </c>
      <c r="Q2" s="557"/>
      <c r="T2" s="566" t="s">
        <v>280</v>
      </c>
      <c r="U2" s="567"/>
      <c r="V2" s="568"/>
      <c r="X2" s="575" t="s">
        <v>61</v>
      </c>
      <c r="Y2" s="576"/>
    </row>
    <row r="3" spans="1:28" ht="16.05" customHeight="1">
      <c r="A3" s="584"/>
      <c r="B3" s="586" t="s">
        <v>41</v>
      </c>
      <c r="C3" s="548" t="s">
        <v>43</v>
      </c>
      <c r="D3" s="548" t="s">
        <v>52</v>
      </c>
      <c r="E3" s="548" t="s">
        <v>37</v>
      </c>
      <c r="F3" s="548" t="s">
        <v>38</v>
      </c>
      <c r="G3" s="548" t="s">
        <v>46</v>
      </c>
      <c r="H3" s="548" t="s">
        <v>45</v>
      </c>
      <c r="I3" s="550" t="s">
        <v>282</v>
      </c>
      <c r="J3" s="424"/>
      <c r="K3" s="544" t="s">
        <v>44</v>
      </c>
      <c r="L3" s="548" t="s">
        <v>40</v>
      </c>
      <c r="M3" s="550" t="s">
        <v>39</v>
      </c>
      <c r="N3" s="558" t="s">
        <v>49</v>
      </c>
      <c r="O3" s="546" t="s">
        <v>56</v>
      </c>
      <c r="P3" s="558" t="s">
        <v>53</v>
      </c>
      <c r="Q3" s="546" t="s">
        <v>62</v>
      </c>
      <c r="T3" s="569" t="s">
        <v>126</v>
      </c>
      <c r="U3" s="571" t="s">
        <v>279</v>
      </c>
      <c r="V3" s="573" t="s">
        <v>62</v>
      </c>
      <c r="X3" s="558" t="s">
        <v>53</v>
      </c>
      <c r="Y3" s="546" t="s">
        <v>54</v>
      </c>
      <c r="AA3" s="564" t="s">
        <v>62</v>
      </c>
      <c r="AB3" s="293"/>
    </row>
    <row r="4" spans="1:28" ht="16.2" thickBot="1">
      <c r="A4" s="585"/>
      <c r="B4" s="587"/>
      <c r="C4" s="549"/>
      <c r="D4" s="549"/>
      <c r="E4" s="549"/>
      <c r="F4" s="549"/>
      <c r="G4" s="549"/>
      <c r="H4" s="549"/>
      <c r="I4" s="547"/>
      <c r="J4" s="424"/>
      <c r="K4" s="545"/>
      <c r="L4" s="549"/>
      <c r="M4" s="547"/>
      <c r="N4" s="545"/>
      <c r="O4" s="547"/>
      <c r="P4" s="545"/>
      <c r="Q4" s="547"/>
      <c r="T4" s="570"/>
      <c r="U4" s="572"/>
      <c r="V4" s="574"/>
      <c r="X4" s="545"/>
      <c r="Y4" s="547"/>
      <c r="AA4" s="565"/>
      <c r="AB4" s="293"/>
    </row>
    <row r="5" spans="1:28">
      <c r="A5" s="434" t="s">
        <v>1</v>
      </c>
      <c r="B5" s="418">
        <v>2012</v>
      </c>
      <c r="C5" s="418">
        <v>2018</v>
      </c>
      <c r="D5" s="418">
        <v>5</v>
      </c>
      <c r="E5" s="323">
        <v>2651.04</v>
      </c>
      <c r="F5" s="418">
        <v>1679.39</v>
      </c>
      <c r="G5" s="418">
        <v>365</v>
      </c>
      <c r="H5" s="418">
        <v>24</v>
      </c>
      <c r="I5" s="420">
        <f>D5*G5*H5</f>
        <v>43800</v>
      </c>
      <c r="J5" s="424"/>
      <c r="K5" s="9">
        <f>(E5-F5)/D5</f>
        <v>194.32999999999998</v>
      </c>
      <c r="L5" s="8">
        <f>I5/D5</f>
        <v>8760</v>
      </c>
      <c r="M5" s="283">
        <f>K5/L5</f>
        <v>2.2183789954337899E-2</v>
      </c>
      <c r="N5" s="426">
        <v>-2E-3</v>
      </c>
      <c r="O5" s="427">
        <f>N5*D5*E5/I5</f>
        <v>-6.0526027397260279E-4</v>
      </c>
      <c r="P5" s="428">
        <f>0.09*E5</f>
        <v>238.59359999999998</v>
      </c>
      <c r="Q5" s="429">
        <f t="shared" ref="Q5:Q37" si="0">P5/(G5*H5)</f>
        <v>2.7236712328767121E-2</v>
      </c>
      <c r="R5" s="298">
        <f>+Q5+O5+M5</f>
        <v>4.8815242009132419E-2</v>
      </c>
      <c r="S5" s="298"/>
      <c r="T5" s="280">
        <f>'Costos horarios'!C14</f>
        <v>1.008E-2</v>
      </c>
      <c r="U5" s="279">
        <f>'Costos horarios'!C$6</f>
        <v>9.9754098360655741E-2</v>
      </c>
      <c r="V5" s="297">
        <f>U5*T5</f>
        <v>1.0055213114754098E-3</v>
      </c>
      <c r="W5" s="298">
        <f>+V5+R5</f>
        <v>4.9820763320607829E-2</v>
      </c>
      <c r="X5" s="20">
        <v>180</v>
      </c>
      <c r="Y5" s="287">
        <f>X5/(H5*G5)</f>
        <v>2.0547945205479451E-2</v>
      </c>
      <c r="Z5" s="298">
        <f>+Y5+W5</f>
        <v>7.0368708526087287E-2</v>
      </c>
      <c r="AA5" s="289">
        <f>+Y5+V5+Q5+O5+M5</f>
        <v>7.0368708526087273E-2</v>
      </c>
      <c r="AB5" s="294"/>
    </row>
    <row r="6" spans="1:28">
      <c r="A6" s="435" t="s">
        <v>2</v>
      </c>
      <c r="B6" s="418">
        <v>2011</v>
      </c>
      <c r="C6" s="418">
        <v>2018</v>
      </c>
      <c r="D6" s="418">
        <v>8</v>
      </c>
      <c r="E6" s="419">
        <v>5000</v>
      </c>
      <c r="F6" s="418">
        <v>1890</v>
      </c>
      <c r="G6" s="418">
        <v>365</v>
      </c>
      <c r="H6" s="418">
        <v>24</v>
      </c>
      <c r="I6" s="420">
        <f t="shared" ref="I6:I38" si="1">D6*G6*H6</f>
        <v>70080</v>
      </c>
      <c r="J6" s="424"/>
      <c r="K6" s="9">
        <f t="shared" ref="K6:K9" si="2">(E6-F6)/D6</f>
        <v>388.75</v>
      </c>
      <c r="L6" s="8">
        <f t="shared" ref="L6:L38" si="3">I6/D6</f>
        <v>8760</v>
      </c>
      <c r="M6" s="283">
        <f t="shared" ref="M6:M38" si="4">K6/L6</f>
        <v>4.4377853881278538E-2</v>
      </c>
      <c r="N6" s="426">
        <v>-2E-3</v>
      </c>
      <c r="O6" s="427">
        <f t="shared" ref="O6:O38" si="5">N6*D6*E6/I6</f>
        <v>-1.1415525114155251E-3</v>
      </c>
      <c r="P6" s="428">
        <f t="shared" ref="P6:P38" si="6">0.09*E6</f>
        <v>450</v>
      </c>
      <c r="Q6" s="429">
        <f t="shared" si="0"/>
        <v>5.1369863013698627E-2</v>
      </c>
      <c r="R6" s="298">
        <f t="shared" ref="R6:R38" si="7">+Q6+O6+M6</f>
        <v>9.4606164383561647E-2</v>
      </c>
      <c r="T6" s="280">
        <f>'Costos horarios'!C28</f>
        <v>0.8</v>
      </c>
      <c r="U6" s="279">
        <f>'Costos horarios'!C$6</f>
        <v>9.9754098360655741E-2</v>
      </c>
      <c r="V6" s="285">
        <f>U6*T6</f>
        <v>7.9803278688524604E-2</v>
      </c>
      <c r="X6" s="20">
        <v>549.91999999999996</v>
      </c>
      <c r="Y6" s="287">
        <f>X6/(H6*G6)</f>
        <v>6.2776255707762546E-2</v>
      </c>
      <c r="AA6" s="289">
        <f>+Y6+V6+Q6+O6+M6</f>
        <v>0.23718569877984882</v>
      </c>
      <c r="AB6" s="294"/>
    </row>
    <row r="7" spans="1:28">
      <c r="A7" s="435" t="s">
        <v>3</v>
      </c>
      <c r="B7" s="418">
        <v>2014</v>
      </c>
      <c r="C7" s="418">
        <v>2018</v>
      </c>
      <c r="D7" s="418">
        <v>3</v>
      </c>
      <c r="E7" s="323">
        <v>10</v>
      </c>
      <c r="F7" s="418">
        <v>1</v>
      </c>
      <c r="G7" s="418">
        <v>365</v>
      </c>
      <c r="H7" s="418">
        <v>24</v>
      </c>
      <c r="I7" s="420">
        <f t="shared" si="1"/>
        <v>26280</v>
      </c>
      <c r="J7" s="424"/>
      <c r="K7" s="9">
        <f t="shared" si="2"/>
        <v>3</v>
      </c>
      <c r="L7" s="8">
        <f t="shared" si="3"/>
        <v>8760</v>
      </c>
      <c r="M7" s="283">
        <f t="shared" si="4"/>
        <v>3.4246575342465754E-4</v>
      </c>
      <c r="N7" s="426">
        <v>-2E-3</v>
      </c>
      <c r="O7" s="427">
        <f t="shared" si="5"/>
        <v>-2.2831050228310503E-6</v>
      </c>
      <c r="P7" s="428">
        <f t="shared" si="6"/>
        <v>0.89999999999999991</v>
      </c>
      <c r="Q7" s="429">
        <f t="shared" si="0"/>
        <v>1.0273972602739725E-4</v>
      </c>
      <c r="R7" s="298">
        <f t="shared" si="7"/>
        <v>4.4292237442922374E-4</v>
      </c>
      <c r="T7" s="280"/>
      <c r="U7" s="279">
        <f>'Costos horarios'!C$6</f>
        <v>9.9754098360655741E-2</v>
      </c>
      <c r="V7" s="285"/>
      <c r="X7" s="20"/>
      <c r="Y7" s="287"/>
      <c r="AA7" s="289">
        <f t="shared" ref="AA7:AA20" si="8">+Y7+V7+Q7+O7+M7</f>
        <v>4.4292237442922374E-4</v>
      </c>
      <c r="AB7" s="294"/>
    </row>
    <row r="8" spans="1:28">
      <c r="A8" s="435" t="s">
        <v>4</v>
      </c>
      <c r="B8" s="418">
        <v>2016</v>
      </c>
      <c r="C8" s="418">
        <v>2018</v>
      </c>
      <c r="D8" s="418">
        <v>3</v>
      </c>
      <c r="E8" s="323">
        <v>20</v>
      </c>
      <c r="F8" s="418">
        <v>1</v>
      </c>
      <c r="G8" s="418">
        <v>365</v>
      </c>
      <c r="H8" s="418">
        <v>24</v>
      </c>
      <c r="I8" s="420">
        <f t="shared" si="1"/>
        <v>26280</v>
      </c>
      <c r="J8" s="424"/>
      <c r="K8" s="9">
        <f t="shared" si="2"/>
        <v>6.333333333333333</v>
      </c>
      <c r="L8" s="8">
        <f t="shared" si="3"/>
        <v>8760</v>
      </c>
      <c r="M8" s="283">
        <f t="shared" si="4"/>
        <v>7.2298325722983255E-4</v>
      </c>
      <c r="N8" s="426">
        <v>-2E-3</v>
      </c>
      <c r="O8" s="427">
        <f t="shared" si="5"/>
        <v>-4.5662100456621006E-6</v>
      </c>
      <c r="P8" s="428">
        <f t="shared" si="6"/>
        <v>1.7999999999999998</v>
      </c>
      <c r="Q8" s="429">
        <f t="shared" si="0"/>
        <v>2.0547945205479451E-4</v>
      </c>
      <c r="R8" s="298">
        <f t="shared" si="7"/>
        <v>9.2389649923896495E-4</v>
      </c>
      <c r="T8" s="280"/>
      <c r="U8" s="279">
        <f>'Costos horarios'!C$6</f>
        <v>9.9754098360655741E-2</v>
      </c>
      <c r="V8" s="285"/>
      <c r="X8" s="301"/>
      <c r="Y8" s="287"/>
      <c r="AA8" s="289">
        <f t="shared" si="8"/>
        <v>9.2389649923896495E-4</v>
      </c>
      <c r="AB8" s="294"/>
    </row>
    <row r="9" spans="1:28">
      <c r="A9" s="435" t="s">
        <v>5</v>
      </c>
      <c r="B9" s="418">
        <v>2016</v>
      </c>
      <c r="C9" s="418">
        <v>2018</v>
      </c>
      <c r="D9" s="418">
        <v>3</v>
      </c>
      <c r="E9" s="323">
        <v>20</v>
      </c>
      <c r="F9" s="418">
        <v>1</v>
      </c>
      <c r="G9" s="418">
        <v>365</v>
      </c>
      <c r="H9" s="418">
        <v>24</v>
      </c>
      <c r="I9" s="420">
        <f t="shared" si="1"/>
        <v>26280</v>
      </c>
      <c r="J9" s="424"/>
      <c r="K9" s="9">
        <f t="shared" si="2"/>
        <v>6.333333333333333</v>
      </c>
      <c r="L9" s="8">
        <f t="shared" si="3"/>
        <v>8760</v>
      </c>
      <c r="M9" s="283">
        <f t="shared" si="4"/>
        <v>7.2298325722983255E-4</v>
      </c>
      <c r="N9" s="426">
        <v>-2E-3</v>
      </c>
      <c r="O9" s="427">
        <f t="shared" si="5"/>
        <v>-4.5662100456621006E-6</v>
      </c>
      <c r="P9" s="428">
        <f t="shared" si="6"/>
        <v>1.7999999999999998</v>
      </c>
      <c r="Q9" s="429">
        <f t="shared" si="0"/>
        <v>2.0547945205479451E-4</v>
      </c>
      <c r="R9" s="298">
        <f t="shared" si="7"/>
        <v>9.2389649923896495E-4</v>
      </c>
      <c r="T9" s="280"/>
      <c r="U9" s="279">
        <f>'Costos horarios'!C$6</f>
        <v>9.9754098360655741E-2</v>
      </c>
      <c r="V9" s="285"/>
      <c r="X9" s="301"/>
      <c r="Y9" s="287"/>
      <c r="AA9" s="289">
        <f t="shared" si="8"/>
        <v>9.2389649923896495E-4</v>
      </c>
      <c r="AB9" s="294"/>
    </row>
    <row r="10" spans="1:28">
      <c r="A10" s="435" t="s">
        <v>6</v>
      </c>
      <c r="B10" s="418">
        <v>2009</v>
      </c>
      <c r="C10" s="418">
        <v>2018</v>
      </c>
      <c r="D10" s="418">
        <v>8</v>
      </c>
      <c r="E10" s="323">
        <v>334</v>
      </c>
      <c r="F10" s="418">
        <v>95.34</v>
      </c>
      <c r="G10" s="418">
        <v>365</v>
      </c>
      <c r="H10" s="418">
        <v>24</v>
      </c>
      <c r="I10" s="420">
        <f t="shared" si="1"/>
        <v>70080</v>
      </c>
      <c r="J10" s="424"/>
      <c r="K10" s="9">
        <f t="shared" ref="K10:K38" si="9">(E10-F10)/D10</f>
        <v>29.8325</v>
      </c>
      <c r="L10" s="8">
        <f t="shared" si="3"/>
        <v>8760</v>
      </c>
      <c r="M10" s="283">
        <f t="shared" si="4"/>
        <v>3.4055365296803653E-3</v>
      </c>
      <c r="N10" s="426">
        <v>-2E-3</v>
      </c>
      <c r="O10" s="427">
        <f t="shared" si="5"/>
        <v>-7.6255707762557079E-5</v>
      </c>
      <c r="P10" s="428">
        <f t="shared" si="6"/>
        <v>30.06</v>
      </c>
      <c r="Q10" s="429">
        <f t="shared" si="0"/>
        <v>3.4315068493150683E-3</v>
      </c>
      <c r="R10" s="298">
        <f t="shared" si="7"/>
        <v>6.7607876712328764E-3</v>
      </c>
      <c r="T10" s="280"/>
      <c r="U10" s="279">
        <f>'Costos horarios'!C$6</f>
        <v>9.9754098360655741E-2</v>
      </c>
      <c r="V10" s="285"/>
      <c r="X10" s="20"/>
      <c r="Y10" s="287"/>
      <c r="AA10" s="289">
        <f t="shared" si="8"/>
        <v>6.7607876712328764E-3</v>
      </c>
      <c r="AB10" s="294"/>
    </row>
    <row r="11" spans="1:28">
      <c r="A11" s="435" t="s">
        <v>7</v>
      </c>
      <c r="B11" s="418">
        <v>2016</v>
      </c>
      <c r="C11" s="418">
        <v>2018</v>
      </c>
      <c r="D11" s="418">
        <v>3</v>
      </c>
      <c r="E11" s="323">
        <v>40</v>
      </c>
      <c r="F11" s="418">
        <v>1</v>
      </c>
      <c r="G11" s="418">
        <v>365</v>
      </c>
      <c r="H11" s="418">
        <v>24</v>
      </c>
      <c r="I11" s="420">
        <f t="shared" si="1"/>
        <v>26280</v>
      </c>
      <c r="J11" s="424"/>
      <c r="K11" s="9">
        <f t="shared" si="9"/>
        <v>13</v>
      </c>
      <c r="L11" s="8">
        <f t="shared" si="3"/>
        <v>8760</v>
      </c>
      <c r="M11" s="283">
        <f t="shared" si="4"/>
        <v>1.4840182648401827E-3</v>
      </c>
      <c r="N11" s="426">
        <v>-2E-3</v>
      </c>
      <c r="O11" s="427">
        <f t="shared" si="5"/>
        <v>-9.1324200913242012E-6</v>
      </c>
      <c r="P11" s="428">
        <f t="shared" si="6"/>
        <v>3.5999999999999996</v>
      </c>
      <c r="Q11" s="429">
        <f t="shared" si="0"/>
        <v>4.1095890410958901E-4</v>
      </c>
      <c r="R11" s="298">
        <f t="shared" si="7"/>
        <v>1.8858447488584475E-3</v>
      </c>
      <c r="T11" s="280"/>
      <c r="U11" s="279">
        <f>'Costos horarios'!C$6</f>
        <v>9.9754098360655741E-2</v>
      </c>
      <c r="V11" s="285"/>
      <c r="X11" s="20"/>
      <c r="Y11" s="287"/>
      <c r="AA11" s="289">
        <f t="shared" si="8"/>
        <v>1.8858447488584475E-3</v>
      </c>
      <c r="AB11" s="294"/>
    </row>
    <row r="12" spans="1:28">
      <c r="A12" s="435" t="s">
        <v>8</v>
      </c>
      <c r="B12" s="418">
        <v>2009</v>
      </c>
      <c r="C12" s="418">
        <v>2018</v>
      </c>
      <c r="D12" s="418">
        <v>8</v>
      </c>
      <c r="E12" s="323">
        <v>1091.83</v>
      </c>
      <c r="F12" s="418">
        <v>166.14</v>
      </c>
      <c r="G12" s="418">
        <v>365</v>
      </c>
      <c r="H12" s="418">
        <v>24</v>
      </c>
      <c r="I12" s="420">
        <f t="shared" si="1"/>
        <v>70080</v>
      </c>
      <c r="J12" s="424"/>
      <c r="K12" s="9">
        <f t="shared" si="9"/>
        <v>115.71124999999999</v>
      </c>
      <c r="L12" s="8">
        <f t="shared" si="3"/>
        <v>8760</v>
      </c>
      <c r="M12" s="283">
        <f t="shared" si="4"/>
        <v>1.3209046803652967E-2</v>
      </c>
      <c r="N12" s="426">
        <v>-2E-3</v>
      </c>
      <c r="O12" s="427">
        <f t="shared" si="5"/>
        <v>-2.4927625570776252E-4</v>
      </c>
      <c r="P12" s="428">
        <f t="shared" si="6"/>
        <v>98.264699999999991</v>
      </c>
      <c r="Q12" s="429">
        <f t="shared" si="0"/>
        <v>1.1217431506849314E-2</v>
      </c>
      <c r="R12" s="298">
        <f t="shared" si="7"/>
        <v>2.4177202054794518E-2</v>
      </c>
      <c r="T12" s="280">
        <f>'Costos horarios'!C$81</f>
        <v>0.19</v>
      </c>
      <c r="U12" s="279">
        <f>'Costos horarios'!C$6</f>
        <v>9.9754098360655741E-2</v>
      </c>
      <c r="V12" s="285">
        <f>U12*T12</f>
        <v>1.8953278688524592E-2</v>
      </c>
      <c r="X12" s="301">
        <f>E12*0.109984</f>
        <v>120.08383071999999</v>
      </c>
      <c r="Y12" s="287">
        <f t="shared" ref="Y12:Y25" si="10">X12/(H12*G12)</f>
        <v>1.3708199853881277E-2</v>
      </c>
      <c r="AA12" s="289">
        <f t="shared" si="8"/>
        <v>5.6838680597200389E-2</v>
      </c>
      <c r="AB12" s="294"/>
    </row>
    <row r="13" spans="1:28">
      <c r="A13" s="435" t="s">
        <v>9</v>
      </c>
      <c r="B13" s="418">
        <v>2016</v>
      </c>
      <c r="C13" s="418">
        <v>2018</v>
      </c>
      <c r="D13" s="418">
        <v>3</v>
      </c>
      <c r="E13" s="323">
        <v>20</v>
      </c>
      <c r="F13" s="418">
        <v>1</v>
      </c>
      <c r="G13" s="418">
        <v>365</v>
      </c>
      <c r="H13" s="418">
        <v>24</v>
      </c>
      <c r="I13" s="420">
        <f t="shared" si="1"/>
        <v>26280</v>
      </c>
      <c r="J13" s="424"/>
      <c r="K13" s="9">
        <f t="shared" si="9"/>
        <v>6.333333333333333</v>
      </c>
      <c r="L13" s="8">
        <f t="shared" si="3"/>
        <v>8760</v>
      </c>
      <c r="M13" s="283">
        <f t="shared" si="4"/>
        <v>7.2298325722983255E-4</v>
      </c>
      <c r="N13" s="426">
        <v>-2E-3</v>
      </c>
      <c r="O13" s="427">
        <f t="shared" si="5"/>
        <v>-4.5662100456621006E-6</v>
      </c>
      <c r="P13" s="428">
        <f t="shared" si="6"/>
        <v>1.7999999999999998</v>
      </c>
      <c r="Q13" s="429">
        <f t="shared" si="0"/>
        <v>2.0547945205479451E-4</v>
      </c>
      <c r="R13" s="298">
        <f t="shared" si="7"/>
        <v>9.2389649923896495E-4</v>
      </c>
      <c r="T13" s="280"/>
      <c r="U13" s="279">
        <f>'Costos horarios'!C$6</f>
        <v>9.9754098360655741E-2</v>
      </c>
      <c r="V13" s="285"/>
      <c r="X13" s="20"/>
      <c r="Y13" s="287"/>
      <c r="AA13" s="289">
        <f>+Y13+V13+Q13+O13+M13</f>
        <v>9.2389649923896495E-4</v>
      </c>
      <c r="AB13" s="294"/>
    </row>
    <row r="14" spans="1:28">
      <c r="A14" s="435" t="s">
        <v>10</v>
      </c>
      <c r="B14" s="418">
        <v>2016</v>
      </c>
      <c r="C14" s="418">
        <v>2018</v>
      </c>
      <c r="D14" s="418">
        <v>3</v>
      </c>
      <c r="E14" s="323">
        <v>84</v>
      </c>
      <c r="F14" s="418">
        <v>1</v>
      </c>
      <c r="G14" s="418">
        <v>365</v>
      </c>
      <c r="H14" s="418">
        <v>24</v>
      </c>
      <c r="I14" s="420">
        <f t="shared" si="1"/>
        <v>26280</v>
      </c>
      <c r="J14" s="424"/>
      <c r="K14" s="9">
        <f t="shared" si="9"/>
        <v>27.666666666666668</v>
      </c>
      <c r="L14" s="8">
        <f t="shared" si="3"/>
        <v>8760</v>
      </c>
      <c r="M14" s="283">
        <f t="shared" si="4"/>
        <v>3.1582952815829529E-3</v>
      </c>
      <c r="N14" s="426">
        <v>-2E-3</v>
      </c>
      <c r="O14" s="427">
        <f t="shared" si="5"/>
        <v>-1.9178082191780822E-5</v>
      </c>
      <c r="P14" s="428">
        <f t="shared" si="6"/>
        <v>7.56</v>
      </c>
      <c r="Q14" s="429">
        <f t="shared" si="0"/>
        <v>8.6301369863013696E-4</v>
      </c>
      <c r="R14" s="298">
        <f t="shared" si="7"/>
        <v>4.0021308980213088E-3</v>
      </c>
      <c r="T14" s="280"/>
      <c r="U14" s="279">
        <f>'Costos horarios'!C$6</f>
        <v>9.9754098360655741E-2</v>
      </c>
      <c r="V14" s="285"/>
      <c r="X14" s="20"/>
      <c r="Y14" s="287"/>
      <c r="AA14" s="289">
        <f t="shared" si="8"/>
        <v>4.0021308980213088E-3</v>
      </c>
      <c r="AB14" s="294"/>
    </row>
    <row r="15" spans="1:28">
      <c r="A15" s="435" t="s">
        <v>11</v>
      </c>
      <c r="B15" s="418">
        <v>2016</v>
      </c>
      <c r="C15" s="418">
        <v>2018</v>
      </c>
      <c r="D15" s="418">
        <v>3</v>
      </c>
      <c r="E15" s="323">
        <v>95</v>
      </c>
      <c r="F15" s="418">
        <v>1</v>
      </c>
      <c r="G15" s="418">
        <v>365</v>
      </c>
      <c r="H15" s="418">
        <v>24</v>
      </c>
      <c r="I15" s="420">
        <f t="shared" si="1"/>
        <v>26280</v>
      </c>
      <c r="J15" s="424"/>
      <c r="K15" s="9">
        <f t="shared" si="9"/>
        <v>31.333333333333332</v>
      </c>
      <c r="L15" s="8">
        <f t="shared" si="3"/>
        <v>8760</v>
      </c>
      <c r="M15" s="283">
        <f t="shared" si="4"/>
        <v>3.5768645357686451E-3</v>
      </c>
      <c r="N15" s="426">
        <v>-2E-3</v>
      </c>
      <c r="O15" s="427">
        <f t="shared" si="5"/>
        <v>-2.1689497716894979E-5</v>
      </c>
      <c r="P15" s="428">
        <f t="shared" si="6"/>
        <v>8.5499999999999989</v>
      </c>
      <c r="Q15" s="429">
        <f t="shared" si="0"/>
        <v>9.760273972602738E-4</v>
      </c>
      <c r="R15" s="298">
        <f t="shared" si="7"/>
        <v>4.5312024353120241E-3</v>
      </c>
      <c r="T15" s="280"/>
      <c r="U15" s="279">
        <f>'Costos horarios'!C$6</f>
        <v>9.9754098360655741E-2</v>
      </c>
      <c r="V15" s="285"/>
      <c r="X15" s="20"/>
      <c r="Y15" s="287"/>
      <c r="AA15" s="289">
        <f t="shared" si="8"/>
        <v>4.5312024353120241E-3</v>
      </c>
      <c r="AB15" s="294"/>
    </row>
    <row r="16" spans="1:28">
      <c r="A16" s="435" t="s">
        <v>12</v>
      </c>
      <c r="B16" s="418">
        <v>2016</v>
      </c>
      <c r="C16" s="418">
        <v>2018</v>
      </c>
      <c r="D16" s="418">
        <v>3</v>
      </c>
      <c r="E16" s="323">
        <v>84</v>
      </c>
      <c r="F16" s="418">
        <v>1</v>
      </c>
      <c r="G16" s="418">
        <v>365</v>
      </c>
      <c r="H16" s="418">
        <v>24</v>
      </c>
      <c r="I16" s="420">
        <f t="shared" si="1"/>
        <v>26280</v>
      </c>
      <c r="J16" s="424"/>
      <c r="K16" s="9">
        <f t="shared" si="9"/>
        <v>27.666666666666668</v>
      </c>
      <c r="L16" s="8">
        <f t="shared" si="3"/>
        <v>8760</v>
      </c>
      <c r="M16" s="283">
        <f t="shared" si="4"/>
        <v>3.1582952815829529E-3</v>
      </c>
      <c r="N16" s="426">
        <v>-2E-3</v>
      </c>
      <c r="O16" s="427">
        <f t="shared" si="5"/>
        <v>-1.9178082191780822E-5</v>
      </c>
      <c r="P16" s="428">
        <f t="shared" si="6"/>
        <v>7.56</v>
      </c>
      <c r="Q16" s="429">
        <f t="shared" si="0"/>
        <v>8.6301369863013696E-4</v>
      </c>
      <c r="R16" s="298">
        <f t="shared" si="7"/>
        <v>4.0021308980213088E-3</v>
      </c>
      <c r="T16" s="280"/>
      <c r="U16" s="279">
        <f>'Costos horarios'!C$6</f>
        <v>9.9754098360655741E-2</v>
      </c>
      <c r="V16" s="285"/>
      <c r="X16" s="20"/>
      <c r="Y16" s="287"/>
      <c r="AA16" s="289">
        <f t="shared" si="8"/>
        <v>4.0021308980213088E-3</v>
      </c>
      <c r="AB16" s="294"/>
    </row>
    <row r="17" spans="1:28">
      <c r="A17" s="435" t="s">
        <v>13</v>
      </c>
      <c r="B17" s="418">
        <v>2016</v>
      </c>
      <c r="C17" s="418">
        <v>2018</v>
      </c>
      <c r="D17" s="418">
        <v>3</v>
      </c>
      <c r="E17" s="323">
        <v>91</v>
      </c>
      <c r="F17" s="418">
        <v>1</v>
      </c>
      <c r="G17" s="418">
        <v>365</v>
      </c>
      <c r="H17" s="418">
        <v>24</v>
      </c>
      <c r="I17" s="420">
        <f t="shared" si="1"/>
        <v>26280</v>
      </c>
      <c r="J17" s="424"/>
      <c r="K17" s="9">
        <f t="shared" si="9"/>
        <v>30</v>
      </c>
      <c r="L17" s="8">
        <f t="shared" si="3"/>
        <v>8760</v>
      </c>
      <c r="M17" s="283">
        <f t="shared" si="4"/>
        <v>3.4246575342465752E-3</v>
      </c>
      <c r="N17" s="426">
        <v>-2E-3</v>
      </c>
      <c r="O17" s="427">
        <f t="shared" si="5"/>
        <v>-2.077625570776256E-5</v>
      </c>
      <c r="P17" s="428">
        <f t="shared" si="6"/>
        <v>8.19</v>
      </c>
      <c r="Q17" s="429">
        <f t="shared" si="0"/>
        <v>9.3493150684931497E-4</v>
      </c>
      <c r="R17" s="298">
        <f t="shared" si="7"/>
        <v>4.3388127853881278E-3</v>
      </c>
      <c r="T17" s="280"/>
      <c r="U17" s="279">
        <f>'Costos horarios'!C$6</f>
        <v>9.9754098360655741E-2</v>
      </c>
      <c r="V17" s="285"/>
      <c r="X17" s="20"/>
      <c r="Y17" s="287"/>
      <c r="AA17" s="289">
        <f t="shared" si="8"/>
        <v>4.3388127853881278E-3</v>
      </c>
      <c r="AB17" s="294"/>
    </row>
    <row r="18" spans="1:28">
      <c r="A18" s="435" t="s">
        <v>14</v>
      </c>
      <c r="B18" s="418">
        <v>2016</v>
      </c>
      <c r="C18" s="418">
        <v>2018</v>
      </c>
      <c r="D18" s="418">
        <v>3</v>
      </c>
      <c r="E18" s="323">
        <v>88</v>
      </c>
      <c r="F18" s="418">
        <v>1</v>
      </c>
      <c r="G18" s="418">
        <v>365</v>
      </c>
      <c r="H18" s="418">
        <v>24</v>
      </c>
      <c r="I18" s="420">
        <f t="shared" si="1"/>
        <v>26280</v>
      </c>
      <c r="J18" s="424"/>
      <c r="K18" s="9">
        <f t="shared" si="9"/>
        <v>29</v>
      </c>
      <c r="L18" s="8">
        <f t="shared" si="3"/>
        <v>8760</v>
      </c>
      <c r="M18" s="283">
        <f t="shared" si="4"/>
        <v>3.3105022831050228E-3</v>
      </c>
      <c r="N18" s="426">
        <v>-2E-3</v>
      </c>
      <c r="O18" s="427">
        <f t="shared" si="5"/>
        <v>-2.0091324200913245E-5</v>
      </c>
      <c r="P18" s="428">
        <f t="shared" si="6"/>
        <v>7.92</v>
      </c>
      <c r="Q18" s="429">
        <f t="shared" si="0"/>
        <v>9.041095890410959E-4</v>
      </c>
      <c r="R18" s="298">
        <f t="shared" si="7"/>
        <v>4.194520547945205E-3</v>
      </c>
      <c r="T18" s="280"/>
      <c r="U18" s="279">
        <f>'Costos horarios'!C$6</f>
        <v>9.9754098360655741E-2</v>
      </c>
      <c r="V18" s="285"/>
      <c r="X18" s="20"/>
      <c r="Y18" s="287"/>
      <c r="AA18" s="289">
        <f t="shared" si="8"/>
        <v>4.194520547945205E-3</v>
      </c>
      <c r="AB18" s="294"/>
    </row>
    <row r="19" spans="1:28">
      <c r="A19" s="435" t="s">
        <v>15</v>
      </c>
      <c r="B19" s="418">
        <v>2016</v>
      </c>
      <c r="C19" s="418">
        <v>2018</v>
      </c>
      <c r="D19" s="418">
        <v>3</v>
      </c>
      <c r="E19" s="323">
        <v>130</v>
      </c>
      <c r="F19" s="418">
        <v>1</v>
      </c>
      <c r="G19" s="418">
        <v>365</v>
      </c>
      <c r="H19" s="418">
        <v>24</v>
      </c>
      <c r="I19" s="420">
        <f t="shared" si="1"/>
        <v>26280</v>
      </c>
      <c r="J19" s="424"/>
      <c r="K19" s="9">
        <f t="shared" si="9"/>
        <v>43</v>
      </c>
      <c r="L19" s="8">
        <f t="shared" si="3"/>
        <v>8760</v>
      </c>
      <c r="M19" s="283">
        <f t="shared" si="4"/>
        <v>4.9086757990867581E-3</v>
      </c>
      <c r="N19" s="426">
        <v>-2E-3</v>
      </c>
      <c r="O19" s="427">
        <f t="shared" si="5"/>
        <v>-2.9680365296803654E-5</v>
      </c>
      <c r="P19" s="428">
        <f t="shared" si="6"/>
        <v>11.7</v>
      </c>
      <c r="Q19" s="429">
        <f t="shared" si="0"/>
        <v>1.3356164383561643E-3</v>
      </c>
      <c r="R19" s="298">
        <f t="shared" si="7"/>
        <v>6.2146118721461184E-3</v>
      </c>
      <c r="T19" s="280"/>
      <c r="U19" s="279">
        <f>'Costos horarios'!C$6</f>
        <v>9.9754098360655741E-2</v>
      </c>
      <c r="V19" s="285"/>
      <c r="X19" s="20"/>
      <c r="Y19" s="287"/>
      <c r="AA19" s="289">
        <f t="shared" si="8"/>
        <v>6.2146118721461184E-3</v>
      </c>
      <c r="AB19" s="294"/>
    </row>
    <row r="20" spans="1:28">
      <c r="A20" s="435" t="s">
        <v>16</v>
      </c>
      <c r="B20" s="418">
        <v>2009</v>
      </c>
      <c r="C20" s="418">
        <v>2018</v>
      </c>
      <c r="D20" s="418">
        <v>8</v>
      </c>
      <c r="E20" s="323">
        <v>1224</v>
      </c>
      <c r="F20" s="418">
        <v>276.19</v>
      </c>
      <c r="G20" s="418">
        <v>365</v>
      </c>
      <c r="H20" s="418">
        <v>24</v>
      </c>
      <c r="I20" s="420">
        <f t="shared" si="1"/>
        <v>70080</v>
      </c>
      <c r="J20" s="424"/>
      <c r="K20" s="9">
        <f t="shared" si="9"/>
        <v>118.47624999999999</v>
      </c>
      <c r="L20" s="8">
        <f t="shared" si="3"/>
        <v>8760</v>
      </c>
      <c r="M20" s="283">
        <f t="shared" si="4"/>
        <v>1.352468607305936E-2</v>
      </c>
      <c r="N20" s="426">
        <v>-2E-3</v>
      </c>
      <c r="O20" s="427">
        <f t="shared" si="5"/>
        <v>-2.7945205479452056E-4</v>
      </c>
      <c r="P20" s="428">
        <f t="shared" si="6"/>
        <v>110.16</v>
      </c>
      <c r="Q20" s="429">
        <f t="shared" si="0"/>
        <v>1.2575342465753423E-2</v>
      </c>
      <c r="R20" s="298">
        <f t="shared" si="7"/>
        <v>2.5820576484018261E-2</v>
      </c>
      <c r="T20" s="280">
        <f>'Costos horarios'!C35</f>
        <v>0.65</v>
      </c>
      <c r="U20" s="279">
        <f>'Costos horarios'!C$6</f>
        <v>9.9754098360655741E-2</v>
      </c>
      <c r="V20" s="285">
        <f>U20*T20</f>
        <v>6.4840163934426237E-2</v>
      </c>
      <c r="X20" s="301">
        <f>E20*0.109984</f>
        <v>134.62041600000001</v>
      </c>
      <c r="Y20" s="287">
        <f t="shared" si="10"/>
        <v>1.5367627397260275E-2</v>
      </c>
      <c r="AA20" s="289">
        <f t="shared" si="8"/>
        <v>0.10602836781570478</v>
      </c>
      <c r="AB20" s="294"/>
    </row>
    <row r="21" spans="1:28">
      <c r="A21" s="435" t="s">
        <v>17</v>
      </c>
      <c r="B21" s="418">
        <v>2016</v>
      </c>
      <c r="C21" s="418">
        <v>2018</v>
      </c>
      <c r="D21" s="418">
        <v>8</v>
      </c>
      <c r="E21" s="323">
        <v>500</v>
      </c>
      <c r="F21" s="418">
        <v>1</v>
      </c>
      <c r="G21" s="418">
        <v>365</v>
      </c>
      <c r="H21" s="418">
        <v>24</v>
      </c>
      <c r="I21" s="420">
        <f t="shared" si="1"/>
        <v>70080</v>
      </c>
      <c r="J21" s="424"/>
      <c r="K21" s="9">
        <f t="shared" si="9"/>
        <v>62.375</v>
      </c>
      <c r="L21" s="8">
        <f t="shared" si="3"/>
        <v>8760</v>
      </c>
      <c r="M21" s="283">
        <f t="shared" si="4"/>
        <v>7.1204337899543379E-3</v>
      </c>
      <c r="N21" s="426">
        <v>-2E-3</v>
      </c>
      <c r="O21" s="427">
        <f t="shared" si="5"/>
        <v>-1.1415525114155251E-4</v>
      </c>
      <c r="P21" s="428">
        <f t="shared" si="6"/>
        <v>45</v>
      </c>
      <c r="Q21" s="429">
        <f t="shared" si="0"/>
        <v>5.1369863013698627E-3</v>
      </c>
      <c r="R21" s="298">
        <f t="shared" si="7"/>
        <v>1.2143264840182648E-2</v>
      </c>
      <c r="T21" s="280">
        <f>'Costos horarios'!C43</f>
        <v>0.25</v>
      </c>
      <c r="U21" s="279">
        <f>'Costos horarios'!C$6</f>
        <v>9.9754098360655741E-2</v>
      </c>
      <c r="V21" s="285">
        <f>U21*T21</f>
        <v>2.4938524590163935E-2</v>
      </c>
      <c r="X21" s="20"/>
      <c r="Y21" s="287"/>
      <c r="AA21" s="289">
        <f t="shared" ref="AA21:AA35" si="11">+Y21+V21+Q21+O21+M21</f>
        <v>3.7081789430346582E-2</v>
      </c>
      <c r="AB21" s="294"/>
    </row>
    <row r="22" spans="1:28">
      <c r="A22" s="435" t="s">
        <v>18</v>
      </c>
      <c r="B22" s="418">
        <v>2016</v>
      </c>
      <c r="C22" s="418">
        <v>2018</v>
      </c>
      <c r="D22" s="418">
        <v>3</v>
      </c>
      <c r="E22" s="323">
        <v>25</v>
      </c>
      <c r="F22" s="418">
        <v>1</v>
      </c>
      <c r="G22" s="418">
        <v>365</v>
      </c>
      <c r="H22" s="418">
        <v>24</v>
      </c>
      <c r="I22" s="420">
        <f t="shared" si="1"/>
        <v>26280</v>
      </c>
      <c r="J22" s="424"/>
      <c r="K22" s="9">
        <f t="shared" si="9"/>
        <v>8</v>
      </c>
      <c r="L22" s="8">
        <f t="shared" si="3"/>
        <v>8760</v>
      </c>
      <c r="M22" s="283">
        <f t="shared" si="4"/>
        <v>9.1324200913242006E-4</v>
      </c>
      <c r="N22" s="426">
        <v>-2E-3</v>
      </c>
      <c r="O22" s="427">
        <f t="shared" si="5"/>
        <v>-5.7077625570776257E-6</v>
      </c>
      <c r="P22" s="428">
        <f t="shared" si="6"/>
        <v>2.25</v>
      </c>
      <c r="Q22" s="429">
        <f t="shared" si="0"/>
        <v>2.5684931506849313E-4</v>
      </c>
      <c r="R22" s="298">
        <f t="shared" si="7"/>
        <v>1.1643835616438356E-3</v>
      </c>
      <c r="T22" s="280"/>
      <c r="U22" s="279">
        <f>'Costos horarios'!C$6</f>
        <v>9.9754098360655741E-2</v>
      </c>
      <c r="V22" s="285"/>
      <c r="X22" s="20"/>
      <c r="Y22" s="287"/>
      <c r="AA22" s="289">
        <f t="shared" si="11"/>
        <v>1.1643835616438356E-3</v>
      </c>
      <c r="AB22" s="294"/>
    </row>
    <row r="23" spans="1:28">
      <c r="A23" s="435" t="s">
        <v>19</v>
      </c>
      <c r="B23" s="418">
        <v>2016</v>
      </c>
      <c r="C23" s="418">
        <v>2018</v>
      </c>
      <c r="D23" s="418">
        <v>3</v>
      </c>
      <c r="E23" s="323">
        <v>25</v>
      </c>
      <c r="F23" s="418">
        <v>1</v>
      </c>
      <c r="G23" s="418">
        <v>365</v>
      </c>
      <c r="H23" s="418">
        <v>24</v>
      </c>
      <c r="I23" s="420">
        <f t="shared" si="1"/>
        <v>26280</v>
      </c>
      <c r="J23" s="424"/>
      <c r="K23" s="9">
        <f t="shared" si="9"/>
        <v>8</v>
      </c>
      <c r="L23" s="8">
        <f t="shared" si="3"/>
        <v>8760</v>
      </c>
      <c r="M23" s="283">
        <f t="shared" si="4"/>
        <v>9.1324200913242006E-4</v>
      </c>
      <c r="N23" s="426">
        <v>-2E-3</v>
      </c>
      <c r="O23" s="427">
        <f t="shared" si="5"/>
        <v>-5.7077625570776257E-6</v>
      </c>
      <c r="P23" s="428">
        <f t="shared" si="6"/>
        <v>2.25</v>
      </c>
      <c r="Q23" s="429">
        <f t="shared" si="0"/>
        <v>2.5684931506849313E-4</v>
      </c>
      <c r="R23" s="298">
        <f t="shared" si="7"/>
        <v>1.1643835616438356E-3</v>
      </c>
      <c r="T23" s="280"/>
      <c r="U23" s="279">
        <f>'Costos horarios'!C$6</f>
        <v>9.9754098360655741E-2</v>
      </c>
      <c r="V23" s="285"/>
      <c r="X23" s="20"/>
      <c r="Y23" s="287"/>
      <c r="AA23" s="289">
        <f t="shared" si="11"/>
        <v>1.1643835616438356E-3</v>
      </c>
      <c r="AB23" s="294"/>
    </row>
    <row r="24" spans="1:28">
      <c r="A24" s="435" t="s">
        <v>20</v>
      </c>
      <c r="B24" s="418">
        <v>2009</v>
      </c>
      <c r="C24" s="418">
        <v>2018</v>
      </c>
      <c r="D24" s="418">
        <v>8</v>
      </c>
      <c r="E24" s="323">
        <v>90</v>
      </c>
      <c r="F24" s="418">
        <v>1</v>
      </c>
      <c r="G24" s="418">
        <v>365</v>
      </c>
      <c r="H24" s="418">
        <v>24</v>
      </c>
      <c r="I24" s="420">
        <f t="shared" si="1"/>
        <v>70080</v>
      </c>
      <c r="J24" s="424"/>
      <c r="K24" s="9">
        <f t="shared" si="9"/>
        <v>11.125</v>
      </c>
      <c r="L24" s="8">
        <f t="shared" si="3"/>
        <v>8760</v>
      </c>
      <c r="M24" s="283">
        <f t="shared" si="4"/>
        <v>1.2699771689497717E-3</v>
      </c>
      <c r="N24" s="426">
        <v>-2E-3</v>
      </c>
      <c r="O24" s="427">
        <f t="shared" si="5"/>
        <v>-2.0547945205479453E-5</v>
      </c>
      <c r="P24" s="428">
        <f t="shared" si="6"/>
        <v>8.1</v>
      </c>
      <c r="Q24" s="429">
        <f t="shared" si="0"/>
        <v>9.2465753424657532E-4</v>
      </c>
      <c r="R24" s="298">
        <f t="shared" si="7"/>
        <v>2.1740867579908675E-3</v>
      </c>
      <c r="T24" s="280"/>
      <c r="U24" s="279">
        <f>'Costos horarios'!C$6</f>
        <v>9.9754098360655741E-2</v>
      </c>
      <c r="V24" s="285"/>
      <c r="X24" s="20"/>
      <c r="Y24" s="287"/>
      <c r="AA24" s="289">
        <f t="shared" si="11"/>
        <v>2.1740867579908675E-3</v>
      </c>
      <c r="AB24" s="294"/>
    </row>
    <row r="25" spans="1:28">
      <c r="A25" s="435" t="s">
        <v>21</v>
      </c>
      <c r="B25" s="418">
        <v>2014</v>
      </c>
      <c r="C25" s="418">
        <v>2018</v>
      </c>
      <c r="D25" s="418">
        <v>5</v>
      </c>
      <c r="E25" s="323">
        <v>1150</v>
      </c>
      <c r="F25" s="418">
        <v>958.46</v>
      </c>
      <c r="G25" s="418">
        <v>365</v>
      </c>
      <c r="H25" s="418">
        <v>24</v>
      </c>
      <c r="I25" s="420">
        <f t="shared" si="1"/>
        <v>43800</v>
      </c>
      <c r="J25" s="424"/>
      <c r="K25" s="9">
        <f t="shared" si="9"/>
        <v>38.307999999999993</v>
      </c>
      <c r="L25" s="8">
        <f t="shared" si="3"/>
        <v>8760</v>
      </c>
      <c r="M25" s="283">
        <f t="shared" si="4"/>
        <v>4.3730593607305924E-3</v>
      </c>
      <c r="N25" s="426">
        <v>-2E-3</v>
      </c>
      <c r="O25" s="427">
        <f t="shared" si="5"/>
        <v>-2.6255707762557075E-4</v>
      </c>
      <c r="P25" s="428">
        <f t="shared" si="6"/>
        <v>103.5</v>
      </c>
      <c r="Q25" s="429">
        <f t="shared" si="0"/>
        <v>1.1815068493150685E-2</v>
      </c>
      <c r="R25" s="298">
        <f t="shared" si="7"/>
        <v>1.5925570776255706E-2</v>
      </c>
      <c r="T25" s="280">
        <f>'Costos horarios'!C51</f>
        <v>0.26400000000000001</v>
      </c>
      <c r="U25" s="279">
        <f>'Costos horarios'!C$6</f>
        <v>9.9754098360655741E-2</v>
      </c>
      <c r="V25" s="285">
        <f>U25*T25</f>
        <v>2.6335081967213118E-2</v>
      </c>
      <c r="X25" s="301">
        <f>E25*0.109984</f>
        <v>126.4816</v>
      </c>
      <c r="Y25" s="287">
        <f t="shared" si="10"/>
        <v>1.4438538812785388E-2</v>
      </c>
      <c r="AA25" s="289">
        <f t="shared" si="11"/>
        <v>5.6699191556254212E-2</v>
      </c>
      <c r="AB25" s="294"/>
    </row>
    <row r="26" spans="1:28">
      <c r="A26" s="435" t="s">
        <v>22</v>
      </c>
      <c r="B26" s="418">
        <v>2016</v>
      </c>
      <c r="C26" s="418">
        <v>2018</v>
      </c>
      <c r="D26" s="418">
        <v>1</v>
      </c>
      <c r="E26" s="323">
        <v>3.5</v>
      </c>
      <c r="F26" s="418">
        <v>1</v>
      </c>
      <c r="G26" s="418">
        <v>365</v>
      </c>
      <c r="H26" s="418">
        <v>24</v>
      </c>
      <c r="I26" s="420">
        <f t="shared" si="1"/>
        <v>8760</v>
      </c>
      <c r="J26" s="424"/>
      <c r="K26" s="9">
        <f t="shared" si="9"/>
        <v>2.5</v>
      </c>
      <c r="L26" s="8">
        <f t="shared" si="3"/>
        <v>8760</v>
      </c>
      <c r="M26" s="283">
        <f t="shared" si="4"/>
        <v>2.8538812785388126E-4</v>
      </c>
      <c r="N26" s="426">
        <v>-2E-3</v>
      </c>
      <c r="O26" s="427">
        <f t="shared" si="5"/>
        <v>-7.9908675799086764E-7</v>
      </c>
      <c r="P26" s="428">
        <f t="shared" si="6"/>
        <v>0.315</v>
      </c>
      <c r="Q26" s="429">
        <f t="shared" si="0"/>
        <v>3.5958904109589045E-5</v>
      </c>
      <c r="R26" s="298">
        <f t="shared" si="7"/>
        <v>3.2054794520547944E-4</v>
      </c>
      <c r="T26" s="280"/>
      <c r="U26" s="279">
        <f>'Costos horarios'!C$6</f>
        <v>9.9754098360655741E-2</v>
      </c>
      <c r="V26" s="285"/>
      <c r="X26" s="20"/>
      <c r="Y26" s="287"/>
      <c r="AA26" s="289">
        <f t="shared" si="11"/>
        <v>3.2054794520547944E-4</v>
      </c>
      <c r="AB26" s="294"/>
    </row>
    <row r="27" spans="1:28">
      <c r="A27" s="435" t="s">
        <v>23</v>
      </c>
      <c r="B27" s="418">
        <v>2016</v>
      </c>
      <c r="C27" s="418">
        <v>2018</v>
      </c>
      <c r="D27" s="418">
        <v>1</v>
      </c>
      <c r="E27" s="323">
        <v>10</v>
      </c>
      <c r="F27" s="418">
        <v>1</v>
      </c>
      <c r="G27" s="418">
        <v>365</v>
      </c>
      <c r="H27" s="418">
        <v>24</v>
      </c>
      <c r="I27" s="420">
        <f t="shared" si="1"/>
        <v>8760</v>
      </c>
      <c r="J27" s="424"/>
      <c r="K27" s="9">
        <f t="shared" si="9"/>
        <v>9</v>
      </c>
      <c r="L27" s="8">
        <f t="shared" si="3"/>
        <v>8760</v>
      </c>
      <c r="M27" s="283">
        <f t="shared" si="4"/>
        <v>1.0273972602739725E-3</v>
      </c>
      <c r="N27" s="426">
        <v>-2E-3</v>
      </c>
      <c r="O27" s="427">
        <f t="shared" si="5"/>
        <v>-2.2831050228310503E-6</v>
      </c>
      <c r="P27" s="428">
        <f t="shared" si="6"/>
        <v>0.89999999999999991</v>
      </c>
      <c r="Q27" s="429">
        <f t="shared" si="0"/>
        <v>1.0273972602739725E-4</v>
      </c>
      <c r="R27" s="298">
        <f t="shared" si="7"/>
        <v>1.1278538812785387E-3</v>
      </c>
      <c r="T27" s="280"/>
      <c r="U27" s="279">
        <f>'Costos horarios'!C$6</f>
        <v>9.9754098360655741E-2</v>
      </c>
      <c r="V27" s="285"/>
      <c r="X27" s="20"/>
      <c r="Y27" s="287"/>
      <c r="AA27" s="289">
        <f t="shared" si="11"/>
        <v>1.1278538812785387E-3</v>
      </c>
      <c r="AB27" s="294"/>
    </row>
    <row r="28" spans="1:28">
      <c r="A28" s="435" t="s">
        <v>219</v>
      </c>
      <c r="B28" s="418">
        <v>2016</v>
      </c>
      <c r="C28" s="418">
        <v>2018</v>
      </c>
      <c r="D28" s="418">
        <v>3</v>
      </c>
      <c r="E28" s="323">
        <v>15</v>
      </c>
      <c r="F28" s="418">
        <v>1</v>
      </c>
      <c r="G28" s="418">
        <v>365</v>
      </c>
      <c r="H28" s="418">
        <v>24</v>
      </c>
      <c r="I28" s="420">
        <f t="shared" si="1"/>
        <v>26280</v>
      </c>
      <c r="J28" s="424"/>
      <c r="K28" s="9">
        <f t="shared" si="9"/>
        <v>4.666666666666667</v>
      </c>
      <c r="L28" s="8">
        <f t="shared" si="3"/>
        <v>8760</v>
      </c>
      <c r="M28" s="283">
        <f t="shared" si="4"/>
        <v>5.3272450532724505E-4</v>
      </c>
      <c r="N28" s="426">
        <v>-2E-3</v>
      </c>
      <c r="O28" s="427">
        <f t="shared" si="5"/>
        <v>-3.424657534246575E-6</v>
      </c>
      <c r="P28" s="428">
        <f t="shared" si="6"/>
        <v>1.3499999999999999</v>
      </c>
      <c r="Q28" s="429">
        <f t="shared" si="0"/>
        <v>1.5410958904109589E-4</v>
      </c>
      <c r="R28" s="298">
        <f t="shared" si="7"/>
        <v>6.8340943683409434E-4</v>
      </c>
      <c r="T28" s="280"/>
      <c r="U28" s="279">
        <f>'Costos horarios'!C$6</f>
        <v>9.9754098360655741E-2</v>
      </c>
      <c r="V28" s="285"/>
      <c r="X28" s="20"/>
      <c r="Y28" s="287"/>
      <c r="AA28" s="289">
        <f t="shared" si="11"/>
        <v>6.8340943683409434E-4</v>
      </c>
      <c r="AB28" s="294"/>
    </row>
    <row r="29" spans="1:28">
      <c r="A29" s="435" t="s">
        <v>25</v>
      </c>
      <c r="B29" s="418">
        <v>2016</v>
      </c>
      <c r="C29" s="418">
        <v>2018</v>
      </c>
      <c r="D29" s="418">
        <v>3</v>
      </c>
      <c r="E29" s="323">
        <v>52.55</v>
      </c>
      <c r="F29" s="418">
        <v>1</v>
      </c>
      <c r="G29" s="418">
        <v>365</v>
      </c>
      <c r="H29" s="418">
        <v>24</v>
      </c>
      <c r="I29" s="420">
        <f t="shared" si="1"/>
        <v>26280</v>
      </c>
      <c r="J29" s="424"/>
      <c r="K29" s="9">
        <f t="shared" si="9"/>
        <v>17.183333333333334</v>
      </c>
      <c r="L29" s="8">
        <f t="shared" si="3"/>
        <v>8760</v>
      </c>
      <c r="M29" s="283">
        <f t="shared" si="4"/>
        <v>1.9615677321156775E-3</v>
      </c>
      <c r="N29" s="426">
        <v>-2E-3</v>
      </c>
      <c r="O29" s="427">
        <f t="shared" si="5"/>
        <v>-1.1997716894977168E-5</v>
      </c>
      <c r="P29" s="428">
        <f t="shared" si="6"/>
        <v>4.7294999999999998</v>
      </c>
      <c r="Q29" s="429">
        <f t="shared" si="0"/>
        <v>5.3989726027397263E-4</v>
      </c>
      <c r="R29" s="298">
        <f t="shared" si="7"/>
        <v>2.4894672754946731E-3</v>
      </c>
      <c r="T29" s="280"/>
      <c r="U29" s="279">
        <f>'Costos horarios'!C$6</f>
        <v>9.9754098360655741E-2</v>
      </c>
      <c r="V29" s="285"/>
      <c r="X29" s="20"/>
      <c r="Y29" s="287"/>
      <c r="AA29" s="289">
        <f t="shared" si="11"/>
        <v>2.4894672754946731E-3</v>
      </c>
      <c r="AB29" s="294"/>
    </row>
    <row r="30" spans="1:28">
      <c r="A30" s="435" t="s">
        <v>26</v>
      </c>
      <c r="B30" s="418">
        <v>1976</v>
      </c>
      <c r="C30" s="418">
        <v>2018</v>
      </c>
      <c r="D30" s="418">
        <v>5</v>
      </c>
      <c r="E30" s="323">
        <v>17.440000000000001</v>
      </c>
      <c r="F30" s="418">
        <v>1</v>
      </c>
      <c r="G30" s="418">
        <v>365</v>
      </c>
      <c r="H30" s="418">
        <v>24</v>
      </c>
      <c r="I30" s="420">
        <f t="shared" si="1"/>
        <v>43800</v>
      </c>
      <c r="J30" s="424"/>
      <c r="K30" s="9">
        <f t="shared" si="9"/>
        <v>3.2880000000000003</v>
      </c>
      <c r="L30" s="8">
        <f t="shared" si="3"/>
        <v>8760</v>
      </c>
      <c r="M30" s="283">
        <f t="shared" si="4"/>
        <v>3.7534246575342468E-4</v>
      </c>
      <c r="N30" s="426">
        <v>-2E-3</v>
      </c>
      <c r="O30" s="427">
        <f t="shared" si="5"/>
        <v>-3.9817351598173526E-6</v>
      </c>
      <c r="P30" s="428">
        <f t="shared" si="6"/>
        <v>1.5696000000000001</v>
      </c>
      <c r="Q30" s="429">
        <f t="shared" si="0"/>
        <v>1.7917808219178083E-4</v>
      </c>
      <c r="R30" s="298">
        <f t="shared" si="7"/>
        <v>5.5053881278538819E-4</v>
      </c>
      <c r="T30" s="280"/>
      <c r="U30" s="279">
        <f>'Costos horarios'!C$6</f>
        <v>9.9754098360655741E-2</v>
      </c>
      <c r="V30" s="285"/>
      <c r="X30" s="20"/>
      <c r="Y30" s="287"/>
      <c r="AA30" s="289">
        <f t="shared" si="11"/>
        <v>5.5053881278538819E-4</v>
      </c>
      <c r="AB30" s="294"/>
    </row>
    <row r="31" spans="1:28">
      <c r="A31" s="435" t="s">
        <v>27</v>
      </c>
      <c r="B31" s="418">
        <v>2014</v>
      </c>
      <c r="C31" s="418">
        <v>2018</v>
      </c>
      <c r="D31" s="418">
        <v>5</v>
      </c>
      <c r="E31" s="323">
        <v>185</v>
      </c>
      <c r="F31" s="418">
        <v>154.36000000000001</v>
      </c>
      <c r="G31" s="418">
        <v>365</v>
      </c>
      <c r="H31" s="418">
        <v>24</v>
      </c>
      <c r="I31" s="420">
        <f t="shared" si="1"/>
        <v>43800</v>
      </c>
      <c r="J31" s="424"/>
      <c r="K31" s="9">
        <f t="shared" si="9"/>
        <v>6.1279999999999974</v>
      </c>
      <c r="L31" s="8">
        <f t="shared" si="3"/>
        <v>8760</v>
      </c>
      <c r="M31" s="283">
        <f t="shared" si="4"/>
        <v>6.9954337899543351E-4</v>
      </c>
      <c r="N31" s="426">
        <v>-2E-3</v>
      </c>
      <c r="O31" s="427">
        <f t="shared" si="5"/>
        <v>-4.2237442922374432E-5</v>
      </c>
      <c r="P31" s="428">
        <f t="shared" si="6"/>
        <v>16.649999999999999</v>
      </c>
      <c r="Q31" s="429">
        <f t="shared" si="0"/>
        <v>1.9006849315068492E-3</v>
      </c>
      <c r="R31" s="298">
        <f t="shared" si="7"/>
        <v>2.5579908675799085E-3</v>
      </c>
      <c r="T31" s="280"/>
      <c r="U31" s="279">
        <f>'Costos horarios'!C$6</f>
        <v>9.9754098360655741E-2</v>
      </c>
      <c r="V31" s="285"/>
      <c r="X31" s="20"/>
      <c r="Y31" s="287"/>
      <c r="AA31" s="289">
        <f t="shared" si="11"/>
        <v>2.5579908675799085E-3</v>
      </c>
      <c r="AB31" s="294"/>
    </row>
    <row r="32" spans="1:28">
      <c r="A32" s="435" t="s">
        <v>28</v>
      </c>
      <c r="B32" s="418">
        <v>2014</v>
      </c>
      <c r="C32" s="418">
        <v>2018</v>
      </c>
      <c r="D32" s="418">
        <v>3</v>
      </c>
      <c r="E32" s="323">
        <v>200</v>
      </c>
      <c r="F32" s="418">
        <v>169.36</v>
      </c>
      <c r="G32" s="418">
        <v>365</v>
      </c>
      <c r="H32" s="418">
        <v>24</v>
      </c>
      <c r="I32" s="420">
        <f t="shared" si="1"/>
        <v>26280</v>
      </c>
      <c r="J32" s="424"/>
      <c r="K32" s="9">
        <f t="shared" si="9"/>
        <v>10.213333333333329</v>
      </c>
      <c r="L32" s="8">
        <f t="shared" si="3"/>
        <v>8760</v>
      </c>
      <c r="M32" s="283">
        <f t="shared" si="4"/>
        <v>1.1659056316590559E-3</v>
      </c>
      <c r="N32" s="426">
        <v>-2E-3</v>
      </c>
      <c r="O32" s="427">
        <f t="shared" si="5"/>
        <v>-4.5662100456621006E-5</v>
      </c>
      <c r="P32" s="428">
        <f>0.09*E32</f>
        <v>18</v>
      </c>
      <c r="Q32" s="429">
        <f t="shared" si="0"/>
        <v>2.054794520547945E-3</v>
      </c>
      <c r="R32" s="298">
        <f t="shared" si="7"/>
        <v>3.1750380517503798E-3</v>
      </c>
      <c r="T32" s="280"/>
      <c r="U32" s="279">
        <f>'Costos horarios'!C$6</f>
        <v>9.9754098360655741E-2</v>
      </c>
      <c r="V32" s="285"/>
      <c r="X32" s="20"/>
      <c r="Y32" s="287"/>
      <c r="AA32" s="289">
        <f t="shared" si="11"/>
        <v>3.1750380517503798E-3</v>
      </c>
      <c r="AB32" s="294"/>
    </row>
    <row r="33" spans="1:28">
      <c r="A33" s="435" t="s">
        <v>30</v>
      </c>
      <c r="B33" s="418">
        <v>2016</v>
      </c>
      <c r="C33" s="418">
        <v>2018</v>
      </c>
      <c r="D33" s="418">
        <v>1</v>
      </c>
      <c r="E33" s="323">
        <v>20</v>
      </c>
      <c r="F33" s="418">
        <v>1</v>
      </c>
      <c r="G33" s="418">
        <v>365</v>
      </c>
      <c r="H33" s="418">
        <v>24</v>
      </c>
      <c r="I33" s="420">
        <f t="shared" si="1"/>
        <v>8760</v>
      </c>
      <c r="J33" s="424"/>
      <c r="K33" s="9">
        <f t="shared" si="9"/>
        <v>19</v>
      </c>
      <c r="L33" s="8">
        <f t="shared" si="3"/>
        <v>8760</v>
      </c>
      <c r="M33" s="283">
        <f t="shared" si="4"/>
        <v>2.1689497716894978E-3</v>
      </c>
      <c r="N33" s="426">
        <v>-2E-3</v>
      </c>
      <c r="O33" s="427">
        <f t="shared" si="5"/>
        <v>-4.5662100456621006E-6</v>
      </c>
      <c r="P33" s="428">
        <f t="shared" si="6"/>
        <v>1.7999999999999998</v>
      </c>
      <c r="Q33" s="429">
        <f t="shared" si="0"/>
        <v>2.0547945205479451E-4</v>
      </c>
      <c r="R33" s="298">
        <f t="shared" si="7"/>
        <v>2.3698630136986302E-3</v>
      </c>
      <c r="T33" s="280"/>
      <c r="U33" s="279">
        <f>'Costos horarios'!C$6</f>
        <v>9.9754098360655741E-2</v>
      </c>
      <c r="V33" s="285"/>
      <c r="X33" s="20"/>
      <c r="Y33" s="287"/>
      <c r="AA33" s="289">
        <f>+Y33+V33+Q33+O33+M33</f>
        <v>2.3698630136986302E-3</v>
      </c>
      <c r="AB33" s="294"/>
    </row>
    <row r="34" spans="1:28">
      <c r="A34" s="435" t="s">
        <v>31</v>
      </c>
      <c r="B34" s="418">
        <v>2014</v>
      </c>
      <c r="C34" s="418">
        <v>2018</v>
      </c>
      <c r="D34" s="418">
        <v>5</v>
      </c>
      <c r="E34" s="323">
        <v>80</v>
      </c>
      <c r="F34" s="418">
        <v>1</v>
      </c>
      <c r="G34" s="418">
        <v>365</v>
      </c>
      <c r="H34" s="418">
        <v>24</v>
      </c>
      <c r="I34" s="420">
        <f t="shared" si="1"/>
        <v>43800</v>
      </c>
      <c r="J34" s="424"/>
      <c r="K34" s="9">
        <f t="shared" si="9"/>
        <v>15.8</v>
      </c>
      <c r="L34" s="8">
        <f t="shared" si="3"/>
        <v>8760</v>
      </c>
      <c r="M34" s="283">
        <f t="shared" si="4"/>
        <v>1.8036529680365298E-3</v>
      </c>
      <c r="N34" s="426">
        <v>-2E-3</v>
      </c>
      <c r="O34" s="427">
        <f t="shared" si="5"/>
        <v>-1.8264840182648402E-5</v>
      </c>
      <c r="P34" s="428">
        <f t="shared" si="6"/>
        <v>7.1999999999999993</v>
      </c>
      <c r="Q34" s="429">
        <f t="shared" si="0"/>
        <v>8.2191780821917802E-4</v>
      </c>
      <c r="R34" s="298">
        <f t="shared" si="7"/>
        <v>2.6073059360730592E-3</v>
      </c>
      <c r="T34" s="280"/>
      <c r="U34" s="279">
        <f>'Costos horarios'!C$6</f>
        <v>9.9754098360655741E-2</v>
      </c>
      <c r="V34" s="285"/>
      <c r="X34" s="20"/>
      <c r="Y34" s="287"/>
      <c r="AA34" s="289">
        <f t="shared" si="11"/>
        <v>2.6073059360730592E-3</v>
      </c>
      <c r="AB34" s="294"/>
    </row>
    <row r="35" spans="1:28">
      <c r="A35" s="435" t="s">
        <v>32</v>
      </c>
      <c r="B35" s="418">
        <v>2009</v>
      </c>
      <c r="C35" s="418">
        <v>2018</v>
      </c>
      <c r="D35" s="418">
        <v>5</v>
      </c>
      <c r="E35" s="323">
        <v>723.33</v>
      </c>
      <c r="F35" s="418">
        <v>205.66</v>
      </c>
      <c r="G35" s="418">
        <v>365</v>
      </c>
      <c r="H35" s="418">
        <v>24</v>
      </c>
      <c r="I35" s="420">
        <f t="shared" si="1"/>
        <v>43800</v>
      </c>
      <c r="J35" s="424"/>
      <c r="K35" s="9">
        <f t="shared" si="9"/>
        <v>103.53400000000002</v>
      </c>
      <c r="L35" s="8">
        <f t="shared" si="3"/>
        <v>8760</v>
      </c>
      <c r="M35" s="283">
        <f t="shared" si="4"/>
        <v>1.1818949771689499E-2</v>
      </c>
      <c r="N35" s="426">
        <v>-2E-3</v>
      </c>
      <c r="O35" s="427">
        <f t="shared" si="5"/>
        <v>-1.6514383561643838E-4</v>
      </c>
      <c r="P35" s="428">
        <f t="shared" si="6"/>
        <v>65.099699999999999</v>
      </c>
      <c r="Q35" s="429">
        <f t="shared" si="0"/>
        <v>7.4314726027397259E-3</v>
      </c>
      <c r="R35" s="298">
        <f t="shared" si="7"/>
        <v>1.9085278538812787E-2</v>
      </c>
      <c r="T35" s="280"/>
      <c r="U35" s="279">
        <f>'Costos horarios'!C$6</f>
        <v>9.9754098360655741E-2</v>
      </c>
      <c r="V35" s="285"/>
      <c r="X35" s="20"/>
      <c r="Y35" s="287"/>
      <c r="AA35" s="289">
        <f t="shared" si="11"/>
        <v>1.9085278538812787E-2</v>
      </c>
      <c r="AB35" s="294"/>
    </row>
    <row r="36" spans="1:28" ht="16.05" customHeight="1">
      <c r="A36" s="435" t="s">
        <v>33</v>
      </c>
      <c r="B36" s="418">
        <v>2006</v>
      </c>
      <c r="C36" s="418">
        <v>2018</v>
      </c>
      <c r="D36" s="418">
        <v>5</v>
      </c>
      <c r="E36" s="323">
        <v>83589.8</v>
      </c>
      <c r="F36" s="418">
        <v>1</v>
      </c>
      <c r="G36" s="418">
        <v>365</v>
      </c>
      <c r="H36" s="418">
        <v>24</v>
      </c>
      <c r="I36" s="420">
        <f t="shared" si="1"/>
        <v>43800</v>
      </c>
      <c r="J36" s="424"/>
      <c r="K36" s="9">
        <f t="shared" si="9"/>
        <v>16717.760000000002</v>
      </c>
      <c r="L36" s="8">
        <f t="shared" si="3"/>
        <v>8760</v>
      </c>
      <c r="M36" s="283">
        <f t="shared" si="4"/>
        <v>1.9084200913242011</v>
      </c>
      <c r="N36" s="426">
        <v>-2E-3</v>
      </c>
      <c r="O36" s="427">
        <f t="shared" si="5"/>
        <v>-1.9084429223744294E-2</v>
      </c>
      <c r="P36" s="428">
        <f t="shared" si="6"/>
        <v>7523.0820000000003</v>
      </c>
      <c r="Q36" s="429">
        <f t="shared" si="0"/>
        <v>0.85879931506849316</v>
      </c>
      <c r="R36" s="298">
        <f t="shared" si="7"/>
        <v>2.7481349771689501</v>
      </c>
      <c r="T36" s="280">
        <f>'Costos horarios'!C74</f>
        <v>2</v>
      </c>
      <c r="U36" s="279">
        <f>'Costos horarios'!C$6</f>
        <v>9.9754098360655741E-2</v>
      </c>
      <c r="V36" s="285">
        <f>U36*T36</f>
        <v>0.19950819672131148</v>
      </c>
      <c r="X36" s="20">
        <v>2500</v>
      </c>
      <c r="Y36" s="287">
        <f>X36/(H36*G36)</f>
        <v>0.28538812785388129</v>
      </c>
      <c r="AA36" s="289">
        <f>+V36+O36+Y36+Q36+M36</f>
        <v>3.233031301744143</v>
      </c>
      <c r="AB36" s="294"/>
    </row>
    <row r="37" spans="1:28">
      <c r="A37" s="435" t="s">
        <v>34</v>
      </c>
      <c r="B37" s="418">
        <v>1997</v>
      </c>
      <c r="C37" s="418">
        <v>2018</v>
      </c>
      <c r="D37" s="418">
        <v>5</v>
      </c>
      <c r="E37" s="323">
        <v>14141.31</v>
      </c>
      <c r="F37" s="418">
        <v>1</v>
      </c>
      <c r="G37" s="418">
        <v>365</v>
      </c>
      <c r="H37" s="418">
        <v>24</v>
      </c>
      <c r="I37" s="420">
        <f t="shared" si="1"/>
        <v>43800</v>
      </c>
      <c r="J37" s="424"/>
      <c r="K37" s="9">
        <f t="shared" si="9"/>
        <v>2828.0619999999999</v>
      </c>
      <c r="L37" s="8">
        <f t="shared" si="3"/>
        <v>8760</v>
      </c>
      <c r="M37" s="283">
        <f t="shared" si="4"/>
        <v>0.32283812785388127</v>
      </c>
      <c r="N37" s="426">
        <v>-2E-3</v>
      </c>
      <c r="O37" s="427">
        <f t="shared" si="5"/>
        <v>-3.2286095890410958E-3</v>
      </c>
      <c r="P37" s="428">
        <f t="shared" si="6"/>
        <v>1272.7178999999999</v>
      </c>
      <c r="Q37" s="429">
        <f t="shared" si="0"/>
        <v>0.14528743150684931</v>
      </c>
      <c r="R37" s="298">
        <f t="shared" si="7"/>
        <v>0.46489694977168949</v>
      </c>
      <c r="T37" s="280">
        <f>'Costos horarios'!C66</f>
        <v>1.25</v>
      </c>
      <c r="U37" s="279">
        <f>'Costos horarios'!C$6</f>
        <v>9.9754098360655741E-2</v>
      </c>
      <c r="V37" s="285">
        <f t="shared" ref="V37:V38" si="12">U37*T37</f>
        <v>0.12469262295081968</v>
      </c>
      <c r="X37" s="20">
        <v>1000</v>
      </c>
      <c r="Y37" s="287">
        <f>X37/(H37*G37)</f>
        <v>0.11415525114155251</v>
      </c>
      <c r="AA37" s="289">
        <f>+Y37+V37+Q37+O37+M37</f>
        <v>0.70374482386406167</v>
      </c>
      <c r="AB37" s="294"/>
    </row>
    <row r="38" spans="1:28" ht="16.2" thickBot="1">
      <c r="A38" s="436" t="s">
        <v>35</v>
      </c>
      <c r="B38" s="421">
        <v>2006</v>
      </c>
      <c r="C38" s="421">
        <v>2018</v>
      </c>
      <c r="D38" s="421">
        <v>5</v>
      </c>
      <c r="E38" s="324">
        <v>83589.8</v>
      </c>
      <c r="F38" s="421">
        <v>1</v>
      </c>
      <c r="G38" s="421">
        <v>365</v>
      </c>
      <c r="H38" s="421">
        <v>24</v>
      </c>
      <c r="I38" s="422">
        <f t="shared" si="1"/>
        <v>43800</v>
      </c>
      <c r="J38" s="425"/>
      <c r="K38" s="10">
        <f t="shared" si="9"/>
        <v>16717.760000000002</v>
      </c>
      <c r="L38" s="11">
        <f t="shared" si="3"/>
        <v>8760</v>
      </c>
      <c r="M38" s="284">
        <f t="shared" si="4"/>
        <v>1.9084200913242011</v>
      </c>
      <c r="N38" s="430">
        <v>-2E-3</v>
      </c>
      <c r="O38" s="431">
        <f t="shared" si="5"/>
        <v>-1.9084429223744294E-2</v>
      </c>
      <c r="P38" s="432">
        <f t="shared" si="6"/>
        <v>7523.0820000000003</v>
      </c>
      <c r="Q38" s="433">
        <f>P38/(H38*G38)</f>
        <v>0.85879931506849316</v>
      </c>
      <c r="R38" s="298">
        <f t="shared" si="7"/>
        <v>2.7481349771689501</v>
      </c>
      <c r="T38" s="281">
        <f>'Costos horarios'!C74</f>
        <v>2</v>
      </c>
      <c r="U38" s="282">
        <f>'Costos horarios'!C$6</f>
        <v>9.9754098360655741E-2</v>
      </c>
      <c r="V38" s="286">
        <f t="shared" si="12"/>
        <v>0.19950819672131148</v>
      </c>
      <c r="X38" s="21">
        <v>2500</v>
      </c>
      <c r="Y38" s="288">
        <f>X38/(H38*G38)</f>
        <v>0.28538812785388129</v>
      </c>
      <c r="AA38" s="296">
        <f>+V38+Y38+Q38+O38+M38+'Costo de operación'!Y8+'Costo de operación'!Y9+'Costo de operación'!Y7+'Costo de operación'!Y6</f>
        <v>5.127712373661951</v>
      </c>
      <c r="AB38" s="294"/>
    </row>
    <row r="41" spans="1:28">
      <c r="Y41" s="1">
        <f>Y36+V36+R36</f>
        <v>3.233031301744143</v>
      </c>
    </row>
    <row r="42" spans="1:28">
      <c r="A42" s="540" t="s">
        <v>120</v>
      </c>
      <c r="B42" s="540" t="s">
        <v>53</v>
      </c>
      <c r="C42" s="540" t="s">
        <v>274</v>
      </c>
      <c r="D42" s="540" t="s">
        <v>275</v>
      </c>
      <c r="E42" s="577" t="s">
        <v>62</v>
      </c>
      <c r="F42" s="1"/>
      <c r="Q42" s="372" t="s">
        <v>284</v>
      </c>
      <c r="AA42" s="1"/>
    </row>
    <row r="43" spans="1:28">
      <c r="A43" s="540"/>
      <c r="B43" s="540"/>
      <c r="C43" s="540"/>
      <c r="D43" s="540"/>
      <c r="E43" s="577"/>
      <c r="F43" s="1"/>
      <c r="Y43" t="s">
        <v>283</v>
      </c>
    </row>
    <row r="44" spans="1:28">
      <c r="A44" t="s">
        <v>121</v>
      </c>
      <c r="B44">
        <f>16266.36-1339.56</f>
        <v>14926.800000000001</v>
      </c>
      <c r="C44">
        <v>12</v>
      </c>
      <c r="D44" s="278">
        <v>240</v>
      </c>
      <c r="E44">
        <f>B44/C44/D44</f>
        <v>5.1829166666666673</v>
      </c>
      <c r="F44" s="1"/>
    </row>
    <row r="45" spans="1:28">
      <c r="A45" t="s">
        <v>273</v>
      </c>
      <c r="B45">
        <f>18258.34-1339.58</f>
        <v>16918.760000000002</v>
      </c>
      <c r="C45">
        <v>12</v>
      </c>
      <c r="D45">
        <v>240</v>
      </c>
      <c r="E45">
        <f>B45/C45/D45</f>
        <v>5.874569444444445</v>
      </c>
    </row>
  </sheetData>
  <mergeCells count="35">
    <mergeCell ref="A1:A4"/>
    <mergeCell ref="P2:Q2"/>
    <mergeCell ref="P3:P4"/>
    <mergeCell ref="Q3:Q4"/>
    <mergeCell ref="X3:X4"/>
    <mergeCell ref="E3:E4"/>
    <mergeCell ref="F3:F4"/>
    <mergeCell ref="B3:B4"/>
    <mergeCell ref="C3:C4"/>
    <mergeCell ref="D3:D4"/>
    <mergeCell ref="Y3:Y4"/>
    <mergeCell ref="K2:M2"/>
    <mergeCell ref="N2:O2"/>
    <mergeCell ref="I3:I4"/>
    <mergeCell ref="K3:K4"/>
    <mergeCell ref="L3:L4"/>
    <mergeCell ref="M3:M4"/>
    <mergeCell ref="N3:N4"/>
    <mergeCell ref="O3:O4"/>
    <mergeCell ref="AA3:AA4"/>
    <mergeCell ref="G3:G4"/>
    <mergeCell ref="H3:H4"/>
    <mergeCell ref="A42:A43"/>
    <mergeCell ref="K1:Q1"/>
    <mergeCell ref="X1:Y1"/>
    <mergeCell ref="T1:V1"/>
    <mergeCell ref="V3:V4"/>
    <mergeCell ref="U3:U4"/>
    <mergeCell ref="T3:T4"/>
    <mergeCell ref="T2:V2"/>
    <mergeCell ref="X2:Y2"/>
    <mergeCell ref="C42:C43"/>
    <mergeCell ref="D42:D43"/>
    <mergeCell ref="B42:B43"/>
    <mergeCell ref="E42:E4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7"/>
  <sheetViews>
    <sheetView topLeftCell="A132" zoomScaleNormal="70" zoomScalePageLayoutView="70" workbookViewId="0">
      <selection activeCell="M28" sqref="M28"/>
    </sheetView>
  </sheetViews>
  <sheetFormatPr baseColWidth="10" defaultRowHeight="15.6"/>
  <cols>
    <col min="1" max="1" width="15.296875" bestFit="1" customWidth="1"/>
    <col min="2" max="2" width="21" bestFit="1" customWidth="1"/>
    <col min="3" max="3" width="20" bestFit="1" customWidth="1"/>
    <col min="4" max="4" width="23.296875" bestFit="1" customWidth="1"/>
    <col min="5" max="5" width="16.5" bestFit="1" customWidth="1"/>
    <col min="6" max="6" width="12.69921875" customWidth="1"/>
    <col min="7" max="7" width="15.296875" bestFit="1" customWidth="1"/>
    <col min="8" max="8" width="21" bestFit="1" customWidth="1"/>
    <col min="9" max="9" width="20" bestFit="1" customWidth="1"/>
    <col min="10" max="10" width="23.296875" bestFit="1" customWidth="1"/>
    <col min="11" max="11" width="23" bestFit="1" customWidth="1"/>
    <col min="13" max="13" width="26" style="304" bestFit="1" customWidth="1"/>
    <col min="14" max="14" width="15.19921875" style="2" customWidth="1"/>
    <col min="15" max="15" width="14" style="2" customWidth="1"/>
    <col min="16" max="16" width="15.296875" style="2" customWidth="1"/>
    <col min="18" max="18" width="18.19921875" style="292" bestFit="1" customWidth="1"/>
  </cols>
  <sheetData>
    <row r="1" spans="1:19" ht="16.2" thickBot="1"/>
    <row r="2" spans="1:19" ht="16.2" thickBot="1">
      <c r="A2" s="37" t="s">
        <v>86</v>
      </c>
      <c r="B2" s="38" t="s">
        <v>81</v>
      </c>
      <c r="C2" s="38"/>
      <c r="D2" s="38"/>
      <c r="E2" s="39"/>
      <c r="G2" s="37" t="s">
        <v>86</v>
      </c>
      <c r="H2" s="38" t="s">
        <v>94</v>
      </c>
      <c r="I2" s="38"/>
      <c r="J2" s="38"/>
      <c r="K2" s="39"/>
      <c r="M2" s="321" t="s">
        <v>65</v>
      </c>
      <c r="N2" s="309" t="s">
        <v>103</v>
      </c>
      <c r="O2" s="310" t="s">
        <v>104</v>
      </c>
      <c r="P2" s="311" t="s">
        <v>105</v>
      </c>
      <c r="R2" s="295" t="s">
        <v>110</v>
      </c>
    </row>
    <row r="3" spans="1:19">
      <c r="A3" s="26"/>
      <c r="B3" s="27"/>
      <c r="C3" s="27"/>
      <c r="D3" s="27"/>
      <c r="E3" s="28"/>
      <c r="G3" s="26"/>
      <c r="H3" s="27"/>
      <c r="I3" s="27"/>
      <c r="J3" s="27"/>
      <c r="K3" s="28"/>
      <c r="M3" s="305" t="s">
        <v>81</v>
      </c>
      <c r="N3" s="312">
        <v>77</v>
      </c>
      <c r="O3" s="322">
        <v>5.5</v>
      </c>
      <c r="P3" s="325">
        <f>O3*N3</f>
        <v>423.5</v>
      </c>
      <c r="R3" s="329">
        <f>N3/P3</f>
        <v>0.18181818181818182</v>
      </c>
    </row>
    <row r="4" spans="1:19">
      <c r="A4" s="589" t="s">
        <v>73</v>
      </c>
      <c r="B4" s="590"/>
      <c r="C4" s="590"/>
      <c r="D4" s="590"/>
      <c r="E4" s="591"/>
      <c r="G4" s="589" t="s">
        <v>73</v>
      </c>
      <c r="H4" s="590"/>
      <c r="I4" s="590"/>
      <c r="J4" s="590"/>
      <c r="K4" s="591"/>
      <c r="M4" s="306" t="s">
        <v>89</v>
      </c>
      <c r="N4" s="313">
        <v>5</v>
      </c>
      <c r="O4" s="323">
        <v>14.5</v>
      </c>
      <c r="P4" s="326">
        <f t="shared" ref="P4:P14" si="0">O4*N4</f>
        <v>72.5</v>
      </c>
      <c r="R4" s="295">
        <f t="shared" ref="R4:R13" si="1">N4/P4</f>
        <v>6.8965517241379309E-2</v>
      </c>
    </row>
    <row r="5" spans="1:19">
      <c r="A5" s="29" t="s">
        <v>70</v>
      </c>
      <c r="B5" s="25" t="s">
        <v>67</v>
      </c>
      <c r="C5" s="25" t="s">
        <v>68</v>
      </c>
      <c r="D5" s="25" t="s">
        <v>66</v>
      </c>
      <c r="E5" s="30" t="s">
        <v>69</v>
      </c>
      <c r="G5" s="29" t="s">
        <v>70</v>
      </c>
      <c r="H5" s="25" t="s">
        <v>67</v>
      </c>
      <c r="I5" s="25" t="s">
        <v>68</v>
      </c>
      <c r="J5" s="25" t="s">
        <v>66</v>
      </c>
      <c r="K5" s="30" t="s">
        <v>69</v>
      </c>
      <c r="M5" s="307" t="s">
        <v>87</v>
      </c>
      <c r="N5" s="313">
        <v>67</v>
      </c>
      <c r="O5" s="323">
        <v>9.25</v>
      </c>
      <c r="P5" s="326">
        <f t="shared" si="0"/>
        <v>619.75</v>
      </c>
      <c r="R5" s="295">
        <f t="shared" si="1"/>
        <v>0.10810810810810811</v>
      </c>
    </row>
    <row r="6" spans="1:19" ht="16.05" customHeight="1">
      <c r="A6" s="20" t="s">
        <v>71</v>
      </c>
      <c r="B6" s="18">
        <v>1464.31</v>
      </c>
      <c r="C6" s="18">
        <f>B6/(240)</f>
        <v>6.1012916666666666</v>
      </c>
      <c r="D6" s="18">
        <v>30</v>
      </c>
      <c r="E6" s="31">
        <f>C6*(D6/60)</f>
        <v>3.0506458333333333</v>
      </c>
      <c r="G6" s="20" t="s">
        <v>71</v>
      </c>
      <c r="H6" s="18">
        <v>1464.31</v>
      </c>
      <c r="I6" s="18">
        <f>H6/(240)</f>
        <v>6.1012916666666666</v>
      </c>
      <c r="J6" s="18">
        <v>30</v>
      </c>
      <c r="K6" s="31">
        <f>I6*(J6/60)</f>
        <v>3.0506458333333333</v>
      </c>
      <c r="M6" s="307" t="s">
        <v>90</v>
      </c>
      <c r="N6" s="313">
        <v>15</v>
      </c>
      <c r="O6" s="323">
        <v>41.75</v>
      </c>
      <c r="P6" s="326">
        <f t="shared" si="0"/>
        <v>626.25</v>
      </c>
      <c r="R6" s="295">
        <f t="shared" si="1"/>
        <v>2.3952095808383235E-2</v>
      </c>
    </row>
    <row r="7" spans="1:19">
      <c r="A7" s="20" t="s">
        <v>63</v>
      </c>
      <c r="B7" s="18">
        <v>2671.93</v>
      </c>
      <c r="C7" s="18">
        <f>B7/(240)</f>
        <v>11.133041666666665</v>
      </c>
      <c r="D7" s="18">
        <v>10</v>
      </c>
      <c r="E7" s="31">
        <f>C7*(D7/60)</f>
        <v>1.8555069444444441</v>
      </c>
      <c r="G7" s="20" t="s">
        <v>63</v>
      </c>
      <c r="H7" s="18">
        <v>2671.93</v>
      </c>
      <c r="I7" s="18">
        <f>H7/(240)</f>
        <v>11.133041666666665</v>
      </c>
      <c r="J7" s="18">
        <v>10</v>
      </c>
      <c r="K7" s="31">
        <f>I7*(J7/60)</f>
        <v>1.8555069444444441</v>
      </c>
      <c r="M7" s="307" t="s">
        <v>91</v>
      </c>
      <c r="N7" s="313">
        <v>67</v>
      </c>
      <c r="O7" s="323">
        <v>11.5</v>
      </c>
      <c r="P7" s="326">
        <f t="shared" si="0"/>
        <v>770.5</v>
      </c>
      <c r="R7" s="295">
        <f t="shared" si="1"/>
        <v>8.6956521739130432E-2</v>
      </c>
    </row>
    <row r="8" spans="1:19">
      <c r="A8" s="20" t="s">
        <v>64</v>
      </c>
      <c r="B8" s="18">
        <v>841.77</v>
      </c>
      <c r="C8" s="18">
        <f>B8/(240)</f>
        <v>3.5073750000000001</v>
      </c>
      <c r="D8" s="18">
        <f>5+10+2</f>
        <v>17</v>
      </c>
      <c r="E8" s="31">
        <f>C8*(D8/60)</f>
        <v>0.99375625000000001</v>
      </c>
      <c r="G8" s="20" t="s">
        <v>64</v>
      </c>
      <c r="H8" s="18">
        <v>841.77</v>
      </c>
      <c r="I8" s="18">
        <f>H8/(240)</f>
        <v>3.5073750000000001</v>
      </c>
      <c r="J8" s="18">
        <f>5+10+2</f>
        <v>17</v>
      </c>
      <c r="K8" s="31">
        <f>I8*(J8/60)</f>
        <v>0.99375625000000001</v>
      </c>
      <c r="M8" s="307" t="s">
        <v>92</v>
      </c>
      <c r="N8" s="313">
        <v>67</v>
      </c>
      <c r="O8" s="323">
        <v>7</v>
      </c>
      <c r="P8" s="326">
        <f t="shared" si="0"/>
        <v>469</v>
      </c>
      <c r="R8" s="295">
        <f t="shared" si="1"/>
        <v>0.14285714285714285</v>
      </c>
    </row>
    <row r="9" spans="1:19">
      <c r="A9" s="26"/>
      <c r="B9" s="27"/>
      <c r="C9" s="27"/>
      <c r="D9" s="27"/>
      <c r="E9" s="28"/>
      <c r="G9" s="26"/>
      <c r="H9" s="27"/>
      <c r="I9" s="27"/>
      <c r="J9" s="27"/>
      <c r="K9" s="28"/>
      <c r="M9" s="307" t="s">
        <v>93</v>
      </c>
      <c r="N9" s="313">
        <v>15</v>
      </c>
      <c r="O9" s="323">
        <v>23</v>
      </c>
      <c r="P9" s="326">
        <f t="shared" si="0"/>
        <v>345</v>
      </c>
      <c r="R9" s="295">
        <f t="shared" si="1"/>
        <v>4.3478260869565216E-2</v>
      </c>
    </row>
    <row r="10" spans="1:19">
      <c r="A10" s="592" t="s">
        <v>88</v>
      </c>
      <c r="B10" s="593"/>
      <c r="C10" s="593"/>
      <c r="D10" s="593"/>
      <c r="E10" s="594"/>
      <c r="G10" s="592" t="s">
        <v>88</v>
      </c>
      <c r="H10" s="593"/>
      <c r="I10" s="593"/>
      <c r="J10" s="593"/>
      <c r="K10" s="594"/>
      <c r="M10" s="307" t="s">
        <v>94</v>
      </c>
      <c r="N10" s="313">
        <v>19</v>
      </c>
      <c r="O10" s="323">
        <v>24.25</v>
      </c>
      <c r="P10" s="326">
        <f t="shared" si="0"/>
        <v>460.75</v>
      </c>
      <c r="R10" s="295">
        <f t="shared" si="1"/>
        <v>4.1237113402061855E-2</v>
      </c>
    </row>
    <row r="11" spans="1:19">
      <c r="A11" s="29" t="s">
        <v>70</v>
      </c>
      <c r="B11" s="25" t="s">
        <v>67</v>
      </c>
      <c r="C11" s="25" t="s">
        <v>68</v>
      </c>
      <c r="D11" s="25" t="s">
        <v>66</v>
      </c>
      <c r="E11" s="30" t="s">
        <v>69</v>
      </c>
      <c r="G11" s="29" t="s">
        <v>70</v>
      </c>
      <c r="H11" s="25" t="s">
        <v>67</v>
      </c>
      <c r="I11" s="25" t="s">
        <v>68</v>
      </c>
      <c r="J11" s="25" t="s">
        <v>66</v>
      </c>
      <c r="K11" s="30" t="s">
        <v>69</v>
      </c>
      <c r="M11" s="307" t="s">
        <v>95</v>
      </c>
      <c r="N11" s="313">
        <v>8</v>
      </c>
      <c r="O11" s="323">
        <v>20.25</v>
      </c>
      <c r="P11" s="326">
        <f t="shared" si="0"/>
        <v>162</v>
      </c>
      <c r="R11" s="295">
        <f t="shared" si="1"/>
        <v>4.9382716049382713E-2</v>
      </c>
    </row>
    <row r="12" spans="1:19">
      <c r="A12" s="20" t="s">
        <v>72</v>
      </c>
      <c r="B12" s="18">
        <v>915.51</v>
      </c>
      <c r="C12" s="18">
        <f>B12/(240)</f>
        <v>3.8146249999999999</v>
      </c>
      <c r="D12" s="18">
        <v>30</v>
      </c>
      <c r="E12" s="31">
        <f t="shared" ref="E12" si="2">C12*(D12/60)</f>
        <v>1.9073125</v>
      </c>
      <c r="G12" s="20" t="s">
        <v>72</v>
      </c>
      <c r="H12" s="18">
        <v>915.51</v>
      </c>
      <c r="I12" s="18">
        <f>H12/(240)</f>
        <v>3.8146249999999999</v>
      </c>
      <c r="J12" s="18">
        <v>30</v>
      </c>
      <c r="K12" s="31">
        <f t="shared" ref="K12" si="3">I12*(J12/60)</f>
        <v>1.9073125</v>
      </c>
      <c r="M12" s="307" t="s">
        <v>106</v>
      </c>
      <c r="N12" s="313">
        <v>2</v>
      </c>
      <c r="O12" s="323">
        <v>61.25</v>
      </c>
      <c r="P12" s="326">
        <f t="shared" si="0"/>
        <v>122.5</v>
      </c>
      <c r="R12" s="295">
        <f t="shared" si="1"/>
        <v>1.6326530612244899E-2</v>
      </c>
    </row>
    <row r="13" spans="1:19">
      <c r="A13" s="26"/>
      <c r="B13" s="27"/>
      <c r="C13" s="27"/>
      <c r="D13" s="27"/>
      <c r="E13" s="28"/>
      <c r="G13" s="26"/>
      <c r="H13" s="27"/>
      <c r="I13" s="27"/>
      <c r="J13" s="27"/>
      <c r="K13" s="28"/>
      <c r="M13" s="307" t="s">
        <v>97</v>
      </c>
      <c r="N13" s="313">
        <v>6</v>
      </c>
      <c r="O13" s="323">
        <v>61.25</v>
      </c>
      <c r="P13" s="326">
        <f t="shared" si="0"/>
        <v>367.5</v>
      </c>
      <c r="R13" s="295">
        <f t="shared" si="1"/>
        <v>1.6326530612244899E-2</v>
      </c>
    </row>
    <row r="14" spans="1:19" ht="16.05" customHeight="1" thickBot="1">
      <c r="A14" s="592" t="s">
        <v>74</v>
      </c>
      <c r="B14" s="593"/>
      <c r="C14" s="593"/>
      <c r="D14" s="593"/>
      <c r="E14" s="594"/>
      <c r="G14" s="592" t="s">
        <v>74</v>
      </c>
      <c r="H14" s="593"/>
      <c r="I14" s="593"/>
      <c r="J14" s="593"/>
      <c r="K14" s="594"/>
      <c r="M14" s="308" t="s">
        <v>98</v>
      </c>
      <c r="N14" s="314">
        <v>6</v>
      </c>
      <c r="O14" s="324">
        <v>126.75</v>
      </c>
      <c r="P14" s="327">
        <f t="shared" si="0"/>
        <v>760.5</v>
      </c>
      <c r="R14" s="329">
        <f>N14/P14</f>
        <v>7.889546351084813E-3</v>
      </c>
    </row>
    <row r="15" spans="1:19" ht="16.2" thickBot="1">
      <c r="A15" s="29" t="s">
        <v>75</v>
      </c>
      <c r="B15" s="18"/>
      <c r="C15" s="25" t="s">
        <v>79</v>
      </c>
      <c r="D15" s="25" t="s">
        <v>80</v>
      </c>
      <c r="E15" s="30" t="s">
        <v>69</v>
      </c>
      <c r="G15" s="29" t="s">
        <v>75</v>
      </c>
      <c r="H15" s="18"/>
      <c r="I15" s="25" t="s">
        <v>79</v>
      </c>
      <c r="J15" s="25" t="s">
        <v>80</v>
      </c>
      <c r="K15" s="30" t="s">
        <v>69</v>
      </c>
      <c r="M15" s="319" t="s">
        <v>286</v>
      </c>
      <c r="N15" s="315">
        <f>SUM(N3:N14)</f>
        <v>354</v>
      </c>
      <c r="O15" s="320"/>
      <c r="P15" s="328">
        <f>SUM(P3:P14)</f>
        <v>5199.75</v>
      </c>
    </row>
    <row r="16" spans="1:19">
      <c r="A16" s="20" t="s">
        <v>76</v>
      </c>
      <c r="B16" s="18"/>
      <c r="C16" s="18">
        <v>0.23</v>
      </c>
      <c r="D16" s="18">
        <v>1</v>
      </c>
      <c r="E16" s="31">
        <f>D16*C16</f>
        <v>0.23</v>
      </c>
      <c r="G16" s="20" t="s">
        <v>76</v>
      </c>
      <c r="H16" s="18"/>
      <c r="I16" s="18">
        <v>0.23</v>
      </c>
      <c r="J16" s="18">
        <v>1</v>
      </c>
      <c r="K16" s="31">
        <f>J16*I16</f>
        <v>0.23</v>
      </c>
      <c r="R16" s="295">
        <f>SUM(R3:R14)/12</f>
        <v>6.5608188789075844E-2</v>
      </c>
      <c r="S16">
        <f>R16*100</f>
        <v>6.5608188789075843</v>
      </c>
    </row>
    <row r="17" spans="1:16">
      <c r="A17" s="20" t="s">
        <v>77</v>
      </c>
      <c r="B17" s="18"/>
      <c r="C17" s="18">
        <v>0.25</v>
      </c>
      <c r="D17" s="18">
        <v>1</v>
      </c>
      <c r="E17" s="31">
        <f>D17*C17</f>
        <v>0.25</v>
      </c>
      <c r="G17" s="20" t="s">
        <v>77</v>
      </c>
      <c r="H17" s="18"/>
      <c r="I17" s="18">
        <v>0.25</v>
      </c>
      <c r="J17" s="18">
        <v>1</v>
      </c>
      <c r="K17" s="31">
        <f>J17*I17</f>
        <v>0.25</v>
      </c>
      <c r="N17" s="588" t="s">
        <v>281</v>
      </c>
      <c r="O17" s="588"/>
      <c r="P17" s="317">
        <f>H125</f>
        <v>6063.4400000000005</v>
      </c>
    </row>
    <row r="18" spans="1:16">
      <c r="A18" s="26"/>
      <c r="B18" s="27"/>
      <c r="C18" s="27"/>
      <c r="D18" s="27"/>
      <c r="E18" s="28"/>
      <c r="G18" s="26"/>
      <c r="H18" s="27"/>
      <c r="I18" s="27"/>
      <c r="J18" s="27"/>
      <c r="K18" s="28"/>
    </row>
    <row r="19" spans="1:16">
      <c r="A19" s="26"/>
      <c r="B19" s="27"/>
      <c r="C19" s="27"/>
      <c r="D19" s="25" t="s">
        <v>101</v>
      </c>
      <c r="E19" s="32" t="s">
        <v>85</v>
      </c>
      <c r="G19" s="26"/>
      <c r="H19" s="27"/>
      <c r="I19" s="27"/>
      <c r="J19" s="25" t="s">
        <v>101</v>
      </c>
      <c r="K19" s="32" t="s">
        <v>85</v>
      </c>
    </row>
    <row r="20" spans="1:16">
      <c r="A20" s="26"/>
      <c r="B20" s="27"/>
      <c r="C20" s="27"/>
      <c r="D20" s="18" t="s">
        <v>82</v>
      </c>
      <c r="E20" s="31">
        <f>E6+E7+E8</f>
        <v>5.8999090277777766</v>
      </c>
      <c r="G20" s="26"/>
      <c r="H20" s="27"/>
      <c r="I20" s="27"/>
      <c r="J20" s="18" t="s">
        <v>82</v>
      </c>
      <c r="K20" s="31">
        <f>K6+K7+K8</f>
        <v>5.8999090277777766</v>
      </c>
      <c r="P20" s="2">
        <f>(N15/P17)*100</f>
        <v>5.8382700249363397</v>
      </c>
    </row>
    <row r="21" spans="1:16">
      <c r="A21" s="26"/>
      <c r="B21" s="27"/>
      <c r="C21" s="27"/>
      <c r="D21" s="18" t="s">
        <v>88</v>
      </c>
      <c r="E21" s="31">
        <f>+E12</f>
        <v>1.9073125</v>
      </c>
      <c r="G21" s="26"/>
      <c r="H21" s="27"/>
      <c r="I21" s="27"/>
      <c r="J21" s="18" t="s">
        <v>88</v>
      </c>
      <c r="K21" s="31">
        <f>+K12</f>
        <v>1.9073125</v>
      </c>
    </row>
    <row r="22" spans="1:16">
      <c r="A22" s="26"/>
      <c r="B22" s="27"/>
      <c r="C22" s="27"/>
      <c r="D22" s="18" t="s">
        <v>83</v>
      </c>
      <c r="E22" s="31">
        <f>+E16+E17</f>
        <v>0.48</v>
      </c>
      <c r="F22">
        <f>E22*N3</f>
        <v>36.96</v>
      </c>
      <c r="G22" s="26"/>
      <c r="H22" s="27"/>
      <c r="I22" s="27"/>
      <c r="J22" s="18" t="s">
        <v>83</v>
      </c>
      <c r="K22" s="31">
        <f>+K16+K17</f>
        <v>0.48</v>
      </c>
      <c r="L22">
        <f>K22*N10</f>
        <v>9.1199999999999992</v>
      </c>
    </row>
    <row r="23" spans="1:16" ht="16.2" thickBot="1">
      <c r="A23" s="33"/>
      <c r="B23" s="34"/>
      <c r="C23" s="34"/>
      <c r="D23" s="35" t="s">
        <v>84</v>
      </c>
      <c r="E23" s="36">
        <f>SUM(E20:E22)</f>
        <v>8.2872215277777759</v>
      </c>
      <c r="G23" s="33"/>
      <c r="H23" s="34"/>
      <c r="I23" s="34"/>
      <c r="J23" s="35" t="s">
        <v>84</v>
      </c>
      <c r="K23" s="36">
        <f>SUM(K20:K22)</f>
        <v>8.2872215277777759</v>
      </c>
    </row>
    <row r="25" spans="1:16" ht="16.2" thickBot="1">
      <c r="N25" s="318" t="s">
        <v>192</v>
      </c>
      <c r="O25" s="330">
        <f>ROUND(18+P20,0)</f>
        <v>24</v>
      </c>
    </row>
    <row r="26" spans="1:16" ht="16.2" thickBot="1">
      <c r="A26" s="37" t="s">
        <v>86</v>
      </c>
      <c r="B26" s="38" t="s">
        <v>89</v>
      </c>
      <c r="C26" s="38"/>
      <c r="D26" s="38"/>
      <c r="E26" s="39"/>
      <c r="G26" s="37" t="s">
        <v>86</v>
      </c>
      <c r="H26" s="38" t="s">
        <v>95</v>
      </c>
      <c r="I26" s="38"/>
      <c r="J26" s="38"/>
      <c r="K26" s="39"/>
    </row>
    <row r="27" spans="1:16">
      <c r="A27" s="26"/>
      <c r="B27" s="27"/>
      <c r="C27" s="27"/>
      <c r="D27" s="27"/>
      <c r="E27" s="28"/>
      <c r="G27" s="26"/>
      <c r="H27" s="27"/>
      <c r="I27" s="27"/>
      <c r="J27" s="27"/>
      <c r="K27" s="28"/>
    </row>
    <row r="28" spans="1:16">
      <c r="A28" s="589" t="s">
        <v>73</v>
      </c>
      <c r="B28" s="590"/>
      <c r="C28" s="590"/>
      <c r="D28" s="590"/>
      <c r="E28" s="591"/>
      <c r="G28" s="589" t="s">
        <v>73</v>
      </c>
      <c r="H28" s="590"/>
      <c r="I28" s="590"/>
      <c r="J28" s="590"/>
      <c r="K28" s="591"/>
    </row>
    <row r="29" spans="1:16">
      <c r="A29" s="29" t="s">
        <v>70</v>
      </c>
      <c r="B29" s="25" t="s">
        <v>67</v>
      </c>
      <c r="C29" s="25" t="s">
        <v>68</v>
      </c>
      <c r="D29" s="25" t="s">
        <v>66</v>
      </c>
      <c r="E29" s="30" t="s">
        <v>69</v>
      </c>
      <c r="G29" s="29" t="s">
        <v>70</v>
      </c>
      <c r="H29" s="25" t="s">
        <v>67</v>
      </c>
      <c r="I29" s="25" t="s">
        <v>68</v>
      </c>
      <c r="J29" s="25" t="s">
        <v>66</v>
      </c>
      <c r="K29" s="30" t="s">
        <v>69</v>
      </c>
    </row>
    <row r="30" spans="1:16">
      <c r="A30" s="20" t="s">
        <v>71</v>
      </c>
      <c r="B30" s="18">
        <v>1464.31</v>
      </c>
      <c r="C30" s="18">
        <f>B30/(240)</f>
        <v>6.1012916666666666</v>
      </c>
      <c r="D30" s="18">
        <v>30</v>
      </c>
      <c r="E30" s="31">
        <f>C30*(D30/60)</f>
        <v>3.0506458333333333</v>
      </c>
      <c r="G30" s="20" t="s">
        <v>71</v>
      </c>
      <c r="H30" s="18">
        <v>1464.31</v>
      </c>
      <c r="I30" s="18">
        <f>H30/(240)</f>
        <v>6.1012916666666666</v>
      </c>
      <c r="J30" s="18">
        <v>30</v>
      </c>
      <c r="K30" s="31">
        <f>I30*(J30/60)</f>
        <v>3.0506458333333333</v>
      </c>
    </row>
    <row r="31" spans="1:16">
      <c r="A31" s="20" t="s">
        <v>63</v>
      </c>
      <c r="B31" s="18">
        <v>2671.93</v>
      </c>
      <c r="C31" s="18">
        <f>B31/(240)</f>
        <v>11.133041666666665</v>
      </c>
      <c r="D31" s="18">
        <v>10</v>
      </c>
      <c r="E31" s="31">
        <f>C31*(D31/60)</f>
        <v>1.8555069444444441</v>
      </c>
      <c r="G31" s="20" t="s">
        <v>63</v>
      </c>
      <c r="H31" s="18">
        <v>2671.93</v>
      </c>
      <c r="I31" s="18">
        <f>H31/(240)</f>
        <v>11.133041666666665</v>
      </c>
      <c r="J31" s="18">
        <v>15</v>
      </c>
      <c r="K31" s="31">
        <f>I31*(J31/60)</f>
        <v>2.7832604166666663</v>
      </c>
    </row>
    <row r="32" spans="1:16">
      <c r="A32" s="20" t="s">
        <v>64</v>
      </c>
      <c r="B32" s="18">
        <v>841.77</v>
      </c>
      <c r="C32" s="18">
        <f>B32/(240)</f>
        <v>3.5073750000000001</v>
      </c>
      <c r="D32" s="18">
        <f>5+10+2</f>
        <v>17</v>
      </c>
      <c r="E32" s="31">
        <f>C32*(D32/60)</f>
        <v>0.99375625000000001</v>
      </c>
      <c r="G32" s="20" t="s">
        <v>64</v>
      </c>
      <c r="H32" s="18">
        <v>841.77</v>
      </c>
      <c r="I32" s="18">
        <f>H32/(240)</f>
        <v>3.5073750000000001</v>
      </c>
      <c r="J32" s="18">
        <f>5+10+2</f>
        <v>17</v>
      </c>
      <c r="K32" s="31">
        <f>I32*(J32/60)</f>
        <v>0.99375625000000001</v>
      </c>
    </row>
    <row r="33" spans="1:12">
      <c r="A33" s="26"/>
      <c r="B33" s="27"/>
      <c r="C33" s="27"/>
      <c r="D33" s="27"/>
      <c r="E33" s="28"/>
      <c r="G33" s="26"/>
      <c r="H33" s="27"/>
      <c r="I33" s="27"/>
      <c r="J33" s="27"/>
      <c r="K33" s="28"/>
    </row>
    <row r="34" spans="1:12">
      <c r="A34" s="592" t="s">
        <v>88</v>
      </c>
      <c r="B34" s="593"/>
      <c r="C34" s="593"/>
      <c r="D34" s="593"/>
      <c r="E34" s="594"/>
      <c r="G34" s="592" t="s">
        <v>88</v>
      </c>
      <c r="H34" s="593"/>
      <c r="I34" s="593"/>
      <c r="J34" s="593"/>
      <c r="K34" s="594"/>
    </row>
    <row r="35" spans="1:12">
      <c r="A35" s="29" t="s">
        <v>70</v>
      </c>
      <c r="B35" s="25" t="s">
        <v>67</v>
      </c>
      <c r="C35" s="25" t="s">
        <v>68</v>
      </c>
      <c r="D35" s="25" t="s">
        <v>66</v>
      </c>
      <c r="E35" s="30" t="s">
        <v>69</v>
      </c>
      <c r="G35" s="29" t="s">
        <v>70</v>
      </c>
      <c r="H35" s="25" t="s">
        <v>67</v>
      </c>
      <c r="I35" s="25" t="s">
        <v>68</v>
      </c>
      <c r="J35" s="25" t="s">
        <v>66</v>
      </c>
      <c r="K35" s="30" t="s">
        <v>69</v>
      </c>
    </row>
    <row r="36" spans="1:12">
      <c r="A36" s="20" t="s">
        <v>72</v>
      </c>
      <c r="B36" s="18">
        <v>915.51</v>
      </c>
      <c r="C36" s="18">
        <f>B36/(240)</f>
        <v>3.8146249999999999</v>
      </c>
      <c r="D36" s="18">
        <v>30</v>
      </c>
      <c r="E36" s="31">
        <f t="shared" ref="E36" si="4">C36*(D36/60)</f>
        <v>1.9073125</v>
      </c>
      <c r="G36" s="20" t="s">
        <v>72</v>
      </c>
      <c r="H36" s="18">
        <v>915.51</v>
      </c>
      <c r="I36" s="18">
        <f>H36/(240)</f>
        <v>3.8146249999999999</v>
      </c>
      <c r="J36" s="18">
        <v>30</v>
      </c>
      <c r="K36" s="31">
        <f t="shared" ref="K36" si="5">I36*(J36/60)</f>
        <v>1.9073125</v>
      </c>
    </row>
    <row r="37" spans="1:12">
      <c r="A37" s="26"/>
      <c r="B37" s="27"/>
      <c r="C37" s="27"/>
      <c r="D37" s="27"/>
      <c r="E37" s="28"/>
      <c r="G37" s="26"/>
      <c r="H37" s="27"/>
      <c r="I37" s="27"/>
      <c r="J37" s="27"/>
      <c r="K37" s="28"/>
    </row>
    <row r="38" spans="1:12" ht="16.05" customHeight="1">
      <c r="A38" s="592" t="s">
        <v>74</v>
      </c>
      <c r="B38" s="593"/>
      <c r="C38" s="593"/>
      <c r="D38" s="593"/>
      <c r="E38" s="594"/>
      <c r="G38" s="592" t="s">
        <v>74</v>
      </c>
      <c r="H38" s="593"/>
      <c r="I38" s="593"/>
      <c r="J38" s="593"/>
      <c r="K38" s="594"/>
    </row>
    <row r="39" spans="1:12" ht="16.05" customHeight="1">
      <c r="A39" s="29" t="s">
        <v>75</v>
      </c>
      <c r="B39" s="18"/>
      <c r="C39" s="25" t="s">
        <v>79</v>
      </c>
      <c r="D39" s="25" t="s">
        <v>80</v>
      </c>
      <c r="E39" s="30" t="s">
        <v>69</v>
      </c>
      <c r="G39" s="29" t="s">
        <v>75</v>
      </c>
      <c r="H39" s="18"/>
      <c r="I39" s="25" t="s">
        <v>79</v>
      </c>
      <c r="J39" s="25" t="s">
        <v>80</v>
      </c>
      <c r="K39" s="30" t="s">
        <v>69</v>
      </c>
    </row>
    <row r="40" spans="1:12">
      <c r="A40" s="20" t="s">
        <v>76</v>
      </c>
      <c r="B40" s="18"/>
      <c r="C40" s="18">
        <v>0.23</v>
      </c>
      <c r="D40" s="18">
        <v>1</v>
      </c>
      <c r="E40" s="31">
        <f>D40*C40</f>
        <v>0.23</v>
      </c>
      <c r="G40" s="20" t="s">
        <v>76</v>
      </c>
      <c r="H40" s="18"/>
      <c r="I40" s="18">
        <v>0.23</v>
      </c>
      <c r="J40" s="18">
        <v>1</v>
      </c>
      <c r="K40" s="31">
        <f>J40*I40</f>
        <v>0.23</v>
      </c>
    </row>
    <row r="41" spans="1:12">
      <c r="A41" s="20" t="s">
        <v>77</v>
      </c>
      <c r="B41" s="18"/>
      <c r="C41" s="18">
        <v>0.25</v>
      </c>
      <c r="D41" s="18">
        <v>1</v>
      </c>
      <c r="E41" s="31">
        <f>D41*C41</f>
        <v>0.25</v>
      </c>
      <c r="G41" s="20" t="s">
        <v>77</v>
      </c>
      <c r="H41" s="18"/>
      <c r="I41" s="18">
        <v>0.25</v>
      </c>
      <c r="J41" s="18">
        <v>1</v>
      </c>
      <c r="K41" s="31">
        <f>J41*I41</f>
        <v>0.25</v>
      </c>
    </row>
    <row r="42" spans="1:12">
      <c r="A42" s="26"/>
      <c r="B42" s="27"/>
      <c r="C42" s="27"/>
      <c r="D42" s="27"/>
      <c r="E42" s="28"/>
      <c r="G42" s="26"/>
      <c r="H42" s="27"/>
      <c r="I42" s="27"/>
      <c r="J42" s="27"/>
      <c r="K42" s="28"/>
    </row>
    <row r="43" spans="1:12">
      <c r="A43" s="26"/>
      <c r="B43" s="27"/>
      <c r="C43" s="27"/>
      <c r="D43" s="25" t="s">
        <v>101</v>
      </c>
      <c r="E43" s="32" t="s">
        <v>85</v>
      </c>
      <c r="G43" s="26"/>
      <c r="H43" s="27"/>
      <c r="I43" s="27"/>
      <c r="J43" s="25" t="s">
        <v>102</v>
      </c>
      <c r="K43" s="32" t="s">
        <v>85</v>
      </c>
    </row>
    <row r="44" spans="1:12">
      <c r="A44" s="26"/>
      <c r="B44" s="27"/>
      <c r="C44" s="27"/>
      <c r="D44" s="18" t="s">
        <v>82</v>
      </c>
      <c r="E44" s="31">
        <f>E30+E31+E32</f>
        <v>5.8999090277777766</v>
      </c>
      <c r="G44" s="26"/>
      <c r="H44" s="27"/>
      <c r="I44" s="27"/>
      <c r="J44" s="18" t="s">
        <v>82</v>
      </c>
      <c r="K44" s="31">
        <f>K30+K31+K32</f>
        <v>6.8276624999999997</v>
      </c>
    </row>
    <row r="45" spans="1:12">
      <c r="A45" s="26"/>
      <c r="B45" s="27"/>
      <c r="C45" s="27"/>
      <c r="D45" s="18" t="s">
        <v>88</v>
      </c>
      <c r="E45" s="31">
        <f>+E36</f>
        <v>1.9073125</v>
      </c>
      <c r="G45" s="26"/>
      <c r="H45" s="27"/>
      <c r="I45" s="27"/>
      <c r="J45" s="18" t="s">
        <v>88</v>
      </c>
      <c r="K45" s="31">
        <f>+K36</f>
        <v>1.9073125</v>
      </c>
    </row>
    <row r="46" spans="1:12">
      <c r="A46" s="26"/>
      <c r="B46" s="27"/>
      <c r="C46" s="27"/>
      <c r="D46" s="18" t="s">
        <v>83</v>
      </c>
      <c r="E46" s="31">
        <f>+E40+E41</f>
        <v>0.48</v>
      </c>
      <c r="F46">
        <f>E46*N4</f>
        <v>2.4</v>
      </c>
      <c r="G46" s="26"/>
      <c r="H46" s="27"/>
      <c r="I46" s="27"/>
      <c r="J46" s="18" t="s">
        <v>83</v>
      </c>
      <c r="K46" s="31">
        <f>+K40+K41</f>
        <v>0.48</v>
      </c>
      <c r="L46">
        <f>+K46*N11</f>
        <v>3.84</v>
      </c>
    </row>
    <row r="47" spans="1:12" ht="16.2" thickBot="1">
      <c r="A47" s="33"/>
      <c r="B47" s="34"/>
      <c r="C47" s="34"/>
      <c r="D47" s="35" t="s">
        <v>84</v>
      </c>
      <c r="E47" s="36">
        <f>SUM(E44:E46)</f>
        <v>8.2872215277777759</v>
      </c>
      <c r="G47" s="33"/>
      <c r="H47" s="34"/>
      <c r="I47" s="34"/>
      <c r="J47" s="35" t="s">
        <v>84</v>
      </c>
      <c r="K47" s="36">
        <f>SUM(K44:K46)</f>
        <v>9.2149750000000008</v>
      </c>
    </row>
    <row r="49" spans="1:11" ht="16.2" thickBot="1"/>
    <row r="50" spans="1:11" ht="16.2" thickBot="1">
      <c r="A50" s="37" t="s">
        <v>86</v>
      </c>
      <c r="B50" s="38" t="s">
        <v>87</v>
      </c>
      <c r="C50" s="38"/>
      <c r="D50" s="38"/>
      <c r="E50" s="39"/>
      <c r="G50" s="37" t="s">
        <v>86</v>
      </c>
      <c r="H50" s="38" t="s">
        <v>100</v>
      </c>
      <c r="I50" s="38"/>
      <c r="J50" s="38"/>
      <c r="K50" s="39"/>
    </row>
    <row r="51" spans="1:11">
      <c r="A51" s="26"/>
      <c r="B51" s="27"/>
      <c r="C51" s="27"/>
      <c r="D51" s="27"/>
      <c r="E51" s="28"/>
      <c r="G51" s="26"/>
      <c r="H51" s="27"/>
      <c r="I51" s="27"/>
      <c r="J51" s="27"/>
      <c r="K51" s="28"/>
    </row>
    <row r="52" spans="1:11">
      <c r="A52" s="589" t="s">
        <v>73</v>
      </c>
      <c r="B52" s="590"/>
      <c r="C52" s="590"/>
      <c r="D52" s="590"/>
      <c r="E52" s="591"/>
      <c r="G52" s="589" t="s">
        <v>73</v>
      </c>
      <c r="H52" s="590"/>
      <c r="I52" s="590"/>
      <c r="J52" s="590"/>
      <c r="K52" s="591"/>
    </row>
    <row r="53" spans="1:11">
      <c r="A53" s="29" t="s">
        <v>70</v>
      </c>
      <c r="B53" s="25" t="s">
        <v>67</v>
      </c>
      <c r="C53" s="25" t="s">
        <v>68</v>
      </c>
      <c r="D53" s="25" t="s">
        <v>66</v>
      </c>
      <c r="E53" s="30" t="s">
        <v>69</v>
      </c>
      <c r="G53" s="29" t="s">
        <v>70</v>
      </c>
      <c r="H53" s="25" t="s">
        <v>67</v>
      </c>
      <c r="I53" s="25" t="s">
        <v>68</v>
      </c>
      <c r="J53" s="25" t="s">
        <v>66</v>
      </c>
      <c r="K53" s="30" t="s">
        <v>69</v>
      </c>
    </row>
    <row r="54" spans="1:11">
      <c r="A54" s="20" t="s">
        <v>71</v>
      </c>
      <c r="B54" s="18">
        <v>1464.31</v>
      </c>
      <c r="C54" s="18">
        <f>B54/(240)</f>
        <v>6.1012916666666666</v>
      </c>
      <c r="D54" s="18">
        <v>30</v>
      </c>
      <c r="E54" s="31">
        <f>C54*(D54/60)</f>
        <v>3.0506458333333333</v>
      </c>
      <c r="G54" s="20" t="s">
        <v>71</v>
      </c>
      <c r="H54" s="18">
        <v>1464.31</v>
      </c>
      <c r="I54" s="18">
        <f>H54/(240)</f>
        <v>6.1012916666666666</v>
      </c>
      <c r="J54" s="18">
        <v>30</v>
      </c>
      <c r="K54" s="31">
        <f>I54*(J54/60)</f>
        <v>3.0506458333333333</v>
      </c>
    </row>
    <row r="55" spans="1:11">
      <c r="A55" s="20" t="s">
        <v>63</v>
      </c>
      <c r="B55" s="18">
        <v>2671.93</v>
      </c>
      <c r="C55" s="18">
        <f>B55/(240)</f>
        <v>11.133041666666665</v>
      </c>
      <c r="D55" s="18">
        <v>10</v>
      </c>
      <c r="E55" s="31">
        <f>C55*(D55/60)</f>
        <v>1.8555069444444441</v>
      </c>
      <c r="G55" s="20" t="s">
        <v>63</v>
      </c>
      <c r="H55" s="18">
        <v>2671.93</v>
      </c>
      <c r="I55" s="18">
        <f>H55/(240)</f>
        <v>11.133041666666665</v>
      </c>
      <c r="J55" s="18">
        <v>40</v>
      </c>
      <c r="K55" s="31">
        <f>I55*(J55/60)</f>
        <v>7.4220277777777763</v>
      </c>
    </row>
    <row r="56" spans="1:11">
      <c r="A56" s="20" t="s">
        <v>64</v>
      </c>
      <c r="B56" s="18">
        <v>841.77</v>
      </c>
      <c r="C56" s="18">
        <f>B56/(240)</f>
        <v>3.5073750000000001</v>
      </c>
      <c r="D56" s="18">
        <f>5+10+2</f>
        <v>17</v>
      </c>
      <c r="E56" s="31">
        <f>C56*(D56/60)</f>
        <v>0.99375625000000001</v>
      </c>
      <c r="G56" s="20" t="s">
        <v>64</v>
      </c>
      <c r="H56" s="18">
        <v>841.77</v>
      </c>
      <c r="I56" s="18">
        <f>H56/(240)</f>
        <v>3.5073750000000001</v>
      </c>
      <c r="J56" s="18">
        <f>5+10+2</f>
        <v>17</v>
      </c>
      <c r="K56" s="31">
        <f>I56*(J56/60)</f>
        <v>0.99375625000000001</v>
      </c>
    </row>
    <row r="57" spans="1:11">
      <c r="A57" s="26"/>
      <c r="B57" s="27"/>
      <c r="C57" s="27"/>
      <c r="D57" s="27"/>
      <c r="E57" s="28"/>
      <c r="G57" s="26"/>
      <c r="H57" s="27"/>
      <c r="I57" s="27"/>
      <c r="J57" s="27"/>
      <c r="K57" s="28"/>
    </row>
    <row r="58" spans="1:11">
      <c r="A58" s="592" t="s">
        <v>88</v>
      </c>
      <c r="B58" s="593"/>
      <c r="C58" s="593"/>
      <c r="D58" s="593"/>
      <c r="E58" s="594"/>
      <c r="G58" s="592" t="s">
        <v>88</v>
      </c>
      <c r="H58" s="593"/>
      <c r="I58" s="593"/>
      <c r="J58" s="593"/>
      <c r="K58" s="594"/>
    </row>
    <row r="59" spans="1:11">
      <c r="A59" s="29" t="s">
        <v>70</v>
      </c>
      <c r="B59" s="25" t="s">
        <v>67</v>
      </c>
      <c r="C59" s="25" t="s">
        <v>68</v>
      </c>
      <c r="D59" s="25" t="s">
        <v>66</v>
      </c>
      <c r="E59" s="30" t="s">
        <v>69</v>
      </c>
      <c r="G59" s="29" t="s">
        <v>70</v>
      </c>
      <c r="H59" s="25" t="s">
        <v>67</v>
      </c>
      <c r="I59" s="25" t="s">
        <v>68</v>
      </c>
      <c r="J59" s="25" t="s">
        <v>66</v>
      </c>
      <c r="K59" s="30" t="s">
        <v>69</v>
      </c>
    </row>
    <row r="60" spans="1:11">
      <c r="A60" s="20" t="s">
        <v>72</v>
      </c>
      <c r="B60" s="18">
        <v>915.51</v>
      </c>
      <c r="C60" s="18">
        <f>B60/(240)</f>
        <v>3.8146249999999999</v>
      </c>
      <c r="D60" s="18">
        <v>30</v>
      </c>
      <c r="E60" s="31">
        <f t="shared" ref="E60" si="6">C60*(D60/60)</f>
        <v>1.9073125</v>
      </c>
      <c r="G60" s="20" t="s">
        <v>72</v>
      </c>
      <c r="H60" s="18">
        <v>915.51</v>
      </c>
      <c r="I60" s="18">
        <f>H60/(240)</f>
        <v>3.8146249999999999</v>
      </c>
      <c r="J60" s="18">
        <v>30</v>
      </c>
      <c r="K60" s="31">
        <f t="shared" ref="K60" si="7">I60*(J60/60)</f>
        <v>1.9073125</v>
      </c>
    </row>
    <row r="61" spans="1:11">
      <c r="A61" s="26"/>
      <c r="B61" s="27"/>
      <c r="C61" s="27"/>
      <c r="D61" s="27"/>
      <c r="E61" s="28"/>
      <c r="G61" s="26"/>
      <c r="H61" s="27"/>
      <c r="I61" s="27"/>
      <c r="J61" s="27"/>
      <c r="K61" s="28"/>
    </row>
    <row r="62" spans="1:11" ht="16.05" customHeight="1">
      <c r="A62" s="592" t="s">
        <v>74</v>
      </c>
      <c r="B62" s="593"/>
      <c r="C62" s="593"/>
      <c r="D62" s="593"/>
      <c r="E62" s="594"/>
      <c r="G62" s="592" t="s">
        <v>74</v>
      </c>
      <c r="H62" s="593"/>
      <c r="I62" s="593"/>
      <c r="J62" s="593"/>
      <c r="K62" s="594"/>
    </row>
    <row r="63" spans="1:11">
      <c r="A63" s="29" t="s">
        <v>75</v>
      </c>
      <c r="B63" s="18"/>
      <c r="C63" s="25" t="s">
        <v>79</v>
      </c>
      <c r="D63" s="25" t="s">
        <v>80</v>
      </c>
      <c r="E63" s="30" t="s">
        <v>69</v>
      </c>
      <c r="G63" s="29" t="s">
        <v>75</v>
      </c>
      <c r="H63" s="18"/>
      <c r="I63" s="25" t="s">
        <v>79</v>
      </c>
      <c r="J63" s="25" t="s">
        <v>80</v>
      </c>
      <c r="K63" s="30" t="s">
        <v>69</v>
      </c>
    </row>
    <row r="64" spans="1:11">
      <c r="A64" s="20" t="s">
        <v>76</v>
      </c>
      <c r="B64" s="18"/>
      <c r="C64" s="18">
        <v>0.23</v>
      </c>
      <c r="D64" s="18">
        <v>1</v>
      </c>
      <c r="E64" s="31">
        <f>D64*C64</f>
        <v>0.23</v>
      </c>
      <c r="G64" s="20" t="s">
        <v>76</v>
      </c>
      <c r="H64" s="18"/>
      <c r="I64" s="18">
        <v>0.23</v>
      </c>
      <c r="J64" s="18">
        <v>1</v>
      </c>
      <c r="K64" s="31">
        <f>J64*I64</f>
        <v>0.23</v>
      </c>
    </row>
    <row r="65" spans="1:12">
      <c r="A65" s="20" t="s">
        <v>77</v>
      </c>
      <c r="B65" s="18"/>
      <c r="C65" s="18">
        <v>0.25</v>
      </c>
      <c r="D65" s="18">
        <v>1</v>
      </c>
      <c r="E65" s="31">
        <f>D65*C65</f>
        <v>0.25</v>
      </c>
      <c r="G65" s="20" t="s">
        <v>77</v>
      </c>
      <c r="H65" s="18"/>
      <c r="I65" s="18">
        <v>0.25</v>
      </c>
      <c r="J65" s="18">
        <v>1</v>
      </c>
      <c r="K65" s="31">
        <f>J65*I65</f>
        <v>0.25</v>
      </c>
    </row>
    <row r="66" spans="1:12">
      <c r="A66" s="26"/>
      <c r="B66" s="27"/>
      <c r="C66" s="27"/>
      <c r="D66" s="27"/>
      <c r="E66" s="28"/>
      <c r="G66" s="26"/>
      <c r="H66" s="27"/>
      <c r="I66" s="27"/>
      <c r="J66" s="27"/>
      <c r="K66" s="28"/>
    </row>
    <row r="67" spans="1:12">
      <c r="A67" s="26"/>
      <c r="B67" s="27"/>
      <c r="C67" s="27"/>
      <c r="D67" s="25" t="s">
        <v>102</v>
      </c>
      <c r="E67" s="32" t="s">
        <v>85</v>
      </c>
      <c r="G67" s="26"/>
      <c r="H67" s="27"/>
      <c r="I67" s="27"/>
      <c r="J67" s="25" t="s">
        <v>102</v>
      </c>
      <c r="K67" s="32" t="s">
        <v>85</v>
      </c>
    </row>
    <row r="68" spans="1:12">
      <c r="A68" s="26"/>
      <c r="B68" s="27"/>
      <c r="C68" s="27"/>
      <c r="D68" s="18" t="s">
        <v>82</v>
      </c>
      <c r="E68" s="31">
        <f>E54+E55+E56</f>
        <v>5.8999090277777766</v>
      </c>
      <c r="G68" s="26"/>
      <c r="H68" s="27"/>
      <c r="I68" s="27"/>
      <c r="J68" s="18" t="s">
        <v>82</v>
      </c>
      <c r="K68" s="31">
        <f>K54+K55+K56</f>
        <v>11.466429861111109</v>
      </c>
    </row>
    <row r="69" spans="1:12">
      <c r="A69" s="26"/>
      <c r="B69" s="27"/>
      <c r="C69" s="27"/>
      <c r="D69" s="18" t="s">
        <v>88</v>
      </c>
      <c r="E69" s="31">
        <f>+E60</f>
        <v>1.9073125</v>
      </c>
      <c r="G69" s="26"/>
      <c r="H69" s="27"/>
      <c r="I69" s="27"/>
      <c r="J69" s="18" t="s">
        <v>88</v>
      </c>
      <c r="K69" s="31">
        <f>+K60</f>
        <v>1.9073125</v>
      </c>
    </row>
    <row r="70" spans="1:12">
      <c r="A70" s="26"/>
      <c r="B70" s="27"/>
      <c r="C70" s="27"/>
      <c r="D70" s="18" t="s">
        <v>83</v>
      </c>
      <c r="E70" s="31">
        <f>+E64+E65</f>
        <v>0.48</v>
      </c>
      <c r="F70">
        <f>E70*N5</f>
        <v>32.159999999999997</v>
      </c>
      <c r="G70" s="26"/>
      <c r="H70" s="27"/>
      <c r="I70" s="27"/>
      <c r="J70" s="18" t="s">
        <v>83</v>
      </c>
      <c r="K70" s="31">
        <f>+K64+K65</f>
        <v>0.48</v>
      </c>
      <c r="L70">
        <f>K70*N12</f>
        <v>0.96</v>
      </c>
    </row>
    <row r="71" spans="1:12" ht="16.2" thickBot="1">
      <c r="A71" s="33"/>
      <c r="B71" s="34"/>
      <c r="C71" s="34"/>
      <c r="D71" s="35" t="s">
        <v>84</v>
      </c>
      <c r="E71" s="36">
        <f>SUM(E68:E70)</f>
        <v>8.2872215277777759</v>
      </c>
      <c r="G71" s="33"/>
      <c r="H71" s="34"/>
      <c r="I71" s="34"/>
      <c r="J71" s="35" t="s">
        <v>84</v>
      </c>
      <c r="K71" s="36">
        <f>SUM(K68:K70)</f>
        <v>13.853742361111109</v>
      </c>
    </row>
    <row r="73" spans="1:12" ht="16.2" thickBot="1"/>
    <row r="74" spans="1:12" ht="16.2" thickBot="1">
      <c r="A74" s="37" t="s">
        <v>86</v>
      </c>
      <c r="B74" s="38" t="s">
        <v>90</v>
      </c>
      <c r="C74" s="38"/>
      <c r="D74" s="38"/>
      <c r="E74" s="39"/>
      <c r="G74" s="37" t="s">
        <v>86</v>
      </c>
      <c r="H74" s="38" t="s">
        <v>97</v>
      </c>
      <c r="I74" s="38"/>
      <c r="J74" s="38"/>
      <c r="K74" s="39"/>
    </row>
    <row r="75" spans="1:12">
      <c r="A75" s="26"/>
      <c r="B75" s="27"/>
      <c r="C75" s="27"/>
      <c r="D75" s="27"/>
      <c r="E75" s="28"/>
      <c r="G75" s="26"/>
      <c r="H75" s="27"/>
      <c r="I75" s="27"/>
      <c r="J75" s="27"/>
      <c r="K75" s="28"/>
    </row>
    <row r="76" spans="1:12">
      <c r="A76" s="589" t="s">
        <v>73</v>
      </c>
      <c r="B76" s="590"/>
      <c r="C76" s="590"/>
      <c r="D76" s="590"/>
      <c r="E76" s="591"/>
      <c r="G76" s="589" t="s">
        <v>73</v>
      </c>
      <c r="H76" s="590"/>
      <c r="I76" s="590"/>
      <c r="J76" s="590"/>
      <c r="K76" s="591"/>
    </row>
    <row r="77" spans="1:12">
      <c r="A77" s="29" t="s">
        <v>70</v>
      </c>
      <c r="B77" s="25" t="s">
        <v>67</v>
      </c>
      <c r="C77" s="25" t="s">
        <v>68</v>
      </c>
      <c r="D77" s="25" t="s">
        <v>66</v>
      </c>
      <c r="E77" s="30" t="s">
        <v>69</v>
      </c>
      <c r="G77" s="29" t="s">
        <v>70</v>
      </c>
      <c r="H77" s="25" t="s">
        <v>67</v>
      </c>
      <c r="I77" s="25" t="s">
        <v>68</v>
      </c>
      <c r="J77" s="25" t="s">
        <v>66</v>
      </c>
      <c r="K77" s="30" t="s">
        <v>69</v>
      </c>
    </row>
    <row r="78" spans="1:12">
      <c r="A78" s="20" t="s">
        <v>71</v>
      </c>
      <c r="B78" s="18">
        <v>1464.31</v>
      </c>
      <c r="C78" s="18">
        <f>B78/(240)</f>
        <v>6.1012916666666666</v>
      </c>
      <c r="D78" s="18">
        <v>30</v>
      </c>
      <c r="E78" s="31">
        <f>C78*(D78/60)</f>
        <v>3.0506458333333333</v>
      </c>
      <c r="G78" s="20" t="s">
        <v>71</v>
      </c>
      <c r="H78" s="18">
        <v>1464.31</v>
      </c>
      <c r="I78" s="18">
        <f>H78/(240)</f>
        <v>6.1012916666666666</v>
      </c>
      <c r="J78" s="18">
        <v>30</v>
      </c>
      <c r="K78" s="31">
        <f>I78*(J78/60)</f>
        <v>3.0506458333333333</v>
      </c>
    </row>
    <row r="79" spans="1:12">
      <c r="A79" s="20" t="s">
        <v>63</v>
      </c>
      <c r="B79" s="18">
        <v>2671.93</v>
      </c>
      <c r="C79" s="18">
        <f>B79/(240)</f>
        <v>11.133041666666665</v>
      </c>
      <c r="D79" s="18">
        <v>10</v>
      </c>
      <c r="E79" s="31">
        <f>C79*(D79/60)</f>
        <v>1.8555069444444441</v>
      </c>
      <c r="G79" s="20" t="s">
        <v>63</v>
      </c>
      <c r="H79" s="18">
        <v>2671.93</v>
      </c>
      <c r="I79" s="18">
        <f>H79/(240)</f>
        <v>11.133041666666665</v>
      </c>
      <c r="J79" s="18">
        <v>40</v>
      </c>
      <c r="K79" s="31">
        <f>I79*(J79/60)</f>
        <v>7.4220277777777763</v>
      </c>
    </row>
    <row r="80" spans="1:12">
      <c r="A80" s="20" t="s">
        <v>64</v>
      </c>
      <c r="B80" s="18">
        <v>841.77</v>
      </c>
      <c r="C80" s="18">
        <f>B80/(240)</f>
        <v>3.5073750000000001</v>
      </c>
      <c r="D80" s="18">
        <f>5+10+2</f>
        <v>17</v>
      </c>
      <c r="E80" s="31">
        <f>C80*(D80/60)</f>
        <v>0.99375625000000001</v>
      </c>
      <c r="G80" s="20" t="s">
        <v>64</v>
      </c>
      <c r="H80" s="18">
        <v>841.77</v>
      </c>
      <c r="I80" s="18">
        <f>H80/(240)</f>
        <v>3.5073750000000001</v>
      </c>
      <c r="J80" s="18">
        <f>5+10+2</f>
        <v>17</v>
      </c>
      <c r="K80" s="31">
        <f>I80*(J80/60)</f>
        <v>0.99375625000000001</v>
      </c>
    </row>
    <row r="81" spans="1:12">
      <c r="A81" s="26"/>
      <c r="B81" s="27"/>
      <c r="C81" s="27"/>
      <c r="D81" s="27"/>
      <c r="E81" s="28"/>
      <c r="G81" s="26"/>
      <c r="H81" s="27"/>
      <c r="I81" s="27"/>
      <c r="J81" s="27"/>
      <c r="K81" s="28"/>
    </row>
    <row r="82" spans="1:12">
      <c r="A82" s="592" t="s">
        <v>88</v>
      </c>
      <c r="B82" s="593"/>
      <c r="C82" s="593"/>
      <c r="D82" s="593"/>
      <c r="E82" s="594"/>
      <c r="G82" s="592" t="s">
        <v>88</v>
      </c>
      <c r="H82" s="593"/>
      <c r="I82" s="593"/>
      <c r="J82" s="593"/>
      <c r="K82" s="594"/>
    </row>
    <row r="83" spans="1:12">
      <c r="A83" s="29" t="s">
        <v>70</v>
      </c>
      <c r="B83" s="25" t="s">
        <v>67</v>
      </c>
      <c r="C83" s="25" t="s">
        <v>68</v>
      </c>
      <c r="D83" s="25" t="s">
        <v>66</v>
      </c>
      <c r="E83" s="30" t="s">
        <v>69</v>
      </c>
      <c r="G83" s="29" t="s">
        <v>70</v>
      </c>
      <c r="H83" s="25" t="s">
        <v>67</v>
      </c>
      <c r="I83" s="25" t="s">
        <v>68</v>
      </c>
      <c r="J83" s="25" t="s">
        <v>66</v>
      </c>
      <c r="K83" s="30" t="s">
        <v>69</v>
      </c>
    </row>
    <row r="84" spans="1:12">
      <c r="A84" s="20" t="s">
        <v>72</v>
      </c>
      <c r="B84" s="18">
        <v>915.51</v>
      </c>
      <c r="C84" s="18">
        <f>B84/(240)</f>
        <v>3.8146249999999999</v>
      </c>
      <c r="D84" s="18">
        <v>30</v>
      </c>
      <c r="E84" s="31">
        <f t="shared" ref="E84" si="8">C84*(D84/60)</f>
        <v>1.9073125</v>
      </c>
      <c r="G84" s="20" t="s">
        <v>72</v>
      </c>
      <c r="H84" s="18">
        <v>915.51</v>
      </c>
      <c r="I84" s="18">
        <f>H84/(240)</f>
        <v>3.8146249999999999</v>
      </c>
      <c r="J84" s="18">
        <v>30</v>
      </c>
      <c r="K84" s="31">
        <f t="shared" ref="K84" si="9">I84*(J84/60)</f>
        <v>1.9073125</v>
      </c>
    </row>
    <row r="85" spans="1:12">
      <c r="A85" s="26"/>
      <c r="B85" s="27"/>
      <c r="C85" s="27"/>
      <c r="D85" s="27"/>
      <c r="E85" s="28"/>
      <c r="G85" s="26"/>
      <c r="H85" s="27"/>
      <c r="I85" s="27"/>
      <c r="J85" s="27"/>
      <c r="K85" s="28"/>
    </row>
    <row r="86" spans="1:12" ht="16.05" customHeight="1">
      <c r="A86" s="592" t="s">
        <v>74</v>
      </c>
      <c r="B86" s="593"/>
      <c r="C86" s="593"/>
      <c r="D86" s="593"/>
      <c r="E86" s="594"/>
      <c r="G86" s="592" t="s">
        <v>74</v>
      </c>
      <c r="H86" s="593"/>
      <c r="I86" s="593"/>
      <c r="J86" s="593"/>
      <c r="K86" s="594"/>
    </row>
    <row r="87" spans="1:12">
      <c r="A87" s="29" t="s">
        <v>75</v>
      </c>
      <c r="B87" s="18"/>
      <c r="C87" s="25" t="s">
        <v>79</v>
      </c>
      <c r="D87" s="25" t="s">
        <v>80</v>
      </c>
      <c r="E87" s="30" t="s">
        <v>69</v>
      </c>
      <c r="G87" s="29" t="s">
        <v>75</v>
      </c>
      <c r="H87" s="18"/>
      <c r="I87" s="25" t="s">
        <v>79</v>
      </c>
      <c r="J87" s="25" t="s">
        <v>80</v>
      </c>
      <c r="K87" s="30" t="s">
        <v>69</v>
      </c>
    </row>
    <row r="88" spans="1:12">
      <c r="A88" s="20" t="s">
        <v>76</v>
      </c>
      <c r="B88" s="18"/>
      <c r="C88" s="18">
        <v>0.23</v>
      </c>
      <c r="D88" s="18">
        <v>1</v>
      </c>
      <c r="E88" s="31">
        <f>D88*C88</f>
        <v>0.23</v>
      </c>
      <c r="G88" s="20" t="s">
        <v>76</v>
      </c>
      <c r="H88" s="18"/>
      <c r="I88" s="18">
        <v>0.23</v>
      </c>
      <c r="J88" s="18">
        <v>1</v>
      </c>
      <c r="K88" s="31">
        <f>J88*I88</f>
        <v>0.23</v>
      </c>
    </row>
    <row r="89" spans="1:12">
      <c r="A89" s="20" t="s">
        <v>77</v>
      </c>
      <c r="B89" s="18"/>
      <c r="C89" s="18">
        <v>0.25</v>
      </c>
      <c r="D89" s="18">
        <v>1</v>
      </c>
      <c r="E89" s="31">
        <f>D89*C89</f>
        <v>0.25</v>
      </c>
      <c r="G89" s="20" t="s">
        <v>77</v>
      </c>
      <c r="H89" s="18"/>
      <c r="I89" s="18">
        <v>0.25</v>
      </c>
      <c r="J89" s="18">
        <v>1</v>
      </c>
      <c r="K89" s="31">
        <f>J89*I89</f>
        <v>0.25</v>
      </c>
    </row>
    <row r="90" spans="1:12">
      <c r="A90" s="26"/>
      <c r="B90" s="27"/>
      <c r="C90" s="27"/>
      <c r="D90" s="27"/>
      <c r="E90" s="28"/>
      <c r="G90" s="26"/>
      <c r="H90" s="27"/>
      <c r="I90" s="27"/>
      <c r="J90" s="27"/>
      <c r="K90" s="28"/>
    </row>
    <row r="91" spans="1:12">
      <c r="A91" s="26"/>
      <c r="B91" s="27"/>
      <c r="C91" s="27"/>
      <c r="D91" s="25" t="s">
        <v>102</v>
      </c>
      <c r="E91" s="32" t="s">
        <v>85</v>
      </c>
      <c r="G91" s="26"/>
      <c r="H91" s="27"/>
      <c r="I91" s="27"/>
      <c r="J91" s="25" t="s">
        <v>102</v>
      </c>
      <c r="K91" s="32" t="s">
        <v>85</v>
      </c>
    </row>
    <row r="92" spans="1:12">
      <c r="A92" s="26"/>
      <c r="B92" s="27"/>
      <c r="C92" s="27"/>
      <c r="D92" s="18" t="s">
        <v>82</v>
      </c>
      <c r="E92" s="31">
        <f>E78+E79+E80</f>
        <v>5.8999090277777766</v>
      </c>
      <c r="G92" s="26"/>
      <c r="H92" s="27"/>
      <c r="I92" s="27"/>
      <c r="J92" s="18" t="s">
        <v>82</v>
      </c>
      <c r="K92" s="31">
        <f>K78+K79+K80</f>
        <v>11.466429861111109</v>
      </c>
    </row>
    <row r="93" spans="1:12">
      <c r="A93" s="26"/>
      <c r="B93" s="27"/>
      <c r="C93" s="27"/>
      <c r="D93" s="18" t="s">
        <v>88</v>
      </c>
      <c r="E93" s="31">
        <f>+E84</f>
        <v>1.9073125</v>
      </c>
      <c r="G93" s="26"/>
      <c r="H93" s="27"/>
      <c r="I93" s="27"/>
      <c r="J93" s="18" t="s">
        <v>88</v>
      </c>
      <c r="K93" s="31">
        <f>+K84</f>
        <v>1.9073125</v>
      </c>
    </row>
    <row r="94" spans="1:12">
      <c r="A94" s="26"/>
      <c r="B94" s="27"/>
      <c r="C94" s="27"/>
      <c r="D94" s="18" t="s">
        <v>83</v>
      </c>
      <c r="E94" s="31">
        <f>+E88+E89</f>
        <v>0.48</v>
      </c>
      <c r="F94">
        <f>E94*N6</f>
        <v>7.1999999999999993</v>
      </c>
      <c r="G94" s="26"/>
      <c r="H94" s="27"/>
      <c r="I94" s="27"/>
      <c r="J94" s="18" t="s">
        <v>83</v>
      </c>
      <c r="K94" s="31">
        <f>+K88+K89</f>
        <v>0.48</v>
      </c>
      <c r="L94">
        <f>+N13*K94</f>
        <v>2.88</v>
      </c>
    </row>
    <row r="95" spans="1:12" ht="16.2" thickBot="1">
      <c r="A95" s="33"/>
      <c r="B95" s="34"/>
      <c r="C95" s="34"/>
      <c r="D95" s="35" t="s">
        <v>84</v>
      </c>
      <c r="E95" s="36">
        <f>SUM(E92:E94)</f>
        <v>8.2872215277777759</v>
      </c>
      <c r="G95" s="33"/>
      <c r="H95" s="34"/>
      <c r="I95" s="34"/>
      <c r="J95" s="35" t="s">
        <v>84</v>
      </c>
      <c r="K95" s="36">
        <f>SUM(K92:K94)</f>
        <v>13.853742361111109</v>
      </c>
    </row>
    <row r="97" spans="1:11" ht="16.2" thickBot="1"/>
    <row r="98" spans="1:11" ht="16.2" thickBot="1">
      <c r="A98" s="37" t="s">
        <v>86</v>
      </c>
      <c r="B98" s="38" t="s">
        <v>91</v>
      </c>
      <c r="C98" s="38"/>
      <c r="D98" s="38"/>
      <c r="E98" s="39"/>
      <c r="G98" s="37" t="s">
        <v>86</v>
      </c>
      <c r="H98" s="38" t="s">
        <v>98</v>
      </c>
      <c r="I98" s="38"/>
      <c r="J98" s="38"/>
      <c r="K98" s="39"/>
    </row>
    <row r="99" spans="1:11">
      <c r="A99" s="26"/>
      <c r="B99" s="27"/>
      <c r="C99" s="27"/>
      <c r="D99" s="27"/>
      <c r="E99" s="28"/>
      <c r="G99" s="26"/>
      <c r="H99" s="27"/>
      <c r="I99" s="27"/>
      <c r="J99" s="27"/>
      <c r="K99" s="28"/>
    </row>
    <row r="100" spans="1:11">
      <c r="A100" s="589" t="s">
        <v>73</v>
      </c>
      <c r="B100" s="590"/>
      <c r="C100" s="590"/>
      <c r="D100" s="590"/>
      <c r="E100" s="591"/>
      <c r="G100" s="589" t="s">
        <v>73</v>
      </c>
      <c r="H100" s="590"/>
      <c r="I100" s="590"/>
      <c r="J100" s="590"/>
      <c r="K100" s="591"/>
    </row>
    <row r="101" spans="1:11">
      <c r="A101" s="29" t="s">
        <v>70</v>
      </c>
      <c r="B101" s="25" t="s">
        <v>67</v>
      </c>
      <c r="C101" s="25" t="s">
        <v>68</v>
      </c>
      <c r="D101" s="25" t="s">
        <v>66</v>
      </c>
      <c r="E101" s="30" t="s">
        <v>69</v>
      </c>
      <c r="G101" s="29" t="s">
        <v>70</v>
      </c>
      <c r="H101" s="25" t="s">
        <v>67</v>
      </c>
      <c r="I101" s="25" t="s">
        <v>68</v>
      </c>
      <c r="J101" s="25" t="s">
        <v>66</v>
      </c>
      <c r="K101" s="30" t="s">
        <v>69</v>
      </c>
    </row>
    <row r="102" spans="1:11">
      <c r="A102" s="20" t="s">
        <v>71</v>
      </c>
      <c r="B102" s="18">
        <v>1464.31</v>
      </c>
      <c r="C102" s="18">
        <f>B102/(240)</f>
        <v>6.1012916666666666</v>
      </c>
      <c r="D102" s="18">
        <v>30</v>
      </c>
      <c r="E102" s="31">
        <f>C102*(D102/60)</f>
        <v>3.0506458333333333</v>
      </c>
      <c r="G102" s="20" t="s">
        <v>71</v>
      </c>
      <c r="H102" s="18">
        <v>1464.31</v>
      </c>
      <c r="I102" s="18">
        <f>H102/(240)</f>
        <v>6.1012916666666666</v>
      </c>
      <c r="J102" s="18">
        <v>30</v>
      </c>
      <c r="K102" s="31">
        <f>I102*(J102/60)</f>
        <v>3.0506458333333333</v>
      </c>
    </row>
    <row r="103" spans="1:11">
      <c r="A103" s="20" t="s">
        <v>63</v>
      </c>
      <c r="B103" s="18">
        <v>2671.93</v>
      </c>
      <c r="C103" s="18">
        <f>B103/(240)</f>
        <v>11.133041666666665</v>
      </c>
      <c r="D103" s="18">
        <v>10</v>
      </c>
      <c r="E103" s="31">
        <f>C103*(D103/60)</f>
        <v>1.8555069444444441</v>
      </c>
      <c r="G103" s="20" t="s">
        <v>63</v>
      </c>
      <c r="H103" s="18">
        <v>2671.93</v>
      </c>
      <c r="I103" s="18">
        <f>H103/(240)</f>
        <v>11.133041666666665</v>
      </c>
      <c r="J103" s="18">
        <v>40</v>
      </c>
      <c r="K103" s="31">
        <f>I103*(J103/60)</f>
        <v>7.4220277777777763</v>
      </c>
    </row>
    <row r="104" spans="1:11">
      <c r="A104" s="20" t="s">
        <v>64</v>
      </c>
      <c r="B104" s="18">
        <v>841.77</v>
      </c>
      <c r="C104" s="18">
        <f>B104/(240)</f>
        <v>3.5073750000000001</v>
      </c>
      <c r="D104" s="18">
        <f>5+10+2</f>
        <v>17</v>
      </c>
      <c r="E104" s="31">
        <f>C104*(D104/60)</f>
        <v>0.99375625000000001</v>
      </c>
      <c r="G104" s="20" t="s">
        <v>64</v>
      </c>
      <c r="H104" s="18">
        <v>841.77</v>
      </c>
      <c r="I104" s="18">
        <f>H104/(240)</f>
        <v>3.5073750000000001</v>
      </c>
      <c r="J104" s="18">
        <f>5+10+2</f>
        <v>17</v>
      </c>
      <c r="K104" s="31">
        <f>I104*(J104/60)</f>
        <v>0.99375625000000001</v>
      </c>
    </row>
    <row r="105" spans="1:11">
      <c r="A105" s="26"/>
      <c r="B105" s="27"/>
      <c r="C105" s="27"/>
      <c r="D105" s="27"/>
      <c r="E105" s="28"/>
      <c r="G105" s="26"/>
      <c r="H105" s="27"/>
      <c r="I105" s="27"/>
      <c r="J105" s="27"/>
      <c r="K105" s="28"/>
    </row>
    <row r="106" spans="1:11">
      <c r="A106" s="592" t="s">
        <v>88</v>
      </c>
      <c r="B106" s="593"/>
      <c r="C106" s="593"/>
      <c r="D106" s="593"/>
      <c r="E106" s="594"/>
      <c r="G106" s="592" t="s">
        <v>88</v>
      </c>
      <c r="H106" s="593"/>
      <c r="I106" s="593"/>
      <c r="J106" s="593"/>
      <c r="K106" s="594"/>
    </row>
    <row r="107" spans="1:11">
      <c r="A107" s="29" t="s">
        <v>70</v>
      </c>
      <c r="B107" s="25" t="s">
        <v>67</v>
      </c>
      <c r="C107" s="25" t="s">
        <v>68</v>
      </c>
      <c r="D107" s="25" t="s">
        <v>66</v>
      </c>
      <c r="E107" s="30" t="s">
        <v>69</v>
      </c>
      <c r="G107" s="29" t="s">
        <v>70</v>
      </c>
      <c r="H107" s="25" t="s">
        <v>67</v>
      </c>
      <c r="I107" s="25" t="s">
        <v>68</v>
      </c>
      <c r="J107" s="25" t="s">
        <v>66</v>
      </c>
      <c r="K107" s="30" t="s">
        <v>69</v>
      </c>
    </row>
    <row r="108" spans="1:11">
      <c r="A108" s="20" t="s">
        <v>72</v>
      </c>
      <c r="B108" s="18">
        <v>915.51</v>
      </c>
      <c r="C108" s="18">
        <f>B108/(240)</f>
        <v>3.8146249999999999</v>
      </c>
      <c r="D108" s="18">
        <v>30</v>
      </c>
      <c r="E108" s="31">
        <f t="shared" ref="E108" si="10">C108*(D108/60)</f>
        <v>1.9073125</v>
      </c>
      <c r="G108" s="20" t="s">
        <v>72</v>
      </c>
      <c r="H108" s="18">
        <v>915.51</v>
      </c>
      <c r="I108" s="18">
        <f>H108/(240)</f>
        <v>3.8146249999999999</v>
      </c>
      <c r="J108" s="18">
        <v>30</v>
      </c>
      <c r="K108" s="31">
        <f t="shared" ref="K108" si="11">I108*(J108/60)</f>
        <v>1.9073125</v>
      </c>
    </row>
    <row r="109" spans="1:11">
      <c r="A109" s="26"/>
      <c r="B109" s="27"/>
      <c r="C109" s="27"/>
      <c r="D109" s="27"/>
      <c r="E109" s="28"/>
      <c r="G109" s="26"/>
      <c r="H109" s="27"/>
      <c r="I109" s="27"/>
      <c r="J109" s="27"/>
      <c r="K109" s="28"/>
    </row>
    <row r="110" spans="1:11" ht="16.05" customHeight="1">
      <c r="A110" s="592" t="s">
        <v>74</v>
      </c>
      <c r="B110" s="593"/>
      <c r="C110" s="593"/>
      <c r="D110" s="593"/>
      <c r="E110" s="594"/>
      <c r="G110" s="592" t="s">
        <v>74</v>
      </c>
      <c r="H110" s="593"/>
      <c r="I110" s="593"/>
      <c r="J110" s="593"/>
      <c r="K110" s="594"/>
    </row>
    <row r="111" spans="1:11">
      <c r="A111" s="29" t="s">
        <v>75</v>
      </c>
      <c r="B111" s="18"/>
      <c r="C111" s="25" t="s">
        <v>79</v>
      </c>
      <c r="D111" s="25" t="s">
        <v>80</v>
      </c>
      <c r="E111" s="30" t="s">
        <v>69</v>
      </c>
      <c r="G111" s="29" t="s">
        <v>75</v>
      </c>
      <c r="H111" s="18"/>
      <c r="I111" s="25" t="s">
        <v>79</v>
      </c>
      <c r="J111" s="25" t="s">
        <v>80</v>
      </c>
      <c r="K111" s="30" t="s">
        <v>69</v>
      </c>
    </row>
    <row r="112" spans="1:11">
      <c r="A112" s="20" t="s">
        <v>76</v>
      </c>
      <c r="B112" s="18"/>
      <c r="C112" s="18">
        <v>0.23</v>
      </c>
      <c r="D112" s="18">
        <v>1</v>
      </c>
      <c r="E112" s="31">
        <f>D112*C112</f>
        <v>0.23</v>
      </c>
      <c r="G112" s="20" t="s">
        <v>76</v>
      </c>
      <c r="H112" s="18"/>
      <c r="I112" s="18">
        <v>0.23</v>
      </c>
      <c r="J112" s="18">
        <v>1</v>
      </c>
      <c r="K112" s="31">
        <f>J112*I112</f>
        <v>0.23</v>
      </c>
    </row>
    <row r="113" spans="1:12">
      <c r="A113" s="20" t="s">
        <v>77</v>
      </c>
      <c r="B113" s="18"/>
      <c r="C113" s="18">
        <v>0.25</v>
      </c>
      <c r="D113" s="18">
        <v>1</v>
      </c>
      <c r="E113" s="31">
        <f>D113*C113</f>
        <v>0.25</v>
      </c>
      <c r="G113" s="20" t="s">
        <v>77</v>
      </c>
      <c r="H113" s="18"/>
      <c r="I113" s="18">
        <v>0.25</v>
      </c>
      <c r="J113" s="18">
        <v>1</v>
      </c>
      <c r="K113" s="31">
        <f>J113*I113</f>
        <v>0.25</v>
      </c>
    </row>
    <row r="114" spans="1:12">
      <c r="A114" s="26"/>
      <c r="B114" s="27"/>
      <c r="C114" s="27"/>
      <c r="D114" s="27"/>
      <c r="E114" s="28"/>
      <c r="G114" s="26"/>
      <c r="H114" s="27"/>
      <c r="I114" s="27"/>
      <c r="J114" s="27"/>
      <c r="K114" s="28"/>
    </row>
    <row r="115" spans="1:12">
      <c r="A115" s="26"/>
      <c r="B115" s="27"/>
      <c r="C115" s="27"/>
      <c r="D115" s="25" t="s">
        <v>99</v>
      </c>
      <c r="E115" s="32" t="s">
        <v>85</v>
      </c>
      <c r="G115" s="26"/>
      <c r="H115" s="27"/>
      <c r="I115" s="27"/>
      <c r="J115" s="25" t="s">
        <v>99</v>
      </c>
      <c r="K115" s="32" t="s">
        <v>85</v>
      </c>
    </row>
    <row r="116" spans="1:12">
      <c r="A116" s="26"/>
      <c r="B116" s="27"/>
      <c r="C116" s="27"/>
      <c r="D116" s="18" t="s">
        <v>82</v>
      </c>
      <c r="E116" s="31">
        <f>E102+E103+E104</f>
        <v>5.8999090277777766</v>
      </c>
      <c r="G116" s="26"/>
      <c r="H116" s="27"/>
      <c r="I116" s="27"/>
      <c r="J116" s="18" t="s">
        <v>82</v>
      </c>
      <c r="K116" s="31">
        <f>K102+K103+K104</f>
        <v>11.466429861111109</v>
      </c>
    </row>
    <row r="117" spans="1:12">
      <c r="A117" s="26"/>
      <c r="B117" s="27"/>
      <c r="C117" s="27"/>
      <c r="D117" s="18" t="s">
        <v>88</v>
      </c>
      <c r="E117" s="31">
        <f>+E108</f>
        <v>1.9073125</v>
      </c>
      <c r="G117" s="26"/>
      <c r="H117" s="27"/>
      <c r="I117" s="27"/>
      <c r="J117" s="18" t="s">
        <v>88</v>
      </c>
      <c r="K117" s="31">
        <f>+K108</f>
        <v>1.9073125</v>
      </c>
    </row>
    <row r="118" spans="1:12">
      <c r="A118" s="26"/>
      <c r="B118" s="27"/>
      <c r="C118" s="27"/>
      <c r="D118" s="18" t="s">
        <v>83</v>
      </c>
      <c r="E118" s="31">
        <f>+E112+E113</f>
        <v>0.48</v>
      </c>
      <c r="F118">
        <f>E118*N7</f>
        <v>32.159999999999997</v>
      </c>
      <c r="G118" s="26"/>
      <c r="H118" s="27"/>
      <c r="I118" s="27"/>
      <c r="J118" s="18" t="s">
        <v>83</v>
      </c>
      <c r="K118" s="31">
        <f>+K112+K113</f>
        <v>0.48</v>
      </c>
      <c r="L118">
        <f>K118*N14</f>
        <v>2.88</v>
      </c>
    </row>
    <row r="119" spans="1:12" ht="16.2" thickBot="1">
      <c r="A119" s="33"/>
      <c r="B119" s="34"/>
      <c r="C119" s="34"/>
      <c r="D119" s="35" t="s">
        <v>84</v>
      </c>
      <c r="E119" s="36">
        <f>SUM(E116:E118)</f>
        <v>8.2872215277777759</v>
      </c>
      <c r="G119" s="33"/>
      <c r="H119" s="34"/>
      <c r="I119" s="34"/>
      <c r="J119" s="35" t="s">
        <v>84</v>
      </c>
      <c r="K119" s="36">
        <f>SUM(K116:K118)</f>
        <v>13.853742361111109</v>
      </c>
    </row>
    <row r="121" spans="1:12" ht="16.2" thickBot="1"/>
    <row r="122" spans="1:12" ht="16.2" thickBot="1">
      <c r="A122" s="37" t="s">
        <v>86</v>
      </c>
      <c r="B122" s="38" t="s">
        <v>92</v>
      </c>
      <c r="C122" s="38"/>
      <c r="D122" s="38"/>
      <c r="E122" s="39"/>
    </row>
    <row r="123" spans="1:12">
      <c r="A123" s="26"/>
      <c r="B123" s="27"/>
      <c r="C123" s="27"/>
      <c r="D123" s="27"/>
      <c r="E123" s="28"/>
    </row>
    <row r="124" spans="1:12">
      <c r="A124" s="589" t="s">
        <v>73</v>
      </c>
      <c r="B124" s="590"/>
      <c r="C124" s="590"/>
      <c r="D124" s="590"/>
      <c r="E124" s="591"/>
      <c r="G124" t="s">
        <v>75</v>
      </c>
      <c r="H124">
        <f>F22+F46+F70+F94+F118+F142+F166+L22+L46+L70+L94+L118</f>
        <v>169.92</v>
      </c>
    </row>
    <row r="125" spans="1:12">
      <c r="A125" s="29" t="s">
        <v>70</v>
      </c>
      <c r="B125" s="25" t="s">
        <v>67</v>
      </c>
      <c r="C125" s="25" t="s">
        <v>68</v>
      </c>
      <c r="D125" s="25" t="s">
        <v>66</v>
      </c>
      <c r="E125" s="30" t="s">
        <v>69</v>
      </c>
      <c r="G125" s="303" t="s">
        <v>285</v>
      </c>
      <c r="H125">
        <f>H124+B6+B7+B8+B12</f>
        <v>6063.4400000000005</v>
      </c>
    </row>
    <row r="126" spans="1:12">
      <c r="A126" s="20" t="s">
        <v>71</v>
      </c>
      <c r="B126" s="18">
        <v>1464.31</v>
      </c>
      <c r="C126" s="18">
        <f>B126/(240)</f>
        <v>6.1012916666666666</v>
      </c>
      <c r="D126" s="18">
        <v>30</v>
      </c>
      <c r="E126" s="31">
        <f>C126*(D126/60)</f>
        <v>3.0506458333333333</v>
      </c>
    </row>
    <row r="127" spans="1:12">
      <c r="A127" s="20" t="s">
        <v>63</v>
      </c>
      <c r="B127" s="18">
        <v>2671.93</v>
      </c>
      <c r="C127" s="18">
        <f>B127/(240)</f>
        <v>11.133041666666665</v>
      </c>
      <c r="D127" s="18">
        <v>10</v>
      </c>
      <c r="E127" s="31">
        <f>C127*(D127/60)</f>
        <v>1.8555069444444441</v>
      </c>
    </row>
    <row r="128" spans="1:12">
      <c r="A128" s="20" t="s">
        <v>64</v>
      </c>
      <c r="B128" s="18">
        <v>841.77</v>
      </c>
      <c r="C128" s="18">
        <f>B128/(240)</f>
        <v>3.5073750000000001</v>
      </c>
      <c r="D128" s="18">
        <f>5+10+2</f>
        <v>17</v>
      </c>
      <c r="E128" s="31">
        <f>C128*(D128/60)</f>
        <v>0.99375625000000001</v>
      </c>
    </row>
    <row r="129" spans="1:6">
      <c r="A129" s="26"/>
      <c r="B129" s="27"/>
      <c r="C129" s="27"/>
      <c r="D129" s="27"/>
      <c r="E129" s="28"/>
    </row>
    <row r="130" spans="1:6">
      <c r="A130" s="592" t="s">
        <v>88</v>
      </c>
      <c r="B130" s="593"/>
      <c r="C130" s="593"/>
      <c r="D130" s="593"/>
      <c r="E130" s="594"/>
    </row>
    <row r="131" spans="1:6">
      <c r="A131" s="29" t="s">
        <v>70</v>
      </c>
      <c r="B131" s="25" t="s">
        <v>67</v>
      </c>
      <c r="C131" s="25" t="s">
        <v>68</v>
      </c>
      <c r="D131" s="25" t="s">
        <v>66</v>
      </c>
      <c r="E131" s="30" t="s">
        <v>69</v>
      </c>
    </row>
    <row r="132" spans="1:6">
      <c r="A132" s="20" t="s">
        <v>72</v>
      </c>
      <c r="B132" s="18">
        <v>915.51</v>
      </c>
      <c r="C132" s="18">
        <f>B132/(240)</f>
        <v>3.8146249999999999</v>
      </c>
      <c r="D132" s="18">
        <v>30</v>
      </c>
      <c r="E132" s="31">
        <f t="shared" ref="E132" si="12">C132*(D132/60)</f>
        <v>1.9073125</v>
      </c>
    </row>
    <row r="133" spans="1:6">
      <c r="A133" s="26"/>
      <c r="B133" s="27"/>
      <c r="C133" s="27"/>
      <c r="D133" s="27"/>
      <c r="E133" s="28"/>
    </row>
    <row r="134" spans="1:6" ht="16.05" customHeight="1">
      <c r="A134" s="592" t="s">
        <v>74</v>
      </c>
      <c r="B134" s="593"/>
      <c r="C134" s="593"/>
      <c r="D134" s="593"/>
      <c r="E134" s="594"/>
    </row>
    <row r="135" spans="1:6">
      <c r="A135" s="29" t="s">
        <v>75</v>
      </c>
      <c r="B135" s="18"/>
      <c r="C135" s="25" t="s">
        <v>79</v>
      </c>
      <c r="D135" s="25" t="s">
        <v>80</v>
      </c>
      <c r="E135" s="30" t="s">
        <v>69</v>
      </c>
    </row>
    <row r="136" spans="1:6">
      <c r="A136" s="20" t="s">
        <v>76</v>
      </c>
      <c r="B136" s="18"/>
      <c r="C136" s="18">
        <v>0.23</v>
      </c>
      <c r="D136" s="18">
        <v>1</v>
      </c>
      <c r="E136" s="31">
        <f>D136*C136</f>
        <v>0.23</v>
      </c>
    </row>
    <row r="137" spans="1:6">
      <c r="A137" s="20" t="s">
        <v>77</v>
      </c>
      <c r="B137" s="18"/>
      <c r="C137" s="18">
        <v>0.25</v>
      </c>
      <c r="D137" s="18">
        <v>1</v>
      </c>
      <c r="E137" s="31">
        <f>D137*C137</f>
        <v>0.25</v>
      </c>
    </row>
    <row r="138" spans="1:6">
      <c r="A138" s="26"/>
      <c r="B138" s="27"/>
      <c r="C138" s="27"/>
      <c r="D138" s="27"/>
      <c r="E138" s="28"/>
    </row>
    <row r="139" spans="1:6">
      <c r="A139" s="26"/>
      <c r="B139" s="27"/>
      <c r="C139" s="27"/>
      <c r="D139" s="25" t="s">
        <v>99</v>
      </c>
      <c r="E139" s="32" t="s">
        <v>85</v>
      </c>
    </row>
    <row r="140" spans="1:6">
      <c r="A140" s="26"/>
      <c r="B140" s="27"/>
      <c r="C140" s="27"/>
      <c r="D140" s="18" t="s">
        <v>82</v>
      </c>
      <c r="E140" s="31">
        <f>E126+E127+E128</f>
        <v>5.8999090277777766</v>
      </c>
    </row>
    <row r="141" spans="1:6">
      <c r="A141" s="26"/>
      <c r="B141" s="27"/>
      <c r="C141" s="27"/>
      <c r="D141" s="18" t="s">
        <v>88</v>
      </c>
      <c r="E141" s="31">
        <f>+E132</f>
        <v>1.9073125</v>
      </c>
    </row>
    <row r="142" spans="1:6">
      <c r="A142" s="26"/>
      <c r="B142" s="27"/>
      <c r="C142" s="27"/>
      <c r="D142" s="18" t="s">
        <v>83</v>
      </c>
      <c r="E142" s="31">
        <f>+E136+E137</f>
        <v>0.48</v>
      </c>
      <c r="F142">
        <f>E142*N8</f>
        <v>32.159999999999997</v>
      </c>
    </row>
    <row r="143" spans="1:6" ht="16.2" thickBot="1">
      <c r="A143" s="33"/>
      <c r="B143" s="34"/>
      <c r="C143" s="34"/>
      <c r="D143" s="35" t="s">
        <v>84</v>
      </c>
      <c r="E143" s="36">
        <f>SUM(E140:E142)</f>
        <v>8.2872215277777759</v>
      </c>
    </row>
    <row r="145" spans="1:5" ht="16.2" thickBot="1"/>
    <row r="146" spans="1:5" ht="16.2" thickBot="1">
      <c r="A146" s="37" t="s">
        <v>86</v>
      </c>
      <c r="B146" s="38" t="s">
        <v>93</v>
      </c>
      <c r="C146" s="38"/>
      <c r="D146" s="38"/>
      <c r="E146" s="39"/>
    </row>
    <row r="147" spans="1:5">
      <c r="A147" s="26"/>
      <c r="B147" s="27"/>
      <c r="C147" s="27"/>
      <c r="D147" s="27"/>
      <c r="E147" s="28"/>
    </row>
    <row r="148" spans="1:5">
      <c r="A148" s="589" t="s">
        <v>73</v>
      </c>
      <c r="B148" s="590"/>
      <c r="C148" s="590"/>
      <c r="D148" s="590"/>
      <c r="E148" s="591"/>
    </row>
    <row r="149" spans="1:5">
      <c r="A149" s="29" t="s">
        <v>70</v>
      </c>
      <c r="B149" s="25" t="s">
        <v>67</v>
      </c>
      <c r="C149" s="25" t="s">
        <v>68</v>
      </c>
      <c r="D149" s="25" t="s">
        <v>66</v>
      </c>
      <c r="E149" s="30" t="s">
        <v>69</v>
      </c>
    </row>
    <row r="150" spans="1:5">
      <c r="A150" s="20" t="s">
        <v>71</v>
      </c>
      <c r="B150" s="18">
        <v>1464.31</v>
      </c>
      <c r="C150" s="18">
        <f>B150/(240)</f>
        <v>6.1012916666666666</v>
      </c>
      <c r="D150" s="18">
        <v>30</v>
      </c>
      <c r="E150" s="31">
        <f>C150*(D150/60)</f>
        <v>3.0506458333333333</v>
      </c>
    </row>
    <row r="151" spans="1:5">
      <c r="A151" s="20" t="s">
        <v>63</v>
      </c>
      <c r="B151" s="18">
        <v>2671.93</v>
      </c>
      <c r="C151" s="18">
        <f>B151/(240)</f>
        <v>11.133041666666665</v>
      </c>
      <c r="D151" s="18">
        <v>10</v>
      </c>
      <c r="E151" s="31">
        <f>C151*(D151/60)</f>
        <v>1.8555069444444441</v>
      </c>
    </row>
    <row r="152" spans="1:5">
      <c r="A152" s="20" t="s">
        <v>64</v>
      </c>
      <c r="B152" s="18">
        <v>841.77</v>
      </c>
      <c r="C152" s="18">
        <f>B152/(240)</f>
        <v>3.5073750000000001</v>
      </c>
      <c r="D152" s="18">
        <f>5+10+2</f>
        <v>17</v>
      </c>
      <c r="E152" s="31">
        <f>C152*(D152/60)</f>
        <v>0.99375625000000001</v>
      </c>
    </row>
    <row r="153" spans="1:5">
      <c r="A153" s="26"/>
      <c r="B153" s="27"/>
      <c r="C153" s="27"/>
      <c r="D153" s="27"/>
      <c r="E153" s="28"/>
    </row>
    <row r="154" spans="1:5">
      <c r="A154" s="592" t="s">
        <v>88</v>
      </c>
      <c r="B154" s="593"/>
      <c r="C154" s="593"/>
      <c r="D154" s="593"/>
      <c r="E154" s="594"/>
    </row>
    <row r="155" spans="1:5">
      <c r="A155" s="29" t="s">
        <v>70</v>
      </c>
      <c r="B155" s="25" t="s">
        <v>67</v>
      </c>
      <c r="C155" s="25" t="s">
        <v>68</v>
      </c>
      <c r="D155" s="25" t="s">
        <v>66</v>
      </c>
      <c r="E155" s="30" t="s">
        <v>69</v>
      </c>
    </row>
    <row r="156" spans="1:5">
      <c r="A156" s="20" t="s">
        <v>72</v>
      </c>
      <c r="B156" s="18">
        <v>915.51</v>
      </c>
      <c r="C156" s="18">
        <f>B156/(240)</f>
        <v>3.8146249999999999</v>
      </c>
      <c r="D156" s="18">
        <v>30</v>
      </c>
      <c r="E156" s="31">
        <f t="shared" ref="E156" si="13">C156*(D156/60)</f>
        <v>1.9073125</v>
      </c>
    </row>
    <row r="157" spans="1:5">
      <c r="A157" s="26"/>
      <c r="B157" s="27"/>
      <c r="C157" s="27"/>
      <c r="D157" s="27"/>
      <c r="E157" s="28"/>
    </row>
    <row r="158" spans="1:5" ht="16.05" customHeight="1">
      <c r="A158" s="592" t="s">
        <v>74</v>
      </c>
      <c r="B158" s="593"/>
      <c r="C158" s="593"/>
      <c r="D158" s="593"/>
      <c r="E158" s="594"/>
    </row>
    <row r="159" spans="1:5">
      <c r="A159" s="29" t="s">
        <v>75</v>
      </c>
      <c r="B159" s="18"/>
      <c r="C159" s="25" t="s">
        <v>79</v>
      </c>
      <c r="D159" s="25" t="s">
        <v>80</v>
      </c>
      <c r="E159" s="30" t="s">
        <v>69</v>
      </c>
    </row>
    <row r="160" spans="1:5">
      <c r="A160" s="20" t="s">
        <v>76</v>
      </c>
      <c r="B160" s="18"/>
      <c r="C160" s="18">
        <v>0.23</v>
      </c>
      <c r="D160" s="18">
        <v>1</v>
      </c>
      <c r="E160" s="31">
        <f>D160*C160</f>
        <v>0.23</v>
      </c>
    </row>
    <row r="161" spans="1:6">
      <c r="A161" s="20" t="s">
        <v>77</v>
      </c>
      <c r="B161" s="18"/>
      <c r="C161" s="18">
        <v>0.25</v>
      </c>
      <c r="D161" s="18">
        <v>1</v>
      </c>
      <c r="E161" s="31">
        <f>D161*C161</f>
        <v>0.25</v>
      </c>
    </row>
    <row r="162" spans="1:6">
      <c r="A162" s="26"/>
      <c r="B162" s="27"/>
      <c r="C162" s="27"/>
      <c r="D162" s="27"/>
      <c r="E162" s="28"/>
    </row>
    <row r="163" spans="1:6">
      <c r="A163" s="26"/>
      <c r="B163" s="27"/>
      <c r="C163" s="27"/>
      <c r="D163" s="25" t="s">
        <v>99</v>
      </c>
      <c r="E163" s="32" t="s">
        <v>85</v>
      </c>
    </row>
    <row r="164" spans="1:6">
      <c r="A164" s="26"/>
      <c r="B164" s="27"/>
      <c r="C164" s="27"/>
      <c r="D164" s="18" t="s">
        <v>82</v>
      </c>
      <c r="E164" s="31">
        <f>E150+E151+E152</f>
        <v>5.8999090277777766</v>
      </c>
    </row>
    <row r="165" spans="1:6">
      <c r="A165" s="26"/>
      <c r="B165" s="27"/>
      <c r="C165" s="27"/>
      <c r="D165" s="18" t="s">
        <v>88</v>
      </c>
      <c r="E165" s="31">
        <f>+E156</f>
        <v>1.9073125</v>
      </c>
    </row>
    <row r="166" spans="1:6">
      <c r="A166" s="26"/>
      <c r="B166" s="27"/>
      <c r="C166" s="27"/>
      <c r="D166" s="18" t="s">
        <v>83</v>
      </c>
      <c r="E166" s="31">
        <f>+E160+E161</f>
        <v>0.48</v>
      </c>
      <c r="F166">
        <f>E166*N9</f>
        <v>7.1999999999999993</v>
      </c>
    </row>
    <row r="167" spans="1:6" ht="16.2" thickBot="1">
      <c r="A167" s="33"/>
      <c r="B167" s="34"/>
      <c r="C167" s="34"/>
      <c r="D167" s="35" t="s">
        <v>84</v>
      </c>
      <c r="E167" s="36">
        <f>SUM(E164:E166)</f>
        <v>8.2872215277777759</v>
      </c>
    </row>
  </sheetData>
  <mergeCells count="37">
    <mergeCell ref="A62:E62"/>
    <mergeCell ref="A76:E76"/>
    <mergeCell ref="A82:E82"/>
    <mergeCell ref="A4:E4"/>
    <mergeCell ref="A10:E10"/>
    <mergeCell ref="A14:E14"/>
    <mergeCell ref="A28:E28"/>
    <mergeCell ref="A34:E34"/>
    <mergeCell ref="A134:E134"/>
    <mergeCell ref="A148:E148"/>
    <mergeCell ref="A154:E154"/>
    <mergeCell ref="A158:E158"/>
    <mergeCell ref="G4:K4"/>
    <mergeCell ref="G10:K10"/>
    <mergeCell ref="G14:K14"/>
    <mergeCell ref="A86:E86"/>
    <mergeCell ref="A100:E100"/>
    <mergeCell ref="A106:E106"/>
    <mergeCell ref="A110:E110"/>
    <mergeCell ref="A124:E124"/>
    <mergeCell ref="A130:E130"/>
    <mergeCell ref="A38:E38"/>
    <mergeCell ref="A52:E52"/>
    <mergeCell ref="A58:E58"/>
    <mergeCell ref="G106:K106"/>
    <mergeCell ref="G110:K110"/>
    <mergeCell ref="G28:K28"/>
    <mergeCell ref="G34:K34"/>
    <mergeCell ref="G38:K38"/>
    <mergeCell ref="G52:K52"/>
    <mergeCell ref="G58:K58"/>
    <mergeCell ref="G62:K62"/>
    <mergeCell ref="N17:O17"/>
    <mergeCell ref="G76:K76"/>
    <mergeCell ref="G82:K82"/>
    <mergeCell ref="G86:K86"/>
    <mergeCell ref="G100:K100"/>
  </mergeCells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C239" sqref="C239"/>
    </sheetView>
  </sheetViews>
  <sheetFormatPr baseColWidth="10" defaultColWidth="10.796875" defaultRowHeight="14.4"/>
  <cols>
    <col min="1" max="1" width="25.19921875" style="40" bestFit="1" customWidth="1"/>
    <col min="2" max="2" width="25.796875" style="40" bestFit="1" customWidth="1"/>
    <col min="3" max="16384" width="10.796875" style="40"/>
  </cols>
  <sheetData>
    <row r="1" spans="1:2">
      <c r="B1" s="40" t="s">
        <v>161</v>
      </c>
    </row>
    <row r="2" spans="1:2">
      <c r="A2" s="40" t="s">
        <v>81</v>
      </c>
      <c r="B2" s="40">
        <v>6.6699999999999995E-2</v>
      </c>
    </row>
    <row r="3" spans="1:2">
      <c r="A3" s="40" t="s">
        <v>162</v>
      </c>
      <c r="B3" s="40">
        <v>0.66110000000000002</v>
      </c>
    </row>
    <row r="4" spans="1:2">
      <c r="A4" s="40" t="s">
        <v>163</v>
      </c>
      <c r="B4" s="40">
        <v>0.46666999999999997</v>
      </c>
    </row>
    <row r="5" spans="1:2">
      <c r="A5" s="40" t="s">
        <v>90</v>
      </c>
      <c r="B5" s="40">
        <v>1.17</v>
      </c>
    </row>
    <row r="6" spans="1:2">
      <c r="A6" s="40" t="s">
        <v>91</v>
      </c>
      <c r="B6" s="40">
        <v>0.71</v>
      </c>
    </row>
    <row r="7" spans="1:2">
      <c r="A7" s="40" t="s">
        <v>92</v>
      </c>
      <c r="B7" s="40">
        <v>0.47</v>
      </c>
    </row>
    <row r="8" spans="1:2">
      <c r="A8" s="40" t="s">
        <v>93</v>
      </c>
      <c r="B8" s="40">
        <v>1.9166700000000001</v>
      </c>
    </row>
    <row r="9" spans="1:2">
      <c r="A9" s="40" t="s">
        <v>94</v>
      </c>
      <c r="B9" s="40">
        <v>2.33</v>
      </c>
    </row>
    <row r="10" spans="1:2">
      <c r="A10" s="40" t="s">
        <v>164</v>
      </c>
      <c r="B10" s="40">
        <v>0.77</v>
      </c>
    </row>
    <row r="11" spans="1:2">
      <c r="A11" s="40" t="s">
        <v>106</v>
      </c>
      <c r="B11" s="40">
        <v>0.48</v>
      </c>
    </row>
    <row r="12" spans="1:2">
      <c r="A12" s="40" t="s">
        <v>107</v>
      </c>
      <c r="B12" s="40">
        <v>1.63</v>
      </c>
    </row>
    <row r="13" spans="1:2">
      <c r="A13" s="40" t="s">
        <v>108</v>
      </c>
      <c r="B13" s="40">
        <v>2.36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18"/>
  <sheetViews>
    <sheetView topLeftCell="C156" zoomScale="75" zoomScaleNormal="50" zoomScalePageLayoutView="50" workbookViewId="0">
      <selection activeCell="B182" sqref="B182:E191"/>
    </sheetView>
  </sheetViews>
  <sheetFormatPr baseColWidth="10" defaultColWidth="10.796875" defaultRowHeight="13.8"/>
  <cols>
    <col min="1" max="1" width="10.796875" style="62"/>
    <col min="2" max="2" width="35" style="62" customWidth="1"/>
    <col min="3" max="3" width="13" style="63" customWidth="1"/>
    <col min="4" max="4" width="9.19921875" style="63" bestFit="1" customWidth="1"/>
    <col min="5" max="5" width="13.69921875" style="63" customWidth="1"/>
    <col min="6" max="16384" width="10.796875" style="62"/>
  </cols>
  <sheetData>
    <row r="5" spans="1:5" ht="14.4" thickBot="1"/>
    <row r="6" spans="1:5" s="69" customFormat="1" ht="14.4" thickBot="1">
      <c r="A6" s="68" t="s">
        <v>165</v>
      </c>
      <c r="B6" s="595" t="s">
        <v>166</v>
      </c>
      <c r="C6" s="596"/>
      <c r="D6" s="596"/>
      <c r="E6" s="597"/>
    </row>
    <row r="7" spans="1:5" s="70" customFormat="1" ht="41.4">
      <c r="B7" s="71" t="s">
        <v>0</v>
      </c>
      <c r="C7" s="72" t="s">
        <v>169</v>
      </c>
      <c r="D7" s="72" t="s">
        <v>172</v>
      </c>
      <c r="E7" s="334" t="s">
        <v>174</v>
      </c>
    </row>
    <row r="8" spans="1:5">
      <c r="B8" s="81" t="s">
        <v>181</v>
      </c>
      <c r="C8" s="82"/>
      <c r="D8" s="82">
        <f>0.0083+0.0083</f>
        <v>1.66E-2</v>
      </c>
      <c r="E8" s="331"/>
    </row>
    <row r="9" spans="1:5">
      <c r="B9" s="88" t="s">
        <v>3</v>
      </c>
      <c r="C9" s="89"/>
      <c r="D9" s="89">
        <v>17</v>
      </c>
      <c r="E9" s="332"/>
    </row>
    <row r="10" spans="1:5">
      <c r="B10" s="88" t="s">
        <v>188</v>
      </c>
      <c r="C10" s="89"/>
      <c r="D10" s="89">
        <v>17</v>
      </c>
      <c r="E10" s="332"/>
    </row>
    <row r="11" spans="1:5" ht="14.4" thickBot="1">
      <c r="B11" s="93"/>
      <c r="C11" s="94" t="s">
        <v>120</v>
      </c>
      <c r="D11" s="94"/>
      <c r="E11" s="333">
        <f>Rendimientos!B2</f>
        <v>6.6699999999999995E-2</v>
      </c>
    </row>
    <row r="12" spans="1:5">
      <c r="B12" s="99"/>
      <c r="C12" s="59"/>
      <c r="D12" s="59"/>
      <c r="E12" s="59"/>
    </row>
    <row r="13" spans="1:5">
      <c r="B13" s="99"/>
      <c r="C13" s="59"/>
      <c r="D13" s="59"/>
      <c r="E13" s="59"/>
    </row>
    <row r="14" spans="1:5">
      <c r="B14" s="99"/>
      <c r="C14" s="59"/>
      <c r="D14" s="59"/>
      <c r="E14" s="59"/>
    </row>
    <row r="15" spans="1:5">
      <c r="B15" s="99"/>
      <c r="C15" s="59"/>
      <c r="D15" s="59"/>
      <c r="E15" s="59"/>
    </row>
    <row r="16" spans="1:5" s="99" customFormat="1" ht="14.4" thickBot="1">
      <c r="C16" s="59"/>
      <c r="D16" s="59"/>
      <c r="E16" s="59"/>
    </row>
    <row r="17" spans="1:5" ht="14.4" thickBot="1">
      <c r="A17" s="110" t="s">
        <v>165</v>
      </c>
      <c r="B17" s="595" t="s">
        <v>194</v>
      </c>
      <c r="C17" s="596"/>
      <c r="D17" s="596"/>
      <c r="E17" s="597"/>
    </row>
    <row r="18" spans="1:5" s="111" customFormat="1" ht="41.4">
      <c r="B18" s="71" t="s">
        <v>0</v>
      </c>
      <c r="C18" s="72" t="s">
        <v>169</v>
      </c>
      <c r="D18" s="72" t="s">
        <v>172</v>
      </c>
      <c r="E18" s="334" t="s">
        <v>174</v>
      </c>
    </row>
    <row r="19" spans="1:5">
      <c r="B19" s="81" t="s">
        <v>181</v>
      </c>
      <c r="C19" s="82"/>
      <c r="D19" s="82">
        <v>3.3000000000000002E-2</v>
      </c>
      <c r="E19" s="331"/>
    </row>
    <row r="20" spans="1:5">
      <c r="B20" s="81" t="s">
        <v>3</v>
      </c>
      <c r="C20" s="82"/>
      <c r="D20" s="82">
        <v>19</v>
      </c>
      <c r="E20" s="331"/>
    </row>
    <row r="21" spans="1:5">
      <c r="B21" s="88" t="s">
        <v>188</v>
      </c>
      <c r="C21" s="89"/>
      <c r="D21" s="89">
        <v>19</v>
      </c>
      <c r="E21" s="332"/>
    </row>
    <row r="22" spans="1:5">
      <c r="B22" s="88" t="s">
        <v>4</v>
      </c>
      <c r="C22" s="89"/>
      <c r="D22" s="89">
        <v>0.08</v>
      </c>
      <c r="E22" s="332"/>
    </row>
    <row r="23" spans="1:5">
      <c r="B23" s="88" t="s">
        <v>5</v>
      </c>
      <c r="C23" s="89"/>
      <c r="D23" s="89">
        <v>0.08</v>
      </c>
      <c r="E23" s="332"/>
    </row>
    <row r="24" spans="1:5">
      <c r="B24" s="88" t="s">
        <v>195</v>
      </c>
      <c r="C24" s="89"/>
      <c r="D24" s="89">
        <v>0.05</v>
      </c>
      <c r="E24" s="332"/>
    </row>
    <row r="25" spans="1:5">
      <c r="B25" s="88" t="s">
        <v>199</v>
      </c>
      <c r="C25" s="89"/>
      <c r="D25" s="89">
        <v>0.08</v>
      </c>
      <c r="E25" s="332"/>
    </row>
    <row r="26" spans="1:5">
      <c r="B26" s="88" t="s">
        <v>8</v>
      </c>
      <c r="C26" s="89"/>
      <c r="D26" s="89">
        <v>1.64</v>
      </c>
      <c r="E26" s="332"/>
    </row>
    <row r="27" spans="1:5" ht="14.4" thickBot="1">
      <c r="B27" s="93"/>
      <c r="C27" s="94" t="s">
        <v>120</v>
      </c>
      <c r="D27" s="114"/>
      <c r="E27" s="335">
        <f>+Rendimientos!B3</f>
        <v>0.66110000000000002</v>
      </c>
    </row>
    <row r="28" spans="1:5">
      <c r="B28" s="99"/>
      <c r="C28" s="59"/>
      <c r="D28" s="59"/>
      <c r="E28" s="59"/>
    </row>
    <row r="29" spans="1:5">
      <c r="B29" s="99"/>
      <c r="C29" s="59"/>
      <c r="D29" s="59"/>
      <c r="E29" s="59"/>
    </row>
    <row r="30" spans="1:5">
      <c r="B30" s="99"/>
      <c r="C30" s="59"/>
      <c r="D30" s="59"/>
      <c r="E30" s="59"/>
    </row>
    <row r="31" spans="1:5">
      <c r="B31" s="99"/>
      <c r="C31" s="59"/>
      <c r="D31" s="59"/>
      <c r="E31" s="59"/>
    </row>
    <row r="32" spans="1:5" ht="14.4" thickBot="1"/>
    <row r="33" spans="1:5" ht="14.4" thickBot="1">
      <c r="A33" s="119" t="s">
        <v>165</v>
      </c>
      <c r="B33" s="595" t="s">
        <v>202</v>
      </c>
      <c r="C33" s="596"/>
      <c r="D33" s="596"/>
      <c r="E33" s="597"/>
    </row>
    <row r="34" spans="1:5" s="111" customFormat="1" ht="41.4">
      <c r="B34" s="71" t="s">
        <v>0</v>
      </c>
      <c r="C34" s="72" t="s">
        <v>169</v>
      </c>
      <c r="D34" s="72" t="s">
        <v>172</v>
      </c>
      <c r="E34" s="334" t="s">
        <v>174</v>
      </c>
    </row>
    <row r="35" spans="1:5">
      <c r="B35" s="81" t="s">
        <v>181</v>
      </c>
      <c r="C35" s="82"/>
      <c r="D35" s="82">
        <v>1.6670000000000001E-2</v>
      </c>
      <c r="E35" s="331"/>
    </row>
    <row r="36" spans="1:5">
      <c r="B36" s="81" t="s">
        <v>9</v>
      </c>
      <c r="C36" s="82"/>
      <c r="D36" s="82">
        <v>1.6670000000000001E-2</v>
      </c>
      <c r="E36" s="331"/>
    </row>
    <row r="37" spans="1:5">
      <c r="B37" s="81" t="s">
        <v>188</v>
      </c>
      <c r="C37" s="82"/>
      <c r="D37" s="82">
        <v>16</v>
      </c>
      <c r="E37" s="331"/>
    </row>
    <row r="38" spans="1:5">
      <c r="B38" s="81" t="s">
        <v>203</v>
      </c>
      <c r="C38" s="82"/>
      <c r="D38" s="82">
        <v>0.03</v>
      </c>
      <c r="E38" s="331"/>
    </row>
    <row r="39" spans="1:5">
      <c r="B39" s="81" t="s">
        <v>204</v>
      </c>
      <c r="C39" s="82"/>
      <c r="D39" s="82">
        <v>0.03</v>
      </c>
      <c r="E39" s="331"/>
    </row>
    <row r="40" spans="1:5">
      <c r="B40" s="81" t="s">
        <v>205</v>
      </c>
      <c r="C40" s="82"/>
      <c r="D40" s="82">
        <v>0.28999999999999998</v>
      </c>
      <c r="E40" s="331"/>
    </row>
    <row r="41" spans="1:5">
      <c r="B41" s="81" t="s">
        <v>206</v>
      </c>
      <c r="C41" s="82"/>
      <c r="D41" s="82">
        <v>0.03</v>
      </c>
      <c r="E41" s="331"/>
    </row>
    <row r="42" spans="1:5">
      <c r="B42" s="81" t="s">
        <v>207</v>
      </c>
      <c r="C42" s="82"/>
      <c r="D42" s="82">
        <v>0.03</v>
      </c>
      <c r="E42" s="331"/>
    </row>
    <row r="43" spans="1:5">
      <c r="B43" s="81" t="s">
        <v>208</v>
      </c>
      <c r="C43" s="82"/>
      <c r="D43" s="82">
        <v>0.28999999999999998</v>
      </c>
      <c r="E43" s="331"/>
    </row>
    <row r="44" spans="1:5" ht="14.4" thickBot="1">
      <c r="B44" s="93"/>
      <c r="C44" s="94" t="s">
        <v>120</v>
      </c>
      <c r="D44" s="94"/>
      <c r="E44" s="333">
        <f>+Rendimientos!B4</f>
        <v>0.46666999999999997</v>
      </c>
    </row>
    <row r="45" spans="1:5">
      <c r="B45" s="99"/>
      <c r="C45" s="59"/>
      <c r="D45" s="59"/>
      <c r="E45" s="59"/>
    </row>
    <row r="46" spans="1:5">
      <c r="B46" s="99"/>
      <c r="C46" s="59"/>
      <c r="D46" s="59"/>
      <c r="E46" s="59"/>
    </row>
    <row r="47" spans="1:5">
      <c r="B47" s="99"/>
      <c r="C47" s="59"/>
      <c r="D47" s="59"/>
      <c r="E47" s="59"/>
    </row>
    <row r="48" spans="1:5">
      <c r="B48" s="99"/>
      <c r="C48" s="59"/>
      <c r="D48" s="59"/>
      <c r="E48" s="59"/>
    </row>
    <row r="49" spans="1:5" ht="14.4" thickBot="1"/>
    <row r="50" spans="1:5" ht="14.4" thickBot="1">
      <c r="A50" s="110" t="s">
        <v>165</v>
      </c>
      <c r="B50" s="595" t="s">
        <v>209</v>
      </c>
      <c r="C50" s="596"/>
      <c r="D50" s="596"/>
      <c r="E50" s="597"/>
    </row>
    <row r="51" spans="1:5" s="111" customFormat="1" ht="41.4">
      <c r="B51" s="71" t="s">
        <v>0</v>
      </c>
      <c r="C51" s="72" t="s">
        <v>169</v>
      </c>
      <c r="D51" s="72" t="s">
        <v>172</v>
      </c>
      <c r="E51" s="334" t="s">
        <v>174</v>
      </c>
    </row>
    <row r="52" spans="1:5">
      <c r="B52" s="81" t="s">
        <v>181</v>
      </c>
      <c r="C52" s="82"/>
      <c r="D52" s="82">
        <v>0.12</v>
      </c>
      <c r="E52" s="331"/>
    </row>
    <row r="53" spans="1:5">
      <c r="B53" s="81" t="s">
        <v>9</v>
      </c>
      <c r="C53" s="82"/>
      <c r="D53" s="82">
        <v>42.02</v>
      </c>
      <c r="E53" s="331"/>
    </row>
    <row r="54" spans="1:5">
      <c r="B54" s="123" t="s">
        <v>188</v>
      </c>
      <c r="C54" s="82"/>
      <c r="D54" s="82">
        <v>18</v>
      </c>
      <c r="E54" s="331"/>
    </row>
    <row r="55" spans="1:5">
      <c r="B55" s="81" t="s">
        <v>210</v>
      </c>
      <c r="C55" s="82"/>
      <c r="D55" s="82">
        <v>24</v>
      </c>
      <c r="E55" s="331"/>
    </row>
    <row r="56" spans="1:5">
      <c r="B56" s="81" t="s">
        <v>211</v>
      </c>
      <c r="C56" s="82"/>
      <c r="D56" s="89">
        <v>0.4</v>
      </c>
      <c r="E56" s="332"/>
    </row>
    <row r="57" spans="1:5">
      <c r="B57" s="81" t="s">
        <v>213</v>
      </c>
      <c r="C57" s="82"/>
      <c r="D57" s="82">
        <v>0.03</v>
      </c>
      <c r="E57" s="331"/>
    </row>
    <row r="58" spans="1:5">
      <c r="B58" s="81" t="s">
        <v>214</v>
      </c>
      <c r="C58" s="82"/>
      <c r="D58" s="82">
        <v>0.03</v>
      </c>
      <c r="E58" s="331"/>
    </row>
    <row r="59" spans="1:5">
      <c r="B59" s="81" t="s">
        <v>17</v>
      </c>
      <c r="C59" s="82"/>
      <c r="D59" s="83">
        <v>0.1</v>
      </c>
      <c r="E59" s="331"/>
    </row>
    <row r="60" spans="1:5">
      <c r="B60" s="81" t="s">
        <v>18</v>
      </c>
      <c r="C60" s="82"/>
      <c r="D60" s="82">
        <v>0.28999999999999998</v>
      </c>
      <c r="E60" s="331"/>
    </row>
    <row r="61" spans="1:5">
      <c r="B61" s="81" t="s">
        <v>19</v>
      </c>
      <c r="C61" s="82"/>
      <c r="D61" s="82">
        <v>24</v>
      </c>
      <c r="E61" s="331"/>
    </row>
    <row r="62" spans="1:5">
      <c r="B62" s="88" t="s">
        <v>195</v>
      </c>
      <c r="C62" s="82"/>
      <c r="D62" s="82">
        <v>24</v>
      </c>
      <c r="E62" s="331"/>
    </row>
    <row r="63" spans="1:5">
      <c r="B63" s="81" t="s">
        <v>20</v>
      </c>
      <c r="C63" s="82"/>
      <c r="D63" s="82">
        <v>0.72</v>
      </c>
      <c r="E63" s="331"/>
    </row>
    <row r="64" spans="1:5" ht="14.4" thickBot="1">
      <c r="B64" s="93"/>
      <c r="C64" s="94" t="s">
        <v>120</v>
      </c>
      <c r="D64" s="114"/>
      <c r="E64" s="335">
        <f>+Rendimientos!B5</f>
        <v>1.17</v>
      </c>
    </row>
    <row r="65" spans="1:5">
      <c r="B65" s="99"/>
      <c r="C65" s="59"/>
      <c r="D65" s="59"/>
      <c r="E65" s="59"/>
    </row>
    <row r="66" spans="1:5">
      <c r="B66" s="99"/>
      <c r="C66" s="59"/>
      <c r="D66" s="59"/>
      <c r="E66" s="59"/>
    </row>
    <row r="67" spans="1:5">
      <c r="B67" s="99"/>
      <c r="C67" s="59"/>
      <c r="D67" s="59"/>
      <c r="E67" s="59"/>
    </row>
    <row r="68" spans="1:5">
      <c r="B68" s="99"/>
      <c r="C68" s="59"/>
      <c r="D68" s="59"/>
      <c r="E68" s="59"/>
    </row>
    <row r="69" spans="1:5" ht="14.4" thickBot="1"/>
    <row r="70" spans="1:5" ht="14.4" thickBot="1">
      <c r="A70" s="127" t="s">
        <v>165</v>
      </c>
      <c r="B70" s="595" t="s">
        <v>215</v>
      </c>
      <c r="C70" s="596"/>
      <c r="D70" s="596"/>
      <c r="E70" s="597"/>
    </row>
    <row r="71" spans="1:5" s="111" customFormat="1" ht="41.4">
      <c r="B71" s="71" t="s">
        <v>0</v>
      </c>
      <c r="C71" s="72" t="s">
        <v>169</v>
      </c>
      <c r="D71" s="72" t="s">
        <v>172</v>
      </c>
      <c r="E71" s="334" t="s">
        <v>174</v>
      </c>
    </row>
    <row r="72" spans="1:5">
      <c r="B72" s="81" t="s">
        <v>216</v>
      </c>
      <c r="C72" s="82"/>
      <c r="D72" s="82">
        <v>0.43</v>
      </c>
      <c r="E72" s="331"/>
    </row>
    <row r="73" spans="1:5">
      <c r="B73" s="81" t="s">
        <v>9</v>
      </c>
      <c r="C73" s="82"/>
      <c r="D73" s="82">
        <v>0.2</v>
      </c>
      <c r="E73" s="331"/>
    </row>
    <row r="74" spans="1:5">
      <c r="B74" s="81" t="s">
        <v>181</v>
      </c>
      <c r="C74" s="82"/>
      <c r="D74" s="82">
        <v>0.06</v>
      </c>
      <c r="E74" s="331"/>
    </row>
    <row r="75" spans="1:5">
      <c r="B75" s="123" t="s">
        <v>188</v>
      </c>
      <c r="C75" s="82"/>
      <c r="D75" s="82">
        <v>19.43</v>
      </c>
      <c r="E75" s="331"/>
    </row>
    <row r="76" spans="1:5">
      <c r="B76" s="81" t="s">
        <v>22</v>
      </c>
      <c r="C76" s="82"/>
      <c r="D76" s="82">
        <v>0.06</v>
      </c>
      <c r="E76" s="331"/>
    </row>
    <row r="77" spans="1:5">
      <c r="B77" s="81" t="s">
        <v>3</v>
      </c>
      <c r="C77" s="82"/>
      <c r="D77" s="82">
        <v>19.329999999999998</v>
      </c>
      <c r="E77" s="331"/>
    </row>
    <row r="78" spans="1:5">
      <c r="B78" s="81" t="s">
        <v>207</v>
      </c>
      <c r="C78" s="82"/>
      <c r="D78" s="82">
        <v>0.15</v>
      </c>
      <c r="E78" s="331"/>
    </row>
    <row r="79" spans="1:5" ht="14.4" thickBot="1">
      <c r="B79" s="93"/>
      <c r="C79" s="94" t="s">
        <v>120</v>
      </c>
      <c r="D79" s="94"/>
      <c r="E79" s="333">
        <f>+Rendimientos!B6</f>
        <v>0.71</v>
      </c>
    </row>
    <row r="80" spans="1:5">
      <c r="B80" s="99"/>
      <c r="C80" s="59"/>
      <c r="D80" s="59"/>
      <c r="E80" s="59"/>
    </row>
    <row r="81" spans="1:5">
      <c r="B81" s="99"/>
      <c r="C81" s="59"/>
      <c r="D81" s="59"/>
      <c r="E81" s="59"/>
    </row>
    <row r="82" spans="1:5">
      <c r="B82" s="99"/>
      <c r="C82" s="59"/>
      <c r="D82" s="59"/>
      <c r="E82" s="59"/>
    </row>
    <row r="83" spans="1:5">
      <c r="B83" s="99"/>
      <c r="C83" s="59"/>
      <c r="D83" s="59"/>
      <c r="E83" s="59"/>
    </row>
    <row r="84" spans="1:5" ht="14.4" thickBot="1"/>
    <row r="85" spans="1:5" ht="14.4" thickBot="1">
      <c r="A85" s="127" t="s">
        <v>165</v>
      </c>
      <c r="B85" s="595" t="s">
        <v>218</v>
      </c>
      <c r="C85" s="596"/>
      <c r="D85" s="596"/>
      <c r="E85" s="597"/>
    </row>
    <row r="86" spans="1:5" s="111" customFormat="1" ht="41.4">
      <c r="B86" s="71" t="s">
        <v>0</v>
      </c>
      <c r="C86" s="72" t="s">
        <v>169</v>
      </c>
      <c r="D86" s="72" t="s">
        <v>172</v>
      </c>
      <c r="E86" s="334" t="s">
        <v>174</v>
      </c>
    </row>
    <row r="87" spans="1:5">
      <c r="B87" s="81" t="s">
        <v>181</v>
      </c>
      <c r="C87" s="82"/>
      <c r="D87" s="82">
        <v>0.03</v>
      </c>
      <c r="E87" s="331"/>
    </row>
    <row r="88" spans="1:5">
      <c r="B88" s="123" t="s">
        <v>188</v>
      </c>
      <c r="C88" s="82"/>
      <c r="D88" s="82">
        <v>21.33</v>
      </c>
      <c r="E88" s="331"/>
    </row>
    <row r="89" spans="1:5">
      <c r="B89" s="81" t="s">
        <v>23</v>
      </c>
      <c r="C89" s="82"/>
      <c r="D89" s="82">
        <v>0.18</v>
      </c>
      <c r="E89" s="331"/>
    </row>
    <row r="90" spans="1:5">
      <c r="B90" s="81" t="s">
        <v>219</v>
      </c>
      <c r="C90" s="82"/>
      <c r="D90" s="82">
        <v>0.17</v>
      </c>
      <c r="E90" s="331"/>
    </row>
    <row r="91" spans="1:5">
      <c r="B91" s="81" t="s">
        <v>207</v>
      </c>
      <c r="C91" s="82"/>
      <c r="D91" s="82">
        <v>0.17</v>
      </c>
      <c r="E91" s="331"/>
    </row>
    <row r="92" spans="1:5">
      <c r="B92" s="81" t="s">
        <v>22</v>
      </c>
      <c r="C92" s="82"/>
      <c r="D92" s="82">
        <v>7.0000000000000007E-2</v>
      </c>
      <c r="E92" s="331"/>
    </row>
    <row r="93" spans="1:5">
      <c r="B93" s="81" t="s">
        <v>3</v>
      </c>
      <c r="C93" s="82"/>
      <c r="D93" s="82">
        <v>21.33</v>
      </c>
      <c r="E93" s="331"/>
    </row>
    <row r="94" spans="1:5" ht="14.4" thickBot="1">
      <c r="B94" s="93"/>
      <c r="C94" s="94" t="s">
        <v>120</v>
      </c>
      <c r="D94" s="94"/>
      <c r="E94" s="333">
        <f>+Rendimientos!B7</f>
        <v>0.47</v>
      </c>
    </row>
    <row r="95" spans="1:5">
      <c r="B95" s="99"/>
      <c r="C95" s="59"/>
      <c r="D95" s="59"/>
      <c r="E95" s="59"/>
    </row>
    <row r="96" spans="1:5">
      <c r="B96" s="99"/>
      <c r="C96" s="59"/>
      <c r="D96" s="59"/>
      <c r="E96" s="59"/>
    </row>
    <row r="97" spans="1:5">
      <c r="B97" s="99"/>
      <c r="C97" s="59"/>
      <c r="D97" s="59"/>
      <c r="E97" s="59"/>
    </row>
    <row r="99" spans="1:5" ht="14.4" thickBot="1"/>
    <row r="100" spans="1:5" ht="14.4" thickBot="1">
      <c r="A100" s="127" t="s">
        <v>165</v>
      </c>
      <c r="B100" s="598" t="s">
        <v>220</v>
      </c>
      <c r="C100" s="599"/>
      <c r="D100" s="599"/>
      <c r="E100" s="600"/>
    </row>
    <row r="101" spans="1:5" s="111" customFormat="1" ht="41.4">
      <c r="B101" s="71" t="s">
        <v>0</v>
      </c>
      <c r="C101" s="72" t="s">
        <v>169</v>
      </c>
      <c r="D101" s="72" t="s">
        <v>172</v>
      </c>
      <c r="E101" s="334" t="s">
        <v>174</v>
      </c>
    </row>
    <row r="102" spans="1:5">
      <c r="B102" s="81" t="s">
        <v>221</v>
      </c>
      <c r="C102" s="82"/>
      <c r="D102" s="82">
        <v>0.48</v>
      </c>
      <c r="E102" s="331"/>
    </row>
    <row r="103" spans="1:5">
      <c r="B103" s="81" t="s">
        <v>222</v>
      </c>
      <c r="C103" s="82"/>
      <c r="D103" s="82">
        <v>0.45</v>
      </c>
      <c r="E103" s="331"/>
    </row>
    <row r="104" spans="1:5">
      <c r="B104" s="81" t="s">
        <v>27</v>
      </c>
      <c r="C104" s="82"/>
      <c r="D104" s="82">
        <v>0.45</v>
      </c>
      <c r="E104" s="331"/>
    </row>
    <row r="105" spans="1:5">
      <c r="B105" s="81" t="s">
        <v>181</v>
      </c>
      <c r="C105" s="82"/>
      <c r="D105" s="82">
        <v>0.25</v>
      </c>
      <c r="E105" s="331"/>
    </row>
    <row r="106" spans="1:5">
      <c r="B106" s="81" t="s">
        <v>224</v>
      </c>
      <c r="C106" s="82"/>
      <c r="D106" s="82">
        <v>0.08</v>
      </c>
      <c r="E106" s="331"/>
    </row>
    <row r="107" spans="1:5">
      <c r="B107" s="81" t="s">
        <v>31</v>
      </c>
      <c r="C107" s="82"/>
      <c r="D107" s="82">
        <v>0.08</v>
      </c>
      <c r="E107" s="331"/>
    </row>
    <row r="108" spans="1:5">
      <c r="B108" s="81" t="s">
        <v>18</v>
      </c>
      <c r="C108" s="82"/>
      <c r="D108" s="82">
        <v>0.36</v>
      </c>
      <c r="E108" s="331"/>
    </row>
    <row r="109" spans="1:5">
      <c r="B109" s="81" t="s">
        <v>225</v>
      </c>
      <c r="C109" s="82"/>
      <c r="D109" s="82">
        <v>80.489999999999995</v>
      </c>
      <c r="E109" s="331"/>
    </row>
    <row r="110" spans="1:5">
      <c r="B110" s="81" t="s">
        <v>226</v>
      </c>
      <c r="C110" s="82"/>
      <c r="D110" s="82">
        <v>0.33</v>
      </c>
      <c r="E110" s="331"/>
    </row>
    <row r="111" spans="1:5">
      <c r="B111" s="123" t="s">
        <v>188</v>
      </c>
      <c r="C111" s="82"/>
      <c r="D111" s="82">
        <v>20.79</v>
      </c>
      <c r="E111" s="331"/>
    </row>
    <row r="112" spans="1:5">
      <c r="B112" s="81" t="s">
        <v>203</v>
      </c>
      <c r="C112" s="82"/>
      <c r="D112" s="82">
        <v>0</v>
      </c>
      <c r="E112" s="331"/>
    </row>
    <row r="113" spans="1:5">
      <c r="B113" s="81" t="s">
        <v>204</v>
      </c>
      <c r="C113" s="82"/>
      <c r="D113" s="82">
        <v>0</v>
      </c>
      <c r="E113" s="331"/>
    </row>
    <row r="114" spans="1:5">
      <c r="B114" s="81" t="s">
        <v>205</v>
      </c>
      <c r="C114" s="82"/>
      <c r="D114" s="82">
        <v>0.13</v>
      </c>
      <c r="E114" s="331"/>
    </row>
    <row r="115" spans="1:5" ht="14.4" thickBot="1">
      <c r="B115" s="93"/>
      <c r="C115" s="94" t="s">
        <v>120</v>
      </c>
      <c r="D115" s="94"/>
      <c r="E115" s="333">
        <f>+Rendimientos!B8</f>
        <v>1.9166700000000001</v>
      </c>
    </row>
    <row r="116" spans="1:5">
      <c r="B116" s="99"/>
      <c r="C116" s="59"/>
      <c r="D116" s="59"/>
      <c r="E116" s="59"/>
    </row>
    <row r="117" spans="1:5">
      <c r="B117" s="99"/>
      <c r="C117" s="59"/>
      <c r="D117" s="59"/>
      <c r="E117" s="59"/>
    </row>
    <row r="118" spans="1:5">
      <c r="B118" s="99"/>
      <c r="C118" s="59"/>
      <c r="D118" s="59"/>
      <c r="E118" s="59"/>
    </row>
    <row r="120" spans="1:5" ht="14.4" thickBot="1"/>
    <row r="121" spans="1:5" ht="14.4" thickBot="1">
      <c r="A121" s="127" t="s">
        <v>165</v>
      </c>
      <c r="B121" s="595" t="s">
        <v>227</v>
      </c>
      <c r="C121" s="596"/>
      <c r="D121" s="596"/>
      <c r="E121" s="597"/>
    </row>
    <row r="122" spans="1:5" s="111" customFormat="1" ht="41.4">
      <c r="B122" s="71" t="s">
        <v>0</v>
      </c>
      <c r="C122" s="72" t="s">
        <v>169</v>
      </c>
      <c r="D122" s="72" t="s">
        <v>172</v>
      </c>
      <c r="E122" s="334" t="s">
        <v>174</v>
      </c>
    </row>
    <row r="123" spans="1:5">
      <c r="B123" s="81" t="s">
        <v>221</v>
      </c>
      <c r="C123" s="82"/>
      <c r="D123" s="82">
        <v>0.65</v>
      </c>
      <c r="E123" s="331"/>
    </row>
    <row r="124" spans="1:5">
      <c r="B124" s="81" t="s">
        <v>222</v>
      </c>
      <c r="C124" s="82"/>
      <c r="D124" s="82">
        <v>0.66600000000000004</v>
      </c>
      <c r="E124" s="331"/>
    </row>
    <row r="125" spans="1:5">
      <c r="B125" s="81" t="s">
        <v>28</v>
      </c>
      <c r="C125" s="82"/>
      <c r="D125" s="82">
        <v>0.66600000000000004</v>
      </c>
      <c r="E125" s="331"/>
    </row>
    <row r="126" spans="1:5">
      <c r="B126" s="81" t="s">
        <v>181</v>
      </c>
      <c r="C126" s="82"/>
      <c r="D126" s="82">
        <v>0.98609999999999998</v>
      </c>
      <c r="E126" s="331"/>
    </row>
    <row r="127" spans="1:5">
      <c r="B127" s="81" t="s">
        <v>224</v>
      </c>
      <c r="C127" s="82"/>
      <c r="D127" s="82">
        <v>0.08</v>
      </c>
      <c r="E127" s="331"/>
    </row>
    <row r="128" spans="1:5">
      <c r="B128" s="81" t="s">
        <v>31</v>
      </c>
      <c r="C128" s="82"/>
      <c r="D128" s="82">
        <v>0.08</v>
      </c>
      <c r="E128" s="331"/>
    </row>
    <row r="129" spans="1:5">
      <c r="B129" s="81" t="s">
        <v>18</v>
      </c>
      <c r="C129" s="82"/>
      <c r="D129" s="82">
        <v>0.2</v>
      </c>
      <c r="E129" s="331"/>
    </row>
    <row r="130" spans="1:5">
      <c r="B130" s="81" t="s">
        <v>225</v>
      </c>
      <c r="C130" s="82"/>
      <c r="D130" s="82">
        <v>107.54</v>
      </c>
      <c r="E130" s="331"/>
    </row>
    <row r="131" spans="1:5">
      <c r="B131" s="81" t="s">
        <v>32</v>
      </c>
      <c r="C131" s="82"/>
      <c r="D131" s="82">
        <v>0.53300000000000003</v>
      </c>
      <c r="E131" s="331"/>
    </row>
    <row r="132" spans="1:5">
      <c r="B132" s="81" t="s">
        <v>188</v>
      </c>
      <c r="C132" s="82"/>
      <c r="D132" s="82">
        <v>22.49</v>
      </c>
      <c r="E132" s="331"/>
    </row>
    <row r="133" spans="1:5">
      <c r="B133" s="81" t="s">
        <v>203</v>
      </c>
      <c r="C133" s="82"/>
      <c r="D133" s="82">
        <v>0</v>
      </c>
      <c r="E133" s="331"/>
    </row>
    <row r="134" spans="1:5">
      <c r="B134" s="81" t="s">
        <v>204</v>
      </c>
      <c r="C134" s="82"/>
      <c r="D134" s="82">
        <v>0</v>
      </c>
      <c r="E134" s="331"/>
    </row>
    <row r="135" spans="1:5">
      <c r="B135" s="81" t="s">
        <v>205</v>
      </c>
      <c r="C135" s="82"/>
      <c r="D135" s="82">
        <v>0.13</v>
      </c>
      <c r="E135" s="331"/>
    </row>
    <row r="136" spans="1:5" ht="14.4" thickBot="1">
      <c r="B136" s="93"/>
      <c r="C136" s="94" t="s">
        <v>120</v>
      </c>
      <c r="D136" s="114"/>
      <c r="E136" s="335">
        <f>+Rendimientos!B9</f>
        <v>2.33</v>
      </c>
    </row>
    <row r="137" spans="1:5">
      <c r="B137" s="99"/>
      <c r="C137" s="59"/>
      <c r="D137" s="59"/>
      <c r="E137" s="59"/>
    </row>
    <row r="138" spans="1:5">
      <c r="B138" s="99"/>
      <c r="C138" s="59"/>
      <c r="D138" s="59"/>
      <c r="E138" s="59"/>
    </row>
    <row r="139" spans="1:5">
      <c r="B139" s="99"/>
      <c r="C139" s="59"/>
      <c r="D139" s="59"/>
      <c r="E139" s="59"/>
    </row>
    <row r="140" spans="1:5">
      <c r="B140" s="99"/>
      <c r="C140" s="59"/>
      <c r="D140" s="59"/>
      <c r="E140" s="59"/>
    </row>
    <row r="141" spans="1:5" ht="14.4" thickBot="1"/>
    <row r="142" spans="1:5" ht="14.4" thickBot="1">
      <c r="A142" s="127" t="s">
        <v>165</v>
      </c>
      <c r="B142" s="595" t="s">
        <v>230</v>
      </c>
      <c r="C142" s="596"/>
      <c r="D142" s="596"/>
      <c r="E142" s="597"/>
    </row>
    <row r="143" spans="1:5" s="111" customFormat="1" ht="41.4">
      <c r="B143" s="71" t="s">
        <v>0</v>
      </c>
      <c r="C143" s="72" t="s">
        <v>169</v>
      </c>
      <c r="D143" s="72" t="s">
        <v>172</v>
      </c>
      <c r="E143" s="334" t="s">
        <v>174</v>
      </c>
    </row>
    <row r="144" spans="1:5">
      <c r="B144" s="81" t="s">
        <v>181</v>
      </c>
      <c r="C144" s="82"/>
      <c r="D144" s="82">
        <v>7.0000000000000007E-2</v>
      </c>
      <c r="E144" s="355"/>
    </row>
    <row r="145" spans="1:5">
      <c r="B145" s="81" t="s">
        <v>33</v>
      </c>
      <c r="C145" s="82"/>
      <c r="D145" s="82">
        <v>0.38</v>
      </c>
      <c r="E145" s="331"/>
    </row>
    <row r="146" spans="1:5">
      <c r="B146" s="81" t="s">
        <v>188</v>
      </c>
      <c r="C146" s="82"/>
      <c r="D146" s="82">
        <v>37.31</v>
      </c>
      <c r="E146" s="331"/>
    </row>
    <row r="147" spans="1:5" ht="14.4" thickBot="1">
      <c r="B147" s="93"/>
      <c r="C147" s="94" t="s">
        <v>120</v>
      </c>
      <c r="D147" s="94"/>
      <c r="E147" s="333">
        <f>+Rendimientos!B10</f>
        <v>0.77</v>
      </c>
    </row>
    <row r="148" spans="1:5">
      <c r="B148" s="99"/>
      <c r="C148" s="59"/>
      <c r="D148" s="59"/>
      <c r="E148" s="59"/>
    </row>
    <row r="149" spans="1:5">
      <c r="B149" s="99"/>
      <c r="C149" s="59"/>
      <c r="D149" s="59"/>
      <c r="E149" s="59"/>
    </row>
    <row r="150" spans="1:5">
      <c r="B150" s="99"/>
      <c r="C150" s="59"/>
      <c r="D150" s="59"/>
      <c r="E150" s="59"/>
    </row>
    <row r="151" spans="1:5">
      <c r="B151" s="99"/>
      <c r="C151" s="59"/>
      <c r="D151" s="59"/>
      <c r="E151" s="59"/>
    </row>
    <row r="155" spans="1:5" ht="14.4" thickBot="1"/>
    <row r="156" spans="1:5" ht="14.4" thickBot="1">
      <c r="A156" s="133" t="s">
        <v>165</v>
      </c>
      <c r="B156" s="595" t="s">
        <v>233</v>
      </c>
      <c r="C156" s="596"/>
      <c r="D156" s="596"/>
      <c r="E156" s="597"/>
    </row>
    <row r="157" spans="1:5" s="134" customFormat="1" ht="41.4">
      <c r="B157" s="71" t="s">
        <v>0</v>
      </c>
      <c r="C157" s="72" t="s">
        <v>169</v>
      </c>
      <c r="D157" s="72" t="s">
        <v>172</v>
      </c>
      <c r="E157" s="334" t="s">
        <v>174</v>
      </c>
    </row>
    <row r="158" spans="1:5">
      <c r="B158" s="81" t="s">
        <v>181</v>
      </c>
      <c r="C158" s="82"/>
      <c r="D158" s="82">
        <v>0.05</v>
      </c>
      <c r="E158" s="331"/>
    </row>
    <row r="159" spans="1:5">
      <c r="B159" s="81" t="s">
        <v>34</v>
      </c>
      <c r="C159" s="82"/>
      <c r="D159" s="82">
        <v>20.010000000000002</v>
      </c>
      <c r="E159" s="331"/>
    </row>
    <row r="160" spans="1:5">
      <c r="B160" s="81" t="s">
        <v>2</v>
      </c>
      <c r="C160" s="82"/>
      <c r="D160" s="82">
        <v>22.16</v>
      </c>
      <c r="E160" s="331"/>
    </row>
    <row r="161" spans="1:5" ht="14.4" thickBot="1">
      <c r="B161" s="93"/>
      <c r="C161" s="94" t="s">
        <v>120</v>
      </c>
      <c r="D161" s="94"/>
      <c r="E161" s="333">
        <f>+Rendimientos!B11</f>
        <v>0.48</v>
      </c>
    </row>
    <row r="162" spans="1:5">
      <c r="B162" s="99"/>
      <c r="C162" s="59"/>
      <c r="D162" s="59"/>
      <c r="E162" s="59"/>
    </row>
    <row r="163" spans="1:5">
      <c r="B163" s="99"/>
      <c r="C163" s="59"/>
      <c r="D163" s="59"/>
      <c r="E163" s="59"/>
    </row>
    <row r="164" spans="1:5">
      <c r="B164" s="99"/>
      <c r="C164" s="59"/>
      <c r="D164" s="59"/>
      <c r="E164" s="59"/>
    </row>
    <row r="166" spans="1:5" ht="14.4" thickBot="1"/>
    <row r="167" spans="1:5" ht="14.4" thickBot="1">
      <c r="A167" s="133" t="s">
        <v>165</v>
      </c>
      <c r="B167" s="595" t="s">
        <v>235</v>
      </c>
      <c r="C167" s="596"/>
      <c r="D167" s="596"/>
      <c r="E167" s="597"/>
    </row>
    <row r="168" spans="1:5" s="111" customFormat="1" ht="41.4">
      <c r="B168" s="71" t="s">
        <v>0</v>
      </c>
      <c r="C168" s="72" t="s">
        <v>169</v>
      </c>
      <c r="D168" s="72" t="s">
        <v>172</v>
      </c>
      <c r="E168" s="334" t="s">
        <v>174</v>
      </c>
    </row>
    <row r="169" spans="1:5">
      <c r="B169" s="81" t="s">
        <v>181</v>
      </c>
      <c r="C169" s="82"/>
      <c r="D169" s="82">
        <v>7.0000000000000007E-2</v>
      </c>
      <c r="E169" s="331"/>
    </row>
    <row r="170" spans="1:5">
      <c r="B170" s="81" t="s">
        <v>160</v>
      </c>
      <c r="C170" s="82"/>
      <c r="D170" s="82">
        <v>0.89</v>
      </c>
      <c r="E170" s="331"/>
    </row>
    <row r="171" spans="1:5">
      <c r="B171" s="81" t="s">
        <v>2</v>
      </c>
      <c r="C171" s="82"/>
      <c r="D171" s="82">
        <v>39.28</v>
      </c>
      <c r="E171" s="331"/>
    </row>
    <row r="172" spans="1:5">
      <c r="B172" s="88" t="s">
        <v>8</v>
      </c>
      <c r="C172" s="89"/>
      <c r="D172" s="89">
        <f>D170</f>
        <v>0.89</v>
      </c>
      <c r="E172" s="332"/>
    </row>
    <row r="173" spans="1:5">
      <c r="B173" s="342" t="s">
        <v>58</v>
      </c>
      <c r="C173" s="343"/>
      <c r="D173" s="343">
        <f>D170</f>
        <v>0.89</v>
      </c>
      <c r="E173" s="331"/>
    </row>
    <row r="174" spans="1:5">
      <c r="B174" s="342" t="s">
        <v>59</v>
      </c>
      <c r="C174" s="343"/>
      <c r="D174" s="343"/>
      <c r="E174" s="331"/>
    </row>
    <row r="175" spans="1:5">
      <c r="B175" s="342" t="s">
        <v>287</v>
      </c>
      <c r="C175" s="343"/>
      <c r="D175" s="343"/>
      <c r="E175" s="331"/>
    </row>
    <row r="176" spans="1:5" ht="14.4" thickBot="1">
      <c r="B176" s="93"/>
      <c r="C176" s="94" t="s">
        <v>120</v>
      </c>
      <c r="D176" s="94"/>
      <c r="E176" s="333">
        <f>+Rendimientos!B11</f>
        <v>0.48</v>
      </c>
    </row>
    <row r="177" spans="1:5">
      <c r="B177" s="99"/>
      <c r="C177" s="59"/>
      <c r="D177" s="59"/>
      <c r="E177" s="59"/>
    </row>
    <row r="178" spans="1:5">
      <c r="A178" s="133" t="s">
        <v>165</v>
      </c>
      <c r="B178" s="99"/>
      <c r="C178" s="59"/>
      <c r="D178" s="59"/>
      <c r="E178" s="59"/>
    </row>
    <row r="179" spans="1:5" s="111" customFormat="1">
      <c r="B179" s="99"/>
      <c r="C179" s="59"/>
      <c r="D179" s="59"/>
      <c r="E179" s="59"/>
    </row>
    <row r="180" spans="1:5">
      <c r="B180" s="99"/>
      <c r="C180" s="59"/>
      <c r="D180" s="59"/>
      <c r="E180" s="59"/>
    </row>
    <row r="181" spans="1:5" ht="14.4" thickBot="1">
      <c r="C181" s="59"/>
    </row>
    <row r="182" spans="1:5" ht="14.4" thickBot="1">
      <c r="B182" s="595" t="s">
        <v>237</v>
      </c>
      <c r="C182" s="596"/>
      <c r="D182" s="596"/>
      <c r="E182" s="597"/>
    </row>
    <row r="183" spans="1:5" ht="41.4">
      <c r="B183" s="71" t="s">
        <v>0</v>
      </c>
      <c r="C183" s="72" t="s">
        <v>169</v>
      </c>
      <c r="D183" s="72" t="s">
        <v>172</v>
      </c>
      <c r="E183" s="334" t="s">
        <v>174</v>
      </c>
    </row>
    <row r="184" spans="1:5">
      <c r="B184" s="81" t="s">
        <v>181</v>
      </c>
      <c r="C184" s="82"/>
      <c r="D184" s="82">
        <v>7.0000000000000007E-2</v>
      </c>
      <c r="E184" s="331"/>
    </row>
    <row r="185" spans="1:5">
      <c r="B185" s="81" t="s">
        <v>160</v>
      </c>
      <c r="C185" s="82"/>
      <c r="D185" s="89">
        <v>20.329999999999998</v>
      </c>
      <c r="E185" s="332"/>
    </row>
    <row r="186" spans="1:5">
      <c r="B186" s="81" t="s">
        <v>2</v>
      </c>
      <c r="C186" s="82"/>
      <c r="D186" s="89">
        <v>45.75</v>
      </c>
      <c r="E186" s="332"/>
    </row>
    <row r="187" spans="1:5">
      <c r="B187" s="88" t="s">
        <v>8</v>
      </c>
      <c r="C187" s="89"/>
      <c r="D187" s="89">
        <f>D185</f>
        <v>20.329999999999998</v>
      </c>
      <c r="E187" s="332"/>
    </row>
    <row r="188" spans="1:5">
      <c r="B188" s="342" t="s">
        <v>58</v>
      </c>
      <c r="C188" s="343"/>
      <c r="D188" s="343">
        <f>D185</f>
        <v>20.329999999999998</v>
      </c>
      <c r="E188" s="331"/>
    </row>
    <row r="189" spans="1:5">
      <c r="B189" s="342" t="s">
        <v>59</v>
      </c>
      <c r="C189" s="343"/>
      <c r="D189" s="343"/>
      <c r="E189" s="331"/>
    </row>
    <row r="190" spans="1:5">
      <c r="B190" s="342" t="s">
        <v>287</v>
      </c>
      <c r="C190" s="343"/>
      <c r="D190" s="343"/>
      <c r="E190" s="331"/>
    </row>
    <row r="191" spans="1:5" ht="14.4" thickBot="1">
      <c r="B191" s="93"/>
      <c r="C191" s="94" t="s">
        <v>120</v>
      </c>
      <c r="D191" s="114"/>
      <c r="E191" s="335">
        <f>+Rendimientos!B12</f>
        <v>1.63</v>
      </c>
    </row>
    <row r="193" spans="3:5">
      <c r="C193" s="62"/>
      <c r="D193" s="62"/>
      <c r="E193" s="62"/>
    </row>
    <row r="194" spans="3:5">
      <c r="C194" s="62"/>
      <c r="D194" s="62"/>
      <c r="E194" s="62"/>
    </row>
    <row r="195" spans="3:5">
      <c r="C195" s="62"/>
      <c r="D195" s="62"/>
      <c r="E195" s="62"/>
    </row>
    <row r="196" spans="3:5">
      <c r="C196" s="62"/>
      <c r="D196" s="62"/>
      <c r="E196" s="62"/>
    </row>
    <row r="197" spans="3:5">
      <c r="C197" s="62"/>
      <c r="D197" s="62"/>
      <c r="E197" s="62"/>
    </row>
    <row r="198" spans="3:5">
      <c r="C198" s="62"/>
      <c r="D198" s="62"/>
      <c r="E198" s="62"/>
    </row>
    <row r="199" spans="3:5">
      <c r="C199" s="62"/>
      <c r="D199" s="62"/>
      <c r="E199" s="62"/>
    </row>
    <row r="200" spans="3:5">
      <c r="C200" s="62"/>
      <c r="D200" s="62"/>
      <c r="E200" s="62"/>
    </row>
    <row r="201" spans="3:5">
      <c r="C201" s="62"/>
      <c r="D201" s="62"/>
      <c r="E201" s="62"/>
    </row>
    <row r="202" spans="3:5">
      <c r="C202" s="62"/>
      <c r="D202" s="62"/>
      <c r="E202" s="62"/>
    </row>
    <row r="203" spans="3:5">
      <c r="C203" s="62"/>
      <c r="D203" s="62"/>
      <c r="E203" s="62"/>
    </row>
    <row r="204" spans="3:5">
      <c r="C204" s="62"/>
      <c r="D204" s="62"/>
      <c r="E204" s="62"/>
    </row>
    <row r="205" spans="3:5">
      <c r="C205" s="62"/>
      <c r="D205" s="62"/>
      <c r="E205" s="62"/>
    </row>
    <row r="206" spans="3:5">
      <c r="C206" s="62"/>
      <c r="D206" s="62"/>
      <c r="E206" s="62"/>
    </row>
    <row r="207" spans="3:5">
      <c r="C207" s="62"/>
      <c r="D207" s="62"/>
      <c r="E207" s="62"/>
    </row>
    <row r="208" spans="3:5">
      <c r="C208" s="62"/>
      <c r="D208" s="62"/>
      <c r="E208" s="62"/>
    </row>
    <row r="209" spans="3:5">
      <c r="C209" s="62"/>
      <c r="D209" s="62"/>
      <c r="E209" s="62"/>
    </row>
    <row r="210" spans="3:5">
      <c r="C210" s="62"/>
      <c r="D210" s="62"/>
      <c r="E210" s="62"/>
    </row>
    <row r="211" spans="3:5">
      <c r="C211" s="62"/>
      <c r="D211" s="62"/>
      <c r="E211" s="62"/>
    </row>
    <row r="212" spans="3:5">
      <c r="C212" s="62"/>
      <c r="D212" s="62"/>
      <c r="E212" s="62"/>
    </row>
    <row r="213" spans="3:5">
      <c r="C213" s="62"/>
      <c r="D213" s="62"/>
      <c r="E213" s="62"/>
    </row>
    <row r="214" spans="3:5">
      <c r="C214" s="62"/>
      <c r="D214" s="62"/>
      <c r="E214" s="62"/>
    </row>
    <row r="215" spans="3:5">
      <c r="C215" s="62"/>
      <c r="D215" s="62"/>
      <c r="E215" s="62"/>
    </row>
    <row r="216" spans="3:5">
      <c r="C216" s="62"/>
      <c r="D216" s="62"/>
      <c r="E216" s="62"/>
    </row>
    <row r="217" spans="3:5">
      <c r="C217" s="62"/>
      <c r="D217" s="62"/>
      <c r="E217" s="62"/>
    </row>
    <row r="218" spans="3:5">
      <c r="C218" s="62"/>
      <c r="D218" s="62"/>
      <c r="E218" s="62"/>
    </row>
  </sheetData>
  <mergeCells count="12">
    <mergeCell ref="B182:E182"/>
    <mergeCell ref="B6:E6"/>
    <mergeCell ref="B100:E100"/>
    <mergeCell ref="B70:E70"/>
    <mergeCell ref="B85:E85"/>
    <mergeCell ref="B50:E50"/>
    <mergeCell ref="B17:E17"/>
    <mergeCell ref="B33:E33"/>
    <mergeCell ref="B156:E156"/>
    <mergeCell ref="B121:E121"/>
    <mergeCell ref="B142:E142"/>
    <mergeCell ref="B167:E167"/>
  </mergeCells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7"/>
  <sheetViews>
    <sheetView topLeftCell="A135" zoomScale="60" zoomScaleNormal="60" zoomScalePageLayoutView="110" workbookViewId="0">
      <selection activeCell="K160" sqref="K160"/>
    </sheetView>
  </sheetViews>
  <sheetFormatPr baseColWidth="10" defaultColWidth="10.796875" defaultRowHeight="13.8"/>
  <cols>
    <col min="1" max="1" width="10.796875" style="62"/>
    <col min="2" max="2" width="35" style="62" customWidth="1"/>
    <col min="3" max="3" width="10.19921875" style="59" customWidth="1"/>
    <col min="4" max="4" width="6.796875" style="63" bestFit="1" customWidth="1"/>
    <col min="5" max="5" width="13" style="63" customWidth="1"/>
    <col min="6" max="6" width="10.19921875" style="63" bestFit="1" customWidth="1"/>
    <col min="7" max="7" width="9.19921875" style="63" customWidth="1"/>
    <col min="8" max="8" width="9.5" style="63" customWidth="1"/>
    <col min="9" max="9" width="11.19921875" style="64" bestFit="1" customWidth="1"/>
    <col min="10" max="10" width="13.69921875" style="63" customWidth="1"/>
    <col min="11" max="11" width="13.69921875" style="359" customWidth="1"/>
    <col min="12" max="12" width="17" style="63" bestFit="1" customWidth="1"/>
    <col min="13" max="13" width="13" style="66" customWidth="1"/>
    <col min="14" max="14" width="9" style="347" customWidth="1"/>
    <col min="15" max="15" width="14.19921875" style="62" bestFit="1" customWidth="1"/>
    <col min="16" max="16" width="18.19921875" style="62" bestFit="1" customWidth="1"/>
    <col min="17" max="17" width="10.796875" style="62"/>
    <col min="18" max="18" width="25.796875" style="62" bestFit="1" customWidth="1"/>
    <col min="19" max="27" width="10.796875" style="62"/>
    <col min="28" max="28" width="13.5" style="62" bestFit="1" customWidth="1"/>
    <col min="29" max="16384" width="10.796875" style="62"/>
  </cols>
  <sheetData>
    <row r="1" spans="1:22">
      <c r="P1" s="66"/>
      <c r="Q1" s="67">
        <v>1</v>
      </c>
    </row>
    <row r="2" spans="1:22">
      <c r="P2" s="66">
        <v>8</v>
      </c>
      <c r="Q2" s="67" t="e">
        <f>+P2*Q1/P1</f>
        <v>#DIV/0!</v>
      </c>
      <c r="R2" s="62">
        <f>8.879*0.066593</f>
        <v>0.59127924700000001</v>
      </c>
    </row>
    <row r="4" spans="1:22">
      <c r="P4" s="62">
        <v>8</v>
      </c>
      <c r="Q4" s="62">
        <v>8.8789999999999996</v>
      </c>
    </row>
    <row r="5" spans="1:22" ht="14.4" thickBot="1">
      <c r="P5" s="62">
        <v>0.06</v>
      </c>
      <c r="Q5" s="62">
        <f>+P5*Q4/P4</f>
        <v>6.6592499999999999E-2</v>
      </c>
    </row>
    <row r="6" spans="1:22" s="69" customFormat="1" ht="14.4" thickBot="1">
      <c r="A6" s="68" t="s">
        <v>165</v>
      </c>
      <c r="B6" s="595" t="s">
        <v>166</v>
      </c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7"/>
      <c r="R6" s="69">
        <v>16266.36</v>
      </c>
      <c r="S6" s="69" t="e">
        <f>+R6/#REF!</f>
        <v>#REF!</v>
      </c>
    </row>
    <row r="7" spans="1:22" s="70" customFormat="1" ht="55.2">
      <c r="B7" s="71" t="s">
        <v>0</v>
      </c>
      <c r="C7" s="72" t="s">
        <v>167</v>
      </c>
      <c r="D7" s="72" t="s">
        <v>168</v>
      </c>
      <c r="E7" s="72" t="s">
        <v>169</v>
      </c>
      <c r="F7" s="72" t="s">
        <v>78</v>
      </c>
      <c r="G7" s="72" t="s">
        <v>170</v>
      </c>
      <c r="H7" s="72" t="s">
        <v>172</v>
      </c>
      <c r="I7" s="73" t="s">
        <v>173</v>
      </c>
      <c r="J7" s="74" t="s">
        <v>174</v>
      </c>
      <c r="K7" s="360" t="s">
        <v>175</v>
      </c>
      <c r="L7" s="77" t="s">
        <v>178</v>
      </c>
      <c r="M7" s="78" t="s">
        <v>179</v>
      </c>
      <c r="N7" s="348" t="s">
        <v>289</v>
      </c>
      <c r="P7" s="80"/>
      <c r="Q7" s="80"/>
    </row>
    <row r="8" spans="1:22">
      <c r="B8" s="81" t="s">
        <v>181</v>
      </c>
      <c r="C8" s="82" t="s">
        <v>182</v>
      </c>
      <c r="D8" s="82">
        <f>'Costo horario'!B5</f>
        <v>2012</v>
      </c>
      <c r="E8" s="82"/>
      <c r="F8" s="82">
        <v>1</v>
      </c>
      <c r="G8" s="83">
        <f>'Costo horario'!E$5</f>
        <v>2651.04</v>
      </c>
      <c r="H8" s="82">
        <f>0.0083+0.0083</f>
        <v>1.66E-2</v>
      </c>
      <c r="I8" s="84"/>
      <c r="J8" s="82"/>
      <c r="K8" s="113">
        <f>'Costo horario'!AA$5</f>
        <v>7.0368708526087273E-2</v>
      </c>
      <c r="L8" s="82"/>
      <c r="M8" s="86">
        <f>+K8*H8</f>
        <v>1.1681205615330487E-3</v>
      </c>
      <c r="N8" s="345">
        <f>+M8</f>
        <v>1.1681205615330487E-3</v>
      </c>
      <c r="P8" s="62" t="s">
        <v>183</v>
      </c>
      <c r="Q8" s="62">
        <f>0.05*N11</f>
        <v>1.7285027083333335E-2</v>
      </c>
      <c r="U8" s="62">
        <v>8</v>
      </c>
      <c r="V8" s="62" t="s">
        <v>184</v>
      </c>
    </row>
    <row r="9" spans="1:22">
      <c r="B9" s="88" t="s">
        <v>3</v>
      </c>
      <c r="C9" s="89"/>
      <c r="D9" s="89">
        <f>'Costo horario'!B7</f>
        <v>2014</v>
      </c>
      <c r="E9" s="89"/>
      <c r="F9" s="89">
        <v>2</v>
      </c>
      <c r="G9" s="89">
        <f>'Costo horario'!E$7</f>
        <v>10</v>
      </c>
      <c r="H9" s="89">
        <v>17</v>
      </c>
      <c r="I9" s="90"/>
      <c r="J9" s="89"/>
      <c r="K9" s="113">
        <f>'Costo horario'!AA$7</f>
        <v>4.4292237442922374E-4</v>
      </c>
      <c r="L9" s="89"/>
      <c r="M9" s="86">
        <f>+(K9*H9)*F9</f>
        <v>1.5059360730593607E-2</v>
      </c>
      <c r="N9" s="346">
        <f>+M9*F9</f>
        <v>3.0118721461187214E-2</v>
      </c>
      <c r="R9" s="62" t="s">
        <v>187</v>
      </c>
      <c r="S9" s="62">
        <v>10</v>
      </c>
    </row>
    <row r="10" spans="1:22">
      <c r="B10" s="88" t="s">
        <v>188</v>
      </c>
      <c r="C10" s="92" t="s">
        <v>189</v>
      </c>
      <c r="D10" s="89">
        <f>'Costo horario'!B6</f>
        <v>2011</v>
      </c>
      <c r="E10" s="89"/>
      <c r="F10" s="89">
        <v>1</v>
      </c>
      <c r="G10" s="89">
        <f>'Costo horario'!E$6</f>
        <v>5000</v>
      </c>
      <c r="H10" s="89">
        <v>17</v>
      </c>
      <c r="I10" s="90"/>
      <c r="J10" s="89"/>
      <c r="K10" s="113">
        <f>'Costo horario'!AA$6</f>
        <v>0.23718569877984882</v>
      </c>
      <c r="L10" s="89"/>
      <c r="M10" s="86">
        <f>+K10*H10</f>
        <v>4.03215687925743</v>
      </c>
      <c r="N10" s="346">
        <f>+M10</f>
        <v>4.03215687925743</v>
      </c>
      <c r="R10" s="62" t="s">
        <v>186</v>
      </c>
      <c r="S10" s="62">
        <v>365</v>
      </c>
      <c r="U10" s="62" t="e">
        <f>+#REF!*U8</f>
        <v>#REF!</v>
      </c>
      <c r="V10" s="62" t="s">
        <v>190</v>
      </c>
    </row>
    <row r="11" spans="1:22" ht="14.4" thickBot="1">
      <c r="B11" s="93"/>
      <c r="C11" s="94"/>
      <c r="D11" s="94"/>
      <c r="E11" s="94" t="s">
        <v>120</v>
      </c>
      <c r="F11" s="94">
        <v>1</v>
      </c>
      <c r="G11" s="94"/>
      <c r="H11" s="94"/>
      <c r="I11" s="95">
        <f>'Costo horario'!E44</f>
        <v>5.1829166666666673</v>
      </c>
      <c r="J11" s="94">
        <f>Rendimientos!B2</f>
        <v>6.6699999999999995E-2</v>
      </c>
      <c r="K11" s="361"/>
      <c r="L11" s="95">
        <f>+I11*J11</f>
        <v>0.34570054166666669</v>
      </c>
      <c r="M11" s="97"/>
      <c r="N11" s="349">
        <f>+L11</f>
        <v>0.34570054166666669</v>
      </c>
      <c r="O11" s="62" t="s">
        <v>121</v>
      </c>
    </row>
    <row r="12" spans="1:22" ht="14.4" thickBot="1">
      <c r="B12" s="99"/>
      <c r="D12" s="59"/>
      <c r="E12" s="59"/>
      <c r="F12" s="59"/>
      <c r="G12" s="59"/>
      <c r="H12" s="59"/>
      <c r="I12" s="100"/>
      <c r="J12" s="59"/>
      <c r="K12" s="142"/>
      <c r="L12" s="102"/>
      <c r="M12" s="364"/>
      <c r="N12" s="350"/>
    </row>
    <row r="13" spans="1:22">
      <c r="B13" s="99"/>
      <c r="C13" s="104"/>
      <c r="D13" s="104"/>
      <c r="E13" s="59"/>
      <c r="F13" s="104"/>
      <c r="G13" s="104"/>
      <c r="H13" s="59"/>
      <c r="I13" s="100"/>
      <c r="J13" s="59"/>
      <c r="K13" s="142"/>
      <c r="L13" s="356" t="s">
        <v>288</v>
      </c>
      <c r="M13" s="105"/>
      <c r="N13" s="415">
        <f>SUM(N8:N11)</f>
        <v>4.4091442629468176</v>
      </c>
      <c r="R13" s="62" t="s">
        <v>186</v>
      </c>
      <c r="S13" s="62">
        <v>31</v>
      </c>
    </row>
    <row r="14" spans="1:22">
      <c r="B14" s="99"/>
      <c r="C14" s="104"/>
      <c r="D14" s="104"/>
      <c r="E14" s="59"/>
      <c r="F14" s="104"/>
      <c r="G14" s="104"/>
      <c r="H14" s="59"/>
      <c r="I14" s="100"/>
      <c r="J14" s="59"/>
      <c r="K14" s="142"/>
      <c r="L14" s="357" t="s">
        <v>192</v>
      </c>
      <c r="M14" s="302">
        <f>'Costo Ind.'!O$25</f>
        <v>24</v>
      </c>
      <c r="N14" s="416">
        <f>(M14/100)*N13</f>
        <v>1.0581946231072361</v>
      </c>
    </row>
    <row r="15" spans="1:22" ht="14.4" thickBot="1">
      <c r="B15" s="99"/>
      <c r="D15" s="59"/>
      <c r="E15" s="59"/>
      <c r="F15" s="59"/>
      <c r="G15" s="59"/>
      <c r="H15" s="59"/>
      <c r="I15" s="100"/>
      <c r="J15" s="59"/>
      <c r="K15" s="142"/>
      <c r="L15" s="358" t="s">
        <v>193</v>
      </c>
      <c r="M15" s="108"/>
      <c r="N15" s="417">
        <f>N14+N13</f>
        <v>5.4673388860540539</v>
      </c>
      <c r="P15" s="131">
        <f>(M14/100)*N13</f>
        <v>1.0581946231072361</v>
      </c>
    </row>
    <row r="16" spans="1:22" s="99" customFormat="1" ht="14.4" thickBot="1">
      <c r="C16" s="59"/>
      <c r="D16" s="59"/>
      <c r="E16" s="59"/>
      <c r="F16" s="59"/>
      <c r="G16" s="59"/>
      <c r="H16" s="59"/>
      <c r="I16" s="100"/>
      <c r="J16" s="59"/>
      <c r="K16" s="142"/>
      <c r="L16" s="59"/>
      <c r="M16" s="103"/>
      <c r="N16" s="351"/>
    </row>
    <row r="17" spans="1:21" ht="14.4" thickBot="1">
      <c r="A17" s="110" t="s">
        <v>165</v>
      </c>
      <c r="B17" s="595" t="s">
        <v>194</v>
      </c>
      <c r="C17" s="596"/>
      <c r="D17" s="596"/>
      <c r="E17" s="596"/>
      <c r="F17" s="596"/>
      <c r="G17" s="596"/>
      <c r="H17" s="596"/>
      <c r="I17" s="596"/>
      <c r="J17" s="596"/>
      <c r="K17" s="596"/>
      <c r="L17" s="596"/>
      <c r="M17" s="596"/>
      <c r="N17" s="597"/>
    </row>
    <row r="18" spans="1:21" s="111" customFormat="1" ht="55.2">
      <c r="B18" s="71" t="s">
        <v>0</v>
      </c>
      <c r="C18" s="72" t="s">
        <v>167</v>
      </c>
      <c r="D18" s="72" t="s">
        <v>168</v>
      </c>
      <c r="E18" s="72" t="s">
        <v>169</v>
      </c>
      <c r="F18" s="72" t="s">
        <v>78</v>
      </c>
      <c r="G18" s="72" t="s">
        <v>170</v>
      </c>
      <c r="H18" s="72" t="s">
        <v>172</v>
      </c>
      <c r="I18" s="73" t="s">
        <v>173</v>
      </c>
      <c r="J18" s="74" t="s">
        <v>174</v>
      </c>
      <c r="K18" s="360" t="s">
        <v>175</v>
      </c>
      <c r="L18" s="77" t="s">
        <v>178</v>
      </c>
      <c r="M18" s="78" t="s">
        <v>179</v>
      </c>
      <c r="N18" s="348" t="s">
        <v>289</v>
      </c>
      <c r="P18" s="111">
        <f>365*10</f>
        <v>3650</v>
      </c>
      <c r="R18" s="111">
        <f>+P18*24</f>
        <v>87600</v>
      </c>
    </row>
    <row r="19" spans="1:21">
      <c r="B19" s="81" t="s">
        <v>181</v>
      </c>
      <c r="C19" s="82" t="s">
        <v>182</v>
      </c>
      <c r="D19" s="82">
        <v>2012</v>
      </c>
      <c r="E19" s="82"/>
      <c r="F19" s="82">
        <v>1</v>
      </c>
      <c r="G19" s="83">
        <f>'Costo horario'!E$5</f>
        <v>2651.04</v>
      </c>
      <c r="H19" s="82">
        <v>3.3000000000000002E-2</v>
      </c>
      <c r="I19" s="84"/>
      <c r="J19" s="82"/>
      <c r="K19" s="113">
        <f>'Costo horario'!AA$5</f>
        <v>7.0368708526087273E-2</v>
      </c>
      <c r="L19" s="82"/>
      <c r="M19" s="86">
        <f t="shared" ref="M19:M26" si="0">+K19*H19</f>
        <v>2.3221673813608799E-3</v>
      </c>
      <c r="N19" s="345">
        <f>+M19</f>
        <v>2.3221673813608799E-3</v>
      </c>
    </row>
    <row r="20" spans="1:21">
      <c r="B20" s="81" t="s">
        <v>3</v>
      </c>
      <c r="C20" s="82"/>
      <c r="D20" s="82"/>
      <c r="E20" s="82"/>
      <c r="F20" s="82">
        <v>2</v>
      </c>
      <c r="G20" s="89">
        <f>'Costo horario'!E$7</f>
        <v>10</v>
      </c>
      <c r="H20" s="82">
        <v>19</v>
      </c>
      <c r="I20" s="84"/>
      <c r="J20" s="82"/>
      <c r="K20" s="113">
        <f>'Costo horario'!AA$7</f>
        <v>4.4292237442922374E-4</v>
      </c>
      <c r="L20" s="82"/>
      <c r="M20" s="86">
        <f t="shared" si="0"/>
        <v>8.4155251141552513E-3</v>
      </c>
      <c r="N20" s="345">
        <f>+K20*H20*F20</f>
        <v>1.6831050228310503E-2</v>
      </c>
      <c r="R20" s="62">
        <v>30</v>
      </c>
    </row>
    <row r="21" spans="1:21">
      <c r="B21" s="88" t="s">
        <v>188</v>
      </c>
      <c r="C21" s="92" t="s">
        <v>189</v>
      </c>
      <c r="D21" s="89">
        <v>2001</v>
      </c>
      <c r="E21" s="89"/>
      <c r="F21" s="89">
        <v>1</v>
      </c>
      <c r="G21" s="89">
        <f>'Costo horario'!E$6</f>
        <v>5000</v>
      </c>
      <c r="H21" s="89">
        <v>19</v>
      </c>
      <c r="I21" s="90"/>
      <c r="J21" s="89"/>
      <c r="K21" s="113">
        <f>'Costo horario'!AA$6</f>
        <v>0.23718569877984882</v>
      </c>
      <c r="L21" s="89"/>
      <c r="M21" s="86">
        <f t="shared" si="0"/>
        <v>4.5065282768171278</v>
      </c>
      <c r="N21" s="346">
        <f t="shared" ref="N21:N26" si="1">+M21</f>
        <v>4.5065282768171278</v>
      </c>
      <c r="R21" s="62">
        <v>24</v>
      </c>
    </row>
    <row r="22" spans="1:21">
      <c r="B22" s="88" t="s">
        <v>4</v>
      </c>
      <c r="C22" s="89"/>
      <c r="D22" s="89"/>
      <c r="E22" s="89"/>
      <c r="F22" s="89">
        <v>1</v>
      </c>
      <c r="G22" s="89">
        <f>'Costo horario'!E$8</f>
        <v>20</v>
      </c>
      <c r="H22" s="89">
        <v>0.08</v>
      </c>
      <c r="I22" s="90"/>
      <c r="J22" s="89"/>
      <c r="K22" s="113">
        <f>+'Costo horario'!AA8</f>
        <v>9.2389649923896495E-4</v>
      </c>
      <c r="L22" s="89"/>
      <c r="M22" s="86">
        <f t="shared" si="0"/>
        <v>7.3911719939117197E-5</v>
      </c>
      <c r="N22" s="346">
        <f t="shared" si="1"/>
        <v>7.3911719939117197E-5</v>
      </c>
      <c r="S22" s="62" t="e">
        <f>+#REF!*10</f>
        <v>#REF!</v>
      </c>
    </row>
    <row r="23" spans="1:21">
      <c r="B23" s="88" t="s">
        <v>5</v>
      </c>
      <c r="C23" s="89"/>
      <c r="D23" s="89"/>
      <c r="E23" s="89"/>
      <c r="F23" s="89">
        <v>1</v>
      </c>
      <c r="G23" s="89">
        <f>+'Costo horario'!E9</f>
        <v>20</v>
      </c>
      <c r="H23" s="89">
        <v>0.08</v>
      </c>
      <c r="I23" s="90"/>
      <c r="J23" s="89"/>
      <c r="K23" s="113">
        <f>+'Costo horario'!AA9</f>
        <v>9.2389649923896495E-4</v>
      </c>
      <c r="L23" s="89"/>
      <c r="M23" s="86">
        <f t="shared" si="0"/>
        <v>7.3911719939117197E-5</v>
      </c>
      <c r="N23" s="346">
        <f t="shared" si="1"/>
        <v>7.3911719939117197E-5</v>
      </c>
    </row>
    <row r="24" spans="1:21">
      <c r="B24" s="88" t="s">
        <v>195</v>
      </c>
      <c r="C24" s="89"/>
      <c r="D24" s="89"/>
      <c r="E24" s="89"/>
      <c r="F24" s="89">
        <v>1</v>
      </c>
      <c r="G24" s="89">
        <f>+'Costo horario'!E$10</f>
        <v>334</v>
      </c>
      <c r="H24" s="89">
        <v>0.05</v>
      </c>
      <c r="I24" s="90"/>
      <c r="J24" s="89"/>
      <c r="K24" s="113">
        <f>+'Costo horario'!AA$10</f>
        <v>6.7607876712328764E-3</v>
      </c>
      <c r="L24" s="89"/>
      <c r="M24" s="86">
        <f t="shared" si="0"/>
        <v>3.3803938356164387E-4</v>
      </c>
      <c r="N24" s="346">
        <f t="shared" si="1"/>
        <v>3.3803938356164387E-4</v>
      </c>
      <c r="R24" s="62">
        <v>1188.5999999999999</v>
      </c>
      <c r="S24" s="62" t="s">
        <v>196</v>
      </c>
      <c r="T24" s="62" t="s">
        <v>197</v>
      </c>
      <c r="U24" s="62" t="s">
        <v>198</v>
      </c>
    </row>
    <row r="25" spans="1:21">
      <c r="B25" s="88" t="s">
        <v>199</v>
      </c>
      <c r="C25" s="89"/>
      <c r="D25" s="89"/>
      <c r="E25" s="89"/>
      <c r="F25" s="89">
        <v>1</v>
      </c>
      <c r="G25" s="89">
        <f>+'Costo horario'!E11</f>
        <v>40</v>
      </c>
      <c r="H25" s="89">
        <v>0.08</v>
      </c>
      <c r="I25" s="90"/>
      <c r="J25" s="89"/>
      <c r="K25" s="113">
        <f>+'Costo horario'!AA11</f>
        <v>1.8858447488584475E-3</v>
      </c>
      <c r="L25" s="89"/>
      <c r="M25" s="86">
        <f t="shared" si="0"/>
        <v>1.508675799086758E-4</v>
      </c>
      <c r="N25" s="346">
        <f t="shared" si="1"/>
        <v>1.508675799086758E-4</v>
      </c>
      <c r="S25" s="62" t="s">
        <v>200</v>
      </c>
      <c r="T25" s="62" t="s">
        <v>201</v>
      </c>
    </row>
    <row r="26" spans="1:21">
      <c r="B26" s="88" t="s">
        <v>8</v>
      </c>
      <c r="C26" s="89"/>
      <c r="D26" s="89"/>
      <c r="E26" s="89"/>
      <c r="F26" s="89">
        <v>1</v>
      </c>
      <c r="G26" s="89">
        <f>+'Costo horario'!E$12</f>
        <v>1091.83</v>
      </c>
      <c r="H26" s="89">
        <v>1.64</v>
      </c>
      <c r="I26" s="90"/>
      <c r="J26" s="89"/>
      <c r="K26" s="113">
        <f>+'Costo horario'!AA$12</f>
        <v>5.6838680597200389E-2</v>
      </c>
      <c r="L26" s="89"/>
      <c r="M26" s="86">
        <f t="shared" si="0"/>
        <v>9.3215436179408626E-2</v>
      </c>
      <c r="N26" s="346">
        <f t="shared" si="1"/>
        <v>9.3215436179408626E-2</v>
      </c>
    </row>
    <row r="27" spans="1:21" ht="14.4" thickBot="1">
      <c r="B27" s="93"/>
      <c r="C27" s="94"/>
      <c r="D27" s="94"/>
      <c r="E27" s="94" t="s">
        <v>120</v>
      </c>
      <c r="F27" s="94">
        <v>1</v>
      </c>
      <c r="G27" s="94"/>
      <c r="H27" s="114"/>
      <c r="I27" s="95">
        <f>'Costo horario'!E44</f>
        <v>5.1829166666666673</v>
      </c>
      <c r="J27" s="114">
        <f>+Rendimientos!B3</f>
        <v>0.66110000000000002</v>
      </c>
      <c r="K27" s="361"/>
      <c r="L27" s="95">
        <f>+I27*J27</f>
        <v>3.4264262083333339</v>
      </c>
      <c r="M27" s="97"/>
      <c r="N27" s="349">
        <f>+L27</f>
        <v>3.4264262083333339</v>
      </c>
      <c r="O27" s="62" t="s">
        <v>121</v>
      </c>
    </row>
    <row r="28" spans="1:21" ht="14.4" thickBot="1">
      <c r="B28" s="99"/>
      <c r="D28" s="59"/>
      <c r="E28" s="59"/>
      <c r="F28" s="59"/>
      <c r="G28" s="59"/>
      <c r="H28" s="59"/>
      <c r="I28" s="100"/>
      <c r="J28" s="59"/>
      <c r="K28" s="142"/>
      <c r="L28" s="102"/>
      <c r="M28" s="365"/>
      <c r="N28" s="366"/>
    </row>
    <row r="29" spans="1:21">
      <c r="B29" s="99"/>
      <c r="D29" s="59"/>
      <c r="E29" s="59"/>
      <c r="F29" s="59"/>
      <c r="G29" s="59"/>
      <c r="H29" s="59"/>
      <c r="I29" s="100"/>
      <c r="J29" s="59"/>
      <c r="K29" s="142"/>
      <c r="L29" s="356" t="s">
        <v>288</v>
      </c>
      <c r="M29" s="105"/>
      <c r="N29" s="415">
        <f>SUM(N19:N27)</f>
        <v>8.0459598693428909</v>
      </c>
    </row>
    <row r="30" spans="1:21">
      <c r="B30" s="99"/>
      <c r="D30" s="59"/>
      <c r="E30" s="59"/>
      <c r="F30" s="59"/>
      <c r="G30" s="59"/>
      <c r="H30" s="59"/>
      <c r="I30" s="100"/>
      <c r="J30" s="59"/>
      <c r="K30" s="142"/>
      <c r="L30" s="357" t="s">
        <v>192</v>
      </c>
      <c r="M30" s="302">
        <f>'Costo Ind.'!O$25</f>
        <v>24</v>
      </c>
      <c r="N30" s="416">
        <f>(M30/100)*N29</f>
        <v>1.9310303686422938</v>
      </c>
    </row>
    <row r="31" spans="1:21" ht="14.4" thickBot="1">
      <c r="B31" s="99"/>
      <c r="D31" s="59"/>
      <c r="E31" s="59"/>
      <c r="F31" s="59"/>
      <c r="G31" s="59"/>
      <c r="H31" s="59"/>
      <c r="I31" s="100"/>
      <c r="J31" s="59"/>
      <c r="K31" s="142"/>
      <c r="L31" s="358" t="s">
        <v>193</v>
      </c>
      <c r="M31" s="108"/>
      <c r="N31" s="417">
        <f>N30+N29</f>
        <v>9.9769902379851843</v>
      </c>
    </row>
    <row r="32" spans="1:21" ht="14.4" thickBot="1"/>
    <row r="33" spans="1:15" ht="14.4" thickBot="1">
      <c r="A33" s="119" t="s">
        <v>165</v>
      </c>
      <c r="B33" s="595" t="s">
        <v>202</v>
      </c>
      <c r="C33" s="596"/>
      <c r="D33" s="596"/>
      <c r="E33" s="596"/>
      <c r="F33" s="596"/>
      <c r="G33" s="596"/>
      <c r="H33" s="596"/>
      <c r="I33" s="596"/>
      <c r="J33" s="596"/>
      <c r="K33" s="596"/>
      <c r="L33" s="596"/>
      <c r="M33" s="596"/>
      <c r="N33" s="597"/>
    </row>
    <row r="34" spans="1:15" s="111" customFormat="1" ht="67.8" customHeight="1">
      <c r="B34" s="71" t="s">
        <v>0</v>
      </c>
      <c r="C34" s="72" t="s">
        <v>167</v>
      </c>
      <c r="D34" s="72" t="s">
        <v>168</v>
      </c>
      <c r="E34" s="72" t="s">
        <v>169</v>
      </c>
      <c r="F34" s="72" t="s">
        <v>78</v>
      </c>
      <c r="G34" s="72" t="s">
        <v>170</v>
      </c>
      <c r="H34" s="72" t="s">
        <v>172</v>
      </c>
      <c r="I34" s="73" t="s">
        <v>173</v>
      </c>
      <c r="J34" s="74" t="s">
        <v>174</v>
      </c>
      <c r="K34" s="360" t="s">
        <v>175</v>
      </c>
      <c r="L34" s="77" t="s">
        <v>178</v>
      </c>
      <c r="M34" s="78" t="s">
        <v>179</v>
      </c>
      <c r="N34" s="348" t="s">
        <v>289</v>
      </c>
    </row>
    <row r="35" spans="1:15">
      <c r="B35" s="81" t="s">
        <v>181</v>
      </c>
      <c r="C35" s="82" t="s">
        <v>182</v>
      </c>
      <c r="D35" s="82">
        <v>2012</v>
      </c>
      <c r="E35" s="82"/>
      <c r="F35" s="82">
        <v>1</v>
      </c>
      <c r="G35" s="83">
        <f>'Costo horario'!E$5</f>
        <v>2651.04</v>
      </c>
      <c r="H35" s="82">
        <v>1.6670000000000001E-2</v>
      </c>
      <c r="I35" s="84"/>
      <c r="J35" s="82"/>
      <c r="K35" s="113">
        <f>'Costo horario'!AA$5</f>
        <v>7.0368708526087273E-2</v>
      </c>
      <c r="L35" s="82"/>
      <c r="M35" s="86">
        <f t="shared" ref="M35:M43" si="2">+K35*H35</f>
        <v>1.173046371129875E-3</v>
      </c>
      <c r="N35" s="345">
        <f t="shared" ref="N35:N43" si="3">+K35*H35</f>
        <v>1.173046371129875E-3</v>
      </c>
    </row>
    <row r="36" spans="1:15">
      <c r="B36" s="81" t="s">
        <v>9</v>
      </c>
      <c r="C36" s="82"/>
      <c r="D36" s="82"/>
      <c r="E36" s="82"/>
      <c r="F36" s="82">
        <v>1</v>
      </c>
      <c r="G36" s="82">
        <f>+'Costo horario'!E$13</f>
        <v>20</v>
      </c>
      <c r="H36" s="82">
        <v>1.6670000000000001E-2</v>
      </c>
      <c r="I36" s="84"/>
      <c r="J36" s="82"/>
      <c r="K36" s="113">
        <f>+'Costo horario'!AA$13</f>
        <v>9.2389649923896495E-4</v>
      </c>
      <c r="L36" s="82"/>
      <c r="M36" s="86">
        <f t="shared" si="2"/>
        <v>1.5401354642313546E-5</v>
      </c>
      <c r="N36" s="345">
        <f t="shared" si="3"/>
        <v>1.5401354642313546E-5</v>
      </c>
    </row>
    <row r="37" spans="1:15">
      <c r="B37" s="81" t="s">
        <v>188</v>
      </c>
      <c r="C37" s="121" t="s">
        <v>189</v>
      </c>
      <c r="D37" s="82">
        <v>2001</v>
      </c>
      <c r="E37" s="82"/>
      <c r="F37" s="82">
        <v>1</v>
      </c>
      <c r="G37" s="89">
        <f>'Costo horario'!E$6</f>
        <v>5000</v>
      </c>
      <c r="H37" s="82">
        <v>16</v>
      </c>
      <c r="I37" s="84"/>
      <c r="J37" s="82"/>
      <c r="K37" s="113">
        <f>'Costo horario'!AA$6</f>
        <v>0.23718569877984882</v>
      </c>
      <c r="L37" s="82"/>
      <c r="M37" s="86">
        <f t="shared" si="2"/>
        <v>3.7949711804775812</v>
      </c>
      <c r="N37" s="345">
        <f t="shared" si="3"/>
        <v>3.7949711804775812</v>
      </c>
    </row>
    <row r="38" spans="1:15">
      <c r="B38" s="81" t="s">
        <v>203</v>
      </c>
      <c r="C38" s="82"/>
      <c r="D38" s="82"/>
      <c r="E38" s="82"/>
      <c r="F38" s="82">
        <v>1</v>
      </c>
      <c r="G38" s="82">
        <f>+'Costo horario'!E$14</f>
        <v>84</v>
      </c>
      <c r="H38" s="82">
        <v>0.03</v>
      </c>
      <c r="I38" s="84"/>
      <c r="J38" s="82"/>
      <c r="K38" s="113">
        <f>+'Costo horario'!AA$14</f>
        <v>4.0021308980213088E-3</v>
      </c>
      <c r="L38" s="82"/>
      <c r="M38" s="86">
        <f t="shared" si="2"/>
        <v>1.2006392694063925E-4</v>
      </c>
      <c r="N38" s="345">
        <f t="shared" si="3"/>
        <v>1.2006392694063925E-4</v>
      </c>
    </row>
    <row r="39" spans="1:15">
      <c r="B39" s="81" t="s">
        <v>204</v>
      </c>
      <c r="C39" s="82"/>
      <c r="D39" s="82"/>
      <c r="E39" s="82"/>
      <c r="F39" s="82">
        <v>1</v>
      </c>
      <c r="G39" s="82">
        <f>+'Costo horario'!E$15</f>
        <v>95</v>
      </c>
      <c r="H39" s="82">
        <v>0.03</v>
      </c>
      <c r="I39" s="84"/>
      <c r="J39" s="82"/>
      <c r="K39" s="113">
        <f>+'Costo horario'!AA$15</f>
        <v>4.5312024353120241E-3</v>
      </c>
      <c r="L39" s="82"/>
      <c r="M39" s="86">
        <f t="shared" si="2"/>
        <v>1.3593607305936072E-4</v>
      </c>
      <c r="N39" s="345">
        <f t="shared" si="3"/>
        <v>1.3593607305936072E-4</v>
      </c>
    </row>
    <row r="40" spans="1:15">
      <c r="B40" s="81" t="s">
        <v>205</v>
      </c>
      <c r="C40" s="82"/>
      <c r="D40" s="82"/>
      <c r="E40" s="82"/>
      <c r="F40" s="82">
        <v>1</v>
      </c>
      <c r="G40" s="82">
        <f>+'Costo horario'!E$16</f>
        <v>84</v>
      </c>
      <c r="H40" s="82">
        <v>0.28999999999999998</v>
      </c>
      <c r="I40" s="84"/>
      <c r="J40" s="82"/>
      <c r="K40" s="113">
        <f>+'Costo horario'!AA$16</f>
        <v>4.0021308980213088E-3</v>
      </c>
      <c r="L40" s="82"/>
      <c r="M40" s="86">
        <f t="shared" si="2"/>
        <v>1.1606179604261794E-3</v>
      </c>
      <c r="N40" s="345">
        <f t="shared" si="3"/>
        <v>1.1606179604261794E-3</v>
      </c>
    </row>
    <row r="41" spans="1:15">
      <c r="B41" s="81" t="s">
        <v>206</v>
      </c>
      <c r="C41" s="82"/>
      <c r="D41" s="82"/>
      <c r="E41" s="82"/>
      <c r="F41" s="82">
        <v>1</v>
      </c>
      <c r="G41" s="82">
        <f>+'Costo horario'!E17</f>
        <v>91</v>
      </c>
      <c r="H41" s="82">
        <v>0.03</v>
      </c>
      <c r="I41" s="84"/>
      <c r="J41" s="82"/>
      <c r="K41" s="113">
        <f>+'Costo horario'!AA17</f>
        <v>4.3388127853881278E-3</v>
      </c>
      <c r="L41" s="82"/>
      <c r="M41" s="86">
        <f t="shared" si="2"/>
        <v>1.3016438356164384E-4</v>
      </c>
      <c r="N41" s="345">
        <f t="shared" si="3"/>
        <v>1.3016438356164384E-4</v>
      </c>
    </row>
    <row r="42" spans="1:15">
      <c r="B42" s="81" t="s">
        <v>207</v>
      </c>
      <c r="C42" s="82"/>
      <c r="D42" s="82"/>
      <c r="E42" s="82"/>
      <c r="F42" s="82">
        <v>1</v>
      </c>
      <c r="G42" s="82">
        <f>+'Costo horario'!E$18</f>
        <v>88</v>
      </c>
      <c r="H42" s="82">
        <v>0.03</v>
      </c>
      <c r="I42" s="84"/>
      <c r="J42" s="82"/>
      <c r="K42" s="113">
        <f>+'Costo horario'!AA$18</f>
        <v>4.194520547945205E-3</v>
      </c>
      <c r="L42" s="82"/>
      <c r="M42" s="86">
        <f t="shared" si="2"/>
        <v>1.2583561643835615E-4</v>
      </c>
      <c r="N42" s="345">
        <f t="shared" si="3"/>
        <v>1.2583561643835615E-4</v>
      </c>
    </row>
    <row r="43" spans="1:15">
      <c r="B43" s="81" t="s">
        <v>208</v>
      </c>
      <c r="C43" s="82"/>
      <c r="D43" s="82"/>
      <c r="E43" s="82"/>
      <c r="F43" s="82">
        <v>1</v>
      </c>
      <c r="G43" s="82">
        <f>+'Costo horario'!E$19</f>
        <v>130</v>
      </c>
      <c r="H43" s="82">
        <v>0.28999999999999998</v>
      </c>
      <c r="I43" s="84"/>
      <c r="J43" s="82"/>
      <c r="K43" s="113">
        <f>+'Costo horario'!AA$19</f>
        <v>6.2146118721461184E-3</v>
      </c>
      <c r="L43" s="82"/>
      <c r="M43" s="86">
        <f t="shared" si="2"/>
        <v>1.8022374429223743E-3</v>
      </c>
      <c r="N43" s="345">
        <f t="shared" si="3"/>
        <v>1.8022374429223743E-3</v>
      </c>
    </row>
    <row r="44" spans="1:15" ht="14.4" thickBot="1">
      <c r="B44" s="93"/>
      <c r="C44" s="94"/>
      <c r="D44" s="94"/>
      <c r="E44" s="94" t="s">
        <v>120</v>
      </c>
      <c r="F44" s="94">
        <v>1</v>
      </c>
      <c r="G44" s="94"/>
      <c r="H44" s="94"/>
      <c r="I44" s="95">
        <f>'Costo horario'!E44</f>
        <v>5.1829166666666673</v>
      </c>
      <c r="J44" s="94">
        <f>+Rendimientos!B4</f>
        <v>0.46666999999999997</v>
      </c>
      <c r="K44" s="361"/>
      <c r="L44" s="95">
        <f>+J44*I44</f>
        <v>2.4187117208333335</v>
      </c>
      <c r="M44" s="97"/>
      <c r="N44" s="349">
        <f>+L44</f>
        <v>2.4187117208333335</v>
      </c>
      <c r="O44" s="62" t="s">
        <v>121</v>
      </c>
    </row>
    <row r="45" spans="1:15" ht="14.4" thickBot="1">
      <c r="B45" s="99"/>
      <c r="D45" s="59"/>
      <c r="E45" s="59"/>
      <c r="F45" s="59"/>
      <c r="G45" s="59"/>
      <c r="H45" s="59"/>
      <c r="I45" s="100"/>
      <c r="J45" s="59"/>
      <c r="K45" s="142"/>
      <c r="L45" s="102"/>
      <c r="M45" s="365"/>
      <c r="N45" s="366"/>
    </row>
    <row r="46" spans="1:15">
      <c r="B46" s="99"/>
      <c r="D46" s="59"/>
      <c r="E46" s="59"/>
      <c r="F46" s="59"/>
      <c r="G46" s="59"/>
      <c r="H46" s="59"/>
      <c r="I46" s="100"/>
      <c r="J46" s="59"/>
      <c r="K46" s="142"/>
      <c r="L46" s="356" t="s">
        <v>288</v>
      </c>
      <c r="M46" s="122"/>
      <c r="N46" s="415">
        <f>SUM(N35:N44)</f>
        <v>6.2183462044400351</v>
      </c>
    </row>
    <row r="47" spans="1:15">
      <c r="B47" s="99"/>
      <c r="D47" s="59"/>
      <c r="E47" s="59"/>
      <c r="F47" s="59"/>
      <c r="G47" s="59"/>
      <c r="H47" s="59"/>
      <c r="I47" s="100"/>
      <c r="J47" s="59"/>
      <c r="K47" s="142"/>
      <c r="L47" s="357" t="s">
        <v>192</v>
      </c>
      <c r="M47" s="302">
        <f>'Costo Ind.'!O$25</f>
        <v>24</v>
      </c>
      <c r="N47" s="416">
        <f>(M47/100)*N46</f>
        <v>1.4924030890656084</v>
      </c>
    </row>
    <row r="48" spans="1:15" ht="14.4" thickBot="1">
      <c r="B48" s="99"/>
      <c r="D48" s="59"/>
      <c r="E48" s="59"/>
      <c r="F48" s="59"/>
      <c r="G48" s="59"/>
      <c r="H48" s="59"/>
      <c r="I48" s="100"/>
      <c r="J48" s="59"/>
      <c r="K48" s="142"/>
      <c r="L48" s="358" t="s">
        <v>193</v>
      </c>
      <c r="M48" s="108"/>
      <c r="N48" s="417">
        <f>N47+N46</f>
        <v>7.7107492935056436</v>
      </c>
    </row>
    <row r="49" spans="1:15" ht="14.4" thickBot="1"/>
    <row r="50" spans="1:15" ht="14.4" thickBot="1">
      <c r="A50" s="110" t="s">
        <v>165</v>
      </c>
      <c r="B50" s="595" t="s">
        <v>209</v>
      </c>
      <c r="C50" s="596"/>
      <c r="D50" s="596"/>
      <c r="E50" s="596"/>
      <c r="F50" s="596"/>
      <c r="G50" s="596"/>
      <c r="H50" s="596"/>
      <c r="I50" s="596"/>
      <c r="J50" s="596"/>
      <c r="K50" s="596"/>
      <c r="L50" s="596"/>
      <c r="M50" s="596"/>
      <c r="N50" s="597"/>
    </row>
    <row r="51" spans="1:15" s="111" customFormat="1" ht="60" customHeight="1">
      <c r="B51" s="71" t="s">
        <v>0</v>
      </c>
      <c r="C51" s="72" t="s">
        <v>167</v>
      </c>
      <c r="D51" s="72" t="s">
        <v>168</v>
      </c>
      <c r="E51" s="72" t="s">
        <v>169</v>
      </c>
      <c r="F51" s="72" t="s">
        <v>78</v>
      </c>
      <c r="G51" s="72" t="s">
        <v>170</v>
      </c>
      <c r="H51" s="72" t="s">
        <v>172</v>
      </c>
      <c r="I51" s="73" t="s">
        <v>173</v>
      </c>
      <c r="J51" s="74" t="s">
        <v>174</v>
      </c>
      <c r="K51" s="360" t="s">
        <v>175</v>
      </c>
      <c r="L51" s="77" t="s">
        <v>178</v>
      </c>
      <c r="M51" s="78" t="s">
        <v>179</v>
      </c>
      <c r="N51" s="348" t="s">
        <v>289</v>
      </c>
    </row>
    <row r="52" spans="1:15">
      <c r="B52" s="81" t="s">
        <v>181</v>
      </c>
      <c r="C52" s="82" t="s">
        <v>182</v>
      </c>
      <c r="D52" s="82">
        <v>2012</v>
      </c>
      <c r="E52" s="82"/>
      <c r="F52" s="82">
        <v>1</v>
      </c>
      <c r="G52" s="83">
        <f>'Costo horario'!E$5</f>
        <v>2651.04</v>
      </c>
      <c r="H52" s="82">
        <v>0.12</v>
      </c>
      <c r="I52" s="84"/>
      <c r="J52" s="82"/>
      <c r="K52" s="113">
        <f>'Costo horario'!AA$5</f>
        <v>7.0368708526087273E-2</v>
      </c>
      <c r="L52" s="82"/>
      <c r="M52" s="86">
        <f>+K52*H52</f>
        <v>8.4442450231304728E-3</v>
      </c>
      <c r="N52" s="345">
        <f>+M52</f>
        <v>8.4442450231304728E-3</v>
      </c>
    </row>
    <row r="53" spans="1:15">
      <c r="B53" s="81" t="s">
        <v>9</v>
      </c>
      <c r="C53" s="82"/>
      <c r="D53" s="82"/>
      <c r="E53" s="82"/>
      <c r="F53" s="82">
        <v>1</v>
      </c>
      <c r="G53" s="82">
        <f>+'Costo horario'!E$13</f>
        <v>20</v>
      </c>
      <c r="H53" s="82">
        <v>42.02</v>
      </c>
      <c r="I53" s="84"/>
      <c r="J53" s="82"/>
      <c r="K53" s="113">
        <f>+'Costo horario'!AA$13</f>
        <v>9.2389649923896495E-4</v>
      </c>
      <c r="L53" s="82"/>
      <c r="M53" s="86">
        <f>+K53*H53</f>
        <v>3.8822130898021313E-2</v>
      </c>
      <c r="N53" s="345">
        <f>+M53</f>
        <v>3.8822130898021313E-2</v>
      </c>
    </row>
    <row r="54" spans="1:15">
      <c r="B54" s="123" t="s">
        <v>188</v>
      </c>
      <c r="C54" s="121" t="s">
        <v>189</v>
      </c>
      <c r="D54" s="82">
        <v>2001</v>
      </c>
      <c r="E54" s="82"/>
      <c r="F54" s="82">
        <v>1</v>
      </c>
      <c r="G54" s="89">
        <f>'Costo horario'!E$6</f>
        <v>5000</v>
      </c>
      <c r="H54" s="82">
        <v>18</v>
      </c>
      <c r="I54" s="84"/>
      <c r="J54" s="82"/>
      <c r="K54" s="113">
        <f>'Costo horario'!AA$6</f>
        <v>0.23718569877984882</v>
      </c>
      <c r="L54" s="82"/>
      <c r="M54" s="86">
        <f>+K54*H54</f>
        <v>4.2693425780372785</v>
      </c>
      <c r="N54" s="345">
        <f>+M54</f>
        <v>4.2693425780372785</v>
      </c>
    </row>
    <row r="55" spans="1:15">
      <c r="B55" s="81" t="s">
        <v>210</v>
      </c>
      <c r="C55" s="124"/>
      <c r="D55" s="82">
        <v>2009</v>
      </c>
      <c r="E55" s="82"/>
      <c r="F55" s="82">
        <v>1</v>
      </c>
      <c r="G55" s="82">
        <f>+'Costo horario'!E20</f>
        <v>1224</v>
      </c>
      <c r="H55" s="82">
        <v>24</v>
      </c>
      <c r="I55" s="84"/>
      <c r="J55" s="82"/>
      <c r="K55" s="113">
        <f>+'Costo horario'!AA20</f>
        <v>0.10602836781570478</v>
      </c>
      <c r="L55" s="82"/>
      <c r="M55" s="86">
        <f>+K55*H55</f>
        <v>2.5446808275769146</v>
      </c>
      <c r="N55" s="345">
        <f>+M55</f>
        <v>2.5446808275769146</v>
      </c>
    </row>
    <row r="56" spans="1:15">
      <c r="B56" s="81" t="s">
        <v>211</v>
      </c>
      <c r="C56" s="82"/>
      <c r="D56" s="82"/>
      <c r="E56" s="82"/>
      <c r="F56" s="89" t="s">
        <v>212</v>
      </c>
      <c r="G56" s="89">
        <v>80</v>
      </c>
      <c r="H56" s="89">
        <v>0.4</v>
      </c>
      <c r="I56" s="90"/>
      <c r="J56" s="89"/>
      <c r="K56" s="113"/>
      <c r="L56" s="89"/>
      <c r="M56" s="86"/>
      <c r="N56" s="346">
        <f>+H56*G56/100</f>
        <v>0.32</v>
      </c>
    </row>
    <row r="57" spans="1:15">
      <c r="B57" s="81" t="s">
        <v>213</v>
      </c>
      <c r="C57" s="82"/>
      <c r="D57" s="82"/>
      <c r="E57" s="82"/>
      <c r="F57" s="82">
        <v>1</v>
      </c>
      <c r="G57" s="82">
        <f>+'Costo horario'!E$18</f>
        <v>88</v>
      </c>
      <c r="H57" s="82">
        <v>0.03</v>
      </c>
      <c r="I57" s="84"/>
      <c r="J57" s="82"/>
      <c r="K57" s="113">
        <f>+'Costo horario'!AA$18</f>
        <v>4.194520547945205E-3</v>
      </c>
      <c r="L57" s="82"/>
      <c r="M57" s="86">
        <f t="shared" ref="M57:M63" si="4">+K57*H57</f>
        <v>1.2583561643835615E-4</v>
      </c>
      <c r="N57" s="345">
        <f t="shared" ref="N57:N63" si="5">+M57</f>
        <v>1.2583561643835615E-4</v>
      </c>
    </row>
    <row r="58" spans="1:15">
      <c r="B58" s="81" t="s">
        <v>214</v>
      </c>
      <c r="C58" s="82"/>
      <c r="D58" s="82"/>
      <c r="E58" s="82"/>
      <c r="F58" s="82">
        <v>1</v>
      </c>
      <c r="G58" s="82">
        <f>+'Costo horario'!E$19</f>
        <v>130</v>
      </c>
      <c r="H58" s="82">
        <v>0.03</v>
      </c>
      <c r="I58" s="84"/>
      <c r="J58" s="82"/>
      <c r="K58" s="113">
        <f>+'Costo horario'!AA$19</f>
        <v>6.2146118721461184E-3</v>
      </c>
      <c r="L58" s="82"/>
      <c r="M58" s="86">
        <f t="shared" si="4"/>
        <v>1.8643835616438356E-4</v>
      </c>
      <c r="N58" s="345">
        <f t="shared" si="5"/>
        <v>1.8643835616438356E-4</v>
      </c>
    </row>
    <row r="59" spans="1:15">
      <c r="B59" s="81" t="s">
        <v>17</v>
      </c>
      <c r="C59" s="82"/>
      <c r="D59" s="82"/>
      <c r="E59" s="82"/>
      <c r="F59" s="82">
        <v>1</v>
      </c>
      <c r="G59" s="82">
        <f>+'Costo horario'!E21</f>
        <v>500</v>
      </c>
      <c r="H59" s="83">
        <v>0.1</v>
      </c>
      <c r="I59" s="84"/>
      <c r="J59" s="82"/>
      <c r="K59" s="113">
        <f>+'Costo horario'!AA21</f>
        <v>3.7081789430346582E-2</v>
      </c>
      <c r="L59" s="82"/>
      <c r="M59" s="86">
        <f t="shared" si="4"/>
        <v>3.7081789430346585E-3</v>
      </c>
      <c r="N59" s="345">
        <f t="shared" si="5"/>
        <v>3.7081789430346585E-3</v>
      </c>
    </row>
    <row r="60" spans="1:15">
      <c r="B60" s="81" t="s">
        <v>18</v>
      </c>
      <c r="C60" s="82"/>
      <c r="D60" s="82"/>
      <c r="E60" s="82"/>
      <c r="F60" s="82">
        <v>1</v>
      </c>
      <c r="G60" s="82">
        <f>+'Costo horario'!E22</f>
        <v>25</v>
      </c>
      <c r="H60" s="82">
        <v>0.28999999999999998</v>
      </c>
      <c r="I60" s="84"/>
      <c r="J60" s="82"/>
      <c r="K60" s="113">
        <f>+'Costo horario'!AA22</f>
        <v>1.1643835616438356E-3</v>
      </c>
      <c r="L60" s="82"/>
      <c r="M60" s="86">
        <f t="shared" si="4"/>
        <v>3.3767123287671227E-4</v>
      </c>
      <c r="N60" s="345">
        <f t="shared" si="5"/>
        <v>3.3767123287671227E-4</v>
      </c>
    </row>
    <row r="61" spans="1:15">
      <c r="B61" s="81" t="s">
        <v>19</v>
      </c>
      <c r="C61" s="82"/>
      <c r="D61" s="82"/>
      <c r="E61" s="82"/>
      <c r="F61" s="82">
        <v>1</v>
      </c>
      <c r="G61" s="82">
        <f>+'Costo horario'!E23</f>
        <v>25</v>
      </c>
      <c r="H61" s="82">
        <v>24</v>
      </c>
      <c r="I61" s="84"/>
      <c r="J61" s="82"/>
      <c r="K61" s="113">
        <f>+'Costo horario'!AA23</f>
        <v>1.1643835616438356E-3</v>
      </c>
      <c r="L61" s="82"/>
      <c r="M61" s="86">
        <f t="shared" si="4"/>
        <v>2.7945205479452055E-2</v>
      </c>
      <c r="N61" s="345">
        <f t="shared" si="5"/>
        <v>2.7945205479452055E-2</v>
      </c>
    </row>
    <row r="62" spans="1:15">
      <c r="B62" s="88" t="s">
        <v>195</v>
      </c>
      <c r="C62" s="82"/>
      <c r="D62" s="82"/>
      <c r="E62" s="82"/>
      <c r="F62" s="82">
        <v>1</v>
      </c>
      <c r="G62" s="89">
        <f>+'Costo horario'!E$10</f>
        <v>334</v>
      </c>
      <c r="H62" s="82">
        <v>24</v>
      </c>
      <c r="I62" s="84"/>
      <c r="J62" s="82"/>
      <c r="K62" s="113">
        <f>+'Costo horario'!AA$10</f>
        <v>6.7607876712328764E-3</v>
      </c>
      <c r="L62" s="82"/>
      <c r="M62" s="86">
        <f t="shared" si="4"/>
        <v>0.16225890410958904</v>
      </c>
      <c r="N62" s="345">
        <f t="shared" si="5"/>
        <v>0.16225890410958904</v>
      </c>
    </row>
    <row r="63" spans="1:15">
      <c r="B63" s="81" t="s">
        <v>20</v>
      </c>
      <c r="C63" s="82"/>
      <c r="D63" s="82"/>
      <c r="E63" s="82"/>
      <c r="F63" s="82">
        <v>1</v>
      </c>
      <c r="G63" s="82">
        <f>+'Costo horario'!E24</f>
        <v>90</v>
      </c>
      <c r="H63" s="82">
        <v>0.72</v>
      </c>
      <c r="I63" s="84"/>
      <c r="J63" s="82"/>
      <c r="K63" s="113">
        <f>+'Costo horario'!AA24</f>
        <v>2.1740867579908675E-3</v>
      </c>
      <c r="L63" s="82"/>
      <c r="M63" s="86">
        <f t="shared" si="4"/>
        <v>1.5653424657534245E-3</v>
      </c>
      <c r="N63" s="345">
        <f t="shared" si="5"/>
        <v>1.5653424657534245E-3</v>
      </c>
    </row>
    <row r="64" spans="1:15" ht="14.4" thickBot="1">
      <c r="B64" s="93"/>
      <c r="C64" s="94"/>
      <c r="D64" s="94"/>
      <c r="E64" s="94" t="s">
        <v>120</v>
      </c>
      <c r="F64" s="94">
        <v>1</v>
      </c>
      <c r="G64" s="114"/>
      <c r="H64" s="114"/>
      <c r="I64" s="95">
        <f>'Costo horario'!E44</f>
        <v>5.1829166666666673</v>
      </c>
      <c r="J64" s="114">
        <f>+Rendimientos!B5</f>
        <v>1.17</v>
      </c>
      <c r="K64" s="361"/>
      <c r="L64" s="125">
        <f>+J64*I64</f>
        <v>6.0640125000000005</v>
      </c>
      <c r="M64" s="97"/>
      <c r="N64" s="352">
        <f>+L64</f>
        <v>6.0640125000000005</v>
      </c>
      <c r="O64" s="62" t="s">
        <v>121</v>
      </c>
    </row>
    <row r="65" spans="1:17" ht="14.4" thickBot="1">
      <c r="B65" s="99"/>
      <c r="D65" s="59"/>
      <c r="E65" s="59"/>
      <c r="F65" s="59"/>
      <c r="G65" s="59"/>
      <c r="H65" s="59"/>
      <c r="I65" s="100"/>
      <c r="J65" s="59"/>
      <c r="K65" s="142"/>
      <c r="L65" s="102"/>
      <c r="M65" s="365"/>
      <c r="N65" s="366"/>
    </row>
    <row r="66" spans="1:17">
      <c r="B66" s="99"/>
      <c r="D66" s="59"/>
      <c r="E66" s="59"/>
      <c r="F66" s="59"/>
      <c r="G66" s="59"/>
      <c r="H66" s="59"/>
      <c r="I66" s="100"/>
      <c r="J66" s="59"/>
      <c r="K66" s="142"/>
      <c r="L66" s="356" t="s">
        <v>288</v>
      </c>
      <c r="M66" s="122"/>
      <c r="N66" s="415">
        <f>SUM(N52:N64)</f>
        <v>13.441429857738655</v>
      </c>
    </row>
    <row r="67" spans="1:17">
      <c r="B67" s="99"/>
      <c r="D67" s="59"/>
      <c r="E67" s="59"/>
      <c r="F67" s="59"/>
      <c r="G67" s="59"/>
      <c r="H67" s="59"/>
      <c r="I67" s="100"/>
      <c r="J67" s="59"/>
      <c r="K67" s="142"/>
      <c r="L67" s="357" t="s">
        <v>192</v>
      </c>
      <c r="M67" s="302">
        <f>'Costo Ind.'!O$25</f>
        <v>24</v>
      </c>
      <c r="N67" s="416">
        <f>(M67/100)*N66</f>
        <v>3.2259431658572768</v>
      </c>
    </row>
    <row r="68" spans="1:17" ht="14.4" thickBot="1">
      <c r="B68" s="99"/>
      <c r="D68" s="59"/>
      <c r="E68" s="59"/>
      <c r="F68" s="59"/>
      <c r="G68" s="59"/>
      <c r="H68" s="59"/>
      <c r="I68" s="100"/>
      <c r="J68" s="59"/>
      <c r="K68" s="142"/>
      <c r="L68" s="358" t="s">
        <v>193</v>
      </c>
      <c r="M68" s="108"/>
      <c r="N68" s="417">
        <f>N67+N66</f>
        <v>16.667373023595932</v>
      </c>
    </row>
    <row r="69" spans="1:17" ht="14.4" thickBot="1"/>
    <row r="70" spans="1:17" ht="14.4" thickBot="1">
      <c r="A70" s="127" t="s">
        <v>165</v>
      </c>
      <c r="B70" s="595" t="s">
        <v>215</v>
      </c>
      <c r="C70" s="596"/>
      <c r="D70" s="596"/>
      <c r="E70" s="596"/>
      <c r="F70" s="596"/>
      <c r="G70" s="596"/>
      <c r="H70" s="596"/>
      <c r="I70" s="596"/>
      <c r="J70" s="596"/>
      <c r="K70" s="596"/>
      <c r="L70" s="596"/>
      <c r="M70" s="596"/>
      <c r="N70" s="597"/>
    </row>
    <row r="71" spans="1:17" s="111" customFormat="1" ht="58.5" customHeight="1">
      <c r="B71" s="71" t="s">
        <v>0</v>
      </c>
      <c r="C71" s="72" t="s">
        <v>167</v>
      </c>
      <c r="D71" s="72" t="s">
        <v>168</v>
      </c>
      <c r="E71" s="72" t="s">
        <v>169</v>
      </c>
      <c r="F71" s="72" t="s">
        <v>78</v>
      </c>
      <c r="G71" s="72" t="s">
        <v>170</v>
      </c>
      <c r="H71" s="72" t="s">
        <v>172</v>
      </c>
      <c r="I71" s="73" t="s">
        <v>173</v>
      </c>
      <c r="J71" s="74" t="s">
        <v>174</v>
      </c>
      <c r="K71" s="360" t="s">
        <v>175</v>
      </c>
      <c r="L71" s="77" t="s">
        <v>178</v>
      </c>
      <c r="M71" s="78" t="s">
        <v>179</v>
      </c>
      <c r="N71" s="348" t="s">
        <v>289</v>
      </c>
    </row>
    <row r="72" spans="1:17">
      <c r="B72" s="81" t="s">
        <v>216</v>
      </c>
      <c r="C72" s="82"/>
      <c r="D72" s="82"/>
      <c r="E72" s="82"/>
      <c r="F72" s="82">
        <v>1</v>
      </c>
      <c r="G72" s="82">
        <f>+'Costo horario'!E25</f>
        <v>1150</v>
      </c>
      <c r="H72" s="82">
        <v>0.43</v>
      </c>
      <c r="I72" s="84"/>
      <c r="J72" s="82"/>
      <c r="K72" s="113">
        <f>+'Costo horario'!AA25</f>
        <v>5.6699191556254212E-2</v>
      </c>
      <c r="L72" s="82"/>
      <c r="M72" s="86">
        <f t="shared" ref="M72:M78" si="6">+K72*H72</f>
        <v>2.438065236918931E-2</v>
      </c>
      <c r="N72" s="345">
        <f t="shared" ref="N72:N78" si="7">+M72</f>
        <v>2.438065236918931E-2</v>
      </c>
      <c r="Q72" s="62">
        <f>365*10</f>
        <v>3650</v>
      </c>
    </row>
    <row r="73" spans="1:17">
      <c r="B73" s="81" t="s">
        <v>9</v>
      </c>
      <c r="C73" s="82"/>
      <c r="D73" s="82"/>
      <c r="E73" s="82"/>
      <c r="F73" s="82">
        <v>1</v>
      </c>
      <c r="G73" s="82">
        <f>+'Costo horario'!E$13</f>
        <v>20</v>
      </c>
      <c r="H73" s="82">
        <v>0.2</v>
      </c>
      <c r="I73" s="84"/>
      <c r="J73" s="82"/>
      <c r="K73" s="113">
        <f>+'Costo horario'!AA$13</f>
        <v>9.2389649923896495E-4</v>
      </c>
      <c r="L73" s="82"/>
      <c r="M73" s="86">
        <f t="shared" si="6"/>
        <v>1.8477929984779301E-4</v>
      </c>
      <c r="N73" s="345">
        <f t="shared" si="7"/>
        <v>1.8477929984779301E-4</v>
      </c>
    </row>
    <row r="74" spans="1:17">
      <c r="B74" s="81" t="s">
        <v>181</v>
      </c>
      <c r="C74" s="82" t="s">
        <v>182</v>
      </c>
      <c r="D74" s="82">
        <v>2012</v>
      </c>
      <c r="E74" s="82"/>
      <c r="F74" s="82">
        <v>1</v>
      </c>
      <c r="G74" s="83">
        <f>'Costo horario'!E$5</f>
        <v>2651.04</v>
      </c>
      <c r="H74" s="82">
        <v>0.06</v>
      </c>
      <c r="I74" s="84"/>
      <c r="J74" s="82"/>
      <c r="K74" s="113">
        <f>'Costo horario'!AA$5</f>
        <v>7.0368708526087273E-2</v>
      </c>
      <c r="L74" s="82"/>
      <c r="M74" s="86">
        <f t="shared" si="6"/>
        <v>4.2221225115652364E-3</v>
      </c>
      <c r="N74" s="345">
        <f t="shared" si="7"/>
        <v>4.2221225115652364E-3</v>
      </c>
    </row>
    <row r="75" spans="1:17">
      <c r="B75" s="123" t="s">
        <v>188</v>
      </c>
      <c r="C75" s="121" t="s">
        <v>189</v>
      </c>
      <c r="D75" s="82">
        <v>2001</v>
      </c>
      <c r="E75" s="82"/>
      <c r="F75" s="82">
        <v>1</v>
      </c>
      <c r="G75" s="89">
        <f>'Costo horario'!E$6</f>
        <v>5000</v>
      </c>
      <c r="H75" s="82">
        <v>19.43</v>
      </c>
      <c r="I75" s="84"/>
      <c r="J75" s="82"/>
      <c r="K75" s="113">
        <f>'Costo horario'!AA$6</f>
        <v>0.23718569877984882</v>
      </c>
      <c r="L75" s="82"/>
      <c r="M75" s="86">
        <f t="shared" si="6"/>
        <v>4.6085181272924629</v>
      </c>
      <c r="N75" s="345">
        <f t="shared" si="7"/>
        <v>4.6085181272924629</v>
      </c>
    </row>
    <row r="76" spans="1:17">
      <c r="B76" s="81" t="s">
        <v>22</v>
      </c>
      <c r="C76" s="82"/>
      <c r="D76" s="82"/>
      <c r="E76" s="82"/>
      <c r="F76" s="82">
        <v>1</v>
      </c>
      <c r="G76" s="82">
        <f>+'Costo horario'!E$26</f>
        <v>3.5</v>
      </c>
      <c r="H76" s="82">
        <v>0.06</v>
      </c>
      <c r="I76" s="84"/>
      <c r="J76" s="82"/>
      <c r="K76" s="113">
        <f>+'Costo horario'!AA$26</f>
        <v>3.2054794520547944E-4</v>
      </c>
      <c r="L76" s="82"/>
      <c r="M76" s="120">
        <f t="shared" si="6"/>
        <v>1.9232876712328767E-5</v>
      </c>
      <c r="N76" s="345">
        <f t="shared" si="7"/>
        <v>1.9232876712328767E-5</v>
      </c>
    </row>
    <row r="77" spans="1:17">
      <c r="B77" s="81" t="s">
        <v>3</v>
      </c>
      <c r="C77" s="82"/>
      <c r="D77" s="82"/>
      <c r="E77" s="82"/>
      <c r="F77" s="82">
        <v>1</v>
      </c>
      <c r="G77" s="89">
        <f>'Costo horario'!E$7</f>
        <v>10</v>
      </c>
      <c r="H77" s="82">
        <v>19.329999999999998</v>
      </c>
      <c r="I77" s="84"/>
      <c r="J77" s="82"/>
      <c r="K77" s="113">
        <f>'Costo horario'!AA$7</f>
        <v>4.4292237442922374E-4</v>
      </c>
      <c r="L77" s="82"/>
      <c r="M77" s="86">
        <f t="shared" si="6"/>
        <v>8.5616894977168945E-3</v>
      </c>
      <c r="N77" s="345">
        <f t="shared" si="7"/>
        <v>8.5616894977168945E-3</v>
      </c>
    </row>
    <row r="78" spans="1:17">
      <c r="B78" s="81" t="s">
        <v>207</v>
      </c>
      <c r="C78" s="82"/>
      <c r="D78" s="82"/>
      <c r="E78" s="82"/>
      <c r="F78" s="82">
        <v>1</v>
      </c>
      <c r="G78" s="82">
        <f>+'Costo horario'!E$18</f>
        <v>88</v>
      </c>
      <c r="H78" s="82">
        <v>0.15</v>
      </c>
      <c r="I78" s="84"/>
      <c r="J78" s="82"/>
      <c r="K78" s="113">
        <f>+'Costo horario'!AA$18</f>
        <v>4.194520547945205E-3</v>
      </c>
      <c r="L78" s="82"/>
      <c r="M78" s="86">
        <f t="shared" si="6"/>
        <v>6.2917808219178071E-4</v>
      </c>
      <c r="N78" s="345">
        <f t="shared" si="7"/>
        <v>6.2917808219178071E-4</v>
      </c>
    </row>
    <row r="79" spans="1:17" ht="14.4" thickBot="1">
      <c r="B79" s="93"/>
      <c r="C79" s="94"/>
      <c r="D79" s="94"/>
      <c r="E79" s="94" t="s">
        <v>120</v>
      </c>
      <c r="F79" s="94">
        <v>1</v>
      </c>
      <c r="G79" s="94"/>
      <c r="H79" s="94"/>
      <c r="I79" s="95">
        <f>'Costo horario'!E44</f>
        <v>5.1829166666666673</v>
      </c>
      <c r="J79" s="94">
        <f>+Rendimientos!B6</f>
        <v>0.71</v>
      </c>
      <c r="K79" s="361"/>
      <c r="L79" s="95">
        <f>+J79*I79</f>
        <v>3.6798708333333336</v>
      </c>
      <c r="M79" s="97"/>
      <c r="N79" s="349">
        <f>+L79</f>
        <v>3.6798708333333336</v>
      </c>
      <c r="O79" s="62" t="s">
        <v>121</v>
      </c>
    </row>
    <row r="80" spans="1:17" ht="14.4" thickBot="1">
      <c r="B80" s="99"/>
      <c r="D80" s="59"/>
      <c r="E80" s="59"/>
      <c r="F80" s="59"/>
      <c r="G80" s="59"/>
      <c r="H80" s="59"/>
      <c r="I80" s="100"/>
      <c r="J80" s="59"/>
      <c r="K80" s="142"/>
      <c r="L80" s="102"/>
      <c r="M80" s="365"/>
      <c r="N80" s="366"/>
    </row>
    <row r="81" spans="1:17">
      <c r="B81" s="99"/>
      <c r="D81" s="59"/>
      <c r="E81" s="59"/>
      <c r="F81" s="59"/>
      <c r="G81" s="59"/>
      <c r="H81" s="59"/>
      <c r="I81" s="100"/>
      <c r="J81" s="59"/>
      <c r="K81" s="142"/>
      <c r="L81" s="356" t="s">
        <v>288</v>
      </c>
      <c r="M81" s="122"/>
      <c r="N81" s="371">
        <f>SUM(N72:N79)</f>
        <v>8.3263866152630204</v>
      </c>
    </row>
    <row r="82" spans="1:17">
      <c r="B82" s="99"/>
      <c r="D82" s="59"/>
      <c r="E82" s="59"/>
      <c r="F82" s="59"/>
      <c r="G82" s="59"/>
      <c r="H82" s="59"/>
      <c r="I82" s="100"/>
      <c r="J82" s="59"/>
      <c r="K82" s="142"/>
      <c r="L82" s="357" t="s">
        <v>192</v>
      </c>
      <c r="M82" s="302">
        <f>'Costo Ind.'!O$25</f>
        <v>24</v>
      </c>
      <c r="N82" s="416">
        <f>(M82/100)*N81</f>
        <v>1.9983327876631247</v>
      </c>
    </row>
    <row r="83" spans="1:17" ht="14.4" thickBot="1">
      <c r="B83" s="99"/>
      <c r="D83" s="59"/>
      <c r="E83" s="59"/>
      <c r="F83" s="59"/>
      <c r="G83" s="59"/>
      <c r="H83" s="59"/>
      <c r="I83" s="100"/>
      <c r="J83" s="59"/>
      <c r="K83" s="142"/>
      <c r="L83" s="358" t="s">
        <v>193</v>
      </c>
      <c r="M83" s="108"/>
      <c r="N83" s="417">
        <f>N82+N81</f>
        <v>10.324719402926146</v>
      </c>
      <c r="P83" s="129"/>
      <c r="Q83" s="129"/>
    </row>
    <row r="84" spans="1:17" ht="14.4" thickBot="1"/>
    <row r="85" spans="1:17" ht="14.4" thickBot="1">
      <c r="A85" s="127" t="s">
        <v>165</v>
      </c>
      <c r="B85" s="595" t="s">
        <v>218</v>
      </c>
      <c r="C85" s="596"/>
      <c r="D85" s="596"/>
      <c r="E85" s="596"/>
      <c r="F85" s="596"/>
      <c r="G85" s="596"/>
      <c r="H85" s="596"/>
      <c r="I85" s="596"/>
      <c r="J85" s="596"/>
      <c r="K85" s="596"/>
      <c r="L85" s="596"/>
      <c r="M85" s="596"/>
      <c r="N85" s="597"/>
    </row>
    <row r="86" spans="1:17" s="111" customFormat="1" ht="62.25" customHeight="1">
      <c r="B86" s="71" t="s">
        <v>0</v>
      </c>
      <c r="C86" s="72" t="s">
        <v>167</v>
      </c>
      <c r="D86" s="72" t="s">
        <v>168</v>
      </c>
      <c r="E86" s="72" t="s">
        <v>169</v>
      </c>
      <c r="F86" s="72" t="s">
        <v>78</v>
      </c>
      <c r="G86" s="72" t="s">
        <v>170</v>
      </c>
      <c r="H86" s="72" t="s">
        <v>172</v>
      </c>
      <c r="I86" s="73" t="s">
        <v>173</v>
      </c>
      <c r="J86" s="74" t="s">
        <v>174</v>
      </c>
      <c r="K86" s="360" t="s">
        <v>175</v>
      </c>
      <c r="L86" s="77" t="s">
        <v>178</v>
      </c>
      <c r="M86" s="78" t="s">
        <v>179</v>
      </c>
      <c r="N86" s="348" t="s">
        <v>289</v>
      </c>
    </row>
    <row r="87" spans="1:17">
      <c r="B87" s="81" t="s">
        <v>181</v>
      </c>
      <c r="C87" s="82" t="s">
        <v>182</v>
      </c>
      <c r="D87" s="82">
        <v>2012</v>
      </c>
      <c r="E87" s="82"/>
      <c r="F87" s="82">
        <v>1</v>
      </c>
      <c r="G87" s="83">
        <f>'Costo horario'!E$5</f>
        <v>2651.04</v>
      </c>
      <c r="H87" s="82">
        <v>0.03</v>
      </c>
      <c r="I87" s="84"/>
      <c r="J87" s="82"/>
      <c r="K87" s="113">
        <f>'Costo horario'!AA$5</f>
        <v>7.0368708526087273E-2</v>
      </c>
      <c r="L87" s="82"/>
      <c r="M87" s="86">
        <f t="shared" ref="M87:M93" si="8">+K87*H87</f>
        <v>2.1110612557826182E-3</v>
      </c>
      <c r="N87" s="345">
        <f t="shared" ref="N87:N92" si="9">+M87</f>
        <v>2.1110612557826182E-3</v>
      </c>
    </row>
    <row r="88" spans="1:17">
      <c r="B88" s="123" t="s">
        <v>188</v>
      </c>
      <c r="C88" s="121" t="s">
        <v>189</v>
      </c>
      <c r="D88" s="82">
        <v>2001</v>
      </c>
      <c r="E88" s="82"/>
      <c r="F88" s="82">
        <v>1</v>
      </c>
      <c r="G88" s="89">
        <f>'Costo horario'!E$6</f>
        <v>5000</v>
      </c>
      <c r="H88" s="82">
        <v>21.33</v>
      </c>
      <c r="I88" s="84"/>
      <c r="J88" s="82"/>
      <c r="K88" s="113">
        <f>'Costo horario'!AA$6</f>
        <v>0.23718569877984882</v>
      </c>
      <c r="L88" s="82"/>
      <c r="M88" s="86">
        <f t="shared" si="8"/>
        <v>5.0591709549741752</v>
      </c>
      <c r="N88" s="345">
        <f t="shared" si="9"/>
        <v>5.0591709549741752</v>
      </c>
    </row>
    <row r="89" spans="1:17">
      <c r="B89" s="81" t="s">
        <v>23</v>
      </c>
      <c r="C89" s="82"/>
      <c r="D89" s="82"/>
      <c r="E89" s="82"/>
      <c r="F89" s="82">
        <v>1</v>
      </c>
      <c r="G89" s="82">
        <f>+'Costo horario'!E27</f>
        <v>10</v>
      </c>
      <c r="H89" s="82">
        <v>0.18</v>
      </c>
      <c r="I89" s="84"/>
      <c r="J89" s="82"/>
      <c r="K89" s="113">
        <f>+'Costo horario'!AA27</f>
        <v>1.1278538812785387E-3</v>
      </c>
      <c r="L89" s="82"/>
      <c r="M89" s="120">
        <f t="shared" si="8"/>
        <v>2.0301369863013697E-4</v>
      </c>
      <c r="N89" s="345">
        <f t="shared" si="9"/>
        <v>2.0301369863013697E-4</v>
      </c>
    </row>
    <row r="90" spans="1:17">
      <c r="B90" s="81" t="s">
        <v>219</v>
      </c>
      <c r="C90" s="82"/>
      <c r="D90" s="82"/>
      <c r="E90" s="82"/>
      <c r="F90" s="82">
        <v>1</v>
      </c>
      <c r="G90" s="82">
        <f>+'Costo horario'!E28</f>
        <v>15</v>
      </c>
      <c r="H90" s="82">
        <v>0.17</v>
      </c>
      <c r="I90" s="84"/>
      <c r="J90" s="82"/>
      <c r="K90" s="113">
        <f>+'Costo horario'!AA28</f>
        <v>6.8340943683409434E-4</v>
      </c>
      <c r="L90" s="82"/>
      <c r="M90" s="120">
        <f t="shared" si="8"/>
        <v>1.1617960426179605E-4</v>
      </c>
      <c r="N90" s="345">
        <f t="shared" si="9"/>
        <v>1.1617960426179605E-4</v>
      </c>
    </row>
    <row r="91" spans="1:17">
      <c r="B91" s="81" t="s">
        <v>207</v>
      </c>
      <c r="C91" s="82"/>
      <c r="D91" s="82"/>
      <c r="E91" s="82"/>
      <c r="F91" s="82">
        <v>1</v>
      </c>
      <c r="G91" s="82">
        <f>+'Costo horario'!E$18</f>
        <v>88</v>
      </c>
      <c r="H91" s="82">
        <v>0.17</v>
      </c>
      <c r="I91" s="84"/>
      <c r="J91" s="82"/>
      <c r="K91" s="113">
        <f>+'Costo horario'!AA$18</f>
        <v>4.194520547945205E-3</v>
      </c>
      <c r="L91" s="82"/>
      <c r="M91" s="120">
        <f t="shared" si="8"/>
        <v>7.1306849315068486E-4</v>
      </c>
      <c r="N91" s="345">
        <f t="shared" si="9"/>
        <v>7.1306849315068486E-4</v>
      </c>
    </row>
    <row r="92" spans="1:17">
      <c r="B92" s="81" t="s">
        <v>22</v>
      </c>
      <c r="C92" s="82"/>
      <c r="D92" s="82"/>
      <c r="E92" s="82"/>
      <c r="F92" s="82">
        <v>1</v>
      </c>
      <c r="G92" s="82">
        <f>+'Costo horario'!E$26</f>
        <v>3.5</v>
      </c>
      <c r="H92" s="82">
        <v>7.0000000000000007E-2</v>
      </c>
      <c r="I92" s="84"/>
      <c r="J92" s="82"/>
      <c r="K92" s="113">
        <f>+'Costo horario'!AA$26</f>
        <v>3.2054794520547944E-4</v>
      </c>
      <c r="L92" s="82"/>
      <c r="M92" s="120">
        <f t="shared" si="8"/>
        <v>2.2438356164383564E-5</v>
      </c>
      <c r="N92" s="345">
        <f t="shared" si="9"/>
        <v>2.2438356164383564E-5</v>
      </c>
    </row>
    <row r="93" spans="1:17">
      <c r="B93" s="81" t="s">
        <v>3</v>
      </c>
      <c r="C93" s="82"/>
      <c r="D93" s="82"/>
      <c r="E93" s="82"/>
      <c r="F93" s="82">
        <v>2</v>
      </c>
      <c r="G93" s="89">
        <f>'Costo horario'!E$7</f>
        <v>10</v>
      </c>
      <c r="H93" s="82">
        <v>21.33</v>
      </c>
      <c r="I93" s="84"/>
      <c r="J93" s="82"/>
      <c r="K93" s="113">
        <f>'Costo horario'!AA$7</f>
        <v>4.4292237442922374E-4</v>
      </c>
      <c r="L93" s="130"/>
      <c r="M93" s="120">
        <f t="shared" si="8"/>
        <v>9.4475342465753422E-3</v>
      </c>
      <c r="N93" s="345">
        <f>+M93*F93</f>
        <v>1.8895068493150684E-2</v>
      </c>
    </row>
    <row r="94" spans="1:17" ht="14.4" thickBot="1">
      <c r="B94" s="93"/>
      <c r="C94" s="94"/>
      <c r="D94" s="94"/>
      <c r="E94" s="94" t="s">
        <v>120</v>
      </c>
      <c r="F94" s="94">
        <v>1</v>
      </c>
      <c r="G94" s="94"/>
      <c r="H94" s="94"/>
      <c r="I94" s="95">
        <f>'Costo horario'!E44</f>
        <v>5.1829166666666673</v>
      </c>
      <c r="J94" s="94">
        <f>+Rendimientos!B7</f>
        <v>0.47</v>
      </c>
      <c r="K94" s="361"/>
      <c r="L94" s="95">
        <f>+J94*I94</f>
        <v>2.4359708333333336</v>
      </c>
      <c r="M94" s="97"/>
      <c r="N94" s="349">
        <f>+L94</f>
        <v>2.4359708333333336</v>
      </c>
      <c r="O94" s="62" t="s">
        <v>121</v>
      </c>
      <c r="P94" s="129">
        <v>18.5</v>
      </c>
      <c r="Q94" s="129"/>
    </row>
    <row r="95" spans="1:17" ht="14.4" thickBot="1">
      <c r="B95" s="99"/>
      <c r="D95" s="59"/>
      <c r="E95" s="59"/>
      <c r="F95" s="59"/>
      <c r="G95" s="59"/>
      <c r="H95" s="59"/>
      <c r="I95" s="100"/>
      <c r="J95" s="59"/>
      <c r="K95" s="142"/>
      <c r="L95" s="102"/>
      <c r="M95" s="365"/>
      <c r="N95" s="366"/>
      <c r="P95" s="129"/>
      <c r="Q95" s="129"/>
    </row>
    <row r="96" spans="1:17">
      <c r="B96" s="99"/>
      <c r="D96" s="59"/>
      <c r="E96" s="59"/>
      <c r="F96" s="59"/>
      <c r="G96" s="59"/>
      <c r="H96" s="59"/>
      <c r="I96" s="100"/>
      <c r="J96" s="59"/>
      <c r="K96" s="142"/>
      <c r="L96" s="356" t="s">
        <v>288</v>
      </c>
      <c r="M96" s="122"/>
      <c r="N96" s="371">
        <f>SUM(N87:N94)</f>
        <v>7.517202618208648</v>
      </c>
      <c r="P96" s="129"/>
      <c r="Q96" s="129"/>
    </row>
    <row r="97" spans="1:17">
      <c r="B97" s="99"/>
      <c r="D97" s="59"/>
      <c r="E97" s="59"/>
      <c r="F97" s="59"/>
      <c r="G97" s="59"/>
      <c r="H97" s="59"/>
      <c r="I97" s="100"/>
      <c r="J97" s="59"/>
      <c r="K97" s="142"/>
      <c r="L97" s="357" t="s">
        <v>192</v>
      </c>
      <c r="M97" s="302">
        <f>'Costo Ind.'!O$25</f>
        <v>24</v>
      </c>
      <c r="N97" s="416">
        <f>(M97/100)*N96</f>
        <v>1.8041286283700755</v>
      </c>
      <c r="P97" s="129"/>
      <c r="Q97" s="129"/>
    </row>
    <row r="98" spans="1:17" ht="14.4" thickBot="1">
      <c r="L98" s="358" t="s">
        <v>193</v>
      </c>
      <c r="M98" s="108"/>
      <c r="N98" s="417">
        <f>N97+N96</f>
        <v>9.3213312465787226</v>
      </c>
      <c r="P98" s="129"/>
      <c r="Q98" s="129"/>
    </row>
    <row r="99" spans="1:17" ht="14.4" thickBot="1"/>
    <row r="100" spans="1:17" ht="14.4" thickBot="1">
      <c r="A100" s="127" t="s">
        <v>165</v>
      </c>
      <c r="B100" s="598" t="s">
        <v>220</v>
      </c>
      <c r="C100" s="599"/>
      <c r="D100" s="599"/>
      <c r="E100" s="599"/>
      <c r="F100" s="599"/>
      <c r="G100" s="599"/>
      <c r="H100" s="599"/>
      <c r="I100" s="599"/>
      <c r="J100" s="599"/>
      <c r="K100" s="599"/>
      <c r="L100" s="599"/>
      <c r="M100" s="599"/>
      <c r="N100" s="600"/>
    </row>
    <row r="101" spans="1:17" s="111" customFormat="1" ht="55.2">
      <c r="B101" s="71" t="s">
        <v>0</v>
      </c>
      <c r="C101" s="72" t="s">
        <v>167</v>
      </c>
      <c r="D101" s="72" t="s">
        <v>168</v>
      </c>
      <c r="E101" s="72" t="s">
        <v>169</v>
      </c>
      <c r="F101" s="72" t="s">
        <v>78</v>
      </c>
      <c r="G101" s="72" t="s">
        <v>170</v>
      </c>
      <c r="H101" s="72" t="s">
        <v>172</v>
      </c>
      <c r="I101" s="73" t="s">
        <v>173</v>
      </c>
      <c r="J101" s="74" t="s">
        <v>174</v>
      </c>
      <c r="K101" s="360" t="s">
        <v>175</v>
      </c>
      <c r="L101" s="77" t="s">
        <v>178</v>
      </c>
      <c r="M101" s="78" t="s">
        <v>179</v>
      </c>
      <c r="N101" s="348" t="s">
        <v>289</v>
      </c>
    </row>
    <row r="102" spans="1:17">
      <c r="B102" s="81" t="s">
        <v>221</v>
      </c>
      <c r="C102" s="82"/>
      <c r="D102" s="82"/>
      <c r="E102" s="82"/>
      <c r="F102" s="82">
        <v>1</v>
      </c>
      <c r="G102" s="82">
        <f>+'Costo horario'!E$29</f>
        <v>52.55</v>
      </c>
      <c r="H102" s="82">
        <v>0.48</v>
      </c>
      <c r="I102" s="84"/>
      <c r="J102" s="82"/>
      <c r="K102" s="113">
        <f>+'Costo horario'!AA$29</f>
        <v>2.4894672754946731E-3</v>
      </c>
      <c r="L102" s="82"/>
      <c r="M102" s="86">
        <f t="shared" ref="M102:M114" si="10">+K102*H102</f>
        <v>1.1949442922374431E-3</v>
      </c>
      <c r="N102" s="345">
        <f>+M102</f>
        <v>1.1949442922374431E-3</v>
      </c>
    </row>
    <row r="103" spans="1:17">
      <c r="B103" s="81" t="s">
        <v>222</v>
      </c>
      <c r="C103" s="82"/>
      <c r="D103" s="82">
        <v>1976</v>
      </c>
      <c r="E103" s="82"/>
      <c r="F103" s="82">
        <v>1</v>
      </c>
      <c r="G103" s="82">
        <f>+'Costo horario'!E$30</f>
        <v>17.440000000000001</v>
      </c>
      <c r="H103" s="82">
        <v>0.45</v>
      </c>
      <c r="I103" s="84"/>
      <c r="J103" s="82"/>
      <c r="K103" s="113">
        <f>+'Costo horario'!AA$30</f>
        <v>5.5053881278538819E-4</v>
      </c>
      <c r="L103" s="82"/>
      <c r="M103" s="86">
        <f t="shared" si="10"/>
        <v>2.4774246575342472E-4</v>
      </c>
      <c r="N103" s="345">
        <f t="shared" ref="N103:N114" si="11">+M103</f>
        <v>2.4774246575342472E-4</v>
      </c>
    </row>
    <row r="104" spans="1:17">
      <c r="B104" s="81" t="s">
        <v>27</v>
      </c>
      <c r="C104" s="82"/>
      <c r="D104" s="82"/>
      <c r="E104" s="82"/>
      <c r="F104" s="82">
        <v>1</v>
      </c>
      <c r="G104" s="82">
        <f>+'Costo horario'!E31</f>
        <v>185</v>
      </c>
      <c r="H104" s="82">
        <v>0.45</v>
      </c>
      <c r="I104" s="84"/>
      <c r="J104" s="82"/>
      <c r="K104" s="113">
        <f>+'Costo horario'!AA31</f>
        <v>2.5579908675799085E-3</v>
      </c>
      <c r="L104" s="82"/>
      <c r="M104" s="86">
        <f t="shared" si="10"/>
        <v>1.1510958904109589E-3</v>
      </c>
      <c r="N104" s="345">
        <f t="shared" si="11"/>
        <v>1.1510958904109589E-3</v>
      </c>
    </row>
    <row r="105" spans="1:17">
      <c r="B105" s="81" t="s">
        <v>181</v>
      </c>
      <c r="C105" s="82" t="s">
        <v>223</v>
      </c>
      <c r="D105" s="82">
        <v>2011</v>
      </c>
      <c r="E105" s="82"/>
      <c r="F105" s="82">
        <v>1</v>
      </c>
      <c r="G105" s="83">
        <f>'Costo horario'!E$5</f>
        <v>2651.04</v>
      </c>
      <c r="H105" s="82">
        <v>0.25</v>
      </c>
      <c r="I105" s="84"/>
      <c r="J105" s="82"/>
      <c r="K105" s="113">
        <f>'Costo horario'!AA$5</f>
        <v>7.0368708526087273E-2</v>
      </c>
      <c r="L105" s="82"/>
      <c r="M105" s="86">
        <f t="shared" si="10"/>
        <v>1.7592177131521818E-2</v>
      </c>
      <c r="N105" s="345">
        <f>+M105</f>
        <v>1.7592177131521818E-2</v>
      </c>
    </row>
    <row r="106" spans="1:17">
      <c r="B106" s="81" t="s">
        <v>224</v>
      </c>
      <c r="C106" s="82"/>
      <c r="D106" s="82"/>
      <c r="E106" s="82"/>
      <c r="F106" s="82">
        <v>1</v>
      </c>
      <c r="G106" s="82">
        <f>+'Costo horario'!E$33</f>
        <v>20</v>
      </c>
      <c r="H106" s="82">
        <v>0.08</v>
      </c>
      <c r="I106" s="84"/>
      <c r="J106" s="82"/>
      <c r="K106" s="113">
        <f>+'Costo horario'!AA$33</f>
        <v>2.3698630136986302E-3</v>
      </c>
      <c r="L106" s="82"/>
      <c r="M106" s="86">
        <f t="shared" si="10"/>
        <v>1.8958904109589041E-4</v>
      </c>
      <c r="N106" s="345">
        <f t="shared" si="11"/>
        <v>1.8958904109589041E-4</v>
      </c>
    </row>
    <row r="107" spans="1:17">
      <c r="B107" s="81" t="s">
        <v>31</v>
      </c>
      <c r="C107" s="82"/>
      <c r="D107" s="82"/>
      <c r="E107" s="82"/>
      <c r="F107" s="82">
        <v>1</v>
      </c>
      <c r="G107" s="82">
        <f>+'Costo horario'!E$34</f>
        <v>80</v>
      </c>
      <c r="H107" s="82">
        <v>0.08</v>
      </c>
      <c r="I107" s="84"/>
      <c r="J107" s="82"/>
      <c r="K107" s="113">
        <f>+'Costo horario'!AA$34</f>
        <v>2.6073059360730592E-3</v>
      </c>
      <c r="L107" s="82"/>
      <c r="M107" s="86">
        <f t="shared" si="10"/>
        <v>2.0858447488584475E-4</v>
      </c>
      <c r="N107" s="345">
        <f t="shared" si="11"/>
        <v>2.0858447488584475E-4</v>
      </c>
    </row>
    <row r="108" spans="1:17">
      <c r="B108" s="81" t="s">
        <v>18</v>
      </c>
      <c r="C108" s="82"/>
      <c r="D108" s="82"/>
      <c r="E108" s="82"/>
      <c r="F108" s="82">
        <v>1</v>
      </c>
      <c r="G108" s="82">
        <f>+'Costo horario'!E$22</f>
        <v>25</v>
      </c>
      <c r="H108" s="82">
        <v>0.36</v>
      </c>
      <c r="I108" s="84"/>
      <c r="J108" s="82"/>
      <c r="K108" s="113">
        <f>+'Costo horario'!AA$22</f>
        <v>1.1643835616438356E-3</v>
      </c>
      <c r="L108" s="82"/>
      <c r="M108" s="86">
        <f t="shared" si="10"/>
        <v>4.1917808219178081E-4</v>
      </c>
      <c r="N108" s="345">
        <f t="shared" si="11"/>
        <v>4.1917808219178081E-4</v>
      </c>
    </row>
    <row r="109" spans="1:17">
      <c r="B109" s="81" t="s">
        <v>225</v>
      </c>
      <c r="C109" s="82"/>
      <c r="D109" s="82"/>
      <c r="E109" s="82"/>
      <c r="F109" s="82">
        <v>2</v>
      </c>
      <c r="G109" s="89">
        <f>'Costo horario'!E$7</f>
        <v>10</v>
      </c>
      <c r="H109" s="82">
        <v>80.489999999999995</v>
      </c>
      <c r="I109" s="84"/>
      <c r="J109" s="82"/>
      <c r="K109" s="113">
        <f>'Costo horario'!AA$7</f>
        <v>4.4292237442922374E-4</v>
      </c>
      <c r="L109" s="130"/>
      <c r="M109" s="86">
        <f t="shared" si="10"/>
        <v>3.5650821917808218E-2</v>
      </c>
      <c r="N109" s="345">
        <f>+M109*F109</f>
        <v>7.1301643835616435E-2</v>
      </c>
    </row>
    <row r="110" spans="1:17">
      <c r="B110" s="81" t="s">
        <v>226</v>
      </c>
      <c r="C110" s="82"/>
      <c r="D110" s="82"/>
      <c r="E110" s="82"/>
      <c r="F110" s="82">
        <v>1</v>
      </c>
      <c r="G110" s="82">
        <f>+'Costo horario'!E$35</f>
        <v>723.33</v>
      </c>
      <c r="H110" s="82">
        <v>0.33</v>
      </c>
      <c r="I110" s="84"/>
      <c r="J110" s="82"/>
      <c r="K110" s="113">
        <f>+'Costo horario'!AA$35</f>
        <v>1.9085278538812787E-2</v>
      </c>
      <c r="L110" s="82"/>
      <c r="M110" s="86">
        <f t="shared" si="10"/>
        <v>6.2981419178082202E-3</v>
      </c>
      <c r="N110" s="345">
        <f t="shared" si="11"/>
        <v>6.2981419178082202E-3</v>
      </c>
    </row>
    <row r="111" spans="1:17">
      <c r="B111" s="123" t="s">
        <v>188</v>
      </c>
      <c r="C111" s="121" t="s">
        <v>189</v>
      </c>
      <c r="D111" s="82">
        <v>2001</v>
      </c>
      <c r="E111" s="82"/>
      <c r="F111" s="82">
        <v>1</v>
      </c>
      <c r="G111" s="89">
        <f>'Costo horario'!E$6</f>
        <v>5000</v>
      </c>
      <c r="H111" s="82">
        <v>20.79</v>
      </c>
      <c r="I111" s="84"/>
      <c r="J111" s="82"/>
      <c r="K111" s="113">
        <f>'Costo horario'!AA$6</f>
        <v>0.23718569877984882</v>
      </c>
      <c r="L111" s="82"/>
      <c r="M111" s="86">
        <f t="shared" si="10"/>
        <v>4.9310906776330565</v>
      </c>
      <c r="N111" s="345">
        <f t="shared" si="11"/>
        <v>4.9310906776330565</v>
      </c>
    </row>
    <row r="112" spans="1:17">
      <c r="B112" s="81" t="s">
        <v>203</v>
      </c>
      <c r="C112" s="82"/>
      <c r="D112" s="82"/>
      <c r="E112" s="82"/>
      <c r="F112" s="82">
        <v>1</v>
      </c>
      <c r="G112" s="82">
        <f>+'Costo horario'!E$14</f>
        <v>84</v>
      </c>
      <c r="H112" s="82">
        <v>0</v>
      </c>
      <c r="I112" s="84"/>
      <c r="J112" s="82"/>
      <c r="K112" s="113">
        <f>+'Costo horario'!AA$14</f>
        <v>4.0021308980213088E-3</v>
      </c>
      <c r="L112" s="82"/>
      <c r="M112" s="86">
        <f t="shared" si="10"/>
        <v>0</v>
      </c>
      <c r="N112" s="345">
        <f t="shared" si="11"/>
        <v>0</v>
      </c>
    </row>
    <row r="113" spans="1:16">
      <c r="B113" s="81" t="s">
        <v>204</v>
      </c>
      <c r="C113" s="82"/>
      <c r="D113" s="82"/>
      <c r="E113" s="82"/>
      <c r="F113" s="82">
        <v>1</v>
      </c>
      <c r="G113" s="82">
        <f>+'Costo horario'!E$15</f>
        <v>95</v>
      </c>
      <c r="H113" s="82">
        <v>0</v>
      </c>
      <c r="I113" s="84"/>
      <c r="J113" s="82"/>
      <c r="K113" s="113">
        <f>+'Costo horario'!AA$15</f>
        <v>4.5312024353120241E-3</v>
      </c>
      <c r="L113" s="82"/>
      <c r="M113" s="86">
        <f t="shared" si="10"/>
        <v>0</v>
      </c>
      <c r="N113" s="345">
        <f t="shared" si="11"/>
        <v>0</v>
      </c>
    </row>
    <row r="114" spans="1:16">
      <c r="B114" s="81" t="s">
        <v>205</v>
      </c>
      <c r="C114" s="82"/>
      <c r="D114" s="82"/>
      <c r="E114" s="82"/>
      <c r="F114" s="82">
        <v>1</v>
      </c>
      <c r="G114" s="82">
        <f>+'Costo horario'!E$16</f>
        <v>84</v>
      </c>
      <c r="H114" s="82">
        <v>0.13</v>
      </c>
      <c r="I114" s="84"/>
      <c r="J114" s="82"/>
      <c r="K114" s="113">
        <f>+'Costo horario'!AA$16</f>
        <v>4.0021308980213088E-3</v>
      </c>
      <c r="L114" s="82"/>
      <c r="M114" s="86">
        <f t="shared" si="10"/>
        <v>5.2027701674277013E-4</v>
      </c>
      <c r="N114" s="345">
        <f t="shared" si="11"/>
        <v>5.2027701674277013E-4</v>
      </c>
    </row>
    <row r="115" spans="1:16" ht="14.4" thickBot="1">
      <c r="B115" s="93"/>
      <c r="C115" s="94"/>
      <c r="D115" s="94"/>
      <c r="E115" s="94" t="s">
        <v>120</v>
      </c>
      <c r="F115" s="94">
        <v>1</v>
      </c>
      <c r="G115" s="94"/>
      <c r="H115" s="94"/>
      <c r="I115" s="95">
        <f>'Costo horario'!E44</f>
        <v>5.1829166666666673</v>
      </c>
      <c r="J115" s="94">
        <f>+Rendimientos!B8</f>
        <v>1.9166700000000001</v>
      </c>
      <c r="K115" s="361"/>
      <c r="L115" s="95">
        <f>+J115*I115</f>
        <v>9.9339408875000021</v>
      </c>
      <c r="M115" s="97"/>
      <c r="N115" s="349">
        <f>+L115</f>
        <v>9.9339408875000021</v>
      </c>
      <c r="O115" s="62" t="s">
        <v>121</v>
      </c>
      <c r="P115" s="62">
        <v>23</v>
      </c>
    </row>
    <row r="116" spans="1:16" ht="14.4" thickBot="1">
      <c r="B116" s="99"/>
      <c r="D116" s="59"/>
      <c r="E116" s="59"/>
      <c r="F116" s="59"/>
      <c r="G116" s="59"/>
      <c r="H116" s="59"/>
      <c r="I116" s="100"/>
      <c r="J116" s="59"/>
      <c r="K116" s="142"/>
      <c r="L116" s="102"/>
      <c r="M116" s="365"/>
      <c r="N116" s="366"/>
    </row>
    <row r="117" spans="1:16">
      <c r="B117" s="99"/>
      <c r="D117" s="59"/>
      <c r="E117" s="59"/>
      <c r="F117" s="59"/>
      <c r="G117" s="59"/>
      <c r="H117" s="59"/>
      <c r="I117" s="100"/>
      <c r="J117" s="59"/>
      <c r="K117" s="142"/>
      <c r="L117" s="356" t="s">
        <v>288</v>
      </c>
      <c r="M117" s="122"/>
      <c r="N117" s="371">
        <f>SUM(N102:N115)</f>
        <v>14.964154939281324</v>
      </c>
    </row>
    <row r="118" spans="1:16">
      <c r="B118" s="99"/>
      <c r="D118" s="59"/>
      <c r="E118" s="59"/>
      <c r="F118" s="59"/>
      <c r="G118" s="59"/>
      <c r="H118" s="59"/>
      <c r="I118" s="100"/>
      <c r="J118" s="59"/>
      <c r="K118" s="142"/>
      <c r="L118" s="357" t="s">
        <v>192</v>
      </c>
      <c r="M118" s="302">
        <f>'Costo Ind.'!O$25</f>
        <v>24</v>
      </c>
      <c r="N118" s="416">
        <f>(M118/100)*N117</f>
        <v>3.5913971854275175</v>
      </c>
    </row>
    <row r="119" spans="1:16" ht="16.95" customHeight="1" thickBot="1">
      <c r="L119" s="609" t="s">
        <v>193</v>
      </c>
      <c r="M119" s="610"/>
      <c r="N119" s="417">
        <f>N118+N117</f>
        <v>18.555552124708839</v>
      </c>
    </row>
    <row r="120" spans="1:16" ht="14.4" thickBot="1"/>
    <row r="121" spans="1:16" ht="14.4" thickBot="1">
      <c r="A121" s="127" t="s">
        <v>165</v>
      </c>
      <c r="B121" s="595" t="s">
        <v>227</v>
      </c>
      <c r="C121" s="596"/>
      <c r="D121" s="596"/>
      <c r="E121" s="596"/>
      <c r="F121" s="596"/>
      <c r="G121" s="596"/>
      <c r="H121" s="596"/>
      <c r="I121" s="596"/>
      <c r="J121" s="596"/>
      <c r="K121" s="596"/>
      <c r="L121" s="596"/>
      <c r="M121" s="596"/>
      <c r="N121" s="597"/>
    </row>
    <row r="122" spans="1:16" s="111" customFormat="1" ht="55.2">
      <c r="B122" s="71" t="s">
        <v>0</v>
      </c>
      <c r="C122" s="72" t="s">
        <v>167</v>
      </c>
      <c r="D122" s="72" t="s">
        <v>168</v>
      </c>
      <c r="E122" s="72" t="s">
        <v>169</v>
      </c>
      <c r="F122" s="72" t="s">
        <v>78</v>
      </c>
      <c r="G122" s="72" t="s">
        <v>170</v>
      </c>
      <c r="H122" s="72" t="s">
        <v>172</v>
      </c>
      <c r="I122" s="73" t="s">
        <v>173</v>
      </c>
      <c r="J122" s="74" t="s">
        <v>174</v>
      </c>
      <c r="K122" s="360" t="s">
        <v>175</v>
      </c>
      <c r="L122" s="77" t="s">
        <v>178</v>
      </c>
      <c r="M122" s="78" t="s">
        <v>179</v>
      </c>
      <c r="N122" s="348" t="s">
        <v>289</v>
      </c>
    </row>
    <row r="123" spans="1:16">
      <c r="B123" s="81" t="s">
        <v>221</v>
      </c>
      <c r="C123" s="82"/>
      <c r="D123" s="82"/>
      <c r="E123" s="82"/>
      <c r="F123" s="82">
        <v>1</v>
      </c>
      <c r="G123" s="82">
        <f>+'Costo horario'!E$29</f>
        <v>52.55</v>
      </c>
      <c r="H123" s="82">
        <v>0.65</v>
      </c>
      <c r="I123" s="84"/>
      <c r="J123" s="82"/>
      <c r="K123" s="113">
        <f>+'Costo horario'!AA$29</f>
        <v>2.4894672754946731E-3</v>
      </c>
      <c r="L123" s="82"/>
      <c r="M123" s="86">
        <f>+K123*H123</f>
        <v>1.6181537290715375E-3</v>
      </c>
      <c r="N123" s="345">
        <f>+M123</f>
        <v>1.6181537290715375E-3</v>
      </c>
    </row>
    <row r="124" spans="1:16">
      <c r="B124" s="81" t="s">
        <v>222</v>
      </c>
      <c r="C124" s="82"/>
      <c r="D124" s="82"/>
      <c r="E124" s="82"/>
      <c r="F124" s="82">
        <v>1</v>
      </c>
      <c r="G124" s="82">
        <f>+'Costo horario'!E$30</f>
        <v>17.440000000000001</v>
      </c>
      <c r="H124" s="82">
        <v>0.66600000000000004</v>
      </c>
      <c r="I124" s="84"/>
      <c r="J124" s="82"/>
      <c r="K124" s="113">
        <f>+'Costo horario'!AA$30</f>
        <v>5.5053881278538819E-4</v>
      </c>
      <c r="L124" s="82"/>
      <c r="M124" s="86">
        <f t="shared" ref="M124:M135" si="12">+K124*H124</f>
        <v>3.6665884931506854E-4</v>
      </c>
      <c r="N124" s="345">
        <f t="shared" ref="N124:N126" si="13">+M124</f>
        <v>3.6665884931506854E-4</v>
      </c>
    </row>
    <row r="125" spans="1:16">
      <c r="B125" s="81" t="s">
        <v>28</v>
      </c>
      <c r="C125" s="82"/>
      <c r="D125" s="82"/>
      <c r="E125" s="82"/>
      <c r="F125" s="82">
        <v>1</v>
      </c>
      <c r="G125" s="82">
        <f>+'Costo horario'!E32</f>
        <v>200</v>
      </c>
      <c r="H125" s="82">
        <v>0.66600000000000004</v>
      </c>
      <c r="I125" s="84"/>
      <c r="J125" s="82"/>
      <c r="K125" s="113">
        <f>+'Costo horario'!AA32</f>
        <v>3.1750380517503798E-3</v>
      </c>
      <c r="L125" s="82"/>
      <c r="M125" s="86">
        <f t="shared" si="12"/>
        <v>2.1145753424657533E-3</v>
      </c>
      <c r="N125" s="345">
        <f t="shared" si="13"/>
        <v>2.1145753424657533E-3</v>
      </c>
    </row>
    <row r="126" spans="1:16">
      <c r="B126" s="81" t="s">
        <v>181</v>
      </c>
      <c r="C126" s="82" t="s">
        <v>229</v>
      </c>
      <c r="D126" s="82">
        <v>2011</v>
      </c>
      <c r="E126" s="82"/>
      <c r="F126" s="82">
        <v>1</v>
      </c>
      <c r="G126" s="83">
        <f>'Costo horario'!E$5</f>
        <v>2651.04</v>
      </c>
      <c r="H126" s="82">
        <v>0.98609999999999998</v>
      </c>
      <c r="I126" s="84"/>
      <c r="J126" s="82"/>
      <c r="K126" s="113">
        <f>'Costo horario'!AA$5</f>
        <v>7.0368708526087273E-2</v>
      </c>
      <c r="L126" s="82"/>
      <c r="M126" s="86">
        <f t="shared" si="12"/>
        <v>6.9390583477574652E-2</v>
      </c>
      <c r="N126" s="345">
        <f t="shared" si="13"/>
        <v>6.9390583477574652E-2</v>
      </c>
    </row>
    <row r="127" spans="1:16">
      <c r="B127" s="81" t="s">
        <v>224</v>
      </c>
      <c r="C127" s="82"/>
      <c r="D127" s="82"/>
      <c r="E127" s="82"/>
      <c r="F127" s="82">
        <v>1</v>
      </c>
      <c r="G127" s="82">
        <f>+'Costo horario'!E$33</f>
        <v>20</v>
      </c>
      <c r="H127" s="82">
        <v>0.08</v>
      </c>
      <c r="I127" s="84"/>
      <c r="J127" s="82"/>
      <c r="K127" s="113">
        <f>+'Costo horario'!AA$33</f>
        <v>2.3698630136986302E-3</v>
      </c>
      <c r="L127" s="82"/>
      <c r="M127" s="86">
        <f t="shared" si="12"/>
        <v>1.8958904109589041E-4</v>
      </c>
      <c r="N127" s="345">
        <f>+M127</f>
        <v>1.8958904109589041E-4</v>
      </c>
    </row>
    <row r="128" spans="1:16">
      <c r="B128" s="81" t="s">
        <v>31</v>
      </c>
      <c r="C128" s="82"/>
      <c r="D128" s="82"/>
      <c r="E128" s="82"/>
      <c r="F128" s="82">
        <v>1</v>
      </c>
      <c r="G128" s="82">
        <f>+'Costo horario'!E$34</f>
        <v>80</v>
      </c>
      <c r="H128" s="82">
        <v>0.08</v>
      </c>
      <c r="I128" s="84"/>
      <c r="J128" s="82"/>
      <c r="K128" s="113">
        <f>+'Costo horario'!AA$34</f>
        <v>2.6073059360730592E-3</v>
      </c>
      <c r="L128" s="82"/>
      <c r="M128" s="86">
        <f t="shared" si="12"/>
        <v>2.0858447488584475E-4</v>
      </c>
      <c r="N128" s="345">
        <f t="shared" ref="N128:N132" si="14">+M128</f>
        <v>2.0858447488584475E-4</v>
      </c>
    </row>
    <row r="129" spans="1:16">
      <c r="B129" s="81" t="s">
        <v>18</v>
      </c>
      <c r="C129" s="82"/>
      <c r="D129" s="82"/>
      <c r="E129" s="82"/>
      <c r="F129" s="82">
        <v>1</v>
      </c>
      <c r="G129" s="82">
        <f>+'Costo horario'!E$22</f>
        <v>25</v>
      </c>
      <c r="H129" s="82">
        <v>0.2</v>
      </c>
      <c r="I129" s="84"/>
      <c r="J129" s="82"/>
      <c r="K129" s="113">
        <f>+'Costo horario'!AA$22</f>
        <v>1.1643835616438356E-3</v>
      </c>
      <c r="L129" s="82"/>
      <c r="M129" s="86">
        <f t="shared" si="12"/>
        <v>2.3287671232876712E-4</v>
      </c>
      <c r="N129" s="345">
        <f t="shared" si="14"/>
        <v>2.3287671232876712E-4</v>
      </c>
    </row>
    <row r="130" spans="1:16">
      <c r="B130" s="81" t="s">
        <v>225</v>
      </c>
      <c r="C130" s="82"/>
      <c r="D130" s="82"/>
      <c r="E130" s="82"/>
      <c r="F130" s="82">
        <v>2</v>
      </c>
      <c r="G130" s="89">
        <f>'Costo horario'!E$7</f>
        <v>10</v>
      </c>
      <c r="H130" s="82">
        <v>107.54</v>
      </c>
      <c r="I130" s="84"/>
      <c r="J130" s="82"/>
      <c r="K130" s="113">
        <f>'Costo horario'!AA$7</f>
        <v>4.4292237442922374E-4</v>
      </c>
      <c r="L130" s="130"/>
      <c r="M130" s="86">
        <f t="shared" si="12"/>
        <v>4.763187214611872E-2</v>
      </c>
      <c r="N130" s="345">
        <f>+M130*F130</f>
        <v>9.526374429223744E-2</v>
      </c>
    </row>
    <row r="131" spans="1:16">
      <c r="B131" s="81" t="s">
        <v>32</v>
      </c>
      <c r="C131" s="82"/>
      <c r="D131" s="82">
        <v>2009</v>
      </c>
      <c r="E131" s="82"/>
      <c r="F131" s="82">
        <v>1</v>
      </c>
      <c r="G131" s="82">
        <f>+'Costo horario'!E$35</f>
        <v>723.33</v>
      </c>
      <c r="H131" s="82">
        <v>0.53300000000000003</v>
      </c>
      <c r="I131" s="84"/>
      <c r="J131" s="82"/>
      <c r="K131" s="113">
        <f>+'Costo horario'!AA$35</f>
        <v>1.9085278538812787E-2</v>
      </c>
      <c r="L131" s="82"/>
      <c r="M131" s="86">
        <f t="shared" si="12"/>
        <v>1.0172453461187217E-2</v>
      </c>
      <c r="N131" s="345">
        <f t="shared" si="14"/>
        <v>1.0172453461187217E-2</v>
      </c>
    </row>
    <row r="132" spans="1:16">
      <c r="B132" s="81" t="s">
        <v>188</v>
      </c>
      <c r="C132" s="121" t="s">
        <v>189</v>
      </c>
      <c r="D132" s="82">
        <v>2001</v>
      </c>
      <c r="E132" s="82"/>
      <c r="F132" s="82">
        <v>1</v>
      </c>
      <c r="G132" s="89">
        <f>'Costo horario'!E$6</f>
        <v>5000</v>
      </c>
      <c r="H132" s="82">
        <v>22.49</v>
      </c>
      <c r="I132" s="84"/>
      <c r="J132" s="82"/>
      <c r="K132" s="113">
        <f>'Costo horario'!AA$6</f>
        <v>0.23718569877984882</v>
      </c>
      <c r="L132" s="82"/>
      <c r="M132" s="86">
        <f t="shared" si="12"/>
        <v>5.3343063655587999</v>
      </c>
      <c r="N132" s="345">
        <f t="shared" si="14"/>
        <v>5.3343063655587999</v>
      </c>
    </row>
    <row r="133" spans="1:16">
      <c r="B133" s="81" t="s">
        <v>203</v>
      </c>
      <c r="C133" s="82"/>
      <c r="D133" s="82"/>
      <c r="E133" s="82"/>
      <c r="F133" s="82">
        <v>1</v>
      </c>
      <c r="G133" s="82">
        <f>+'Costo horario'!E$14</f>
        <v>84</v>
      </c>
      <c r="H133" s="82">
        <v>0</v>
      </c>
      <c r="I133" s="84"/>
      <c r="J133" s="82"/>
      <c r="K133" s="113">
        <f>+'Costo horario'!AA$14</f>
        <v>4.0021308980213088E-3</v>
      </c>
      <c r="L133" s="82"/>
      <c r="M133" s="86">
        <f t="shared" si="12"/>
        <v>0</v>
      </c>
      <c r="N133" s="345">
        <f>+M133</f>
        <v>0</v>
      </c>
    </row>
    <row r="134" spans="1:16">
      <c r="B134" s="81" t="s">
        <v>204</v>
      </c>
      <c r="C134" s="82"/>
      <c r="D134" s="82"/>
      <c r="E134" s="82"/>
      <c r="F134" s="82">
        <v>1</v>
      </c>
      <c r="G134" s="82">
        <f>+'Costo horario'!E$15</f>
        <v>95</v>
      </c>
      <c r="H134" s="82">
        <v>0</v>
      </c>
      <c r="I134" s="84"/>
      <c r="J134" s="82"/>
      <c r="K134" s="113">
        <f>+'Costo horario'!AA$15</f>
        <v>4.5312024353120241E-3</v>
      </c>
      <c r="L134" s="82"/>
      <c r="M134" s="86">
        <f t="shared" si="12"/>
        <v>0</v>
      </c>
      <c r="N134" s="345">
        <f>+M134</f>
        <v>0</v>
      </c>
    </row>
    <row r="135" spans="1:16">
      <c r="B135" s="81" t="s">
        <v>205</v>
      </c>
      <c r="C135" s="82"/>
      <c r="D135" s="82"/>
      <c r="E135" s="82"/>
      <c r="F135" s="82">
        <v>1</v>
      </c>
      <c r="G135" s="82">
        <f>+'Costo horario'!E$16</f>
        <v>84</v>
      </c>
      <c r="H135" s="82">
        <v>0.13</v>
      </c>
      <c r="I135" s="84"/>
      <c r="J135" s="82"/>
      <c r="K135" s="113">
        <f>+'Costo horario'!AA$16</f>
        <v>4.0021308980213088E-3</v>
      </c>
      <c r="L135" s="82"/>
      <c r="M135" s="86">
        <f t="shared" si="12"/>
        <v>5.2027701674277013E-4</v>
      </c>
      <c r="N135" s="345">
        <f>+M135</f>
        <v>5.2027701674277013E-4</v>
      </c>
    </row>
    <row r="136" spans="1:16" ht="14.4" thickBot="1">
      <c r="B136" s="93"/>
      <c r="C136" s="94"/>
      <c r="D136" s="94"/>
      <c r="E136" s="94" t="s">
        <v>120</v>
      </c>
      <c r="F136" s="94">
        <v>1</v>
      </c>
      <c r="G136" s="94"/>
      <c r="H136" s="114"/>
      <c r="I136" s="95">
        <f>'Costo horario'!E44</f>
        <v>5.1829166666666673</v>
      </c>
      <c r="J136" s="114">
        <f>+Rendimientos!B9</f>
        <v>2.33</v>
      </c>
      <c r="K136" s="361"/>
      <c r="L136" s="95">
        <f>+J136*I136</f>
        <v>12.076195833333335</v>
      </c>
      <c r="M136" s="97"/>
      <c r="N136" s="349">
        <f>+L136</f>
        <v>12.076195833333335</v>
      </c>
      <c r="O136" s="62" t="s">
        <v>121</v>
      </c>
      <c r="P136" s="62">
        <v>24.25</v>
      </c>
    </row>
    <row r="137" spans="1:16" ht="14.4" thickBot="1">
      <c r="B137" s="99"/>
      <c r="D137" s="59"/>
      <c r="E137" s="59"/>
      <c r="F137" s="59"/>
      <c r="G137" s="59"/>
      <c r="H137" s="59"/>
      <c r="I137" s="100"/>
      <c r="J137" s="59"/>
      <c r="K137" s="142"/>
      <c r="L137" s="102"/>
      <c r="M137" s="365"/>
      <c r="N137" s="366"/>
    </row>
    <row r="138" spans="1:16">
      <c r="B138" s="99"/>
      <c r="D138" s="59"/>
      <c r="E138" s="59"/>
      <c r="F138" s="59"/>
      <c r="G138" s="59"/>
      <c r="H138" s="59"/>
      <c r="I138" s="100"/>
      <c r="J138" s="59"/>
      <c r="K138" s="142"/>
      <c r="L138" s="356" t="s">
        <v>288</v>
      </c>
      <c r="M138" s="122"/>
      <c r="N138" s="371">
        <f>SUM(N123:N136)</f>
        <v>17.590579695289041</v>
      </c>
    </row>
    <row r="139" spans="1:16">
      <c r="B139" s="99"/>
      <c r="D139" s="59"/>
      <c r="E139" s="59"/>
      <c r="F139" s="59"/>
      <c r="G139" s="59"/>
      <c r="H139" s="59"/>
      <c r="I139" s="100"/>
      <c r="J139" s="59"/>
      <c r="K139" s="142"/>
      <c r="L139" s="357" t="s">
        <v>192</v>
      </c>
      <c r="M139" s="302">
        <f>'Costo Ind.'!O$25</f>
        <v>24</v>
      </c>
      <c r="N139" s="416">
        <f>(M139/100)*N138</f>
        <v>4.2217391268693696</v>
      </c>
    </row>
    <row r="140" spans="1:16" ht="14.4" thickBot="1">
      <c r="B140" s="99"/>
      <c r="D140" s="59"/>
      <c r="E140" s="59"/>
      <c r="F140" s="59"/>
      <c r="G140" s="59"/>
      <c r="H140" s="59"/>
      <c r="I140" s="100"/>
      <c r="J140" s="59"/>
      <c r="K140" s="142"/>
      <c r="L140" s="358" t="s">
        <v>193</v>
      </c>
      <c r="M140" s="108"/>
      <c r="N140" s="417">
        <f>N139+N138</f>
        <v>21.81231882215841</v>
      </c>
    </row>
    <row r="141" spans="1:16" ht="14.4" thickBot="1"/>
    <row r="142" spans="1:16" ht="14.4" thickBot="1">
      <c r="A142" s="127" t="s">
        <v>165</v>
      </c>
      <c r="B142" s="595" t="s">
        <v>230</v>
      </c>
      <c r="C142" s="596"/>
      <c r="D142" s="596"/>
      <c r="E142" s="596"/>
      <c r="F142" s="596"/>
      <c r="G142" s="596"/>
      <c r="H142" s="596"/>
      <c r="I142" s="596"/>
      <c r="J142" s="596"/>
      <c r="K142" s="596"/>
      <c r="L142" s="596"/>
      <c r="M142" s="596"/>
      <c r="N142" s="597"/>
    </row>
    <row r="143" spans="1:16" s="111" customFormat="1" ht="55.2">
      <c r="B143" s="71" t="s">
        <v>0</v>
      </c>
      <c r="C143" s="72" t="s">
        <v>167</v>
      </c>
      <c r="D143" s="72" t="s">
        <v>168</v>
      </c>
      <c r="E143" s="72" t="s">
        <v>169</v>
      </c>
      <c r="F143" s="72" t="s">
        <v>78</v>
      </c>
      <c r="G143" s="72" t="s">
        <v>170</v>
      </c>
      <c r="H143" s="72" t="s">
        <v>172</v>
      </c>
      <c r="I143" s="73" t="s">
        <v>173</v>
      </c>
      <c r="J143" s="74" t="s">
        <v>174</v>
      </c>
      <c r="K143" s="360" t="s">
        <v>175</v>
      </c>
      <c r="L143" s="77" t="s">
        <v>178</v>
      </c>
      <c r="M143" s="78" t="s">
        <v>179</v>
      </c>
      <c r="N143" s="348" t="s">
        <v>289</v>
      </c>
    </row>
    <row r="144" spans="1:16">
      <c r="B144" s="81" t="s">
        <v>181</v>
      </c>
      <c r="C144" s="82" t="s">
        <v>182</v>
      </c>
      <c r="D144" s="82">
        <v>2012</v>
      </c>
      <c r="E144" s="82"/>
      <c r="F144" s="82">
        <v>1</v>
      </c>
      <c r="G144" s="83">
        <f>'Costo horario'!E$5</f>
        <v>2651.04</v>
      </c>
      <c r="H144" s="82">
        <v>7.0000000000000007E-2</v>
      </c>
      <c r="I144" s="84"/>
      <c r="J144" s="132"/>
      <c r="K144" s="113">
        <f>'Costo horario'!AA$5</f>
        <v>7.0368708526087273E-2</v>
      </c>
      <c r="L144" s="82"/>
      <c r="M144" s="86">
        <f>+K144*H144</f>
        <v>4.92580959682611E-3</v>
      </c>
      <c r="N144" s="345">
        <f>+M144</f>
        <v>4.92580959682611E-3</v>
      </c>
      <c r="P144" s="62" t="s">
        <v>231</v>
      </c>
    </row>
    <row r="145" spans="1:16">
      <c r="B145" s="81" t="s">
        <v>33</v>
      </c>
      <c r="C145" s="82"/>
      <c r="D145" s="82"/>
      <c r="E145" s="82"/>
      <c r="F145" s="82">
        <v>1</v>
      </c>
      <c r="G145" s="82">
        <f>+'Costo horario'!E36</f>
        <v>83589.8</v>
      </c>
      <c r="H145" s="82">
        <v>0.38</v>
      </c>
      <c r="I145" s="84"/>
      <c r="J145" s="82"/>
      <c r="K145" s="113">
        <f>+'Costo horario'!AA36</f>
        <v>3.233031301744143</v>
      </c>
      <c r="L145" s="82"/>
      <c r="M145" s="86">
        <f>+K145*H145</f>
        <v>1.2285518946627743</v>
      </c>
      <c r="N145" s="345">
        <f>+M145</f>
        <v>1.2285518946627743</v>
      </c>
    </row>
    <row r="146" spans="1:16">
      <c r="B146" s="81" t="s">
        <v>188</v>
      </c>
      <c r="C146" s="121" t="s">
        <v>189</v>
      </c>
      <c r="D146" s="82">
        <v>2001</v>
      </c>
      <c r="E146" s="82"/>
      <c r="F146" s="82">
        <v>1</v>
      </c>
      <c r="G146" s="89">
        <f>'Costo horario'!E$6</f>
        <v>5000</v>
      </c>
      <c r="H146" s="82">
        <v>37.31</v>
      </c>
      <c r="I146" s="84"/>
      <c r="J146" s="82"/>
      <c r="K146" s="113">
        <f>'Costo horario'!AA$6</f>
        <v>0.23718569877984882</v>
      </c>
      <c r="L146" s="82"/>
      <c r="M146" s="86">
        <f>+K146*H146</f>
        <v>8.8493984214761596</v>
      </c>
      <c r="N146" s="345">
        <f>+M146</f>
        <v>8.8493984214761596</v>
      </c>
    </row>
    <row r="147" spans="1:16">
      <c r="B147" s="342" t="s">
        <v>58</v>
      </c>
      <c r="C147" s="343"/>
      <c r="D147" s="343"/>
      <c r="E147" s="343"/>
      <c r="F147" s="343">
        <v>1</v>
      </c>
      <c r="G147" s="343">
        <f>'Costo de operación'!D7</f>
        <v>769.51</v>
      </c>
      <c r="H147" s="343">
        <f>H145</f>
        <v>0.38</v>
      </c>
      <c r="I147" s="344"/>
      <c r="J147" s="82"/>
      <c r="K147" s="362">
        <f>'Costo de operación'!Y7</f>
        <v>8.7843607305936072E-2</v>
      </c>
      <c r="L147" s="343"/>
      <c r="M147" s="86">
        <f>+K147*H147</f>
        <v>3.3380570776255711E-2</v>
      </c>
      <c r="N147" s="353">
        <f>M147</f>
        <v>3.3380570776255711E-2</v>
      </c>
    </row>
    <row r="148" spans="1:16" ht="14.4" thickBot="1">
      <c r="B148" s="93"/>
      <c r="C148" s="94"/>
      <c r="D148" s="94"/>
      <c r="E148" s="94" t="s">
        <v>120</v>
      </c>
      <c r="F148" s="94">
        <v>1</v>
      </c>
      <c r="G148" s="94"/>
      <c r="H148" s="94"/>
      <c r="I148" s="95">
        <f>'Costo horario'!E45</f>
        <v>5.874569444444445</v>
      </c>
      <c r="J148" s="94">
        <f>+Rendimientos!B10</f>
        <v>0.77</v>
      </c>
      <c r="K148" s="361"/>
      <c r="L148" s="95">
        <f>+J148*I148</f>
        <v>4.5234184722222226</v>
      </c>
      <c r="M148" s="97"/>
      <c r="N148" s="349">
        <f>+L148</f>
        <v>4.5234184722222226</v>
      </c>
      <c r="O148" s="62" t="s">
        <v>232</v>
      </c>
      <c r="P148" s="62">
        <v>20.25</v>
      </c>
    </row>
    <row r="149" spans="1:16" ht="14.4" thickBot="1">
      <c r="B149" s="99"/>
      <c r="D149" s="59"/>
      <c r="E149" s="59"/>
      <c r="F149" s="59"/>
      <c r="G149" s="59"/>
      <c r="H149" s="59"/>
      <c r="I149" s="100"/>
      <c r="J149" s="59"/>
      <c r="K149" s="142"/>
      <c r="L149" s="102"/>
      <c r="M149" s="365"/>
      <c r="N149" s="366"/>
    </row>
    <row r="150" spans="1:16">
      <c r="B150" s="99"/>
      <c r="D150" s="59"/>
      <c r="E150" s="59"/>
      <c r="F150" s="59"/>
      <c r="G150" s="59"/>
      <c r="H150" s="59"/>
      <c r="I150" s="100"/>
      <c r="J150" s="59"/>
      <c r="K150" s="142"/>
      <c r="L150" s="356" t="s">
        <v>288</v>
      </c>
      <c r="M150" s="122"/>
      <c r="N150" s="371">
        <f>SUM(N144:N148)</f>
        <v>14.639675168734239</v>
      </c>
    </row>
    <row r="151" spans="1:16">
      <c r="B151" s="99"/>
      <c r="D151" s="59"/>
      <c r="E151" s="59"/>
      <c r="F151" s="59"/>
      <c r="G151" s="59"/>
      <c r="H151" s="59"/>
      <c r="I151" s="100"/>
      <c r="J151" s="59"/>
      <c r="K151" s="142"/>
      <c r="L151" s="357" t="s">
        <v>192</v>
      </c>
      <c r="M151" s="302">
        <f>'Costo Ind.'!O$25</f>
        <v>24</v>
      </c>
      <c r="N151" s="416">
        <f>(M151/100)*N150</f>
        <v>3.5135220404962175</v>
      </c>
    </row>
    <row r="152" spans="1:16" ht="14.4" thickBot="1">
      <c r="B152" s="99"/>
      <c r="D152" s="59"/>
      <c r="E152" s="59"/>
      <c r="F152" s="59"/>
      <c r="G152" s="59"/>
      <c r="H152" s="59"/>
      <c r="I152" s="100"/>
      <c r="J152" s="59"/>
      <c r="K152" s="142"/>
      <c r="L152" s="358" t="s">
        <v>193</v>
      </c>
      <c r="M152" s="108"/>
      <c r="N152" s="417">
        <f>N151+N150</f>
        <v>18.153197209230456</v>
      </c>
    </row>
    <row r="156" spans="1:16" ht="14.4" thickBot="1"/>
    <row r="157" spans="1:16" ht="14.4" thickBot="1">
      <c r="A157" s="133" t="s">
        <v>165</v>
      </c>
      <c r="B157" s="595" t="s">
        <v>233</v>
      </c>
      <c r="C157" s="596"/>
      <c r="D157" s="596"/>
      <c r="E157" s="596"/>
      <c r="F157" s="596"/>
      <c r="G157" s="596"/>
      <c r="H157" s="596"/>
      <c r="I157" s="596"/>
      <c r="J157" s="596"/>
      <c r="K157" s="596"/>
      <c r="L157" s="596"/>
      <c r="M157" s="596"/>
      <c r="N157" s="597"/>
    </row>
    <row r="158" spans="1:16" s="134" customFormat="1" ht="55.2">
      <c r="B158" s="71" t="s">
        <v>0</v>
      </c>
      <c r="C158" s="72" t="s">
        <v>167</v>
      </c>
      <c r="D158" s="72" t="s">
        <v>168</v>
      </c>
      <c r="E158" s="72" t="s">
        <v>169</v>
      </c>
      <c r="F158" s="72" t="s">
        <v>78</v>
      </c>
      <c r="G158" s="72" t="s">
        <v>170</v>
      </c>
      <c r="H158" s="72" t="s">
        <v>172</v>
      </c>
      <c r="I158" s="73" t="s">
        <v>173</v>
      </c>
      <c r="J158" s="74" t="s">
        <v>174</v>
      </c>
      <c r="K158" s="360" t="s">
        <v>175</v>
      </c>
      <c r="L158" s="77" t="s">
        <v>178</v>
      </c>
      <c r="M158" s="78" t="s">
        <v>179</v>
      </c>
      <c r="N158" s="348" t="s">
        <v>289</v>
      </c>
      <c r="O158" s="134">
        <v>61.25</v>
      </c>
    </row>
    <row r="159" spans="1:16">
      <c r="B159" s="81" t="s">
        <v>181</v>
      </c>
      <c r="C159" s="82" t="s">
        <v>182</v>
      </c>
      <c r="D159" s="82">
        <v>2012</v>
      </c>
      <c r="E159" s="82"/>
      <c r="F159" s="82">
        <v>1</v>
      </c>
      <c r="G159" s="82">
        <f>'Costo horario'!E$5</f>
        <v>2651.04</v>
      </c>
      <c r="H159" s="82">
        <v>0.05</v>
      </c>
      <c r="I159" s="84"/>
      <c r="J159" s="82"/>
      <c r="K159" s="113">
        <f>'Costo horario'!AA$5</f>
        <v>7.0368708526087273E-2</v>
      </c>
      <c r="L159" s="82"/>
      <c r="M159" s="86">
        <f>+K159*H159</f>
        <v>3.5184354263043637E-3</v>
      </c>
      <c r="N159" s="345">
        <f>+K159*H159</f>
        <v>3.5184354263043637E-3</v>
      </c>
    </row>
    <row r="160" spans="1:16">
      <c r="B160" s="81" t="s">
        <v>34</v>
      </c>
      <c r="C160" s="135" t="s">
        <v>234</v>
      </c>
      <c r="D160" s="82">
        <f>+'Costo horario'!B37</f>
        <v>1997</v>
      </c>
      <c r="E160" s="82"/>
      <c r="F160" s="82">
        <v>1</v>
      </c>
      <c r="G160" s="82">
        <f>+'Costo horario'!E37</f>
        <v>14141.31</v>
      </c>
      <c r="H160" s="82">
        <v>20.010000000000002</v>
      </c>
      <c r="I160" s="84"/>
      <c r="J160" s="82"/>
      <c r="K160" s="113">
        <f>+'Costo horario'!AA37</f>
        <v>0.70374482386406167</v>
      </c>
      <c r="L160" s="82"/>
      <c r="M160" s="86">
        <f>+K160*H160</f>
        <v>14.081933925519875</v>
      </c>
      <c r="N160" s="345">
        <f>+M160</f>
        <v>14.081933925519875</v>
      </c>
    </row>
    <row r="161" spans="1:34">
      <c r="B161" s="81" t="s">
        <v>2</v>
      </c>
      <c r="C161" s="121" t="s">
        <v>189</v>
      </c>
      <c r="D161" s="82">
        <v>2001</v>
      </c>
      <c r="E161" s="82"/>
      <c r="F161" s="82">
        <v>1</v>
      </c>
      <c r="G161" s="89">
        <f>'Costo horario'!E$6</f>
        <v>5000</v>
      </c>
      <c r="H161" s="82">
        <v>22.16</v>
      </c>
      <c r="I161" s="84"/>
      <c r="J161" s="82"/>
      <c r="K161" s="113">
        <f>'Costo horario'!AA$6</f>
        <v>0.23718569877984882</v>
      </c>
      <c r="L161" s="82"/>
      <c r="M161" s="86">
        <f>+K161*H161</f>
        <v>5.2560350849614501</v>
      </c>
      <c r="N161" s="345">
        <f>+M161</f>
        <v>5.2560350849614501</v>
      </c>
    </row>
    <row r="162" spans="1:34" ht="14.4" thickBot="1">
      <c r="B162" s="93"/>
      <c r="C162" s="94"/>
      <c r="D162" s="94"/>
      <c r="E162" s="94" t="s">
        <v>120</v>
      </c>
      <c r="F162" s="94">
        <v>1</v>
      </c>
      <c r="G162" s="94"/>
      <c r="H162" s="94"/>
      <c r="I162" s="95">
        <f>'Costo horario'!E45</f>
        <v>5.874569444444445</v>
      </c>
      <c r="J162" s="94">
        <f>+Rendimientos!B11</f>
        <v>0.48</v>
      </c>
      <c r="K162" s="361"/>
      <c r="L162" s="95">
        <f>+J162*I162</f>
        <v>2.8197933333333336</v>
      </c>
      <c r="M162" s="97"/>
      <c r="N162" s="349">
        <f>+L162</f>
        <v>2.8197933333333336</v>
      </c>
      <c r="O162" s="62" t="s">
        <v>232</v>
      </c>
      <c r="P162" s="62">
        <v>61.25</v>
      </c>
    </row>
    <row r="163" spans="1:34" ht="14.4" thickBot="1">
      <c r="B163" s="99"/>
      <c r="D163" s="59"/>
      <c r="E163" s="59"/>
      <c r="F163" s="59"/>
      <c r="G163" s="59"/>
      <c r="H163" s="59"/>
      <c r="I163" s="100"/>
      <c r="J163" s="59"/>
      <c r="K163" s="142"/>
      <c r="L163" s="102"/>
      <c r="M163" s="365"/>
      <c r="N163" s="366"/>
    </row>
    <row r="164" spans="1:34">
      <c r="B164" s="99"/>
      <c r="D164" s="59"/>
      <c r="E164" s="59"/>
      <c r="F164" s="59"/>
      <c r="G164" s="59"/>
      <c r="H164" s="59"/>
      <c r="I164" s="100"/>
      <c r="J164" s="59"/>
      <c r="K164" s="142"/>
      <c r="L164" s="356" t="s">
        <v>288</v>
      </c>
      <c r="M164" s="122"/>
      <c r="N164" s="371">
        <f>SUM(N159:N162)</f>
        <v>22.161280779240965</v>
      </c>
    </row>
    <row r="165" spans="1:34">
      <c r="B165" s="99"/>
      <c r="D165" s="59"/>
      <c r="E165" s="59"/>
      <c r="F165" s="59"/>
      <c r="G165" s="59"/>
      <c r="H165" s="59"/>
      <c r="I165" s="100"/>
      <c r="J165" s="59"/>
      <c r="K165" s="142"/>
      <c r="L165" s="357" t="s">
        <v>192</v>
      </c>
      <c r="M165" s="302">
        <f>'Costo Ind.'!O$25</f>
        <v>24</v>
      </c>
      <c r="N165" s="416">
        <f>(M165/100)*N164</f>
        <v>5.318707387017831</v>
      </c>
    </row>
    <row r="166" spans="1:34" ht="14.4" thickBot="1">
      <c r="L166" s="358" t="s">
        <v>193</v>
      </c>
      <c r="M166" s="108"/>
      <c r="N166" s="417">
        <f>N165+N164</f>
        <v>27.479988166258796</v>
      </c>
    </row>
    <row r="167" spans="1:34" ht="14.4" thickBot="1"/>
    <row r="168" spans="1:34" ht="14.4" thickBot="1">
      <c r="A168" s="133" t="s">
        <v>165</v>
      </c>
      <c r="B168" s="595" t="s">
        <v>235</v>
      </c>
      <c r="C168" s="596"/>
      <c r="D168" s="596"/>
      <c r="E168" s="596"/>
      <c r="F168" s="596"/>
      <c r="G168" s="596"/>
      <c r="H168" s="596"/>
      <c r="I168" s="596"/>
      <c r="J168" s="596"/>
      <c r="K168" s="596"/>
      <c r="L168" s="596"/>
      <c r="M168" s="596"/>
      <c r="N168" s="597"/>
      <c r="R168" s="607"/>
      <c r="S168" s="607"/>
      <c r="T168" s="607"/>
      <c r="U168" s="607"/>
      <c r="V168" s="607"/>
      <c r="W168" s="607"/>
      <c r="X168" s="607"/>
      <c r="Y168" s="607"/>
      <c r="Z168" s="607"/>
      <c r="AA168" s="607"/>
      <c r="AB168" s="607"/>
      <c r="AC168" s="607"/>
      <c r="AD168" s="607"/>
      <c r="AE168" s="607"/>
      <c r="AF168" s="136"/>
      <c r="AG168" s="136"/>
      <c r="AH168" s="136"/>
    </row>
    <row r="169" spans="1:34" s="111" customFormat="1" ht="55.2">
      <c r="B169" s="71" t="s">
        <v>0</v>
      </c>
      <c r="C169" s="72" t="s">
        <v>167</v>
      </c>
      <c r="D169" s="72" t="s">
        <v>168</v>
      </c>
      <c r="E169" s="72" t="s">
        <v>169</v>
      </c>
      <c r="F169" s="72" t="s">
        <v>78</v>
      </c>
      <c r="G169" s="72" t="s">
        <v>170</v>
      </c>
      <c r="H169" s="72" t="s">
        <v>172</v>
      </c>
      <c r="I169" s="73" t="s">
        <v>173</v>
      </c>
      <c r="J169" s="74" t="s">
        <v>174</v>
      </c>
      <c r="K169" s="360" t="s">
        <v>175</v>
      </c>
      <c r="L169" s="77" t="s">
        <v>178</v>
      </c>
      <c r="M169" s="78" t="s">
        <v>179</v>
      </c>
      <c r="N169" s="348" t="s">
        <v>289</v>
      </c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8"/>
      <c r="AE169" s="139"/>
      <c r="AF169" s="140"/>
      <c r="AG169" s="140"/>
      <c r="AH169" s="140"/>
    </row>
    <row r="170" spans="1:34">
      <c r="B170" s="81" t="s">
        <v>181</v>
      </c>
      <c r="C170" s="82" t="s">
        <v>182</v>
      </c>
      <c r="D170" s="82">
        <v>2012</v>
      </c>
      <c r="E170" s="82"/>
      <c r="F170" s="82">
        <v>1</v>
      </c>
      <c r="G170" s="82">
        <f>'Costo horario'!E$5</f>
        <v>2651.04</v>
      </c>
      <c r="H170" s="82">
        <v>7.0000000000000007E-2</v>
      </c>
      <c r="I170" s="84"/>
      <c r="J170" s="82"/>
      <c r="K170" s="113">
        <f>'Costo horario'!AA$5</f>
        <v>7.0368708526087273E-2</v>
      </c>
      <c r="L170" s="82"/>
      <c r="M170" s="86">
        <f>+K170*H170</f>
        <v>4.92580959682611E-3</v>
      </c>
      <c r="N170" s="345">
        <f>+M170</f>
        <v>4.92580959682611E-3</v>
      </c>
      <c r="R170" s="136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41"/>
      <c r="AE170" s="142"/>
      <c r="AF170" s="136"/>
      <c r="AG170" s="136"/>
      <c r="AH170" s="136"/>
    </row>
    <row r="171" spans="1:34">
      <c r="B171" s="81" t="s">
        <v>160</v>
      </c>
      <c r="C171" s="82"/>
      <c r="D171" s="82"/>
      <c r="E171" s="82"/>
      <c r="F171" s="82">
        <v>1</v>
      </c>
      <c r="G171" s="82">
        <f>+'Costo horario'!E38</f>
        <v>83589.8</v>
      </c>
      <c r="H171" s="82">
        <v>0.89</v>
      </c>
      <c r="I171" s="84"/>
      <c r="J171" s="82"/>
      <c r="K171" s="113">
        <f>+'Costo horario'!AA$38</f>
        <v>5.127712373661951</v>
      </c>
      <c r="L171" s="82"/>
      <c r="M171" s="86">
        <f>+K171*H171</f>
        <v>4.5636640125591361</v>
      </c>
      <c r="N171" s="345">
        <f>+M171</f>
        <v>4.5636640125591361</v>
      </c>
      <c r="R171" s="136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41"/>
      <c r="AE171" s="142"/>
      <c r="AF171" s="136"/>
      <c r="AG171" s="136"/>
      <c r="AH171" s="136"/>
    </row>
    <row r="172" spans="1:34">
      <c r="B172" s="81" t="s">
        <v>2</v>
      </c>
      <c r="C172" s="121" t="s">
        <v>189</v>
      </c>
      <c r="D172" s="82">
        <v>2001</v>
      </c>
      <c r="E172" s="82"/>
      <c r="F172" s="82">
        <v>1</v>
      </c>
      <c r="G172" s="89">
        <f>'Costo horario'!E$6</f>
        <v>5000</v>
      </c>
      <c r="H172" s="82">
        <v>39.28</v>
      </c>
      <c r="I172" s="84"/>
      <c r="J172" s="82"/>
      <c r="K172" s="113">
        <f>'Costo horario'!AA$6</f>
        <v>0.23718569877984882</v>
      </c>
      <c r="L172" s="82"/>
      <c r="M172" s="86">
        <f>+K172*H172</f>
        <v>9.3166542480724619</v>
      </c>
      <c r="N172" s="345">
        <f>+M172</f>
        <v>9.3166542480724619</v>
      </c>
      <c r="R172" s="136"/>
      <c r="S172" s="144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41"/>
      <c r="AE172" s="142"/>
      <c r="AF172" s="136"/>
      <c r="AG172" s="136"/>
      <c r="AH172" s="136"/>
    </row>
    <row r="173" spans="1:34">
      <c r="B173" s="88" t="s">
        <v>8</v>
      </c>
      <c r="C173" s="89"/>
      <c r="D173" s="89"/>
      <c r="E173" s="89"/>
      <c r="F173" s="89">
        <v>1</v>
      </c>
      <c r="G173" s="89">
        <f>+'Costo horario'!E$12</f>
        <v>1091.83</v>
      </c>
      <c r="H173" s="89">
        <f>H171</f>
        <v>0.89</v>
      </c>
      <c r="I173" s="90"/>
      <c r="J173" s="89"/>
      <c r="K173" s="113">
        <f>+'Costo horario'!AA$12</f>
        <v>5.6838680597200389E-2</v>
      </c>
      <c r="L173" s="89"/>
      <c r="M173" s="86">
        <f>+K173*H173</f>
        <v>5.0586425731508344E-2</v>
      </c>
      <c r="N173" s="346">
        <f>+M173</f>
        <v>5.0586425731508344E-2</v>
      </c>
      <c r="R173" s="136"/>
      <c r="S173" s="101"/>
      <c r="T173" s="101"/>
      <c r="U173" s="101"/>
      <c r="V173" s="101"/>
      <c r="W173" s="101"/>
      <c r="X173" s="101"/>
      <c r="Y173" s="101"/>
      <c r="Z173" s="145"/>
      <c r="AA173" s="101"/>
      <c r="AB173" s="101"/>
      <c r="AC173" s="101"/>
      <c r="AD173" s="141"/>
      <c r="AE173" s="142"/>
      <c r="AF173" s="136"/>
      <c r="AG173" s="136"/>
      <c r="AH173" s="136"/>
    </row>
    <row r="174" spans="1:34">
      <c r="B174" s="342" t="s">
        <v>58</v>
      </c>
      <c r="C174" s="343"/>
      <c r="D174" s="343"/>
      <c r="E174" s="343"/>
      <c r="F174" s="343">
        <v>1</v>
      </c>
      <c r="G174" s="343">
        <f>'Costo de operación'!D7</f>
        <v>769.51</v>
      </c>
      <c r="H174" s="343">
        <f>H171</f>
        <v>0.89</v>
      </c>
      <c r="I174" s="344"/>
      <c r="J174" s="82"/>
      <c r="K174" s="362">
        <f>'Costo de operación'!Y7</f>
        <v>8.7843607305936072E-2</v>
      </c>
      <c r="L174" s="343"/>
      <c r="M174" s="86">
        <f>+K174*H174</f>
        <v>7.8180810502283107E-2</v>
      </c>
      <c r="N174" s="353">
        <f>M174</f>
        <v>7.8180810502283107E-2</v>
      </c>
      <c r="R174" s="136"/>
      <c r="S174" s="101"/>
      <c r="T174" s="101"/>
      <c r="U174" s="101"/>
      <c r="V174" s="101"/>
      <c r="W174" s="101"/>
      <c r="X174" s="101"/>
      <c r="Y174" s="101"/>
      <c r="Z174" s="145"/>
      <c r="AA174" s="101"/>
      <c r="AB174" s="101"/>
      <c r="AC174" s="101"/>
      <c r="AD174" s="141"/>
      <c r="AE174" s="142"/>
      <c r="AF174" s="136"/>
      <c r="AG174" s="136"/>
      <c r="AH174" s="136"/>
    </row>
    <row r="175" spans="1:34">
      <c r="B175" s="342" t="s">
        <v>59</v>
      </c>
      <c r="C175" s="343"/>
      <c r="D175" s="343"/>
      <c r="E175" s="343"/>
      <c r="F175" s="343">
        <v>1</v>
      </c>
      <c r="G175" s="343">
        <f>'Costo de operación'!D8</f>
        <v>1.5</v>
      </c>
      <c r="H175" s="343"/>
      <c r="I175" s="344"/>
      <c r="J175" s="82"/>
      <c r="K175" s="362"/>
      <c r="L175" s="343"/>
      <c r="M175" s="291">
        <f>G175*F175</f>
        <v>1.5</v>
      </c>
      <c r="N175" s="353">
        <f t="shared" ref="N175:N176" si="15">M175</f>
        <v>1.5</v>
      </c>
      <c r="R175" s="136"/>
      <c r="S175" s="101"/>
      <c r="T175" s="101"/>
      <c r="U175" s="101"/>
      <c r="V175" s="101"/>
      <c r="W175" s="101"/>
      <c r="X175" s="101"/>
      <c r="Y175" s="101"/>
      <c r="Z175" s="145"/>
      <c r="AA175" s="101"/>
      <c r="AB175" s="101"/>
      <c r="AC175" s="101"/>
      <c r="AD175" s="141"/>
      <c r="AE175" s="142"/>
      <c r="AF175" s="136"/>
      <c r="AG175" s="136"/>
      <c r="AH175" s="136"/>
    </row>
    <row r="176" spans="1:34">
      <c r="B176" s="342" t="s">
        <v>287</v>
      </c>
      <c r="C176" s="343"/>
      <c r="D176" s="343"/>
      <c r="E176" s="343"/>
      <c r="F176" s="343">
        <v>1</v>
      </c>
      <c r="G176" s="343">
        <f>'Costo de operación'!D9</f>
        <v>0.25</v>
      </c>
      <c r="H176" s="343"/>
      <c r="I176" s="344"/>
      <c r="J176" s="82"/>
      <c r="K176" s="362"/>
      <c r="L176" s="343"/>
      <c r="M176" s="291">
        <f>G176*F176</f>
        <v>0.25</v>
      </c>
      <c r="N176" s="353">
        <f t="shared" si="15"/>
        <v>0.25</v>
      </c>
      <c r="R176" s="136"/>
      <c r="S176" s="101"/>
      <c r="T176" s="101"/>
      <c r="U176" s="101"/>
      <c r="V176" s="101"/>
      <c r="W176" s="101"/>
      <c r="X176" s="101"/>
      <c r="Y176" s="101"/>
      <c r="Z176" s="145"/>
      <c r="AA176" s="101"/>
      <c r="AB176" s="101"/>
      <c r="AC176" s="101"/>
      <c r="AD176" s="141"/>
      <c r="AE176" s="142"/>
      <c r="AF176" s="136"/>
      <c r="AG176" s="136"/>
      <c r="AH176" s="136"/>
    </row>
    <row r="177" spans="1:34" ht="14.4" thickBot="1">
      <c r="B177" s="93"/>
      <c r="C177" s="94"/>
      <c r="D177" s="94"/>
      <c r="E177" s="94" t="s">
        <v>120</v>
      </c>
      <c r="F177" s="94">
        <v>1</v>
      </c>
      <c r="G177" s="94"/>
      <c r="H177" s="94"/>
      <c r="I177" s="95">
        <f>'Costo horario'!E45</f>
        <v>5.874569444444445</v>
      </c>
      <c r="J177" s="94">
        <f>+Rendimientos!B12</f>
        <v>1.63</v>
      </c>
      <c r="K177" s="361"/>
      <c r="L177" s="95">
        <f>+J177*I177</f>
        <v>9.5755481944444441</v>
      </c>
      <c r="M177" s="97"/>
      <c r="N177" s="349">
        <f>+L177</f>
        <v>9.5755481944444441</v>
      </c>
      <c r="O177" s="62" t="s">
        <v>232</v>
      </c>
      <c r="P177" s="62">
        <v>61.25</v>
      </c>
      <c r="R177" s="136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45"/>
      <c r="AD177" s="141"/>
      <c r="AE177" s="142"/>
      <c r="AF177" s="136"/>
      <c r="AG177" s="136"/>
      <c r="AH177" s="136"/>
    </row>
    <row r="178" spans="1:34" ht="14.4" thickBot="1">
      <c r="B178" s="99"/>
      <c r="D178" s="59"/>
      <c r="E178" s="59"/>
      <c r="F178" s="59"/>
      <c r="G178" s="59"/>
      <c r="H178" s="59"/>
      <c r="I178" s="100"/>
      <c r="J178" s="59"/>
      <c r="K178" s="142"/>
      <c r="L178" s="102"/>
      <c r="M178" s="365"/>
      <c r="N178" s="366"/>
      <c r="R178" s="136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41"/>
      <c r="AE178" s="142"/>
      <c r="AF178" s="136"/>
      <c r="AG178" s="136"/>
      <c r="AH178" s="136"/>
    </row>
    <row r="179" spans="1:34">
      <c r="B179" s="99"/>
      <c r="D179" s="59"/>
      <c r="E179" s="59"/>
      <c r="F179" s="59"/>
      <c r="G179" s="59"/>
      <c r="H179" s="59"/>
      <c r="I179" s="100"/>
      <c r="J179" s="59"/>
      <c r="K179" s="142"/>
      <c r="L179" s="356" t="s">
        <v>288</v>
      </c>
      <c r="M179" s="122"/>
      <c r="N179" s="371">
        <f>SUM(N170:N177)</f>
        <v>25.33955950090666</v>
      </c>
      <c r="R179" s="136"/>
      <c r="S179" s="101"/>
      <c r="T179" s="101"/>
      <c r="U179" s="101"/>
      <c r="V179" s="101"/>
      <c r="W179" s="101"/>
      <c r="X179" s="101"/>
      <c r="Y179" s="101"/>
      <c r="Z179" s="101"/>
      <c r="AA179" s="101"/>
      <c r="AB179" s="608"/>
      <c r="AC179" s="608"/>
      <c r="AD179" s="146"/>
      <c r="AE179" s="147"/>
      <c r="AF179" s="136"/>
      <c r="AG179" s="136"/>
      <c r="AH179" s="136"/>
    </row>
    <row r="180" spans="1:34">
      <c r="B180" s="99"/>
      <c r="D180" s="59"/>
      <c r="E180" s="59"/>
      <c r="F180" s="59"/>
      <c r="G180" s="59"/>
      <c r="H180" s="59"/>
      <c r="I180" s="100"/>
      <c r="J180" s="59"/>
      <c r="K180" s="142"/>
      <c r="L180" s="357" t="s">
        <v>192</v>
      </c>
      <c r="M180" s="302">
        <f>'Costo Ind.'!O$25</f>
        <v>24</v>
      </c>
      <c r="N180" s="416">
        <f>(M180/100)*N179</f>
        <v>6.0814942802175977</v>
      </c>
      <c r="R180" s="136"/>
      <c r="S180" s="101"/>
      <c r="T180" s="101"/>
      <c r="U180" s="101"/>
      <c r="V180" s="101"/>
      <c r="W180" s="101"/>
      <c r="X180" s="101"/>
      <c r="Y180" s="101"/>
      <c r="Z180" s="101"/>
      <c r="AA180" s="101"/>
      <c r="AB180" s="608"/>
      <c r="AC180" s="608"/>
      <c r="AD180" s="148"/>
      <c r="AE180" s="145"/>
      <c r="AF180" s="136"/>
      <c r="AG180" s="136"/>
      <c r="AH180" s="136"/>
    </row>
    <row r="181" spans="1:34" ht="14.4" thickBot="1">
      <c r="B181" s="99"/>
      <c r="D181" s="59"/>
      <c r="E181" s="59"/>
      <c r="F181" s="59"/>
      <c r="G181" s="59"/>
      <c r="H181" s="59"/>
      <c r="I181" s="100"/>
      <c r="J181" s="59"/>
      <c r="K181" s="142"/>
      <c r="L181" s="358" t="s">
        <v>193</v>
      </c>
      <c r="M181" s="108"/>
      <c r="N181" s="417">
        <f>N180+N179</f>
        <v>31.421053781124257</v>
      </c>
      <c r="R181" s="136"/>
      <c r="S181" s="101"/>
      <c r="T181" s="101"/>
      <c r="U181" s="101"/>
      <c r="V181" s="101"/>
      <c r="W181" s="101"/>
      <c r="X181" s="101"/>
      <c r="Y181" s="101"/>
      <c r="Z181" s="101"/>
      <c r="AA181" s="101"/>
      <c r="AB181" s="608"/>
      <c r="AC181" s="608"/>
      <c r="AD181" s="141"/>
      <c r="AE181" s="149"/>
      <c r="AF181" s="136"/>
      <c r="AG181" s="136"/>
      <c r="AH181" s="136"/>
    </row>
    <row r="182" spans="1:34" ht="14.4" thickBot="1"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</row>
    <row r="183" spans="1:34" ht="14.4" thickBot="1">
      <c r="A183" s="133" t="s">
        <v>165</v>
      </c>
      <c r="B183" s="595" t="s">
        <v>237</v>
      </c>
      <c r="C183" s="596"/>
      <c r="D183" s="596"/>
      <c r="E183" s="596"/>
      <c r="F183" s="596"/>
      <c r="G183" s="596"/>
      <c r="H183" s="596"/>
      <c r="I183" s="596"/>
      <c r="J183" s="596"/>
      <c r="K183" s="596"/>
      <c r="L183" s="596"/>
      <c r="M183" s="596"/>
      <c r="N183" s="597"/>
      <c r="R183" s="607"/>
      <c r="S183" s="607"/>
      <c r="T183" s="607"/>
      <c r="U183" s="607"/>
      <c r="V183" s="607"/>
      <c r="W183" s="607"/>
      <c r="X183" s="607"/>
      <c r="Y183" s="607"/>
      <c r="Z183" s="607"/>
      <c r="AA183" s="607"/>
      <c r="AB183" s="607"/>
      <c r="AC183" s="607"/>
      <c r="AD183" s="607"/>
      <c r="AE183" s="607"/>
      <c r="AF183" s="136"/>
      <c r="AG183" s="136"/>
      <c r="AH183" s="136"/>
    </row>
    <row r="184" spans="1:34" s="111" customFormat="1" ht="55.2">
      <c r="B184" s="71" t="s">
        <v>0</v>
      </c>
      <c r="C184" s="72" t="s">
        <v>167</v>
      </c>
      <c r="D184" s="72" t="s">
        <v>168</v>
      </c>
      <c r="E184" s="72" t="s">
        <v>169</v>
      </c>
      <c r="F184" s="72" t="s">
        <v>78</v>
      </c>
      <c r="G184" s="72" t="s">
        <v>170</v>
      </c>
      <c r="H184" s="72" t="s">
        <v>172</v>
      </c>
      <c r="I184" s="73" t="s">
        <v>173</v>
      </c>
      <c r="J184" s="74" t="s">
        <v>174</v>
      </c>
      <c r="K184" s="360" t="s">
        <v>175</v>
      </c>
      <c r="L184" s="77" t="s">
        <v>178</v>
      </c>
      <c r="M184" s="78" t="s">
        <v>179</v>
      </c>
      <c r="N184" s="348" t="s">
        <v>289</v>
      </c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8"/>
      <c r="AE184" s="139"/>
      <c r="AF184" s="140"/>
      <c r="AG184" s="140"/>
      <c r="AH184" s="140"/>
    </row>
    <row r="185" spans="1:34">
      <c r="B185" s="81" t="s">
        <v>181</v>
      </c>
      <c r="C185" s="82" t="s">
        <v>182</v>
      </c>
      <c r="D185" s="82">
        <v>2012</v>
      </c>
      <c r="E185" s="82"/>
      <c r="F185" s="82">
        <v>1</v>
      </c>
      <c r="G185" s="82">
        <f>'Costo horario'!E$5</f>
        <v>2651.04</v>
      </c>
      <c r="H185" s="82">
        <v>7.0000000000000007E-2</v>
      </c>
      <c r="I185" s="84"/>
      <c r="J185" s="82"/>
      <c r="K185" s="113">
        <f>'Costo horario'!AA$5</f>
        <v>7.0368708526087273E-2</v>
      </c>
      <c r="L185" s="82"/>
      <c r="M185" s="86">
        <f>+K185*H185</f>
        <v>4.92580959682611E-3</v>
      </c>
      <c r="N185" s="345">
        <f>+M185</f>
        <v>4.92580959682611E-3</v>
      </c>
      <c r="R185" s="136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51"/>
      <c r="AC185" s="101"/>
      <c r="AD185" s="141"/>
      <c r="AE185" s="142"/>
      <c r="AF185" s="136"/>
      <c r="AG185" s="136"/>
      <c r="AH185" s="136"/>
    </row>
    <row r="186" spans="1:34">
      <c r="B186" s="81" t="s">
        <v>160</v>
      </c>
      <c r="C186" s="82"/>
      <c r="D186" s="82"/>
      <c r="E186" s="82"/>
      <c r="F186" s="82">
        <v>1</v>
      </c>
      <c r="G186" s="82">
        <f>+'Costo horario'!E38</f>
        <v>83589.8</v>
      </c>
      <c r="H186" s="89">
        <v>20.329999999999998</v>
      </c>
      <c r="I186" s="90"/>
      <c r="J186" s="89"/>
      <c r="K186" s="113">
        <f>+'Costo horario'!AA$38</f>
        <v>5.127712373661951</v>
      </c>
      <c r="L186" s="89"/>
      <c r="M186" s="86">
        <f>+K186*H186</f>
        <v>104.24639255654745</v>
      </c>
      <c r="N186" s="367">
        <f>+M186</f>
        <v>104.24639255654745</v>
      </c>
      <c r="R186" s="136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41"/>
      <c r="AE186" s="142"/>
      <c r="AF186" s="136"/>
      <c r="AG186" s="136"/>
      <c r="AH186" s="136"/>
    </row>
    <row r="187" spans="1:34">
      <c r="B187" s="81" t="s">
        <v>2</v>
      </c>
      <c r="C187" s="121" t="s">
        <v>189</v>
      </c>
      <c r="D187" s="82">
        <v>2001</v>
      </c>
      <c r="E187" s="82"/>
      <c r="F187" s="82">
        <v>1</v>
      </c>
      <c r="G187" s="89">
        <f>'Costo horario'!E$6</f>
        <v>5000</v>
      </c>
      <c r="H187" s="89">
        <v>45.75</v>
      </c>
      <c r="I187" s="90"/>
      <c r="J187" s="89"/>
      <c r="K187" s="113">
        <f>'Costo horario'!AA$6</f>
        <v>0.23718569877984882</v>
      </c>
      <c r="L187" s="89"/>
      <c r="M187" s="86">
        <f>+K187*H187</f>
        <v>10.851245719178083</v>
      </c>
      <c r="N187" s="346">
        <f>+M187</f>
        <v>10.851245719178083</v>
      </c>
      <c r="R187" s="136"/>
      <c r="S187" s="144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41"/>
      <c r="AE187" s="142"/>
      <c r="AF187" s="136"/>
      <c r="AG187" s="136"/>
      <c r="AH187" s="136"/>
    </row>
    <row r="188" spans="1:34">
      <c r="B188" s="88" t="s">
        <v>8</v>
      </c>
      <c r="C188" s="89"/>
      <c r="D188" s="89"/>
      <c r="E188" s="89"/>
      <c r="F188" s="89">
        <v>1</v>
      </c>
      <c r="G188" s="89">
        <f>+'Costo horario'!E$12</f>
        <v>1091.83</v>
      </c>
      <c r="H188" s="89">
        <f>H186</f>
        <v>20.329999999999998</v>
      </c>
      <c r="I188" s="90"/>
      <c r="J188" s="89"/>
      <c r="K188" s="113">
        <f>+'Costo horario'!AA$12</f>
        <v>5.6838680597200389E-2</v>
      </c>
      <c r="L188" s="89"/>
      <c r="M188" s="86">
        <f>+K188*H188</f>
        <v>1.1555303765410838</v>
      </c>
      <c r="N188" s="346">
        <f>+M188</f>
        <v>1.1555303765410838</v>
      </c>
      <c r="R188" s="136"/>
      <c r="S188" s="101"/>
      <c r="T188" s="101"/>
      <c r="U188" s="101"/>
      <c r="V188" s="101"/>
      <c r="W188" s="101"/>
      <c r="X188" s="101"/>
      <c r="Y188" s="101"/>
      <c r="Z188" s="145"/>
      <c r="AA188" s="101"/>
      <c r="AB188" s="101"/>
      <c r="AC188" s="101"/>
      <c r="AD188" s="141"/>
      <c r="AE188" s="142"/>
      <c r="AF188" s="136"/>
      <c r="AG188" s="136"/>
      <c r="AH188" s="136"/>
    </row>
    <row r="189" spans="1:34">
      <c r="B189" s="342" t="s">
        <v>58</v>
      </c>
      <c r="C189" s="343"/>
      <c r="D189" s="343"/>
      <c r="E189" s="343"/>
      <c r="F189" s="343">
        <v>1</v>
      </c>
      <c r="G189" s="343">
        <f>'Costo de operación'!D7</f>
        <v>769.51</v>
      </c>
      <c r="H189" s="343">
        <f>H186</f>
        <v>20.329999999999998</v>
      </c>
      <c r="I189" s="344"/>
      <c r="J189" s="82"/>
      <c r="K189" s="362">
        <f>'Costo de operación'!Y7</f>
        <v>8.7843607305936072E-2</v>
      </c>
      <c r="L189" s="343"/>
      <c r="M189" s="86">
        <f>+K189*H189</f>
        <v>1.7858605365296802</v>
      </c>
      <c r="N189" s="353">
        <f>M189</f>
        <v>1.7858605365296802</v>
      </c>
      <c r="R189" s="136"/>
      <c r="S189" s="101"/>
      <c r="T189" s="101"/>
      <c r="U189" s="101"/>
      <c r="V189" s="101"/>
      <c r="W189" s="101"/>
      <c r="X189" s="101"/>
      <c r="Y189" s="101"/>
      <c r="Z189" s="145"/>
      <c r="AA189" s="101"/>
      <c r="AB189" s="101"/>
      <c r="AC189" s="101"/>
      <c r="AD189" s="141"/>
      <c r="AE189" s="142"/>
      <c r="AF189" s="136"/>
      <c r="AG189" s="136"/>
      <c r="AH189" s="136"/>
    </row>
    <row r="190" spans="1:34">
      <c r="B190" s="342" t="s">
        <v>59</v>
      </c>
      <c r="C190" s="343"/>
      <c r="D190" s="343"/>
      <c r="E190" s="343"/>
      <c r="F190" s="343">
        <v>1</v>
      </c>
      <c r="G190" s="343">
        <f>'Costo de operación'!D8</f>
        <v>1.5</v>
      </c>
      <c r="H190" s="343"/>
      <c r="I190" s="344"/>
      <c r="J190" s="82"/>
      <c r="K190" s="362"/>
      <c r="L190" s="343"/>
      <c r="M190" s="291">
        <f>G190*F190</f>
        <v>1.5</v>
      </c>
      <c r="N190" s="353">
        <f t="shared" ref="N190:N191" si="16">M190</f>
        <v>1.5</v>
      </c>
      <c r="R190" s="136"/>
      <c r="S190" s="101"/>
      <c r="T190" s="101"/>
      <c r="U190" s="101"/>
      <c r="V190" s="101"/>
      <c r="W190" s="101"/>
      <c r="X190" s="101"/>
      <c r="Y190" s="101"/>
      <c r="Z190" s="145"/>
      <c r="AA190" s="101"/>
      <c r="AB190" s="101"/>
      <c r="AC190" s="101"/>
      <c r="AD190" s="141"/>
      <c r="AE190" s="142"/>
      <c r="AF190" s="136"/>
      <c r="AG190" s="136"/>
      <c r="AH190" s="136"/>
    </row>
    <row r="191" spans="1:34">
      <c r="B191" s="342" t="s">
        <v>287</v>
      </c>
      <c r="C191" s="343"/>
      <c r="D191" s="343"/>
      <c r="E191" s="343"/>
      <c r="F191" s="343">
        <v>1</v>
      </c>
      <c r="G191" s="343">
        <f>'Costo de operación'!D9</f>
        <v>0.25</v>
      </c>
      <c r="H191" s="343"/>
      <c r="I191" s="344"/>
      <c r="J191" s="82"/>
      <c r="K191" s="362"/>
      <c r="L191" s="343"/>
      <c r="M191" s="291">
        <f>G191*F191</f>
        <v>0.25</v>
      </c>
      <c r="N191" s="353">
        <f t="shared" si="16"/>
        <v>0.25</v>
      </c>
      <c r="R191" s="136"/>
      <c r="S191" s="101"/>
      <c r="T191" s="101"/>
      <c r="U191" s="101"/>
      <c r="V191" s="101"/>
      <c r="W191" s="101"/>
      <c r="X191" s="101"/>
      <c r="Y191" s="101"/>
      <c r="Z191" s="145"/>
      <c r="AA191" s="101"/>
      <c r="AB191" s="101"/>
      <c r="AC191" s="101"/>
      <c r="AD191" s="141"/>
      <c r="AE191" s="142"/>
      <c r="AF191" s="136"/>
      <c r="AG191" s="136"/>
      <c r="AH191" s="136"/>
    </row>
    <row r="192" spans="1:34" ht="14.4" thickBot="1">
      <c r="B192" s="93"/>
      <c r="C192" s="94"/>
      <c r="D192" s="94"/>
      <c r="E192" s="94" t="s">
        <v>120</v>
      </c>
      <c r="F192" s="94">
        <v>1</v>
      </c>
      <c r="G192" s="94"/>
      <c r="H192" s="114"/>
      <c r="I192" s="95">
        <f>'Costo horario'!E45</f>
        <v>5.874569444444445</v>
      </c>
      <c r="J192" s="114">
        <f>+Rendimientos!B13</f>
        <v>2.36</v>
      </c>
      <c r="K192" s="361"/>
      <c r="L192" s="125">
        <f>+J192*I192</f>
        <v>13.863983888888889</v>
      </c>
      <c r="M192" s="97"/>
      <c r="N192" s="352">
        <f>+L192</f>
        <v>13.863983888888889</v>
      </c>
      <c r="R192" s="136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45"/>
      <c r="AD192" s="141"/>
      <c r="AE192" s="145"/>
      <c r="AF192" s="136"/>
      <c r="AG192" s="136"/>
      <c r="AH192" s="136"/>
    </row>
    <row r="193" spans="2:34" ht="14.4" thickBot="1">
      <c r="B193" s="99"/>
      <c r="D193" s="59"/>
      <c r="E193" s="59"/>
      <c r="F193" s="59"/>
      <c r="G193" s="59"/>
      <c r="H193" s="59"/>
      <c r="I193" s="100"/>
      <c r="J193" s="59"/>
      <c r="K193" s="142"/>
      <c r="L193" s="368"/>
      <c r="M193" s="369"/>
      <c r="N193" s="370"/>
      <c r="R193" s="136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59"/>
      <c r="AC193" s="159"/>
      <c r="AD193" s="146"/>
      <c r="AE193" s="160"/>
      <c r="AF193" s="136"/>
      <c r="AG193" s="136"/>
      <c r="AH193" s="136"/>
    </row>
    <row r="194" spans="2:34">
      <c r="B194" s="99"/>
      <c r="D194" s="59"/>
      <c r="E194" s="59"/>
      <c r="F194" s="59"/>
      <c r="G194" s="59"/>
      <c r="H194" s="59"/>
      <c r="I194" s="100"/>
      <c r="J194" s="59"/>
      <c r="K194" s="142"/>
      <c r="L194" s="356" t="s">
        <v>288</v>
      </c>
      <c r="M194" s="161"/>
      <c r="N194" s="371">
        <f>SUM(N185:N192)</f>
        <v>133.657938887282</v>
      </c>
      <c r="R194" s="136"/>
      <c r="S194" s="101"/>
      <c r="T194" s="101"/>
      <c r="U194" s="101"/>
      <c r="V194" s="101"/>
      <c r="W194" s="101"/>
      <c r="X194" s="101" t="s">
        <v>238</v>
      </c>
      <c r="Y194" s="101"/>
      <c r="Z194" s="101"/>
      <c r="AA194" s="101"/>
      <c r="AB194" s="608"/>
      <c r="AC194" s="608"/>
      <c r="AD194" s="146"/>
      <c r="AE194" s="147"/>
      <c r="AF194" s="136"/>
      <c r="AG194" s="136"/>
      <c r="AH194" s="136"/>
    </row>
    <row r="195" spans="2:34">
      <c r="B195" s="99"/>
      <c r="D195" s="59"/>
      <c r="E195" s="59"/>
      <c r="F195" s="59"/>
      <c r="G195" s="59"/>
      <c r="H195" s="59"/>
      <c r="I195" s="100"/>
      <c r="J195" s="59"/>
      <c r="K195" s="142"/>
      <c r="L195" s="357" t="s">
        <v>192</v>
      </c>
      <c r="M195" s="302">
        <f>'Costo Ind.'!O$25</f>
        <v>24</v>
      </c>
      <c r="N195" s="416">
        <f>(M195/100)*N194</f>
        <v>32.07790533294768</v>
      </c>
      <c r="R195" s="136"/>
      <c r="S195" s="101"/>
      <c r="T195" s="101"/>
      <c r="U195" s="101"/>
      <c r="V195" s="101"/>
      <c r="W195" s="101"/>
      <c r="X195" s="101"/>
      <c r="Y195" s="101"/>
      <c r="Z195" s="101"/>
      <c r="AA195" s="101"/>
      <c r="AB195" s="608"/>
      <c r="AC195" s="608"/>
      <c r="AD195" s="148"/>
      <c r="AE195" s="145"/>
      <c r="AF195" s="136"/>
      <c r="AG195" s="136"/>
      <c r="AH195" s="136"/>
    </row>
    <row r="196" spans="2:34" ht="14.4" thickBot="1">
      <c r="B196" s="99"/>
      <c r="D196" s="59"/>
      <c r="E196" s="59"/>
      <c r="F196" s="59"/>
      <c r="G196" s="59"/>
      <c r="H196" s="59"/>
      <c r="I196" s="100"/>
      <c r="J196" s="59"/>
      <c r="K196" s="142"/>
      <c r="L196" s="358" t="s">
        <v>193</v>
      </c>
      <c r="M196" s="108"/>
      <c r="N196" s="417">
        <f>N195+N194</f>
        <v>165.73584422022969</v>
      </c>
      <c r="R196" s="136"/>
      <c r="S196" s="101"/>
      <c r="T196" s="101"/>
      <c r="U196" s="101"/>
      <c r="V196" s="101"/>
      <c r="W196" s="101"/>
      <c r="X196" s="101"/>
      <c r="Y196" s="101"/>
      <c r="Z196" s="101"/>
      <c r="AA196" s="101"/>
      <c r="AB196" s="608"/>
      <c r="AC196" s="608"/>
      <c r="AD196" s="141"/>
      <c r="AE196" s="149"/>
      <c r="AF196" s="136"/>
      <c r="AG196" s="136"/>
      <c r="AH196" s="136"/>
    </row>
    <row r="198" spans="2:34" ht="14.4" thickBot="1"/>
    <row r="199" spans="2:34" ht="14.4" thickBot="1">
      <c r="R199" s="595" t="s">
        <v>235</v>
      </c>
      <c r="S199" s="596"/>
      <c r="T199" s="596"/>
      <c r="U199" s="596"/>
      <c r="V199" s="596"/>
      <c r="W199" s="596"/>
      <c r="X199" s="596"/>
      <c r="Y199" s="596"/>
      <c r="Z199" s="596"/>
      <c r="AA199" s="596"/>
      <c r="AB199" s="596"/>
      <c r="AC199" s="596"/>
      <c r="AD199" s="596"/>
      <c r="AE199" s="596"/>
      <c r="AF199" s="596"/>
      <c r="AG199" s="596"/>
      <c r="AH199" s="597"/>
    </row>
    <row r="200" spans="2:34" ht="55.2">
      <c r="R200" s="71" t="s">
        <v>0</v>
      </c>
      <c r="S200" s="72" t="s">
        <v>167</v>
      </c>
      <c r="T200" s="72" t="s">
        <v>168</v>
      </c>
      <c r="U200" s="72" t="s">
        <v>169</v>
      </c>
      <c r="V200" s="72" t="s">
        <v>78</v>
      </c>
      <c r="W200" s="72" t="s">
        <v>170</v>
      </c>
      <c r="X200" s="72" t="s">
        <v>171</v>
      </c>
      <c r="Y200" s="72" t="s">
        <v>172</v>
      </c>
      <c r="Z200" s="73" t="s">
        <v>173</v>
      </c>
      <c r="AA200" s="74" t="s">
        <v>174</v>
      </c>
      <c r="AB200" s="75" t="s">
        <v>175</v>
      </c>
      <c r="AC200" s="74" t="s">
        <v>228</v>
      </c>
      <c r="AD200" s="74" t="s">
        <v>176</v>
      </c>
      <c r="AE200" s="76" t="s">
        <v>177</v>
      </c>
      <c r="AF200" s="77" t="s">
        <v>178</v>
      </c>
      <c r="AG200" s="78" t="s">
        <v>179</v>
      </c>
      <c r="AH200" s="79" t="s">
        <v>180</v>
      </c>
    </row>
    <row r="201" spans="2:34">
      <c r="R201" s="81" t="s">
        <v>181</v>
      </c>
      <c r="S201" s="82" t="s">
        <v>182</v>
      </c>
      <c r="T201" s="82">
        <v>2012</v>
      </c>
      <c r="U201" s="82"/>
      <c r="V201" s="82">
        <v>1</v>
      </c>
      <c r="W201" s="82">
        <f>+'[1]Costos horarios'!C22</f>
        <v>2651.04</v>
      </c>
      <c r="X201" s="82">
        <v>229</v>
      </c>
      <c r="Y201" s="82">
        <v>7.0000000000000007E-2</v>
      </c>
      <c r="Z201" s="84"/>
      <c r="AA201" s="82"/>
      <c r="AB201" s="85">
        <f>+AB216</f>
        <v>7.0368708526087273E-2</v>
      </c>
      <c r="AC201" s="82"/>
      <c r="AD201" s="82"/>
      <c r="AE201" s="82"/>
      <c r="AF201" s="82"/>
      <c r="AG201" s="86">
        <f>+AB201*Y201</f>
        <v>4.92580959682611E-3</v>
      </c>
      <c r="AH201" s="87">
        <f>+AG201</f>
        <v>4.92580959682611E-3</v>
      </c>
    </row>
    <row r="202" spans="2:34">
      <c r="C202" s="62"/>
      <c r="D202" s="62"/>
      <c r="E202" s="62"/>
      <c r="F202" s="62"/>
      <c r="G202" s="62"/>
      <c r="H202" s="62"/>
      <c r="I202" s="62"/>
      <c r="J202" s="62"/>
      <c r="K202" s="363"/>
      <c r="L202" s="62"/>
      <c r="M202" s="62"/>
      <c r="N202" s="354"/>
      <c r="R202" s="81" t="s">
        <v>185</v>
      </c>
      <c r="S202" s="82"/>
      <c r="T202" s="82"/>
      <c r="U202" s="82"/>
      <c r="V202" s="82">
        <v>1</v>
      </c>
      <c r="W202" s="82"/>
      <c r="X202" s="82"/>
      <c r="Y202" s="82">
        <v>7.0000000000000007E-2</v>
      </c>
      <c r="Z202" s="84"/>
      <c r="AA202" s="112"/>
      <c r="AB202" s="85"/>
      <c r="AC202" s="89">
        <f>+'[1]Costos horarios'!$F$14</f>
        <v>1.008E-2</v>
      </c>
      <c r="AD202" s="112">
        <f>'[1]Costos horarios'!$F$6</f>
        <v>9.9754098360655741E-2</v>
      </c>
      <c r="AE202" s="143">
        <f>+AD202*AC202*Y202</f>
        <v>7.0386491803278698E-5</v>
      </c>
      <c r="AF202" s="82"/>
      <c r="AG202" s="86"/>
      <c r="AH202" s="87">
        <f>+AE202</f>
        <v>7.0386491803278698E-5</v>
      </c>
    </row>
    <row r="203" spans="2:34">
      <c r="C203" s="62"/>
      <c r="D203" s="62"/>
      <c r="E203" s="62"/>
      <c r="F203" s="62"/>
      <c r="G203" s="62"/>
      <c r="H203" s="62"/>
      <c r="I203" s="62"/>
      <c r="J203" s="62"/>
      <c r="K203" s="363"/>
      <c r="L203" s="62"/>
      <c r="M203" s="62"/>
      <c r="N203" s="354"/>
      <c r="R203" s="81" t="s">
        <v>160</v>
      </c>
      <c r="S203" s="82"/>
      <c r="T203" s="82"/>
      <c r="U203" s="82"/>
      <c r="V203" s="82">
        <v>1</v>
      </c>
      <c r="W203" s="82">
        <v>120000</v>
      </c>
      <c r="X203" s="82">
        <v>229</v>
      </c>
      <c r="Y203" s="82">
        <v>0.89</v>
      </c>
      <c r="Z203" s="84"/>
      <c r="AA203" s="82"/>
      <c r="AB203" s="85">
        <f>+'[1]Costos horarios'!F$114</f>
        <v>0.84636986301369865</v>
      </c>
      <c r="AC203" s="82"/>
      <c r="AD203" s="82"/>
      <c r="AE203" s="82"/>
      <c r="AF203" s="82"/>
      <c r="AG203" s="86">
        <f>+AB203*Y203</f>
        <v>0.75326917808219185</v>
      </c>
      <c r="AH203" s="87">
        <f>+AG203</f>
        <v>0.75326917808219185</v>
      </c>
    </row>
    <row r="204" spans="2:34">
      <c r="C204" s="62"/>
      <c r="D204" s="62"/>
      <c r="E204" s="62"/>
      <c r="F204" s="62"/>
      <c r="G204" s="62"/>
      <c r="H204" s="62"/>
      <c r="I204" s="62"/>
      <c r="J204" s="62"/>
      <c r="K204" s="363"/>
      <c r="L204" s="62"/>
      <c r="M204" s="62"/>
      <c r="N204" s="354"/>
      <c r="R204" s="81" t="s">
        <v>236</v>
      </c>
      <c r="S204" s="82"/>
      <c r="T204" s="82"/>
      <c r="U204" s="82"/>
      <c r="V204" s="82">
        <v>1</v>
      </c>
      <c r="W204" s="82"/>
      <c r="X204" s="82"/>
      <c r="Y204" s="82">
        <v>0.89</v>
      </c>
      <c r="Z204" s="84"/>
      <c r="AA204" s="112"/>
      <c r="AB204" s="85"/>
      <c r="AC204" s="82">
        <v>1.8</v>
      </c>
      <c r="AD204" s="112">
        <f>'[1]Costos horarios'!$F$6</f>
        <v>9.9754098360655741E-2</v>
      </c>
      <c r="AE204" s="89">
        <f>+AD204*AC204*Y204</f>
        <v>0.1598060655737705</v>
      </c>
      <c r="AF204" s="82"/>
      <c r="AG204" s="86"/>
      <c r="AH204" s="87">
        <f>+AE204</f>
        <v>0.1598060655737705</v>
      </c>
    </row>
    <row r="205" spans="2:34">
      <c r="C205" s="62"/>
      <c r="D205" s="62"/>
      <c r="E205" s="62"/>
      <c r="F205" s="62"/>
      <c r="G205" s="62"/>
      <c r="H205" s="62"/>
      <c r="I205" s="62"/>
      <c r="J205" s="62"/>
      <c r="K205" s="363"/>
      <c r="L205" s="62"/>
      <c r="M205" s="62"/>
      <c r="N205" s="354"/>
      <c r="R205" s="81" t="s">
        <v>2</v>
      </c>
      <c r="S205" s="121" t="s">
        <v>189</v>
      </c>
      <c r="T205" s="82">
        <v>2001</v>
      </c>
      <c r="U205" s="82"/>
      <c r="V205" s="82">
        <v>1</v>
      </c>
      <c r="W205" s="82">
        <v>5000</v>
      </c>
      <c r="X205" s="82">
        <v>229</v>
      </c>
      <c r="Y205" s="82">
        <v>39.28</v>
      </c>
      <c r="Z205" s="84"/>
      <c r="AA205" s="82"/>
      <c r="AB205" s="85">
        <f>+AB220</f>
        <v>0.23718569877984882</v>
      </c>
      <c r="AC205" s="82"/>
      <c r="AD205" s="82"/>
      <c r="AE205" s="82"/>
      <c r="AF205" s="82"/>
      <c r="AG205" s="86">
        <f t="shared" ref="AG205" si="17">+AB205*Y205</f>
        <v>9.3166542480724619</v>
      </c>
      <c r="AH205" s="87">
        <f>+AG205</f>
        <v>9.3166542480724619</v>
      </c>
    </row>
    <row r="206" spans="2:34">
      <c r="C206" s="62"/>
      <c r="D206" s="62"/>
      <c r="E206" s="62"/>
      <c r="F206" s="62"/>
      <c r="G206" s="62"/>
      <c r="H206" s="62"/>
      <c r="I206" s="62"/>
      <c r="J206" s="62"/>
      <c r="K206" s="363"/>
      <c r="L206" s="62"/>
      <c r="M206" s="62"/>
      <c r="N206" s="354"/>
      <c r="R206" s="81" t="s">
        <v>217</v>
      </c>
      <c r="S206" s="82"/>
      <c r="T206" s="82"/>
      <c r="U206" s="82"/>
      <c r="V206" s="82">
        <v>1</v>
      </c>
      <c r="W206" s="82"/>
      <c r="X206" s="82"/>
      <c r="Y206" s="82">
        <v>39.28</v>
      </c>
      <c r="Z206" s="84"/>
      <c r="AA206" s="112"/>
      <c r="AB206" s="85"/>
      <c r="AC206" s="90">
        <f>+'[1]Costos horarios'!$F$35</f>
        <v>0.8</v>
      </c>
      <c r="AD206" s="112">
        <f>'[1]Costos horarios'!$F$6</f>
        <v>9.9754098360655741E-2</v>
      </c>
      <c r="AE206" s="82">
        <f>+AD206*AC206*Y206</f>
        <v>3.1346727868852464</v>
      </c>
      <c r="AF206" s="82"/>
      <c r="AG206" s="86"/>
      <c r="AH206" s="87">
        <f>+AE206</f>
        <v>3.1346727868852464</v>
      </c>
    </row>
    <row r="207" spans="2:34" ht="14.4" thickBot="1">
      <c r="C207" s="62"/>
      <c r="D207" s="62"/>
      <c r="E207" s="62"/>
      <c r="F207" s="62"/>
      <c r="G207" s="62"/>
      <c r="H207" s="62"/>
      <c r="I207" s="62"/>
      <c r="J207" s="62"/>
      <c r="K207" s="363"/>
      <c r="L207" s="62"/>
      <c r="M207" s="62"/>
      <c r="N207" s="354"/>
      <c r="R207" s="93"/>
      <c r="S207" s="94"/>
      <c r="T207" s="94"/>
      <c r="U207" s="94" t="s">
        <v>120</v>
      </c>
      <c r="V207" s="94">
        <v>1</v>
      </c>
      <c r="W207" s="94"/>
      <c r="X207" s="94">
        <v>229</v>
      </c>
      <c r="Y207" s="94"/>
      <c r="Z207" s="95">
        <v>9.9663427947598251</v>
      </c>
      <c r="AA207" s="94">
        <v>1.63</v>
      </c>
      <c r="AB207" s="96"/>
      <c r="AC207" s="94"/>
      <c r="AD207" s="94"/>
      <c r="AE207" s="94"/>
      <c r="AF207" s="95">
        <f>+AA207*Z207</f>
        <v>16.245138755458512</v>
      </c>
      <c r="AG207" s="97"/>
      <c r="AH207" s="98">
        <f>+AF207</f>
        <v>16.245138755458512</v>
      </c>
    </row>
    <row r="208" spans="2:34" ht="14.4" thickBot="1">
      <c r="C208" s="62"/>
      <c r="D208" s="62"/>
      <c r="E208" s="62"/>
      <c r="F208" s="62"/>
      <c r="G208" s="62"/>
      <c r="H208" s="62"/>
      <c r="I208" s="62"/>
      <c r="J208" s="62"/>
      <c r="K208" s="363"/>
      <c r="L208" s="62"/>
      <c r="M208" s="62"/>
      <c r="N208" s="354"/>
      <c r="R208" s="99"/>
      <c r="S208" s="59"/>
      <c r="T208" s="59"/>
      <c r="U208" s="59"/>
      <c r="V208" s="59"/>
      <c r="W208" s="59"/>
      <c r="X208" s="59"/>
      <c r="Y208" s="59"/>
      <c r="Z208" s="100"/>
      <c r="AA208" s="59"/>
      <c r="AB208" s="101"/>
      <c r="AC208" s="59"/>
      <c r="AD208" s="59"/>
      <c r="AE208" s="115"/>
      <c r="AF208" s="116"/>
      <c r="AG208" s="117"/>
      <c r="AH208" s="118"/>
    </row>
    <row r="209" spans="3:34">
      <c r="C209" s="62"/>
      <c r="D209" s="62"/>
      <c r="E209" s="62"/>
      <c r="F209" s="62"/>
      <c r="G209" s="62"/>
      <c r="H209" s="62"/>
      <c r="I209" s="62"/>
      <c r="J209" s="62"/>
      <c r="K209" s="363"/>
      <c r="L209" s="62"/>
      <c r="M209" s="62"/>
      <c r="N209" s="354"/>
      <c r="R209" s="99"/>
      <c r="S209" s="59"/>
      <c r="T209" s="59"/>
      <c r="U209" s="59"/>
      <c r="V209" s="59"/>
      <c r="W209" s="59"/>
      <c r="X209" s="59"/>
      <c r="Y209" s="59"/>
      <c r="Z209" s="100"/>
      <c r="AA209" s="59"/>
      <c r="AB209" s="101"/>
      <c r="AC209" s="59"/>
      <c r="AD209" s="59"/>
      <c r="AE209" s="605" t="s">
        <v>191</v>
      </c>
      <c r="AF209" s="606"/>
      <c r="AG209" s="122"/>
      <c r="AH209" s="128">
        <f>SUM(AH201:AH207)</f>
        <v>29.614537230160813</v>
      </c>
    </row>
    <row r="210" spans="3:34">
      <c r="C210" s="62"/>
      <c r="D210" s="62"/>
      <c r="E210" s="62"/>
      <c r="F210" s="62"/>
      <c r="G210" s="62"/>
      <c r="H210" s="62"/>
      <c r="I210" s="62"/>
      <c r="J210" s="62"/>
      <c r="K210" s="363"/>
      <c r="L210" s="62"/>
      <c r="M210" s="62"/>
      <c r="N210" s="354"/>
      <c r="R210" s="99"/>
      <c r="S210" s="59"/>
      <c r="T210" s="59"/>
      <c r="U210" s="59"/>
      <c r="V210" s="59"/>
      <c r="W210" s="59"/>
      <c r="X210" s="59"/>
      <c r="Y210" s="59"/>
      <c r="Z210" s="100"/>
      <c r="AA210" s="59"/>
      <c r="AB210" s="101"/>
      <c r="AC210" s="59"/>
      <c r="AD210" s="59"/>
      <c r="AE210" s="601" t="s">
        <v>192</v>
      </c>
      <c r="AF210" s="602"/>
      <c r="AG210" s="106">
        <v>0.12</v>
      </c>
      <c r="AH210" s="107">
        <f>+AG210*AH209</f>
        <v>3.5537444676192975</v>
      </c>
    </row>
    <row r="211" spans="3:34">
      <c r="C211" s="62"/>
      <c r="D211" s="62"/>
      <c r="E211" s="62"/>
      <c r="F211" s="62"/>
      <c r="G211" s="62"/>
      <c r="H211" s="62"/>
      <c r="I211" s="62"/>
      <c r="J211" s="62"/>
      <c r="K211" s="363"/>
      <c r="L211" s="62"/>
      <c r="M211" s="62"/>
      <c r="N211" s="354"/>
      <c r="R211" s="99"/>
      <c r="S211" s="59"/>
      <c r="T211" s="59"/>
      <c r="U211" s="59"/>
      <c r="V211" s="59"/>
      <c r="W211" s="59"/>
      <c r="X211" s="59"/>
      <c r="Y211" s="59"/>
      <c r="Z211" s="100"/>
      <c r="AA211" s="59"/>
      <c r="AB211" s="101"/>
      <c r="AC211" s="59"/>
      <c r="AD211" s="59"/>
      <c r="AE211" s="601" t="s">
        <v>109</v>
      </c>
      <c r="AF211" s="602"/>
      <c r="AG211" s="106">
        <v>0.18</v>
      </c>
      <c r="AH211" s="107">
        <f>+AG211*AH209</f>
        <v>5.3306167014289461</v>
      </c>
    </row>
    <row r="212" spans="3:34" ht="14.4" thickBot="1">
      <c r="C212" s="62"/>
      <c r="D212" s="62"/>
      <c r="E212" s="62"/>
      <c r="F212" s="62"/>
      <c r="G212" s="62"/>
      <c r="H212" s="62"/>
      <c r="I212" s="62"/>
      <c r="J212" s="62"/>
      <c r="K212" s="363"/>
      <c r="L212" s="62"/>
      <c r="M212" s="62"/>
      <c r="N212" s="354"/>
      <c r="R212" s="99"/>
      <c r="S212" s="59"/>
      <c r="T212" s="59"/>
      <c r="U212" s="59"/>
      <c r="V212" s="59"/>
      <c r="W212" s="59"/>
      <c r="X212" s="59"/>
      <c r="Y212" s="59"/>
      <c r="Z212" s="100"/>
      <c r="AA212" s="59"/>
      <c r="AB212" s="101"/>
      <c r="AC212" s="59"/>
      <c r="AD212" s="59"/>
      <c r="AE212" s="603" t="s">
        <v>193</v>
      </c>
      <c r="AF212" s="604"/>
      <c r="AG212" s="108"/>
      <c r="AH212" s="109">
        <f>+AH211+AH210+AH209</f>
        <v>38.498898399209054</v>
      </c>
    </row>
    <row r="213" spans="3:34" ht="14.4" thickBot="1">
      <c r="C213" s="62"/>
      <c r="D213" s="62"/>
      <c r="E213" s="62"/>
      <c r="F213" s="62"/>
      <c r="G213" s="62"/>
      <c r="H213" s="62"/>
      <c r="I213" s="62"/>
      <c r="J213" s="62"/>
      <c r="K213" s="363"/>
      <c r="L213" s="62"/>
      <c r="M213" s="62"/>
      <c r="N213" s="354"/>
      <c r="S213" s="59"/>
      <c r="T213" s="63"/>
      <c r="U213" s="63"/>
      <c r="V213" s="63"/>
      <c r="W213" s="63"/>
      <c r="X213" s="63"/>
      <c r="Y213" s="63"/>
      <c r="Z213" s="64"/>
      <c r="AA213" s="63"/>
      <c r="AB213" s="65"/>
      <c r="AC213" s="63"/>
      <c r="AD213" s="63"/>
      <c r="AE213" s="63"/>
      <c r="AF213" s="63"/>
      <c r="AG213" s="66"/>
      <c r="AH213" s="67"/>
    </row>
    <row r="214" spans="3:34" ht="14.4" thickBot="1">
      <c r="C214" s="62"/>
      <c r="D214" s="62"/>
      <c r="E214" s="62"/>
      <c r="F214" s="62"/>
      <c r="G214" s="62"/>
      <c r="H214" s="62"/>
      <c r="I214" s="62"/>
      <c r="J214" s="62"/>
      <c r="K214" s="363"/>
      <c r="L214" s="62"/>
      <c r="M214" s="62"/>
      <c r="N214" s="354"/>
      <c r="R214" s="595" t="s">
        <v>237</v>
      </c>
      <c r="S214" s="596"/>
      <c r="T214" s="596"/>
      <c r="U214" s="596"/>
      <c r="V214" s="596"/>
      <c r="W214" s="596"/>
      <c r="X214" s="596"/>
      <c r="Y214" s="596"/>
      <c r="Z214" s="596"/>
      <c r="AA214" s="596"/>
      <c r="AB214" s="596"/>
      <c r="AC214" s="596"/>
      <c r="AD214" s="596"/>
      <c r="AE214" s="596"/>
      <c r="AF214" s="596"/>
      <c r="AG214" s="596"/>
      <c r="AH214" s="597"/>
    </row>
    <row r="215" spans="3:34" ht="55.2">
      <c r="C215" s="62"/>
      <c r="D215" s="62"/>
      <c r="E215" s="62"/>
      <c r="F215" s="62"/>
      <c r="G215" s="62"/>
      <c r="H215" s="62"/>
      <c r="I215" s="62"/>
      <c r="J215" s="62"/>
      <c r="K215" s="363"/>
      <c r="L215" s="62"/>
      <c r="M215" s="62"/>
      <c r="N215" s="354"/>
      <c r="R215" s="71" t="s">
        <v>0</v>
      </c>
      <c r="S215" s="72" t="s">
        <v>167</v>
      </c>
      <c r="T215" s="72" t="s">
        <v>168</v>
      </c>
      <c r="U215" s="72" t="s">
        <v>169</v>
      </c>
      <c r="V215" s="72" t="s">
        <v>78</v>
      </c>
      <c r="W215" s="72" t="s">
        <v>170</v>
      </c>
      <c r="X215" s="72" t="s">
        <v>171</v>
      </c>
      <c r="Y215" s="72" t="s">
        <v>172</v>
      </c>
      <c r="Z215" s="73" t="s">
        <v>173</v>
      </c>
      <c r="AA215" s="74" t="s">
        <v>174</v>
      </c>
      <c r="AB215" s="75" t="s">
        <v>175</v>
      </c>
      <c r="AC215" s="74" t="s">
        <v>228</v>
      </c>
      <c r="AD215" s="74" t="s">
        <v>176</v>
      </c>
      <c r="AE215" s="76" t="s">
        <v>177</v>
      </c>
      <c r="AF215" s="77" t="s">
        <v>178</v>
      </c>
      <c r="AG215" s="78" t="s">
        <v>179</v>
      </c>
      <c r="AH215" s="79" t="s">
        <v>180</v>
      </c>
    </row>
    <row r="216" spans="3:34">
      <c r="C216" s="62"/>
      <c r="D216" s="62"/>
      <c r="E216" s="62"/>
      <c r="F216" s="62"/>
      <c r="G216" s="62"/>
      <c r="H216" s="62"/>
      <c r="I216" s="62"/>
      <c r="J216" s="62"/>
      <c r="K216" s="363"/>
      <c r="L216" s="62"/>
      <c r="M216" s="62"/>
      <c r="N216" s="354"/>
      <c r="R216" s="81" t="s">
        <v>181</v>
      </c>
      <c r="S216" s="82" t="s">
        <v>182</v>
      </c>
      <c r="T216" s="82">
        <v>2012</v>
      </c>
      <c r="U216" s="82"/>
      <c r="V216" s="82">
        <v>1</v>
      </c>
      <c r="W216" s="82">
        <f>+'[1]Costos horarios'!C22</f>
        <v>2651.04</v>
      </c>
      <c r="X216" s="82">
        <v>229</v>
      </c>
      <c r="Y216" s="82">
        <v>7.0000000000000007E-2</v>
      </c>
      <c r="Z216" s="84"/>
      <c r="AA216" s="82"/>
      <c r="AB216" s="85">
        <f>+K185</f>
        <v>7.0368708526087273E-2</v>
      </c>
      <c r="AC216" s="82"/>
      <c r="AD216" s="82"/>
      <c r="AE216" s="150"/>
      <c r="AF216" s="82"/>
      <c r="AG216" s="86">
        <f>+AB216*Y216</f>
        <v>4.92580959682611E-3</v>
      </c>
      <c r="AH216" s="87">
        <f>+AG216</f>
        <v>4.92580959682611E-3</v>
      </c>
    </row>
    <row r="217" spans="3:34">
      <c r="C217" s="62"/>
      <c r="D217" s="62"/>
      <c r="E217" s="62"/>
      <c r="F217" s="62"/>
      <c r="G217" s="62"/>
      <c r="H217" s="62"/>
      <c r="I217" s="62"/>
      <c r="J217" s="62"/>
      <c r="K217" s="363"/>
      <c r="L217" s="62"/>
      <c r="M217" s="62"/>
      <c r="N217" s="354"/>
      <c r="R217" s="81" t="s">
        <v>185</v>
      </c>
      <c r="S217" s="82"/>
      <c r="T217" s="82"/>
      <c r="U217" s="82"/>
      <c r="V217" s="82">
        <v>1</v>
      </c>
      <c r="W217" s="82"/>
      <c r="X217" s="82"/>
      <c r="Y217" s="89">
        <v>7.0000000000000007E-2</v>
      </c>
      <c r="Z217" s="90"/>
      <c r="AA217" s="152"/>
      <c r="AB217" s="85"/>
      <c r="AC217" s="89">
        <f>+'[1]Costos horarios'!$F$14</f>
        <v>1.008E-2</v>
      </c>
      <c r="AD217" s="152">
        <f>'[1]Costos horarios'!$F$6</f>
        <v>9.9754098360655741E-2</v>
      </c>
      <c r="AE217" s="153">
        <f>+AD217*AC217*Y217</f>
        <v>7.0386491803278698E-5</v>
      </c>
      <c r="AF217" s="89"/>
      <c r="AG217" s="86"/>
      <c r="AH217" s="91">
        <f>+AE217</f>
        <v>7.0386491803278698E-5</v>
      </c>
    </row>
    <row r="218" spans="3:34">
      <c r="C218" s="62"/>
      <c r="D218" s="62"/>
      <c r="E218" s="62"/>
      <c r="F218" s="62"/>
      <c r="G218" s="62"/>
      <c r="H218" s="62"/>
      <c r="I218" s="62"/>
      <c r="J218" s="62"/>
      <c r="K218" s="363"/>
      <c r="L218" s="62"/>
      <c r="M218" s="62"/>
      <c r="N218" s="354"/>
      <c r="R218" s="81" t="s">
        <v>160</v>
      </c>
      <c r="S218" s="82"/>
      <c r="T218" s="82"/>
      <c r="U218" s="82"/>
      <c r="V218" s="82">
        <v>1</v>
      </c>
      <c r="W218" s="82">
        <v>120000</v>
      </c>
      <c r="X218" s="82">
        <v>229</v>
      </c>
      <c r="Y218" s="89">
        <v>20.329999999999998</v>
      </c>
      <c r="Z218" s="90"/>
      <c r="AA218" s="89"/>
      <c r="AB218" s="85">
        <f>+'[1]Costos horarios'!F$114</f>
        <v>0.84636986301369865</v>
      </c>
      <c r="AC218" s="89"/>
      <c r="AD218" s="89"/>
      <c r="AE218" s="89"/>
      <c r="AF218" s="89"/>
      <c r="AG218" s="86">
        <f t="shared" ref="AG218" si="18">+AB218*Y218</f>
        <v>17.206699315068491</v>
      </c>
      <c r="AH218" s="154">
        <f>+AG218</f>
        <v>17.206699315068491</v>
      </c>
    </row>
    <row r="219" spans="3:34">
      <c r="C219" s="62"/>
      <c r="D219" s="62"/>
      <c r="E219" s="62"/>
      <c r="F219" s="62"/>
      <c r="G219" s="62"/>
      <c r="H219" s="62"/>
      <c r="I219" s="62"/>
      <c r="J219" s="62"/>
      <c r="K219" s="363"/>
      <c r="L219" s="62"/>
      <c r="M219" s="62"/>
      <c r="N219" s="354"/>
      <c r="R219" s="81" t="s">
        <v>236</v>
      </c>
      <c r="S219" s="82"/>
      <c r="T219" s="82"/>
      <c r="U219" s="82"/>
      <c r="V219" s="82">
        <v>1</v>
      </c>
      <c r="W219" s="82"/>
      <c r="X219" s="82"/>
      <c r="Y219" s="89">
        <v>20.329999999999998</v>
      </c>
      <c r="Z219" s="90"/>
      <c r="AA219" s="152"/>
      <c r="AB219" s="85"/>
      <c r="AC219" s="89">
        <v>1.8</v>
      </c>
      <c r="AD219" s="152">
        <f>'[1]Costos horarios'!$F$6</f>
        <v>9.9754098360655741E-2</v>
      </c>
      <c r="AE219" s="89">
        <f>+AD219*AC219*Y219</f>
        <v>3.6504014754098359</v>
      </c>
      <c r="AF219" s="89"/>
      <c r="AG219" s="86"/>
      <c r="AH219" s="91">
        <f>+AE219</f>
        <v>3.6504014754098359</v>
      </c>
    </row>
    <row r="220" spans="3:34">
      <c r="C220" s="62"/>
      <c r="D220" s="62"/>
      <c r="E220" s="62"/>
      <c r="F220" s="62"/>
      <c r="G220" s="62"/>
      <c r="H220" s="62"/>
      <c r="I220" s="62"/>
      <c r="J220" s="62"/>
      <c r="K220" s="363"/>
      <c r="L220" s="62"/>
      <c r="M220" s="62"/>
      <c r="N220" s="354"/>
      <c r="R220" s="81" t="s">
        <v>2</v>
      </c>
      <c r="S220" s="121" t="s">
        <v>189</v>
      </c>
      <c r="T220" s="82">
        <v>2001</v>
      </c>
      <c r="U220" s="82"/>
      <c r="V220" s="82">
        <v>1</v>
      </c>
      <c r="W220" s="82">
        <v>5000</v>
      </c>
      <c r="X220" s="82">
        <v>229</v>
      </c>
      <c r="Y220" s="89">
        <v>45.75</v>
      </c>
      <c r="Z220" s="90"/>
      <c r="AA220" s="89"/>
      <c r="AB220" s="85">
        <f>+K187</f>
        <v>0.23718569877984882</v>
      </c>
      <c r="AC220" s="89"/>
      <c r="AD220" s="89"/>
      <c r="AE220" s="89"/>
      <c r="AF220" s="89"/>
      <c r="AG220" s="86">
        <f t="shared" ref="AG220" si="19">+AB220*Y220</f>
        <v>10.851245719178083</v>
      </c>
      <c r="AH220" s="91">
        <f>+AG220</f>
        <v>10.851245719178083</v>
      </c>
    </row>
    <row r="221" spans="3:34">
      <c r="C221" s="62"/>
      <c r="D221" s="62"/>
      <c r="E221" s="62"/>
      <c r="F221" s="62"/>
      <c r="G221" s="62"/>
      <c r="H221" s="62"/>
      <c r="I221" s="62"/>
      <c r="J221" s="62"/>
      <c r="K221" s="363"/>
      <c r="L221" s="62"/>
      <c r="M221" s="62"/>
      <c r="N221" s="354"/>
      <c r="R221" s="81" t="s">
        <v>217</v>
      </c>
      <c r="S221" s="82"/>
      <c r="T221" s="82"/>
      <c r="U221" s="82"/>
      <c r="V221" s="82">
        <v>1</v>
      </c>
      <c r="W221" s="82"/>
      <c r="X221" s="82"/>
      <c r="Y221" s="89">
        <v>45.75</v>
      </c>
      <c r="Z221" s="90"/>
      <c r="AA221" s="152"/>
      <c r="AB221" s="85"/>
      <c r="AC221" s="90">
        <f>+'[1]Costos horarios'!$F$35</f>
        <v>0.8</v>
      </c>
      <c r="AD221" s="152">
        <f>'[1]Costos horarios'!$F$6</f>
        <v>9.9754098360655741E-2</v>
      </c>
      <c r="AE221" s="89">
        <f>+AD221*AC221*Y221</f>
        <v>3.6510000000000007</v>
      </c>
      <c r="AF221" s="89"/>
      <c r="AG221" s="86"/>
      <c r="AH221" s="91">
        <f>+AE221</f>
        <v>3.6510000000000007</v>
      </c>
    </row>
    <row r="222" spans="3:34" ht="14.4" thickBot="1">
      <c r="C222" s="62"/>
      <c r="D222" s="62"/>
      <c r="E222" s="62"/>
      <c r="F222" s="62"/>
      <c r="G222" s="62"/>
      <c r="H222" s="62"/>
      <c r="I222" s="62"/>
      <c r="J222" s="62"/>
      <c r="K222" s="363"/>
      <c r="L222" s="62"/>
      <c r="M222" s="62"/>
      <c r="N222" s="354"/>
      <c r="R222" s="93"/>
      <c r="S222" s="94"/>
      <c r="T222" s="94"/>
      <c r="U222" s="94" t="s">
        <v>120</v>
      </c>
      <c r="V222" s="94">
        <v>1</v>
      </c>
      <c r="W222" s="94"/>
      <c r="X222" s="94">
        <v>229</v>
      </c>
      <c r="Y222" s="114"/>
      <c r="Z222" s="95">
        <v>9.9663427947598251</v>
      </c>
      <c r="AA222" s="114">
        <v>2.36</v>
      </c>
      <c r="AB222" s="96"/>
      <c r="AC222" s="114"/>
      <c r="AD222" s="114"/>
      <c r="AE222" s="114"/>
      <c r="AF222" s="125">
        <f>+AA222*Z222</f>
        <v>23.520568995633187</v>
      </c>
      <c r="AG222" s="97"/>
      <c r="AH222" s="126">
        <f>+AF222</f>
        <v>23.520568995633187</v>
      </c>
    </row>
    <row r="223" spans="3:34" ht="14.4" thickBot="1">
      <c r="C223" s="62"/>
      <c r="D223" s="62"/>
      <c r="E223" s="62"/>
      <c r="F223" s="62"/>
      <c r="G223" s="62"/>
      <c r="H223" s="62"/>
      <c r="I223" s="62"/>
      <c r="J223" s="62"/>
      <c r="K223" s="363"/>
      <c r="L223" s="62"/>
      <c r="M223" s="62"/>
      <c r="N223" s="354"/>
      <c r="R223" s="99"/>
      <c r="S223" s="59"/>
      <c r="T223" s="59"/>
      <c r="U223" s="59"/>
      <c r="V223" s="59"/>
      <c r="W223" s="59"/>
      <c r="X223" s="59"/>
      <c r="Y223" s="59"/>
      <c r="Z223" s="100"/>
      <c r="AA223" s="59"/>
      <c r="AB223" s="101"/>
      <c r="AC223" s="59"/>
      <c r="AD223" s="59"/>
      <c r="AE223" s="155"/>
      <c r="AF223" s="156"/>
      <c r="AG223" s="157"/>
      <c r="AH223" s="158"/>
    </row>
    <row r="224" spans="3:34">
      <c r="C224" s="62"/>
      <c r="D224" s="62"/>
      <c r="E224" s="62"/>
      <c r="F224" s="62"/>
      <c r="G224" s="62"/>
      <c r="H224" s="62"/>
      <c r="I224" s="62"/>
      <c r="J224" s="62"/>
      <c r="K224" s="363"/>
      <c r="L224" s="62"/>
      <c r="M224" s="62"/>
      <c r="N224" s="354"/>
      <c r="R224" s="99"/>
      <c r="S224" s="59"/>
      <c r="T224" s="59"/>
      <c r="U224" s="59"/>
      <c r="V224" s="59"/>
      <c r="W224" s="59"/>
      <c r="X224" s="59"/>
      <c r="Y224" s="59"/>
      <c r="Z224" s="100"/>
      <c r="AA224" s="59"/>
      <c r="AB224" s="101"/>
      <c r="AC224" s="59"/>
      <c r="AD224" s="59"/>
      <c r="AE224" s="605" t="s">
        <v>191</v>
      </c>
      <c r="AF224" s="606"/>
      <c r="AG224" s="161"/>
      <c r="AH224" s="128">
        <f>SUM(AH216:AH222)</f>
        <v>58.884911701378229</v>
      </c>
    </row>
    <row r="225" spans="3:34">
      <c r="C225" s="62"/>
      <c r="D225" s="62"/>
      <c r="E225" s="62"/>
      <c r="F225" s="62"/>
      <c r="G225" s="62"/>
      <c r="H225" s="62"/>
      <c r="I225" s="62"/>
      <c r="J225" s="62"/>
      <c r="K225" s="363"/>
      <c r="L225" s="62"/>
      <c r="M225" s="62"/>
      <c r="N225" s="354"/>
      <c r="R225" s="99"/>
      <c r="S225" s="59"/>
      <c r="T225" s="59"/>
      <c r="U225" s="59"/>
      <c r="V225" s="59"/>
      <c r="W225" s="59"/>
      <c r="X225" s="59"/>
      <c r="Y225" s="59"/>
      <c r="Z225" s="100"/>
      <c r="AA225" s="59"/>
      <c r="AB225" s="101"/>
      <c r="AC225" s="59"/>
      <c r="AD225" s="59"/>
      <c r="AE225" s="601" t="s">
        <v>192</v>
      </c>
      <c r="AF225" s="602"/>
      <c r="AG225" s="106">
        <v>0.12</v>
      </c>
      <c r="AH225" s="107">
        <f>+AG225*AH224</f>
        <v>7.066189404165387</v>
      </c>
    </row>
    <row r="226" spans="3:34">
      <c r="C226" s="62"/>
      <c r="D226" s="62"/>
      <c r="E226" s="62"/>
      <c r="F226" s="62"/>
      <c r="G226" s="62"/>
      <c r="H226" s="62"/>
      <c r="I226" s="62"/>
      <c r="J226" s="62"/>
      <c r="K226" s="363"/>
      <c r="L226" s="62"/>
      <c r="M226" s="62"/>
      <c r="N226" s="354"/>
      <c r="R226" s="99"/>
      <c r="S226" s="59"/>
      <c r="T226" s="59"/>
      <c r="U226" s="59"/>
      <c r="V226" s="59"/>
      <c r="W226" s="59"/>
      <c r="X226" s="59"/>
      <c r="Y226" s="59"/>
      <c r="Z226" s="100"/>
      <c r="AA226" s="59"/>
      <c r="AB226" s="101"/>
      <c r="AC226" s="59"/>
      <c r="AD226" s="59"/>
      <c r="AE226" s="601" t="s">
        <v>109</v>
      </c>
      <c r="AF226" s="602"/>
      <c r="AG226" s="106">
        <v>0.18</v>
      </c>
      <c r="AH226" s="107">
        <f>+AG226*AH224</f>
        <v>10.599284106248081</v>
      </c>
    </row>
    <row r="227" spans="3:34" ht="14.4" thickBot="1">
      <c r="C227" s="62"/>
      <c r="D227" s="62"/>
      <c r="E227" s="62"/>
      <c r="F227" s="62"/>
      <c r="G227" s="62"/>
      <c r="H227" s="62"/>
      <c r="I227" s="62"/>
      <c r="J227" s="62"/>
      <c r="K227" s="363"/>
      <c r="L227" s="62"/>
      <c r="M227" s="62"/>
      <c r="N227" s="354"/>
      <c r="R227" s="99"/>
      <c r="S227" s="59"/>
      <c r="T227" s="59"/>
      <c r="U227" s="59"/>
      <c r="V227" s="59"/>
      <c r="W227" s="59"/>
      <c r="X227" s="59"/>
      <c r="Y227" s="59"/>
      <c r="Z227" s="100"/>
      <c r="AA227" s="59"/>
      <c r="AB227" s="101"/>
      <c r="AC227" s="59"/>
      <c r="AD227" s="59"/>
      <c r="AE227" s="603" t="s">
        <v>193</v>
      </c>
      <c r="AF227" s="604"/>
      <c r="AG227" s="108"/>
      <c r="AH227" s="109">
        <f>+AH226+AH225+AH224</f>
        <v>76.550385211791706</v>
      </c>
    </row>
  </sheetData>
  <mergeCells count="31">
    <mergeCell ref="B33:N33"/>
    <mergeCell ref="B6:N6"/>
    <mergeCell ref="B17:N17"/>
    <mergeCell ref="B70:N70"/>
    <mergeCell ref="B50:N50"/>
    <mergeCell ref="B121:N121"/>
    <mergeCell ref="B85:N85"/>
    <mergeCell ref="B100:N100"/>
    <mergeCell ref="B142:N142"/>
    <mergeCell ref="B157:N157"/>
    <mergeCell ref="L119:M119"/>
    <mergeCell ref="AB180:AC180"/>
    <mergeCell ref="AB181:AC181"/>
    <mergeCell ref="B168:N168"/>
    <mergeCell ref="R168:AE168"/>
    <mergeCell ref="AB179:AC179"/>
    <mergeCell ref="AE209:AF209"/>
    <mergeCell ref="B183:N183"/>
    <mergeCell ref="R183:AE183"/>
    <mergeCell ref="AB194:AC194"/>
    <mergeCell ref="AB195:AC195"/>
    <mergeCell ref="AB196:AC196"/>
    <mergeCell ref="R199:AH199"/>
    <mergeCell ref="AE226:AF226"/>
    <mergeCell ref="AE227:AF227"/>
    <mergeCell ref="AE210:AF210"/>
    <mergeCell ref="AE211:AF211"/>
    <mergeCell ref="AE212:AF212"/>
    <mergeCell ref="R214:AH214"/>
    <mergeCell ref="AE224:AF224"/>
    <mergeCell ref="AE225:AF22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4" tint="-0.249977111117893"/>
  </sheetPr>
  <dimension ref="B1:G584"/>
  <sheetViews>
    <sheetView topLeftCell="A441" zoomScale="85" zoomScaleNormal="85" zoomScalePageLayoutView="140" workbookViewId="0">
      <selection activeCell="D457" sqref="D457"/>
    </sheetView>
  </sheetViews>
  <sheetFormatPr baseColWidth="10" defaultColWidth="10.796875" defaultRowHeight="14.4"/>
  <cols>
    <col min="1" max="1" width="10.796875" style="40"/>
    <col min="2" max="2" width="30.19921875" style="40" bestFit="1" customWidth="1"/>
    <col min="3" max="3" width="7.796875" style="40" bestFit="1" customWidth="1"/>
    <col min="4" max="4" width="7" style="40" customWidth="1"/>
    <col min="5" max="5" width="8.19921875" style="450" customWidth="1"/>
    <col min="6" max="6" width="10.5" style="40" customWidth="1"/>
    <col min="7" max="7" width="8.796875" style="40" customWidth="1"/>
    <col min="8" max="16384" width="10.796875" style="40"/>
  </cols>
  <sheetData>
    <row r="1" spans="2:7" ht="15" thickBot="1"/>
    <row r="2" spans="2:7">
      <c r="B2" s="671" t="s">
        <v>239</v>
      </c>
      <c r="C2" s="673" t="s">
        <v>81</v>
      </c>
      <c r="D2" s="631" t="s">
        <v>240</v>
      </c>
      <c r="E2" s="631" t="s">
        <v>240</v>
      </c>
      <c r="F2" s="631" t="s">
        <v>240</v>
      </c>
      <c r="G2" s="632" t="s">
        <v>240</v>
      </c>
    </row>
    <row r="3" spans="2:7">
      <c r="B3" s="672"/>
      <c r="C3" s="674" t="s">
        <v>240</v>
      </c>
      <c r="D3" s="633" t="s">
        <v>240</v>
      </c>
      <c r="E3" s="633" t="s">
        <v>240</v>
      </c>
      <c r="F3" s="633" t="s">
        <v>240</v>
      </c>
      <c r="G3" s="634" t="s">
        <v>240</v>
      </c>
    </row>
    <row r="4" spans="2:7">
      <c r="B4" s="162"/>
      <c r="C4" s="163"/>
      <c r="D4" s="163"/>
      <c r="E4" s="451"/>
      <c r="F4" s="163"/>
      <c r="G4" s="164"/>
    </row>
    <row r="5" spans="2:7">
      <c r="B5" s="165" t="s">
        <v>241</v>
      </c>
      <c r="C5" s="163"/>
      <c r="D5" s="163"/>
      <c r="E5" s="451"/>
      <c r="F5" s="163"/>
      <c r="G5" s="164"/>
    </row>
    <row r="6" spans="2:7">
      <c r="B6" s="655" t="s">
        <v>242</v>
      </c>
      <c r="C6" s="635" t="s">
        <v>291</v>
      </c>
      <c r="D6" s="635" t="s">
        <v>296</v>
      </c>
      <c r="E6" s="637" t="s">
        <v>293</v>
      </c>
      <c r="F6" s="635" t="s">
        <v>294</v>
      </c>
      <c r="G6" s="639" t="s">
        <v>295</v>
      </c>
    </row>
    <row r="7" spans="2:7">
      <c r="B7" s="656"/>
      <c r="C7" s="636"/>
      <c r="D7" s="636"/>
      <c r="E7" s="638"/>
      <c r="F7" s="636"/>
      <c r="G7" s="640"/>
    </row>
    <row r="8" spans="2:7">
      <c r="B8" s="168" t="s">
        <v>243</v>
      </c>
      <c r="C8" s="392">
        <v>1</v>
      </c>
      <c r="D8" s="170">
        <f>'Costos totales'!K8</f>
        <v>7.0368708526087273E-2</v>
      </c>
      <c r="E8" s="452">
        <f>+D8*C8</f>
        <v>7.0368708526087273E-2</v>
      </c>
      <c r="F8" s="393">
        <f>'Costos totales'!H8</f>
        <v>1.66E-2</v>
      </c>
      <c r="G8" s="172">
        <f>+F8*E8</f>
        <v>1.1681205615330487E-3</v>
      </c>
    </row>
    <row r="9" spans="2:7">
      <c r="B9" s="173" t="s">
        <v>2</v>
      </c>
      <c r="C9" s="169">
        <v>1</v>
      </c>
      <c r="D9" s="394">
        <f>'Costos totales'!K10</f>
        <v>0.23718569877984882</v>
      </c>
      <c r="E9" s="453">
        <f>+D9*C9</f>
        <v>0.23718569877984882</v>
      </c>
      <c r="F9" s="169">
        <f>'Costos totales'!H10</f>
        <v>17</v>
      </c>
      <c r="G9" s="195">
        <f>+F9*E9</f>
        <v>4.03215687925743</v>
      </c>
    </row>
    <row r="10" spans="2:7">
      <c r="B10" s="395" t="s">
        <v>3</v>
      </c>
      <c r="C10" s="396">
        <v>2</v>
      </c>
      <c r="D10" s="397">
        <f>'Costos totales'!K9</f>
        <v>4.4292237442922374E-4</v>
      </c>
      <c r="E10" s="454">
        <f>+D10*C10</f>
        <v>8.8584474885844747E-4</v>
      </c>
      <c r="F10" s="398">
        <f>'Costos totales'!H9</f>
        <v>17</v>
      </c>
      <c r="G10" s="399">
        <f>+F10*E10*C10</f>
        <v>3.0118721461187214E-2</v>
      </c>
    </row>
    <row r="11" spans="2:7">
      <c r="B11" s="173"/>
      <c r="C11" s="174" t="s">
        <v>244</v>
      </c>
      <c r="D11" s="194"/>
      <c r="E11" s="453"/>
      <c r="F11" s="171"/>
      <c r="G11" s="195"/>
    </row>
    <row r="12" spans="2:7">
      <c r="B12" s="180"/>
      <c r="C12" s="181"/>
      <c r="D12" s="182"/>
      <c r="E12" s="455" t="str">
        <f>IF(C12="","",ROUND(C12*D12,2))</f>
        <v/>
      </c>
      <c r="F12" s="181" t="str">
        <f>IF(C12="","", $G$8)</f>
        <v/>
      </c>
      <c r="G12" s="183" t="str">
        <f>IF(D12="","",ROUND(E12*F12,2))</f>
        <v/>
      </c>
    </row>
    <row r="13" spans="2:7">
      <c r="B13" s="162"/>
      <c r="C13" s="163"/>
      <c r="D13" s="163"/>
      <c r="E13" s="451"/>
      <c r="F13" s="163" t="s">
        <v>245</v>
      </c>
      <c r="G13" s="184">
        <f>SUM(G8:G12)</f>
        <v>4.0634437212801506</v>
      </c>
    </row>
    <row r="14" spans="2:7">
      <c r="B14" s="165" t="s">
        <v>246</v>
      </c>
      <c r="C14" s="163"/>
      <c r="D14" s="163"/>
      <c r="E14" s="451"/>
      <c r="F14" s="163"/>
      <c r="G14" s="164"/>
    </row>
    <row r="15" spans="2:7">
      <c r="B15" s="655" t="s">
        <v>242</v>
      </c>
      <c r="C15" s="635" t="s">
        <v>291</v>
      </c>
      <c r="D15" s="635" t="s">
        <v>292</v>
      </c>
      <c r="E15" s="637" t="s">
        <v>293</v>
      </c>
      <c r="F15" s="635" t="s">
        <v>294</v>
      </c>
      <c r="G15" s="639" t="s">
        <v>295</v>
      </c>
    </row>
    <row r="16" spans="2:7">
      <c r="B16" s="656"/>
      <c r="C16" s="636"/>
      <c r="D16" s="636"/>
      <c r="E16" s="638"/>
      <c r="F16" s="636"/>
      <c r="G16" s="640"/>
    </row>
    <row r="17" spans="2:7">
      <c r="B17" s="168" t="s">
        <v>120</v>
      </c>
      <c r="C17" s="400">
        <v>1</v>
      </c>
      <c r="D17" s="401">
        <f>'Costos totales'!I11</f>
        <v>5.1829166666666673</v>
      </c>
      <c r="E17" s="456">
        <f>+D17*C17</f>
        <v>5.1829166666666673</v>
      </c>
      <c r="F17" s="402">
        <f>Rendimientos!B2</f>
        <v>6.6699999999999995E-2</v>
      </c>
      <c r="G17" s="201">
        <f>+F17*E17</f>
        <v>0.34570054166666669</v>
      </c>
    </row>
    <row r="18" spans="2:7">
      <c r="B18" s="173"/>
      <c r="C18" s="174"/>
      <c r="D18" s="175"/>
      <c r="E18" s="457" t="str">
        <f t="shared" ref="E18" si="0">IF(C18="","",ROUND(C18*D18,2))</f>
        <v/>
      </c>
      <c r="F18" s="189" t="str">
        <f t="shared" ref="F18" si="1">IF(C18="","", $G$8)</f>
        <v/>
      </c>
      <c r="G18" s="176" t="str">
        <f t="shared" ref="G18" si="2">IF(D18="","",ROUND(E18*F18,2))</f>
        <v/>
      </c>
    </row>
    <row r="19" spans="2:7">
      <c r="B19" s="490"/>
      <c r="C19" s="174"/>
      <c r="D19" s="175"/>
      <c r="E19" s="457"/>
      <c r="F19" s="189"/>
      <c r="G19" s="176"/>
    </row>
    <row r="20" spans="2:7">
      <c r="B20" s="490"/>
      <c r="C20" s="174"/>
      <c r="D20" s="175"/>
      <c r="E20" s="457"/>
      <c r="F20" s="189"/>
      <c r="G20" s="176"/>
    </row>
    <row r="21" spans="2:7">
      <c r="B21" s="180"/>
      <c r="C21" s="407"/>
      <c r="D21" s="182"/>
      <c r="E21" s="458"/>
      <c r="F21" s="408"/>
      <c r="G21" s="176"/>
    </row>
    <row r="22" spans="2:7">
      <c r="B22" s="162"/>
      <c r="C22" s="163"/>
      <c r="D22" s="163"/>
      <c r="E22" s="451"/>
      <c r="F22" s="163" t="s">
        <v>247</v>
      </c>
      <c r="G22" s="190">
        <f>SUM(G17:G21)</f>
        <v>0.34570054166666669</v>
      </c>
    </row>
    <row r="23" spans="2:7">
      <c r="B23" s="165" t="s">
        <v>248</v>
      </c>
      <c r="C23" s="163"/>
      <c r="D23" s="163"/>
      <c r="E23" s="451"/>
      <c r="F23" s="163"/>
      <c r="G23" s="164"/>
    </row>
    <row r="24" spans="2:7" ht="15" customHeight="1">
      <c r="B24" s="611" t="s">
        <v>242</v>
      </c>
      <c r="C24" s="612"/>
      <c r="D24" s="635" t="s">
        <v>249</v>
      </c>
      <c r="E24" s="637" t="s">
        <v>291</v>
      </c>
      <c r="F24" s="635" t="s">
        <v>297</v>
      </c>
      <c r="G24" s="639" t="s">
        <v>298</v>
      </c>
    </row>
    <row r="25" spans="2:7">
      <c r="B25" s="613"/>
      <c r="C25" s="614"/>
      <c r="D25" s="636"/>
      <c r="E25" s="638"/>
      <c r="F25" s="636"/>
      <c r="G25" s="640"/>
    </row>
    <row r="26" spans="2:7">
      <c r="B26" s="621"/>
      <c r="C26" s="622"/>
      <c r="D26" s="177"/>
      <c r="E26" s="459"/>
      <c r="F26" s="197"/>
      <c r="G26" s="196"/>
    </row>
    <row r="27" spans="2:7">
      <c r="B27" s="621"/>
      <c r="C27" s="622"/>
      <c r="D27" s="177"/>
      <c r="E27" s="459"/>
      <c r="F27" s="197"/>
      <c r="G27" s="196"/>
    </row>
    <row r="28" spans="2:7">
      <c r="B28" s="621"/>
      <c r="C28" s="622"/>
      <c r="D28" s="177"/>
      <c r="E28" s="459"/>
      <c r="F28" s="197"/>
      <c r="G28" s="196"/>
    </row>
    <row r="29" spans="2:7">
      <c r="B29" s="621"/>
      <c r="C29" s="622"/>
      <c r="D29" s="177"/>
      <c r="E29" s="459"/>
      <c r="F29" s="197"/>
      <c r="G29" s="196"/>
    </row>
    <row r="30" spans="2:7">
      <c r="B30" s="619"/>
      <c r="C30" s="620"/>
      <c r="D30" s="181"/>
      <c r="E30" s="455"/>
      <c r="F30" s="181"/>
      <c r="G30" s="183" t="str">
        <f>IF(D30="","",ROUND(E30*F30,2))</f>
        <v/>
      </c>
    </row>
    <row r="31" spans="2:7">
      <c r="B31" s="162"/>
      <c r="C31" s="163"/>
      <c r="D31" s="163"/>
      <c r="E31" s="451"/>
      <c r="F31" s="163" t="s">
        <v>250</v>
      </c>
      <c r="G31" s="184">
        <f>SUM(G26:G30)</f>
        <v>0</v>
      </c>
    </row>
    <row r="32" spans="2:7">
      <c r="B32" s="165" t="s">
        <v>251</v>
      </c>
      <c r="C32" s="163"/>
      <c r="D32" s="163"/>
      <c r="E32" s="451"/>
      <c r="F32" s="163"/>
      <c r="G32" s="199"/>
    </row>
    <row r="33" spans="2:7" ht="15" customHeight="1">
      <c r="B33" s="611" t="s">
        <v>242</v>
      </c>
      <c r="C33" s="612"/>
      <c r="D33" s="635" t="s">
        <v>249</v>
      </c>
      <c r="E33" s="637" t="s">
        <v>291</v>
      </c>
      <c r="F33" s="635" t="s">
        <v>299</v>
      </c>
      <c r="G33" s="639" t="s">
        <v>298</v>
      </c>
    </row>
    <row r="34" spans="2:7">
      <c r="B34" s="613"/>
      <c r="C34" s="614"/>
      <c r="D34" s="636"/>
      <c r="E34" s="638"/>
      <c r="F34" s="636"/>
      <c r="G34" s="640"/>
    </row>
    <row r="35" spans="2:7">
      <c r="B35" s="623"/>
      <c r="C35" s="624"/>
      <c r="D35" s="200"/>
      <c r="E35" s="460"/>
      <c r="F35" s="200"/>
      <c r="G35" s="201"/>
    </row>
    <row r="36" spans="2:7">
      <c r="B36" s="625"/>
      <c r="C36" s="626"/>
      <c r="D36" s="178"/>
      <c r="E36" s="459"/>
      <c r="F36" s="178"/>
      <c r="G36" s="176" t="str">
        <f>IF(D36="","",ROUND(E36*F36,2))</f>
        <v/>
      </c>
    </row>
    <row r="37" spans="2:7">
      <c r="B37" s="625"/>
      <c r="C37" s="626"/>
      <c r="D37" s="178"/>
      <c r="E37" s="459"/>
      <c r="F37" s="178"/>
      <c r="G37" s="179" t="str">
        <f>IF(D37="","",ROUND(E37*F37,2))</f>
        <v/>
      </c>
    </row>
    <row r="38" spans="2:7">
      <c r="B38" s="625"/>
      <c r="C38" s="626"/>
      <c r="D38" s="178"/>
      <c r="E38" s="459"/>
      <c r="F38" s="178"/>
      <c r="G38" s="179" t="str">
        <f>IF(D38="","",ROUND(E38*F38,2))</f>
        <v/>
      </c>
    </row>
    <row r="39" spans="2:7">
      <c r="B39" s="627"/>
      <c r="C39" s="628"/>
      <c r="D39" s="182"/>
      <c r="E39" s="455"/>
      <c r="F39" s="182"/>
      <c r="G39" s="202" t="str">
        <f>IF(D39="","",ROUND(E39*F39,2))</f>
        <v/>
      </c>
    </row>
    <row r="40" spans="2:7">
      <c r="B40" s="162"/>
      <c r="C40" s="163"/>
      <c r="D40" s="163"/>
      <c r="E40" s="451"/>
      <c r="F40" s="163" t="s">
        <v>252</v>
      </c>
      <c r="G40" s="203">
        <f>SUM(G35:G39)</f>
        <v>0</v>
      </c>
    </row>
    <row r="41" spans="2:7">
      <c r="B41" s="162"/>
      <c r="C41" s="163"/>
      <c r="D41" s="163"/>
      <c r="E41" s="451"/>
      <c r="F41" s="163"/>
      <c r="G41" s="199"/>
    </row>
    <row r="42" spans="2:7">
      <c r="B42" s="162"/>
      <c r="C42" s="163"/>
      <c r="D42" s="204" t="s">
        <v>253</v>
      </c>
      <c r="E42" s="461"/>
      <c r="F42" s="205"/>
      <c r="G42" s="206">
        <f>(G13+G22+G31+G40)</f>
        <v>4.4091442629468176</v>
      </c>
    </row>
    <row r="43" spans="2:7">
      <c r="B43" s="162"/>
      <c r="C43" s="163"/>
      <c r="D43" s="204" t="s">
        <v>254</v>
      </c>
      <c r="E43" s="461"/>
      <c r="F43" s="373">
        <f>'Costos totales'!M14</f>
        <v>24</v>
      </c>
      <c r="G43" s="206">
        <f>ROUND(F43*G42/100,2)</f>
        <v>1.06</v>
      </c>
    </row>
    <row r="44" spans="2:7">
      <c r="B44" s="162"/>
      <c r="C44" s="163"/>
      <c r="D44" s="204" t="s">
        <v>255</v>
      </c>
      <c r="E44" s="461"/>
      <c r="F44" s="205"/>
      <c r="G44" s="206">
        <f>SUM(G42:G43)</f>
        <v>5.4691442629468181</v>
      </c>
    </row>
    <row r="45" spans="2:7" ht="15" thickBot="1">
      <c r="B45" s="207"/>
      <c r="C45" s="208"/>
      <c r="D45" s="209" t="s">
        <v>256</v>
      </c>
      <c r="E45" s="462"/>
      <c r="F45" s="210"/>
      <c r="G45" s="211">
        <f>+G44</f>
        <v>5.4691442629468181</v>
      </c>
    </row>
    <row r="46" spans="2:7">
      <c r="B46" s="212"/>
      <c r="C46" s="212"/>
      <c r="D46" s="212"/>
      <c r="E46" s="463"/>
      <c r="F46" s="212"/>
      <c r="G46" s="213"/>
    </row>
    <row r="47" spans="2:7" ht="15" thickBot="1">
      <c r="B47" s="56"/>
      <c r="C47" s="56"/>
      <c r="D47" s="56"/>
      <c r="E47" s="464"/>
      <c r="F47" s="56"/>
      <c r="G47" s="56"/>
    </row>
    <row r="48" spans="2:7">
      <c r="B48" s="657" t="s">
        <v>239</v>
      </c>
      <c r="C48" s="659" t="s">
        <v>257</v>
      </c>
      <c r="D48" s="659" t="s">
        <v>240</v>
      </c>
      <c r="E48" s="659" t="s">
        <v>240</v>
      </c>
      <c r="F48" s="659" t="s">
        <v>240</v>
      </c>
      <c r="G48" s="660" t="s">
        <v>240</v>
      </c>
    </row>
    <row r="49" spans="2:7">
      <c r="B49" s="658"/>
      <c r="C49" s="661" t="s">
        <v>240</v>
      </c>
      <c r="D49" s="661" t="s">
        <v>240</v>
      </c>
      <c r="E49" s="661" t="s">
        <v>240</v>
      </c>
      <c r="F49" s="661" t="s">
        <v>240</v>
      </c>
      <c r="G49" s="662" t="s">
        <v>240</v>
      </c>
    </row>
    <row r="50" spans="2:7">
      <c r="B50" s="215"/>
      <c r="C50" s="214"/>
      <c r="D50" s="214"/>
      <c r="E50" s="465"/>
      <c r="F50" s="214"/>
      <c r="G50" s="216"/>
    </row>
    <row r="51" spans="2:7">
      <c r="B51" s="217" t="s">
        <v>241</v>
      </c>
      <c r="C51" s="214"/>
      <c r="D51" s="214"/>
      <c r="E51" s="465"/>
      <c r="F51" s="214"/>
      <c r="G51" s="216"/>
    </row>
    <row r="52" spans="2:7">
      <c r="B52" s="655" t="s">
        <v>242</v>
      </c>
      <c r="C52" s="635" t="s">
        <v>291</v>
      </c>
      <c r="D52" s="635" t="s">
        <v>296</v>
      </c>
      <c r="E52" s="637" t="s">
        <v>293</v>
      </c>
      <c r="F52" s="635" t="s">
        <v>294</v>
      </c>
      <c r="G52" s="639" t="s">
        <v>295</v>
      </c>
    </row>
    <row r="53" spans="2:7">
      <c r="B53" s="656"/>
      <c r="C53" s="636"/>
      <c r="D53" s="636"/>
      <c r="E53" s="638"/>
      <c r="F53" s="636"/>
      <c r="G53" s="640"/>
    </row>
    <row r="54" spans="2:7">
      <c r="B54" s="227" t="s">
        <v>258</v>
      </c>
      <c r="C54" s="409">
        <v>1</v>
      </c>
      <c r="D54" s="218">
        <f>'Costos totales'!K35</f>
        <v>7.0368708526087273E-2</v>
      </c>
      <c r="E54" s="466">
        <f>+D54*C54</f>
        <v>7.0368708526087273E-2</v>
      </c>
      <c r="F54" s="218">
        <f>'Costos totales'!H35</f>
        <v>1.6670000000000001E-2</v>
      </c>
      <c r="G54" s="410">
        <f>+F54*E54</f>
        <v>1.173046371129875E-3</v>
      </c>
    </row>
    <row r="55" spans="2:7">
      <c r="B55" s="233" t="s">
        <v>2</v>
      </c>
      <c r="C55" s="260">
        <v>1</v>
      </c>
      <c r="D55" s="261">
        <f>'Costos totales'!K37</f>
        <v>0.23718569877984882</v>
      </c>
      <c r="E55" s="467">
        <f>+D55*C55</f>
        <v>0.23718569877984882</v>
      </c>
      <c r="F55" s="271">
        <f>'Costos totales'!H37</f>
        <v>16</v>
      </c>
      <c r="G55" s="263">
        <f t="shared" ref="G55:G62" si="3">+F55*E55</f>
        <v>3.7949711804775812</v>
      </c>
    </row>
    <row r="56" spans="2:7">
      <c r="B56" s="233" t="s">
        <v>9</v>
      </c>
      <c r="C56" s="272">
        <v>1</v>
      </c>
      <c r="D56" s="411">
        <f>'Costos totales'!K36</f>
        <v>9.2389649923896495E-4</v>
      </c>
      <c r="E56" s="467">
        <f t="shared" ref="E56:E62" si="4">+D56*C56</f>
        <v>9.2389649923896495E-4</v>
      </c>
      <c r="F56" s="261">
        <f>'Costos totales'!H36</f>
        <v>1.6670000000000001E-2</v>
      </c>
      <c r="G56" s="263">
        <f t="shared" si="3"/>
        <v>1.5401354642313546E-5</v>
      </c>
    </row>
    <row r="57" spans="2:7">
      <c r="B57" s="233" t="s">
        <v>10</v>
      </c>
      <c r="C57" s="272">
        <v>1</v>
      </c>
      <c r="D57" s="261">
        <f>'Costos totales'!K38</f>
        <v>4.0021308980213088E-3</v>
      </c>
      <c r="E57" s="467">
        <f t="shared" si="4"/>
        <v>4.0021308980213088E-3</v>
      </c>
      <c r="F57" s="261">
        <f>'Costos totales'!H38</f>
        <v>0.03</v>
      </c>
      <c r="G57" s="263">
        <f t="shared" si="3"/>
        <v>1.2006392694063925E-4</v>
      </c>
    </row>
    <row r="58" spans="2:7">
      <c r="B58" s="233" t="s">
        <v>11</v>
      </c>
      <c r="C58" s="272">
        <v>1</v>
      </c>
      <c r="D58" s="264">
        <f>'Costos totales'!K39</f>
        <v>4.5312024353120241E-3</v>
      </c>
      <c r="E58" s="467">
        <f t="shared" si="4"/>
        <v>4.5312024353120241E-3</v>
      </c>
      <c r="F58" s="261">
        <f>'Costos totales'!H39</f>
        <v>0.03</v>
      </c>
      <c r="G58" s="263">
        <f t="shared" si="3"/>
        <v>1.3593607305936072E-4</v>
      </c>
    </row>
    <row r="59" spans="2:7">
      <c r="B59" s="233" t="s">
        <v>259</v>
      </c>
      <c r="C59" s="272">
        <v>1</v>
      </c>
      <c r="D59" s="264">
        <f>'Costos totales'!K40</f>
        <v>4.0021308980213088E-3</v>
      </c>
      <c r="E59" s="467">
        <f t="shared" si="4"/>
        <v>4.0021308980213088E-3</v>
      </c>
      <c r="F59" s="261">
        <f>'Costos totales'!H40</f>
        <v>0.28999999999999998</v>
      </c>
      <c r="G59" s="263">
        <f t="shared" si="3"/>
        <v>1.1606179604261794E-3</v>
      </c>
    </row>
    <row r="60" spans="2:7">
      <c r="B60" s="233" t="s">
        <v>260</v>
      </c>
      <c r="C60" s="272">
        <v>1</v>
      </c>
      <c r="D60" s="264">
        <f>'Costos totales'!K41</f>
        <v>4.3388127853881278E-3</v>
      </c>
      <c r="E60" s="467">
        <f t="shared" si="4"/>
        <v>4.3388127853881278E-3</v>
      </c>
      <c r="F60" s="261">
        <f>'Costos totales'!H41</f>
        <v>0.03</v>
      </c>
      <c r="G60" s="263">
        <f t="shared" si="3"/>
        <v>1.3016438356164384E-4</v>
      </c>
    </row>
    <row r="61" spans="2:7">
      <c r="B61" s="233" t="s">
        <v>213</v>
      </c>
      <c r="C61" s="272">
        <v>1</v>
      </c>
      <c r="D61" s="264">
        <f>'Costos totales'!K42</f>
        <v>4.194520547945205E-3</v>
      </c>
      <c r="E61" s="467">
        <f t="shared" si="4"/>
        <v>4.194520547945205E-3</v>
      </c>
      <c r="F61" s="261">
        <f>'Costos totales'!H42</f>
        <v>0.03</v>
      </c>
      <c r="G61" s="263">
        <f t="shared" si="3"/>
        <v>1.2583561643835615E-4</v>
      </c>
    </row>
    <row r="62" spans="2:7">
      <c r="B62" s="236" t="s">
        <v>214</v>
      </c>
      <c r="C62" s="273">
        <v>1</v>
      </c>
      <c r="D62" s="412">
        <f>'Costos totales'!K43</f>
        <v>6.2146118721461184E-3</v>
      </c>
      <c r="E62" s="468">
        <f t="shared" si="4"/>
        <v>6.2146118721461184E-3</v>
      </c>
      <c r="F62" s="413">
        <f>'Costos totales'!H43</f>
        <v>0.28999999999999998</v>
      </c>
      <c r="G62" s="414">
        <f t="shared" si="3"/>
        <v>1.8022374429223743E-3</v>
      </c>
    </row>
    <row r="63" spans="2:7">
      <c r="B63" s="220"/>
      <c r="C63" s="221"/>
      <c r="D63" s="214"/>
      <c r="E63" s="465"/>
      <c r="F63" s="214" t="s">
        <v>245</v>
      </c>
      <c r="G63" s="222">
        <f>SUM(G54:G61)</f>
        <v>3.7978322461637792</v>
      </c>
    </row>
    <row r="64" spans="2:7">
      <c r="B64" s="223"/>
      <c r="C64" s="224"/>
      <c r="D64" s="214"/>
      <c r="E64" s="465"/>
      <c r="F64" s="214"/>
      <c r="G64" s="225"/>
    </row>
    <row r="65" spans="2:7">
      <c r="B65" s="217" t="s">
        <v>246</v>
      </c>
      <c r="C65" s="214"/>
      <c r="D65" s="214"/>
      <c r="E65" s="465"/>
      <c r="F65" s="214"/>
      <c r="G65" s="216"/>
    </row>
    <row r="66" spans="2:7">
      <c r="B66" s="655" t="s">
        <v>242</v>
      </c>
      <c r="C66" s="635" t="s">
        <v>291</v>
      </c>
      <c r="D66" s="635" t="s">
        <v>292</v>
      </c>
      <c r="E66" s="637" t="s">
        <v>293</v>
      </c>
      <c r="F66" s="635" t="s">
        <v>294</v>
      </c>
      <c r="G66" s="639" t="s">
        <v>295</v>
      </c>
    </row>
    <row r="67" spans="2:7">
      <c r="B67" s="656"/>
      <c r="C67" s="636"/>
      <c r="D67" s="636"/>
      <c r="E67" s="638"/>
      <c r="F67" s="636"/>
      <c r="G67" s="640"/>
    </row>
    <row r="68" spans="2:7">
      <c r="B68" s="226" t="s">
        <v>120</v>
      </c>
      <c r="C68" s="388">
        <v>1</v>
      </c>
      <c r="D68" s="388">
        <f>'Costos totales'!I44</f>
        <v>5.1829166666666673</v>
      </c>
      <c r="E68" s="469">
        <f>+D68*C68</f>
        <v>5.1829166666666673</v>
      </c>
      <c r="F68" s="389">
        <f>Rendimientos!B4</f>
        <v>0.46666999999999997</v>
      </c>
      <c r="G68" s="443">
        <f>IF(D68="","",ROUND(E68*F68,2))</f>
        <v>2.42</v>
      </c>
    </row>
    <row r="69" spans="2:7">
      <c r="B69" s="233"/>
      <c r="C69" s="231"/>
      <c r="D69" s="231"/>
      <c r="E69" s="470"/>
      <c r="F69" s="264"/>
      <c r="G69" s="249"/>
    </row>
    <row r="70" spans="2:7">
      <c r="B70" s="232"/>
      <c r="C70" s="231"/>
      <c r="D70" s="231"/>
      <c r="E70" s="470"/>
      <c r="F70" s="264"/>
      <c r="G70" s="249"/>
    </row>
    <row r="71" spans="2:7">
      <c r="B71" s="233"/>
      <c r="C71" s="231"/>
      <c r="D71" s="234"/>
      <c r="E71" s="470"/>
      <c r="F71" s="264"/>
      <c r="G71" s="249"/>
    </row>
    <row r="72" spans="2:7">
      <c r="B72" s="236"/>
      <c r="C72" s="237"/>
      <c r="D72" s="237"/>
      <c r="E72" s="471" t="str">
        <f>IF(C72="","",ROUND(C72*D72,2))</f>
        <v/>
      </c>
      <c r="F72" s="237" t="str">
        <f>IF(C72="","", $G$10)</f>
        <v/>
      </c>
      <c r="G72" s="238" t="str">
        <f>IF(D72="","",ROUND(E72*F72,2))</f>
        <v/>
      </c>
    </row>
    <row r="73" spans="2:7">
      <c r="B73" s="215"/>
      <c r="C73" s="214"/>
      <c r="D73" s="214"/>
      <c r="E73" s="465"/>
      <c r="F73" s="214" t="s">
        <v>247</v>
      </c>
      <c r="G73" s="239">
        <f>SUM(G68:G72)</f>
        <v>2.42</v>
      </c>
    </row>
    <row r="74" spans="2:7">
      <c r="B74" s="217" t="s">
        <v>248</v>
      </c>
      <c r="C74" s="214"/>
      <c r="D74" s="214"/>
      <c r="E74" s="465"/>
      <c r="F74" s="214"/>
      <c r="G74" s="216"/>
    </row>
    <row r="75" spans="2:7" ht="15" customHeight="1">
      <c r="B75" s="611" t="s">
        <v>242</v>
      </c>
      <c r="C75" s="612"/>
      <c r="D75" s="635" t="s">
        <v>249</v>
      </c>
      <c r="E75" s="637" t="s">
        <v>291</v>
      </c>
      <c r="F75" s="635" t="s">
        <v>297</v>
      </c>
      <c r="G75" s="639" t="s">
        <v>298</v>
      </c>
    </row>
    <row r="76" spans="2:7">
      <c r="B76" s="613"/>
      <c r="C76" s="614"/>
      <c r="D76" s="636"/>
      <c r="E76" s="638"/>
      <c r="F76" s="636"/>
      <c r="G76" s="640"/>
    </row>
    <row r="77" spans="2:7">
      <c r="B77" s="665"/>
      <c r="C77" s="666"/>
      <c r="D77" s="384"/>
      <c r="E77" s="472"/>
      <c r="F77" s="229"/>
      <c r="G77" s="242"/>
    </row>
    <row r="78" spans="2:7">
      <c r="B78" s="643"/>
      <c r="C78" s="644"/>
      <c r="D78" s="234"/>
      <c r="E78" s="470"/>
      <c r="F78" s="246"/>
      <c r="G78" s="386"/>
    </row>
    <row r="79" spans="2:7">
      <c r="B79" s="643"/>
      <c r="C79" s="644"/>
      <c r="D79" s="234"/>
      <c r="E79" s="470"/>
      <c r="F79" s="244"/>
      <c r="G79" s="387"/>
    </row>
    <row r="80" spans="2:7">
      <c r="B80" s="663"/>
      <c r="C80" s="664"/>
      <c r="D80" s="374"/>
      <c r="E80" s="470"/>
      <c r="F80" s="246"/>
      <c r="G80" s="387"/>
    </row>
    <row r="81" spans="2:7">
      <c r="B81" s="645"/>
      <c r="C81" s="646"/>
      <c r="D81" s="237"/>
      <c r="E81" s="471"/>
      <c r="F81" s="237"/>
      <c r="G81" s="238" t="str">
        <f>IF(D81="","",ROUND(E81*F81,2))</f>
        <v/>
      </c>
    </row>
    <row r="82" spans="2:7">
      <c r="B82" s="215"/>
      <c r="C82" s="214"/>
      <c r="D82" s="214"/>
      <c r="E82" s="465"/>
      <c r="F82" s="214" t="s">
        <v>250</v>
      </c>
      <c r="G82" s="247">
        <f>SUM(G77:G81)</f>
        <v>0</v>
      </c>
    </row>
    <row r="83" spans="2:7">
      <c r="B83" s="217" t="s">
        <v>251</v>
      </c>
      <c r="C83" s="214"/>
      <c r="D83" s="214"/>
      <c r="E83" s="465"/>
      <c r="F83" s="214"/>
      <c r="G83" s="248"/>
    </row>
    <row r="84" spans="2:7" ht="15" customHeight="1">
      <c r="B84" s="611" t="s">
        <v>242</v>
      </c>
      <c r="C84" s="612"/>
      <c r="D84" s="635" t="s">
        <v>249</v>
      </c>
      <c r="E84" s="637" t="s">
        <v>291</v>
      </c>
      <c r="F84" s="635" t="s">
        <v>299</v>
      </c>
      <c r="G84" s="639" t="s">
        <v>298</v>
      </c>
    </row>
    <row r="85" spans="2:7">
      <c r="B85" s="613"/>
      <c r="C85" s="614"/>
      <c r="D85" s="636"/>
      <c r="E85" s="638"/>
      <c r="F85" s="636"/>
      <c r="G85" s="640"/>
    </row>
    <row r="86" spans="2:7">
      <c r="B86" s="647"/>
      <c r="C86" s="648"/>
      <c r="D86" s="240"/>
      <c r="E86" s="472"/>
      <c r="F86" s="240"/>
      <c r="G86" s="230"/>
    </row>
    <row r="87" spans="2:7">
      <c r="B87" s="651"/>
      <c r="C87" s="652"/>
      <c r="D87" s="234"/>
      <c r="E87" s="470"/>
      <c r="F87" s="234"/>
      <c r="G87" s="249" t="str">
        <f>IF(D87="","",ROUND(E87*F87,2))</f>
        <v/>
      </c>
    </row>
    <row r="88" spans="2:7">
      <c r="B88" s="651"/>
      <c r="C88" s="652"/>
      <c r="D88" s="234"/>
      <c r="E88" s="470"/>
      <c r="F88" s="234"/>
      <c r="G88" s="235" t="str">
        <f>IF(D88="","",ROUND(E88*F88,2))</f>
        <v/>
      </c>
    </row>
    <row r="89" spans="2:7">
      <c r="B89" s="651"/>
      <c r="C89" s="652"/>
      <c r="D89" s="234"/>
      <c r="E89" s="470"/>
      <c r="F89" s="234"/>
      <c r="G89" s="235" t="str">
        <f>IF(D89="","",ROUND(E89*F89,2))</f>
        <v/>
      </c>
    </row>
    <row r="90" spans="2:7">
      <c r="B90" s="653"/>
      <c r="C90" s="654"/>
      <c r="D90" s="237"/>
      <c r="E90" s="471"/>
      <c r="F90" s="237"/>
      <c r="G90" s="250" t="str">
        <f>IF(D90="","",ROUND(E90*F90,2))</f>
        <v/>
      </c>
    </row>
    <row r="91" spans="2:7">
      <c r="B91" s="215"/>
      <c r="C91" s="214"/>
      <c r="D91" s="214"/>
      <c r="E91" s="465"/>
      <c r="F91" s="214" t="s">
        <v>252</v>
      </c>
      <c r="G91" s="251">
        <f>SUM(G86:G90)</f>
        <v>0</v>
      </c>
    </row>
    <row r="92" spans="2:7">
      <c r="B92" s="215"/>
      <c r="C92" s="214"/>
      <c r="D92" s="214"/>
      <c r="E92" s="465"/>
      <c r="F92" s="214"/>
      <c r="G92" s="248"/>
    </row>
    <row r="93" spans="2:7">
      <c r="B93" s="215"/>
      <c r="C93" s="214"/>
      <c r="D93" s="252" t="s">
        <v>253</v>
      </c>
      <c r="E93" s="473"/>
      <c r="F93" s="253"/>
      <c r="G93" s="254">
        <f>ROUND(G63+G73+G82+G91,3)</f>
        <v>6.218</v>
      </c>
    </row>
    <row r="94" spans="2:7">
      <c r="B94" s="215"/>
      <c r="C94" s="214"/>
      <c r="D94" s="252" t="s">
        <v>254</v>
      </c>
      <c r="E94" s="473"/>
      <c r="F94" s="373">
        <f>'Costos totales'!M47</f>
        <v>24</v>
      </c>
      <c r="G94" s="206">
        <f>ROUND(F94*G93/100,2)</f>
        <v>1.49</v>
      </c>
    </row>
    <row r="95" spans="2:7">
      <c r="B95" s="215"/>
      <c r="C95" s="214"/>
      <c r="D95" s="252" t="s">
        <v>255</v>
      </c>
      <c r="E95" s="473"/>
      <c r="F95" s="205"/>
      <c r="G95" s="206">
        <f>SUM(G93:G94)</f>
        <v>7.7080000000000002</v>
      </c>
    </row>
    <row r="96" spans="2:7" ht="15" thickBot="1">
      <c r="B96" s="255"/>
      <c r="C96" s="256"/>
      <c r="D96" s="257" t="s">
        <v>256</v>
      </c>
      <c r="E96" s="474"/>
      <c r="F96" s="258"/>
      <c r="G96" s="259">
        <f>+G95</f>
        <v>7.7080000000000002</v>
      </c>
    </row>
    <row r="97" spans="2:7">
      <c r="B97" s="56"/>
      <c r="C97" s="56"/>
      <c r="D97" s="56"/>
      <c r="E97" s="464"/>
      <c r="F97" s="56"/>
      <c r="G97" s="56"/>
    </row>
    <row r="98" spans="2:7" ht="15" thickBot="1">
      <c r="B98" s="56"/>
      <c r="C98" s="56"/>
      <c r="D98" s="56"/>
      <c r="E98" s="464"/>
      <c r="F98" s="56"/>
      <c r="G98" s="56"/>
    </row>
    <row r="99" spans="2:7">
      <c r="B99" s="657" t="s">
        <v>239</v>
      </c>
      <c r="C99" s="659" t="s">
        <v>91</v>
      </c>
      <c r="D99" s="659" t="s">
        <v>240</v>
      </c>
      <c r="E99" s="659" t="s">
        <v>240</v>
      </c>
      <c r="F99" s="659" t="s">
        <v>240</v>
      </c>
      <c r="G99" s="660" t="s">
        <v>240</v>
      </c>
    </row>
    <row r="100" spans="2:7">
      <c r="B100" s="658"/>
      <c r="C100" s="661" t="s">
        <v>240</v>
      </c>
      <c r="D100" s="661" t="s">
        <v>240</v>
      </c>
      <c r="E100" s="661" t="s">
        <v>240</v>
      </c>
      <c r="F100" s="661" t="s">
        <v>240</v>
      </c>
      <c r="G100" s="662" t="s">
        <v>240</v>
      </c>
    </row>
    <row r="101" spans="2:7">
      <c r="B101" s="215"/>
      <c r="C101" s="214"/>
      <c r="D101" s="214"/>
      <c r="E101" s="465"/>
      <c r="F101" s="214"/>
      <c r="G101" s="216"/>
    </row>
    <row r="102" spans="2:7">
      <c r="B102" s="217" t="s">
        <v>241</v>
      </c>
      <c r="C102" s="214"/>
      <c r="D102" s="214"/>
      <c r="E102" s="465"/>
      <c r="F102" s="214"/>
      <c r="G102" s="216"/>
    </row>
    <row r="103" spans="2:7">
      <c r="B103" s="655" t="s">
        <v>242</v>
      </c>
      <c r="C103" s="635" t="s">
        <v>291</v>
      </c>
      <c r="D103" s="635" t="s">
        <v>296</v>
      </c>
      <c r="E103" s="637" t="s">
        <v>293</v>
      </c>
      <c r="F103" s="635" t="s">
        <v>294</v>
      </c>
      <c r="G103" s="639" t="s">
        <v>295</v>
      </c>
    </row>
    <row r="104" spans="2:7">
      <c r="B104" s="656"/>
      <c r="C104" s="636"/>
      <c r="D104" s="636"/>
      <c r="E104" s="638"/>
      <c r="F104" s="636"/>
      <c r="G104" s="640"/>
    </row>
    <row r="105" spans="2:7">
      <c r="B105" s="233" t="s">
        <v>216</v>
      </c>
      <c r="C105" s="260">
        <v>1</v>
      </c>
      <c r="D105" s="261">
        <f>'Costos totales'!K72</f>
        <v>5.6699191556254212E-2</v>
      </c>
      <c r="E105" s="467">
        <f>+D105*C105</f>
        <v>5.6699191556254212E-2</v>
      </c>
      <c r="F105" s="261">
        <f>'Costos totales'!H72</f>
        <v>0.43</v>
      </c>
      <c r="G105" s="262">
        <f>+F105*E105</f>
        <v>2.438065236918931E-2</v>
      </c>
    </row>
    <row r="106" spans="2:7">
      <c r="B106" s="233" t="s">
        <v>181</v>
      </c>
      <c r="C106" s="260">
        <v>1</v>
      </c>
      <c r="D106" s="261">
        <f>'Costos totales'!K74</f>
        <v>7.0368708526087273E-2</v>
      </c>
      <c r="E106" s="467">
        <f t="shared" ref="E106:E110" si="5">+D106*C106</f>
        <v>7.0368708526087273E-2</v>
      </c>
      <c r="F106" s="261">
        <f>'Costos totales'!H74</f>
        <v>0.06</v>
      </c>
      <c r="G106" s="262">
        <f t="shared" ref="G106:G111" si="6">+F106*E106</f>
        <v>4.2221225115652364E-3</v>
      </c>
    </row>
    <row r="107" spans="2:7">
      <c r="B107" s="233" t="s">
        <v>2</v>
      </c>
      <c r="C107" s="260">
        <v>1</v>
      </c>
      <c r="D107" s="261">
        <f>'Costos totales'!K75</f>
        <v>0.23718569877984882</v>
      </c>
      <c r="E107" s="467">
        <f t="shared" si="5"/>
        <v>0.23718569877984882</v>
      </c>
      <c r="F107" s="261">
        <f>'Costos totales'!H75</f>
        <v>19.43</v>
      </c>
      <c r="G107" s="262">
        <f t="shared" si="6"/>
        <v>4.6085181272924629</v>
      </c>
    </row>
    <row r="108" spans="2:7">
      <c r="B108" s="233" t="s">
        <v>9</v>
      </c>
      <c r="C108" s="444">
        <v>1</v>
      </c>
      <c r="D108" s="261">
        <f>'Costos totales'!K73</f>
        <v>9.2389649923896495E-4</v>
      </c>
      <c r="E108" s="467">
        <f t="shared" si="5"/>
        <v>9.2389649923896495E-4</v>
      </c>
      <c r="F108" s="261">
        <f>'Costos totales'!H73</f>
        <v>0.2</v>
      </c>
      <c r="G108" s="263">
        <f t="shared" si="6"/>
        <v>1.8477929984779301E-4</v>
      </c>
    </row>
    <row r="109" spans="2:7">
      <c r="B109" s="233" t="s">
        <v>22</v>
      </c>
      <c r="C109" s="444">
        <v>1</v>
      </c>
      <c r="D109" s="264">
        <f>'Costos totales'!K76</f>
        <v>3.2054794520547944E-4</v>
      </c>
      <c r="E109" s="467">
        <f t="shared" si="5"/>
        <v>3.2054794520547944E-4</v>
      </c>
      <c r="F109" s="261">
        <f>'Costos totales'!H76</f>
        <v>0.06</v>
      </c>
      <c r="G109" s="263">
        <f t="shared" si="6"/>
        <v>1.9232876712328767E-5</v>
      </c>
    </row>
    <row r="110" spans="2:7">
      <c r="B110" s="233" t="s">
        <v>3</v>
      </c>
      <c r="C110" s="444">
        <v>1</v>
      </c>
      <c r="D110" s="264">
        <f>'Costos totales'!K77</f>
        <v>4.4292237442922374E-4</v>
      </c>
      <c r="E110" s="467">
        <f t="shared" si="5"/>
        <v>4.4292237442922374E-4</v>
      </c>
      <c r="F110" s="264">
        <f>'Costos totales'!H77</f>
        <v>19.329999999999998</v>
      </c>
      <c r="G110" s="263">
        <f t="shared" si="6"/>
        <v>8.5616894977168945E-3</v>
      </c>
    </row>
    <row r="111" spans="2:7">
      <c r="B111" s="445" t="str">
        <f>'Costos totales'!B78</f>
        <v>Tamiz # 40</v>
      </c>
      <c r="C111" s="446">
        <v>1</v>
      </c>
      <c r="D111" s="447">
        <f>'Costos totales'!K78</f>
        <v>4.194520547945205E-3</v>
      </c>
      <c r="E111" s="471">
        <f>+D111*C111</f>
        <v>4.194520547945205E-3</v>
      </c>
      <c r="F111" s="412">
        <f>'Costos totales'!H78</f>
        <v>0.15</v>
      </c>
      <c r="G111" s="414">
        <f t="shared" si="6"/>
        <v>6.2917808219178071E-4</v>
      </c>
    </row>
    <row r="112" spans="2:7">
      <c r="B112" s="215"/>
      <c r="C112" s="214"/>
      <c r="D112" s="214"/>
      <c r="E112" s="465"/>
      <c r="F112" s="214" t="s">
        <v>245</v>
      </c>
      <c r="G112" s="222">
        <f>SUM(G105:G111)</f>
        <v>4.6465157819296863</v>
      </c>
    </row>
    <row r="113" spans="2:7">
      <c r="B113" s="217" t="s">
        <v>246</v>
      </c>
      <c r="C113" s="214"/>
      <c r="D113" s="214"/>
      <c r="E113" s="465"/>
      <c r="F113" s="214"/>
      <c r="G113" s="216"/>
    </row>
    <row r="114" spans="2:7">
      <c r="B114" s="655" t="s">
        <v>242</v>
      </c>
      <c r="C114" s="635" t="s">
        <v>291</v>
      </c>
      <c r="D114" s="635" t="s">
        <v>292</v>
      </c>
      <c r="E114" s="637" t="s">
        <v>293</v>
      </c>
      <c r="F114" s="635" t="s">
        <v>294</v>
      </c>
      <c r="G114" s="639" t="s">
        <v>295</v>
      </c>
    </row>
    <row r="115" spans="2:7">
      <c r="B115" s="656"/>
      <c r="C115" s="636"/>
      <c r="D115" s="636"/>
      <c r="E115" s="638"/>
      <c r="F115" s="636"/>
      <c r="G115" s="640"/>
    </row>
    <row r="116" spans="2:7">
      <c r="B116" s="227" t="s">
        <v>120</v>
      </c>
      <c r="C116" s="228">
        <v>1</v>
      </c>
      <c r="D116" s="228">
        <f>'Costos totales'!I79</f>
        <v>5.1829166666666673</v>
      </c>
      <c r="E116" s="472">
        <f>+D116*C116</f>
        <v>5.1829166666666673</v>
      </c>
      <c r="F116" s="229">
        <f>Rendimientos!B6</f>
        <v>0.71</v>
      </c>
      <c r="G116" s="230">
        <f>IF(D116="","",ROUND(E116*F116,2))</f>
        <v>3.68</v>
      </c>
    </row>
    <row r="117" spans="2:7">
      <c r="B117" s="233"/>
      <c r="C117" s="234"/>
      <c r="D117" s="234"/>
      <c r="E117" s="470" t="str">
        <f>IF(C117="","",ROUND(C117*D117,2))</f>
        <v/>
      </c>
      <c r="F117" s="234" t="str">
        <f>IF(C117="","", $G$10)</f>
        <v/>
      </c>
      <c r="G117" s="235" t="str">
        <f>IF(D117="","",ROUND(E117*F117,2))</f>
        <v/>
      </c>
    </row>
    <row r="118" spans="2:7">
      <c r="B118" s="233"/>
      <c r="C118" s="234"/>
      <c r="D118" s="234"/>
      <c r="E118" s="470" t="str">
        <f>IF(C118="","",ROUND(C118*D118,2))</f>
        <v/>
      </c>
      <c r="F118" s="234" t="str">
        <f>IF(C118="","", $G$10)</f>
        <v/>
      </c>
      <c r="G118" s="235" t="str">
        <f>IF(D118="","",ROUND(E118*F118,2))</f>
        <v/>
      </c>
    </row>
    <row r="119" spans="2:7">
      <c r="B119" s="233"/>
      <c r="C119" s="234"/>
      <c r="D119" s="234"/>
      <c r="E119" s="470" t="str">
        <f>IF(C119="","",ROUND(C119*D119,2))</f>
        <v/>
      </c>
      <c r="F119" s="234" t="str">
        <f>IF(C119="","", $G$10)</f>
        <v/>
      </c>
      <c r="G119" s="235" t="str">
        <f>IF(D119="","",ROUND(E119*F119,2))</f>
        <v/>
      </c>
    </row>
    <row r="120" spans="2:7">
      <c r="B120" s="236"/>
      <c r="C120" s="237"/>
      <c r="D120" s="237"/>
      <c r="E120" s="471" t="str">
        <f>IF(C120="","",ROUND(C120*D120,2))</f>
        <v/>
      </c>
      <c r="F120" s="237" t="str">
        <f>IF(C120="","", $G$10)</f>
        <v/>
      </c>
      <c r="G120" s="238" t="str">
        <f>IF(D120="","",ROUND(E120*F120,2))</f>
        <v/>
      </c>
    </row>
    <row r="121" spans="2:7">
      <c r="B121" s="215"/>
      <c r="C121" s="214"/>
      <c r="D121" s="214"/>
      <c r="E121" s="465"/>
      <c r="F121" s="214" t="s">
        <v>247</v>
      </c>
      <c r="G121" s="239">
        <f>SUM(G116:G120)</f>
        <v>3.68</v>
      </c>
    </row>
    <row r="122" spans="2:7">
      <c r="B122" s="217" t="s">
        <v>248</v>
      </c>
      <c r="C122" s="214"/>
      <c r="D122" s="214"/>
      <c r="E122" s="465"/>
      <c r="F122" s="214"/>
      <c r="G122" s="216"/>
    </row>
    <row r="123" spans="2:7" ht="15" customHeight="1">
      <c r="B123" s="611" t="s">
        <v>242</v>
      </c>
      <c r="C123" s="612"/>
      <c r="D123" s="635" t="s">
        <v>249</v>
      </c>
      <c r="E123" s="637" t="s">
        <v>291</v>
      </c>
      <c r="F123" s="635" t="s">
        <v>297</v>
      </c>
      <c r="G123" s="639" t="s">
        <v>298</v>
      </c>
    </row>
    <row r="124" spans="2:7">
      <c r="B124" s="613"/>
      <c r="C124" s="614"/>
      <c r="D124" s="636"/>
      <c r="E124" s="638"/>
      <c r="F124" s="636"/>
      <c r="G124" s="640"/>
    </row>
    <row r="125" spans="2:7">
      <c r="B125" s="641"/>
      <c r="C125" s="642"/>
      <c r="D125" s="240"/>
      <c r="E125" s="472"/>
      <c r="F125" s="241"/>
      <c r="G125" s="266"/>
    </row>
    <row r="126" spans="2:7">
      <c r="B126" s="663"/>
      <c r="C126" s="664"/>
      <c r="D126" s="374"/>
      <c r="E126" s="475"/>
      <c r="F126" s="449"/>
      <c r="G126" s="448"/>
    </row>
    <row r="127" spans="2:7">
      <c r="B127" s="667"/>
      <c r="C127" s="668"/>
      <c r="D127" s="234"/>
      <c r="E127" s="470"/>
      <c r="F127" s="244"/>
      <c r="G127" s="448"/>
    </row>
    <row r="128" spans="2:7">
      <c r="B128" s="667"/>
      <c r="C128" s="668"/>
      <c r="D128" s="234"/>
      <c r="E128" s="470"/>
      <c r="F128" s="246"/>
      <c r="G128" s="387"/>
    </row>
    <row r="129" spans="2:7">
      <c r="B129" s="669"/>
      <c r="C129" s="670"/>
      <c r="D129" s="237"/>
      <c r="E129" s="471"/>
      <c r="F129" s="237"/>
      <c r="G129" s="238" t="str">
        <f>IF(D129="","",ROUND(E129*F129,2))</f>
        <v/>
      </c>
    </row>
    <row r="130" spans="2:7">
      <c r="B130" s="215"/>
      <c r="C130" s="214"/>
      <c r="D130" s="214"/>
      <c r="E130" s="465"/>
      <c r="F130" s="214" t="s">
        <v>250</v>
      </c>
      <c r="G130" s="247">
        <f>SUM(G125:G129)</f>
        <v>0</v>
      </c>
    </row>
    <row r="131" spans="2:7">
      <c r="B131" s="217" t="s">
        <v>251</v>
      </c>
      <c r="C131" s="214"/>
      <c r="D131" s="214"/>
      <c r="E131" s="465"/>
      <c r="F131" s="214"/>
      <c r="G131" s="248"/>
    </row>
    <row r="132" spans="2:7" ht="15" customHeight="1">
      <c r="B132" s="611" t="s">
        <v>242</v>
      </c>
      <c r="C132" s="612"/>
      <c r="D132" s="635" t="s">
        <v>249</v>
      </c>
      <c r="E132" s="637" t="s">
        <v>291</v>
      </c>
      <c r="F132" s="635" t="s">
        <v>299</v>
      </c>
      <c r="G132" s="639" t="s">
        <v>298</v>
      </c>
    </row>
    <row r="133" spans="2:7">
      <c r="B133" s="613"/>
      <c r="C133" s="614"/>
      <c r="D133" s="636"/>
      <c r="E133" s="638"/>
      <c r="F133" s="636"/>
      <c r="G133" s="640"/>
    </row>
    <row r="134" spans="2:7">
      <c r="B134" s="647"/>
      <c r="C134" s="648"/>
      <c r="D134" s="240"/>
      <c r="E134" s="472"/>
      <c r="F134" s="240"/>
      <c r="G134" s="230"/>
    </row>
    <row r="135" spans="2:7">
      <c r="B135" s="651"/>
      <c r="C135" s="652"/>
      <c r="D135" s="234"/>
      <c r="E135" s="470"/>
      <c r="F135" s="234"/>
      <c r="G135" s="249" t="str">
        <f>IF(D135="","",ROUND(E135*F135,2))</f>
        <v/>
      </c>
    </row>
    <row r="136" spans="2:7">
      <c r="B136" s="651"/>
      <c r="C136" s="652"/>
      <c r="D136" s="234"/>
      <c r="E136" s="470"/>
      <c r="F136" s="234"/>
      <c r="G136" s="235" t="str">
        <f>IF(D136="","",ROUND(E136*F136,2))</f>
        <v/>
      </c>
    </row>
    <row r="137" spans="2:7">
      <c r="B137" s="651"/>
      <c r="C137" s="652"/>
      <c r="D137" s="234"/>
      <c r="E137" s="470"/>
      <c r="F137" s="234"/>
      <c r="G137" s="235" t="str">
        <f>IF(D137="","",ROUND(E137*F137,2))</f>
        <v/>
      </c>
    </row>
    <row r="138" spans="2:7">
      <c r="B138" s="653"/>
      <c r="C138" s="654"/>
      <c r="D138" s="237"/>
      <c r="E138" s="471"/>
      <c r="F138" s="237"/>
      <c r="G138" s="250" t="str">
        <f>IF(D138="","",ROUND(E138*F138,2))</f>
        <v/>
      </c>
    </row>
    <row r="139" spans="2:7">
      <c r="B139" s="215"/>
      <c r="C139" s="214"/>
      <c r="D139" s="214"/>
      <c r="E139" s="465"/>
      <c r="F139" s="214" t="s">
        <v>252</v>
      </c>
      <c r="G139" s="251">
        <f>SUM(G134:G138)</f>
        <v>0</v>
      </c>
    </row>
    <row r="140" spans="2:7">
      <c r="B140" s="215"/>
      <c r="C140" s="214"/>
      <c r="D140" s="214"/>
      <c r="E140" s="465"/>
      <c r="F140" s="214"/>
      <c r="G140" s="248"/>
    </row>
    <row r="141" spans="2:7">
      <c r="B141" s="215"/>
      <c r="C141" s="214"/>
      <c r="D141" s="252" t="s">
        <v>253</v>
      </c>
      <c r="E141" s="473"/>
      <c r="F141" s="253"/>
      <c r="G141" s="254">
        <f>ROUND(G112+G121+G130+G139,3)</f>
        <v>8.327</v>
      </c>
    </row>
    <row r="142" spans="2:7">
      <c r="B142" s="215"/>
      <c r="C142" s="214"/>
      <c r="D142" s="252" t="s">
        <v>254</v>
      </c>
      <c r="E142" s="473"/>
      <c r="F142" s="373">
        <f>'Costos totales'!M82</f>
        <v>24</v>
      </c>
      <c r="G142" s="206">
        <f>ROUND(F142*G141/100,2)</f>
        <v>2</v>
      </c>
    </row>
    <row r="143" spans="2:7">
      <c r="B143" s="215"/>
      <c r="C143" s="214"/>
      <c r="D143" s="252" t="s">
        <v>255</v>
      </c>
      <c r="E143" s="473"/>
      <c r="F143" s="205"/>
      <c r="G143" s="206">
        <f>SUM(G141:G142)</f>
        <v>10.327</v>
      </c>
    </row>
    <row r="144" spans="2:7" ht="15" thickBot="1">
      <c r="B144" s="255"/>
      <c r="C144" s="256"/>
      <c r="D144" s="257" t="s">
        <v>256</v>
      </c>
      <c r="E144" s="474"/>
      <c r="F144" s="258"/>
      <c r="G144" s="259">
        <f>+G143</f>
        <v>10.327</v>
      </c>
    </row>
    <row r="145" spans="2:7">
      <c r="B145" s="268"/>
      <c r="C145" s="268"/>
      <c r="D145" s="268"/>
      <c r="E145" s="464"/>
      <c r="F145" s="268"/>
      <c r="G145" s="268"/>
    </row>
    <row r="146" spans="2:7" ht="15" thickBot="1">
      <c r="B146" s="269"/>
      <c r="C146" s="269"/>
      <c r="D146" s="269"/>
      <c r="E146" s="476"/>
      <c r="F146" s="269"/>
      <c r="G146" s="269"/>
    </row>
    <row r="147" spans="2:7">
      <c r="B147" s="657" t="s">
        <v>239</v>
      </c>
      <c r="C147" s="659" t="s">
        <v>92</v>
      </c>
      <c r="D147" s="659" t="s">
        <v>240</v>
      </c>
      <c r="E147" s="659" t="s">
        <v>240</v>
      </c>
      <c r="F147" s="659" t="s">
        <v>240</v>
      </c>
      <c r="G147" s="660" t="s">
        <v>240</v>
      </c>
    </row>
    <row r="148" spans="2:7">
      <c r="B148" s="658"/>
      <c r="C148" s="661" t="s">
        <v>240</v>
      </c>
      <c r="D148" s="661" t="s">
        <v>240</v>
      </c>
      <c r="E148" s="661" t="s">
        <v>240</v>
      </c>
      <c r="F148" s="661" t="s">
        <v>240</v>
      </c>
      <c r="G148" s="662" t="s">
        <v>240</v>
      </c>
    </row>
    <row r="149" spans="2:7">
      <c r="B149" s="215"/>
      <c r="C149" s="214"/>
      <c r="D149" s="214"/>
      <c r="E149" s="465"/>
      <c r="F149" s="214"/>
      <c r="G149" s="216"/>
    </row>
    <row r="150" spans="2:7">
      <c r="B150" s="217" t="s">
        <v>241</v>
      </c>
      <c r="C150" s="214"/>
      <c r="D150" s="214"/>
      <c r="E150" s="465"/>
      <c r="F150" s="214"/>
      <c r="G150" s="216"/>
    </row>
    <row r="151" spans="2:7">
      <c r="B151" s="655" t="s">
        <v>242</v>
      </c>
      <c r="C151" s="635" t="s">
        <v>291</v>
      </c>
      <c r="D151" s="635" t="s">
        <v>296</v>
      </c>
      <c r="E151" s="637" t="s">
        <v>293</v>
      </c>
      <c r="F151" s="635" t="s">
        <v>294</v>
      </c>
      <c r="G151" s="639" t="s">
        <v>295</v>
      </c>
    </row>
    <row r="152" spans="2:7">
      <c r="B152" s="656"/>
      <c r="C152" s="636"/>
      <c r="D152" s="636"/>
      <c r="E152" s="638"/>
      <c r="F152" s="636"/>
      <c r="G152" s="640"/>
    </row>
    <row r="153" spans="2:7">
      <c r="B153" s="227" t="s">
        <v>181</v>
      </c>
      <c r="C153" s="409">
        <v>1</v>
      </c>
      <c r="D153" s="218">
        <f>'Costos totales'!K87</f>
        <v>7.0368708526087273E-2</v>
      </c>
      <c r="E153" s="466">
        <f>+D153*C153</f>
        <v>7.0368708526087273E-2</v>
      </c>
      <c r="F153" s="218">
        <f>'Costos totales'!H87</f>
        <v>0.03</v>
      </c>
      <c r="G153" s="437">
        <f>+F153*E153</f>
        <v>2.1110612557826182E-3</v>
      </c>
    </row>
    <row r="154" spans="2:7">
      <c r="B154" s="233" t="s">
        <v>2</v>
      </c>
      <c r="C154" s="260">
        <v>1</v>
      </c>
      <c r="D154" s="261">
        <f>'Costos totales'!K88</f>
        <v>0.23718569877984882</v>
      </c>
      <c r="E154" s="467">
        <f t="shared" ref="E154:E158" si="7">+D154*C154</f>
        <v>0.23718569877984882</v>
      </c>
      <c r="F154" s="261">
        <f>'Costos totales'!H88</f>
        <v>21.33</v>
      </c>
      <c r="G154" s="270">
        <f t="shared" ref="G154:G158" si="8">+F154*E154</f>
        <v>5.0591709549741752</v>
      </c>
    </row>
    <row r="155" spans="2:7">
      <c r="B155" s="381" t="s">
        <v>3</v>
      </c>
      <c r="C155" s="382">
        <v>2</v>
      </c>
      <c r="D155" s="261">
        <f>'Costos totales'!K93</f>
        <v>4.4292237442922374E-4</v>
      </c>
      <c r="E155" s="467">
        <f t="shared" si="7"/>
        <v>8.8584474885844747E-4</v>
      </c>
      <c r="F155" s="261">
        <f>'Costos totales'!H93</f>
        <v>21.33</v>
      </c>
      <c r="G155" s="270">
        <f t="shared" si="8"/>
        <v>1.8895068493150684E-2</v>
      </c>
    </row>
    <row r="156" spans="2:7">
      <c r="B156" s="381" t="s">
        <v>213</v>
      </c>
      <c r="C156" s="382">
        <v>1</v>
      </c>
      <c r="D156" s="261">
        <f>'Costos totales'!K91</f>
        <v>4.194520547945205E-3</v>
      </c>
      <c r="E156" s="467">
        <f t="shared" si="7"/>
        <v>4.194520547945205E-3</v>
      </c>
      <c r="F156" s="261">
        <f>'Costos totales'!H91</f>
        <v>0.17</v>
      </c>
      <c r="G156" s="270">
        <f t="shared" si="8"/>
        <v>7.1306849315068486E-4</v>
      </c>
    </row>
    <row r="157" spans="2:7">
      <c r="B157" s="381" t="s">
        <v>22</v>
      </c>
      <c r="C157" s="382">
        <v>1</v>
      </c>
      <c r="D157" s="264">
        <f>'Costos totales'!K92</f>
        <v>3.2054794520547944E-4</v>
      </c>
      <c r="E157" s="467">
        <f t="shared" si="7"/>
        <v>3.2054794520547944E-4</v>
      </c>
      <c r="F157" s="261">
        <f>'Costos totales'!H92</f>
        <v>7.0000000000000007E-2</v>
      </c>
      <c r="G157" s="270">
        <f t="shared" si="8"/>
        <v>2.2438356164383564E-5</v>
      </c>
    </row>
    <row r="158" spans="2:7">
      <c r="B158" s="483" t="s">
        <v>23</v>
      </c>
      <c r="C158" s="484">
        <v>1</v>
      </c>
      <c r="D158" s="412">
        <f>'Costos totales'!K89</f>
        <v>1.1278538812785387E-3</v>
      </c>
      <c r="E158" s="468">
        <f t="shared" si="7"/>
        <v>1.1278538812785387E-3</v>
      </c>
      <c r="F158" s="412">
        <f>'Costos totales'!H89</f>
        <v>0.18</v>
      </c>
      <c r="G158" s="438">
        <f t="shared" si="8"/>
        <v>2.0301369863013697E-4</v>
      </c>
    </row>
    <row r="159" spans="2:7">
      <c r="B159" s="215"/>
      <c r="C159" s="214"/>
      <c r="D159" s="214"/>
      <c r="E159" s="465"/>
      <c r="F159" s="214" t="s">
        <v>245</v>
      </c>
      <c r="G159" s="222">
        <f>SUM(G153:G158)</f>
        <v>5.0811156052710533</v>
      </c>
    </row>
    <row r="160" spans="2:7">
      <c r="B160" s="217" t="s">
        <v>246</v>
      </c>
      <c r="C160" s="214"/>
      <c r="D160" s="214"/>
      <c r="E160" s="465"/>
      <c r="F160" s="214"/>
      <c r="G160" s="216"/>
    </row>
    <row r="161" spans="2:7">
      <c r="B161" s="655" t="s">
        <v>242</v>
      </c>
      <c r="C161" s="635" t="s">
        <v>291</v>
      </c>
      <c r="D161" s="635" t="s">
        <v>292</v>
      </c>
      <c r="E161" s="637" t="s">
        <v>293</v>
      </c>
      <c r="F161" s="635" t="s">
        <v>294</v>
      </c>
      <c r="G161" s="639" t="s">
        <v>295</v>
      </c>
    </row>
    <row r="162" spans="2:7">
      <c r="B162" s="656"/>
      <c r="C162" s="636"/>
      <c r="D162" s="636"/>
      <c r="E162" s="638"/>
      <c r="F162" s="636"/>
      <c r="G162" s="640"/>
    </row>
    <row r="163" spans="2:7">
      <c r="B163" s="227" t="s">
        <v>120</v>
      </c>
      <c r="C163" s="228">
        <v>1</v>
      </c>
      <c r="D163" s="243">
        <f>'Costos totales'!I94</f>
        <v>5.1829166666666673</v>
      </c>
      <c r="E163" s="472">
        <f>+D163*C163</f>
        <v>5.1829166666666673</v>
      </c>
      <c r="F163" s="229">
        <f>Rendimientos!B7</f>
        <v>0.47</v>
      </c>
      <c r="G163" s="245">
        <f>+F163*E163</f>
        <v>2.4359708333333336</v>
      </c>
    </row>
    <row r="164" spans="2:7">
      <c r="B164" s="233"/>
      <c r="C164" s="234"/>
      <c r="D164" s="234"/>
      <c r="E164" s="470" t="str">
        <f>IF(C164="","",ROUND(C164*D164,2))</f>
        <v/>
      </c>
      <c r="F164" s="234" t="str">
        <f>IF(C164="","", $G$10)</f>
        <v/>
      </c>
      <c r="G164" s="235" t="str">
        <f>IF(D164="","",ROUND(E164*F164,2))</f>
        <v/>
      </c>
    </row>
    <row r="165" spans="2:7">
      <c r="B165" s="233"/>
      <c r="C165" s="234"/>
      <c r="D165" s="234"/>
      <c r="E165" s="470" t="str">
        <f>IF(C165="","",ROUND(C165*D165,2))</f>
        <v/>
      </c>
      <c r="F165" s="234" t="str">
        <f>IF(C165="","", $G$10)</f>
        <v/>
      </c>
      <c r="G165" s="235" t="str">
        <f>IF(D165="","",ROUND(E165*F165,2))</f>
        <v/>
      </c>
    </row>
    <row r="166" spans="2:7">
      <c r="B166" s="233"/>
      <c r="C166" s="234"/>
      <c r="D166" s="234"/>
      <c r="E166" s="470" t="str">
        <f>IF(C166="","",ROUND(C166*D166,2))</f>
        <v/>
      </c>
      <c r="F166" s="234" t="str">
        <f>IF(C166="","", $G$10)</f>
        <v/>
      </c>
      <c r="G166" s="235" t="str">
        <f>IF(D166="","",ROUND(E166*F166,2))</f>
        <v/>
      </c>
    </row>
    <row r="167" spans="2:7">
      <c r="B167" s="236"/>
      <c r="C167" s="237"/>
      <c r="D167" s="237"/>
      <c r="E167" s="471" t="str">
        <f>IF(C167="","",ROUND(C167*D167,2))</f>
        <v/>
      </c>
      <c r="F167" s="237" t="str">
        <f>IF(C167="","", $G$10)</f>
        <v/>
      </c>
      <c r="G167" s="238" t="str">
        <f>IF(D167="","",ROUND(E167*F167,2))</f>
        <v/>
      </c>
    </row>
    <row r="168" spans="2:7">
      <c r="B168" s="215"/>
      <c r="C168" s="214"/>
      <c r="D168" s="214"/>
      <c r="E168" s="465"/>
      <c r="F168" s="214" t="s">
        <v>247</v>
      </c>
      <c r="G168" s="239">
        <f>SUM(G163:G167)</f>
        <v>2.4359708333333336</v>
      </c>
    </row>
    <row r="169" spans="2:7">
      <c r="B169" s="217" t="s">
        <v>248</v>
      </c>
      <c r="C169" s="214"/>
      <c r="D169" s="214"/>
      <c r="E169" s="465"/>
      <c r="F169" s="214"/>
      <c r="G169" s="216"/>
    </row>
    <row r="170" spans="2:7" ht="15" customHeight="1">
      <c r="B170" s="611" t="s">
        <v>242</v>
      </c>
      <c r="C170" s="612"/>
      <c r="D170" s="635" t="s">
        <v>249</v>
      </c>
      <c r="E170" s="637" t="s">
        <v>291</v>
      </c>
      <c r="F170" s="635" t="s">
        <v>297</v>
      </c>
      <c r="G170" s="639" t="s">
        <v>298</v>
      </c>
    </row>
    <row r="171" spans="2:7">
      <c r="B171" s="613"/>
      <c r="C171" s="614"/>
      <c r="D171" s="636"/>
      <c r="E171" s="638"/>
      <c r="F171" s="636"/>
      <c r="G171" s="640"/>
    </row>
    <row r="172" spans="2:7">
      <c r="B172" s="641"/>
      <c r="C172" s="642"/>
      <c r="D172" s="240"/>
      <c r="E172" s="472"/>
      <c r="F172" s="243"/>
      <c r="G172" s="245"/>
    </row>
    <row r="173" spans="2:7">
      <c r="B173" s="663"/>
      <c r="C173" s="664"/>
      <c r="D173" s="234"/>
      <c r="E173" s="470"/>
      <c r="F173" s="246"/>
      <c r="G173" s="387"/>
    </row>
    <row r="174" spans="2:7">
      <c r="B174" s="663"/>
      <c r="C174" s="664"/>
      <c r="D174" s="234"/>
      <c r="E174" s="470"/>
      <c r="F174" s="246"/>
      <c r="G174" s="387"/>
    </row>
    <row r="175" spans="2:7">
      <c r="B175" s="643"/>
      <c r="C175" s="644"/>
      <c r="D175" s="234"/>
      <c r="E175" s="470"/>
      <c r="F175" s="246"/>
      <c r="G175" s="387"/>
    </row>
    <row r="176" spans="2:7">
      <c r="B176" s="645"/>
      <c r="C176" s="646"/>
      <c r="D176" s="237"/>
      <c r="E176" s="471"/>
      <c r="F176" s="237"/>
      <c r="G176" s="238" t="str">
        <f>IF(D176="","",ROUND(E176*F176,2))</f>
        <v/>
      </c>
    </row>
    <row r="177" spans="2:7">
      <c r="B177" s="215"/>
      <c r="C177" s="214"/>
      <c r="D177" s="214"/>
      <c r="E177" s="465"/>
      <c r="F177" s="214" t="s">
        <v>250</v>
      </c>
      <c r="G177" s="247">
        <f>SUM(G172:G176)</f>
        <v>0</v>
      </c>
    </row>
    <row r="178" spans="2:7">
      <c r="B178" s="217" t="s">
        <v>251</v>
      </c>
      <c r="C178" s="214"/>
      <c r="D178" s="214"/>
      <c r="E178" s="465"/>
      <c r="F178" s="214"/>
      <c r="G178" s="248"/>
    </row>
    <row r="179" spans="2:7" ht="15" customHeight="1">
      <c r="B179" s="611" t="s">
        <v>242</v>
      </c>
      <c r="C179" s="612"/>
      <c r="D179" s="635" t="s">
        <v>249</v>
      </c>
      <c r="E179" s="637" t="s">
        <v>291</v>
      </c>
      <c r="F179" s="635" t="s">
        <v>299</v>
      </c>
      <c r="G179" s="639" t="s">
        <v>298</v>
      </c>
    </row>
    <row r="180" spans="2:7">
      <c r="B180" s="613"/>
      <c r="C180" s="614"/>
      <c r="D180" s="636"/>
      <c r="E180" s="638"/>
      <c r="F180" s="636"/>
      <c r="G180" s="640"/>
    </row>
    <row r="181" spans="2:7">
      <c r="B181" s="647"/>
      <c r="C181" s="648"/>
      <c r="D181" s="240"/>
      <c r="E181" s="472"/>
      <c r="F181" s="240"/>
      <c r="G181" s="230"/>
    </row>
    <row r="182" spans="2:7">
      <c r="B182" s="651"/>
      <c r="C182" s="652"/>
      <c r="D182" s="234"/>
      <c r="E182" s="470"/>
      <c r="F182" s="234"/>
      <c r="G182" s="249" t="str">
        <f>IF(D182="","",ROUND(E182*F182,2))</f>
        <v/>
      </c>
    </row>
    <row r="183" spans="2:7">
      <c r="B183" s="651"/>
      <c r="C183" s="652"/>
      <c r="D183" s="234"/>
      <c r="E183" s="470"/>
      <c r="F183" s="234"/>
      <c r="G183" s="235" t="str">
        <f>IF(D183="","",ROUND(E183*F183,2))</f>
        <v/>
      </c>
    </row>
    <row r="184" spans="2:7">
      <c r="B184" s="651"/>
      <c r="C184" s="652"/>
      <c r="D184" s="234"/>
      <c r="E184" s="470"/>
      <c r="F184" s="234"/>
      <c r="G184" s="235" t="str">
        <f>IF(D184="","",ROUND(E184*F184,2))</f>
        <v/>
      </c>
    </row>
    <row r="185" spans="2:7">
      <c r="B185" s="653"/>
      <c r="C185" s="654"/>
      <c r="D185" s="237"/>
      <c r="E185" s="471"/>
      <c r="F185" s="237"/>
      <c r="G185" s="250" t="str">
        <f>IF(D185="","",ROUND(E185*F185,2))</f>
        <v/>
      </c>
    </row>
    <row r="186" spans="2:7">
      <c r="B186" s="215"/>
      <c r="C186" s="214"/>
      <c r="D186" s="214"/>
      <c r="E186" s="465"/>
      <c r="F186" s="214" t="s">
        <v>252</v>
      </c>
      <c r="G186" s="251">
        <f>SUM(G181:G185)</f>
        <v>0</v>
      </c>
    </row>
    <row r="187" spans="2:7">
      <c r="B187" s="215"/>
      <c r="C187" s="214"/>
      <c r="D187" s="214"/>
      <c r="E187" s="465"/>
      <c r="F187" s="214"/>
      <c r="G187" s="248"/>
    </row>
    <row r="188" spans="2:7">
      <c r="B188" s="215"/>
      <c r="C188" s="214"/>
      <c r="D188" s="252" t="s">
        <v>253</v>
      </c>
      <c r="E188" s="473"/>
      <c r="F188" s="253"/>
      <c r="G188" s="254">
        <f>ROUND(G159+G168+G177+G186,3)</f>
        <v>7.5170000000000003</v>
      </c>
    </row>
    <row r="189" spans="2:7">
      <c r="B189" s="215"/>
      <c r="C189" s="214"/>
      <c r="D189" s="252" t="s">
        <v>254</v>
      </c>
      <c r="E189" s="473"/>
      <c r="F189" s="373">
        <f>'Costos totales'!M97</f>
        <v>24</v>
      </c>
      <c r="G189" s="206">
        <f>ROUND(F189*G188/100,2)</f>
        <v>1.8</v>
      </c>
    </row>
    <row r="190" spans="2:7">
      <c r="B190" s="215"/>
      <c r="C190" s="214"/>
      <c r="D190" s="252" t="s">
        <v>255</v>
      </c>
      <c r="E190" s="473"/>
      <c r="F190" s="205"/>
      <c r="G190" s="206">
        <f>SUM(G188:G189)</f>
        <v>9.3170000000000002</v>
      </c>
    </row>
    <row r="191" spans="2:7" ht="15" thickBot="1">
      <c r="B191" s="255"/>
      <c r="C191" s="256"/>
      <c r="D191" s="257" t="s">
        <v>256</v>
      </c>
      <c r="E191" s="474"/>
      <c r="F191" s="258"/>
      <c r="G191" s="259">
        <f>+G190</f>
        <v>9.3170000000000002</v>
      </c>
    </row>
    <row r="192" spans="2:7">
      <c r="B192" s="56"/>
      <c r="C192" s="56"/>
      <c r="D192" s="56"/>
      <c r="E192" s="464"/>
      <c r="F192" s="56"/>
      <c r="G192" s="56"/>
    </row>
    <row r="193" spans="2:7" ht="15" thickBot="1">
      <c r="B193" s="56"/>
      <c r="C193" s="56"/>
      <c r="D193" s="56"/>
      <c r="E193" s="464"/>
      <c r="F193" s="56"/>
      <c r="G193" s="56"/>
    </row>
    <row r="194" spans="2:7">
      <c r="B194" s="657" t="s">
        <v>239</v>
      </c>
      <c r="C194" s="659" t="s">
        <v>261</v>
      </c>
      <c r="D194" s="659" t="s">
        <v>240</v>
      </c>
      <c r="E194" s="659" t="s">
        <v>240</v>
      </c>
      <c r="F194" s="659" t="s">
        <v>240</v>
      </c>
      <c r="G194" s="660" t="s">
        <v>240</v>
      </c>
    </row>
    <row r="195" spans="2:7">
      <c r="B195" s="658"/>
      <c r="C195" s="661" t="s">
        <v>240</v>
      </c>
      <c r="D195" s="661" t="s">
        <v>240</v>
      </c>
      <c r="E195" s="661" t="s">
        <v>240</v>
      </c>
      <c r="F195" s="661" t="s">
        <v>240</v>
      </c>
      <c r="G195" s="662" t="s">
        <v>240</v>
      </c>
    </row>
    <row r="196" spans="2:7">
      <c r="B196" s="215"/>
      <c r="C196" s="214"/>
      <c r="D196" s="214"/>
      <c r="E196" s="465"/>
      <c r="F196" s="214"/>
      <c r="G196" s="216"/>
    </row>
    <row r="197" spans="2:7">
      <c r="B197" s="217" t="s">
        <v>241</v>
      </c>
      <c r="C197" s="214"/>
      <c r="D197" s="214"/>
      <c r="E197" s="465"/>
      <c r="F197" s="214"/>
      <c r="G197" s="216"/>
    </row>
    <row r="198" spans="2:7">
      <c r="B198" s="655" t="s">
        <v>242</v>
      </c>
      <c r="C198" s="635" t="s">
        <v>291</v>
      </c>
      <c r="D198" s="635" t="s">
        <v>296</v>
      </c>
      <c r="E198" s="637" t="s">
        <v>293</v>
      </c>
      <c r="F198" s="635" t="s">
        <v>294</v>
      </c>
      <c r="G198" s="639" t="s">
        <v>295</v>
      </c>
    </row>
    <row r="199" spans="2:7">
      <c r="B199" s="656"/>
      <c r="C199" s="636"/>
      <c r="D199" s="636"/>
      <c r="E199" s="638"/>
      <c r="F199" s="636"/>
      <c r="G199" s="640"/>
    </row>
    <row r="200" spans="2:7">
      <c r="B200" s="227" t="s">
        <v>181</v>
      </c>
      <c r="C200" s="409">
        <v>1</v>
      </c>
      <c r="D200" s="218">
        <f>'Costos totales'!K19</f>
        <v>7.0368708526087273E-2</v>
      </c>
      <c r="E200" s="466">
        <f>+D200*C200</f>
        <v>7.0368708526087273E-2</v>
      </c>
      <c r="F200" s="485">
        <f>'Costos totales'!H19</f>
        <v>3.3000000000000002E-2</v>
      </c>
      <c r="G200" s="437">
        <f>+F200*E200</f>
        <v>2.3221673813608799E-3</v>
      </c>
    </row>
    <row r="201" spans="2:7">
      <c r="B201" s="233" t="s">
        <v>2</v>
      </c>
      <c r="C201" s="260">
        <v>1</v>
      </c>
      <c r="D201" s="261">
        <f>'Costos totales'!K21</f>
        <v>0.23718569877984882</v>
      </c>
      <c r="E201" s="467">
        <f t="shared" ref="E201:E207" si="9">+D201*C201</f>
        <v>0.23718569877984882</v>
      </c>
      <c r="F201" s="271">
        <f>'Costos totales'!H21</f>
        <v>19</v>
      </c>
      <c r="G201" s="270">
        <f t="shared" ref="G201:G207" si="10">+F201*E201</f>
        <v>4.5065282768171278</v>
      </c>
    </row>
    <row r="202" spans="2:7">
      <c r="B202" s="381" t="s">
        <v>3</v>
      </c>
      <c r="C202" s="382">
        <v>2</v>
      </c>
      <c r="D202" s="261">
        <f>'Costos totales'!K20</f>
        <v>4.4292237442922374E-4</v>
      </c>
      <c r="E202" s="467">
        <f t="shared" si="9"/>
        <v>8.8584474885844747E-4</v>
      </c>
      <c r="F202" s="271">
        <f>'Costos totales'!H20</f>
        <v>19</v>
      </c>
      <c r="G202" s="270">
        <f t="shared" si="10"/>
        <v>1.6831050228310503E-2</v>
      </c>
    </row>
    <row r="203" spans="2:7">
      <c r="B203" s="381" t="s">
        <v>4</v>
      </c>
      <c r="C203" s="382">
        <v>1</v>
      </c>
      <c r="D203" s="261">
        <f>'Costos totales'!K22</f>
        <v>9.2389649923896495E-4</v>
      </c>
      <c r="E203" s="467">
        <f t="shared" si="9"/>
        <v>9.2389649923896495E-4</v>
      </c>
      <c r="F203" s="271">
        <f>'Costos totales'!H22</f>
        <v>0.08</v>
      </c>
      <c r="G203" s="270">
        <f t="shared" si="10"/>
        <v>7.3911719939117197E-5</v>
      </c>
    </row>
    <row r="204" spans="2:7">
      <c r="B204" s="381" t="s">
        <v>5</v>
      </c>
      <c r="C204" s="382">
        <v>1</v>
      </c>
      <c r="D204" s="261">
        <f>'Costos totales'!K23</f>
        <v>9.2389649923896495E-4</v>
      </c>
      <c r="E204" s="467">
        <f t="shared" si="9"/>
        <v>9.2389649923896495E-4</v>
      </c>
      <c r="F204" s="271">
        <f>'Costos totales'!H23</f>
        <v>0.08</v>
      </c>
      <c r="G204" s="270">
        <f t="shared" si="10"/>
        <v>7.3911719939117197E-5</v>
      </c>
    </row>
    <row r="205" spans="2:7">
      <c r="B205" s="381" t="s">
        <v>262</v>
      </c>
      <c r="C205" s="382">
        <v>1</v>
      </c>
      <c r="D205" s="264">
        <f>'Costos totales'!K24</f>
        <v>6.7607876712328764E-3</v>
      </c>
      <c r="E205" s="467">
        <f t="shared" si="9"/>
        <v>6.7607876712328764E-3</v>
      </c>
      <c r="F205" s="271">
        <f>'Costos totales'!H24</f>
        <v>0.05</v>
      </c>
      <c r="G205" s="270">
        <f t="shared" si="10"/>
        <v>3.3803938356164387E-4</v>
      </c>
    </row>
    <row r="206" spans="2:7">
      <c r="B206" s="233" t="s">
        <v>199</v>
      </c>
      <c r="C206" s="272">
        <v>1</v>
      </c>
      <c r="D206" s="265">
        <f>'Costos totales'!K25</f>
        <v>1.8858447488584475E-3</v>
      </c>
      <c r="E206" s="467">
        <f t="shared" si="9"/>
        <v>1.8858447488584475E-3</v>
      </c>
      <c r="F206" s="271">
        <f>'Costos totales'!H25</f>
        <v>0.08</v>
      </c>
      <c r="G206" s="270">
        <f t="shared" si="10"/>
        <v>1.508675799086758E-4</v>
      </c>
    </row>
    <row r="207" spans="2:7">
      <c r="B207" s="236" t="s">
        <v>8</v>
      </c>
      <c r="C207" s="273">
        <v>1</v>
      </c>
      <c r="D207" s="447">
        <f>'Costos totales'!K26</f>
        <v>5.6838680597200389E-2</v>
      </c>
      <c r="E207" s="468">
        <f t="shared" si="9"/>
        <v>5.6838680597200389E-2</v>
      </c>
      <c r="F207" s="486">
        <f>'Costos totales'!H26</f>
        <v>1.64</v>
      </c>
      <c r="G207" s="438">
        <f t="shared" si="10"/>
        <v>9.3215436179408626E-2</v>
      </c>
    </row>
    <row r="208" spans="2:7">
      <c r="B208" s="215"/>
      <c r="C208" s="214"/>
      <c r="D208" s="214"/>
      <c r="E208" s="465"/>
      <c r="F208" s="214" t="s">
        <v>245</v>
      </c>
      <c r="G208" s="222">
        <f>SUM(G200:G207)</f>
        <v>4.6195336610095561</v>
      </c>
    </row>
    <row r="209" spans="2:7">
      <c r="B209" s="217" t="s">
        <v>246</v>
      </c>
      <c r="C209" s="214"/>
      <c r="D209" s="214"/>
      <c r="E209" s="465"/>
      <c r="F209" s="214"/>
      <c r="G209" s="216"/>
    </row>
    <row r="210" spans="2:7">
      <c r="B210" s="655" t="s">
        <v>242</v>
      </c>
      <c r="C210" s="635" t="s">
        <v>291</v>
      </c>
      <c r="D210" s="635" t="s">
        <v>292</v>
      </c>
      <c r="E210" s="637" t="s">
        <v>293</v>
      </c>
      <c r="F210" s="635" t="s">
        <v>294</v>
      </c>
      <c r="G210" s="639" t="s">
        <v>295</v>
      </c>
    </row>
    <row r="211" spans="2:7">
      <c r="B211" s="656"/>
      <c r="C211" s="636"/>
      <c r="D211" s="636"/>
      <c r="E211" s="638"/>
      <c r="F211" s="636"/>
      <c r="G211" s="640"/>
    </row>
    <row r="212" spans="2:7">
      <c r="B212" s="227" t="s">
        <v>120</v>
      </c>
      <c r="C212" s="228">
        <v>1</v>
      </c>
      <c r="D212" s="243">
        <f>'Costos totales'!I27</f>
        <v>5.1829166666666673</v>
      </c>
      <c r="E212" s="472">
        <f>+D212*C212</f>
        <v>5.1829166666666673</v>
      </c>
      <c r="F212" s="229">
        <f>Rendimientos!B3</f>
        <v>0.66110000000000002</v>
      </c>
      <c r="G212" s="245">
        <f>+F212*E212</f>
        <v>3.4264262083333339</v>
      </c>
    </row>
    <row r="213" spans="2:7">
      <c r="B213" s="233"/>
      <c r="C213" s="374"/>
      <c r="D213" s="234"/>
      <c r="E213" s="470" t="str">
        <f>IF(C213="","",ROUND(C213*D213,2))</f>
        <v/>
      </c>
      <c r="F213" s="234" t="str">
        <f>IF(C213="","", $G$10)</f>
        <v/>
      </c>
      <c r="G213" s="235" t="str">
        <f>IF(D213="","",ROUND(E213*F213,2))</f>
        <v/>
      </c>
    </row>
    <row r="214" spans="2:7">
      <c r="B214" s="233"/>
      <c r="C214" s="234"/>
      <c r="D214" s="234"/>
      <c r="E214" s="470" t="str">
        <f>IF(C214="","",ROUND(C214*D214,2))</f>
        <v/>
      </c>
      <c r="F214" s="234" t="str">
        <f>IF(C214="","", $G$10)</f>
        <v/>
      </c>
      <c r="G214" s="235" t="str">
        <f>IF(D214="","",ROUND(E214*F214,2))</f>
        <v/>
      </c>
    </row>
    <row r="215" spans="2:7">
      <c r="B215" s="233"/>
      <c r="C215" s="234"/>
      <c r="D215" s="234"/>
      <c r="E215" s="470" t="str">
        <f>IF(C215="","",ROUND(C215*D215,2))</f>
        <v/>
      </c>
      <c r="F215" s="234" t="str">
        <f>IF(C215="","", $G$10)</f>
        <v/>
      </c>
      <c r="G215" s="235" t="str">
        <f>IF(D215="","",ROUND(E215*F215,2))</f>
        <v/>
      </c>
    </row>
    <row r="216" spans="2:7">
      <c r="B216" s="236"/>
      <c r="C216" s="237"/>
      <c r="D216" s="237"/>
      <c r="E216" s="471" t="str">
        <f>IF(C216="","",ROUND(C216*D216,2))</f>
        <v/>
      </c>
      <c r="F216" s="237" t="str">
        <f>IF(C216="","", $G$10)</f>
        <v/>
      </c>
      <c r="G216" s="238" t="str">
        <f>IF(D216="","",ROUND(E216*F216,2))</f>
        <v/>
      </c>
    </row>
    <row r="217" spans="2:7">
      <c r="B217" s="215"/>
      <c r="C217" s="214"/>
      <c r="D217" s="214"/>
      <c r="E217" s="465"/>
      <c r="F217" s="214" t="s">
        <v>247</v>
      </c>
      <c r="G217" s="239">
        <f>SUM(G212:G216)</f>
        <v>3.4264262083333339</v>
      </c>
    </row>
    <row r="218" spans="2:7">
      <c r="B218" s="217" t="s">
        <v>248</v>
      </c>
      <c r="C218" s="214"/>
      <c r="D218" s="214"/>
      <c r="E218" s="465"/>
      <c r="F218" s="214"/>
      <c r="G218" s="216"/>
    </row>
    <row r="219" spans="2:7" ht="15" customHeight="1">
      <c r="B219" s="611" t="s">
        <v>242</v>
      </c>
      <c r="C219" s="612"/>
      <c r="D219" s="635" t="s">
        <v>249</v>
      </c>
      <c r="E219" s="637" t="s">
        <v>291</v>
      </c>
      <c r="F219" s="635" t="s">
        <v>297</v>
      </c>
      <c r="G219" s="639" t="s">
        <v>298</v>
      </c>
    </row>
    <row r="220" spans="2:7">
      <c r="B220" s="613"/>
      <c r="C220" s="614"/>
      <c r="D220" s="636"/>
      <c r="E220" s="638"/>
      <c r="F220" s="636"/>
      <c r="G220" s="640"/>
    </row>
    <row r="221" spans="2:7">
      <c r="B221" s="641"/>
      <c r="C221" s="642"/>
      <c r="D221" s="240"/>
      <c r="E221" s="472"/>
      <c r="F221" s="243"/>
      <c r="G221" s="242"/>
    </row>
    <row r="222" spans="2:7">
      <c r="B222" s="643"/>
      <c r="C222" s="644"/>
      <c r="D222" s="374"/>
      <c r="E222" s="470"/>
      <c r="F222" s="244"/>
      <c r="G222" s="386"/>
    </row>
    <row r="223" spans="2:7">
      <c r="B223" s="643"/>
      <c r="C223" s="644"/>
      <c r="D223" s="234"/>
      <c r="E223" s="470"/>
      <c r="F223" s="246"/>
      <c r="G223" s="387"/>
    </row>
    <row r="224" spans="2:7">
      <c r="B224" s="643"/>
      <c r="C224" s="644"/>
      <c r="D224" s="234"/>
      <c r="E224" s="470"/>
      <c r="F224" s="246"/>
      <c r="G224" s="387"/>
    </row>
    <row r="225" spans="2:7">
      <c r="B225" s="645"/>
      <c r="C225" s="646"/>
      <c r="D225" s="237"/>
      <c r="E225" s="471"/>
      <c r="F225" s="237"/>
      <c r="G225" s="238" t="str">
        <f>IF(D225="","",ROUND(E225*F225,2))</f>
        <v/>
      </c>
    </row>
    <row r="226" spans="2:7">
      <c r="B226" s="215"/>
      <c r="C226" s="214"/>
      <c r="D226" s="214"/>
      <c r="E226" s="465"/>
      <c r="F226" s="214" t="s">
        <v>250</v>
      </c>
      <c r="G226" s="247">
        <f>SUM(G221:G225)</f>
        <v>0</v>
      </c>
    </row>
    <row r="227" spans="2:7">
      <c r="B227" s="217" t="s">
        <v>251</v>
      </c>
      <c r="C227" s="214"/>
      <c r="D227" s="214"/>
      <c r="E227" s="465"/>
      <c r="F227" s="214"/>
      <c r="G227" s="248"/>
    </row>
    <row r="228" spans="2:7">
      <c r="B228" s="611" t="s">
        <v>242</v>
      </c>
      <c r="C228" s="612"/>
      <c r="D228" s="635" t="s">
        <v>249</v>
      </c>
      <c r="E228" s="637" t="s">
        <v>291</v>
      </c>
      <c r="F228" s="635" t="s">
        <v>299</v>
      </c>
      <c r="G228" s="639" t="s">
        <v>298</v>
      </c>
    </row>
    <row r="229" spans="2:7">
      <c r="B229" s="613"/>
      <c r="C229" s="614"/>
      <c r="D229" s="636"/>
      <c r="E229" s="638"/>
      <c r="F229" s="636"/>
      <c r="G229" s="640"/>
    </row>
    <row r="230" spans="2:7">
      <c r="B230" s="647"/>
      <c r="C230" s="648"/>
      <c r="D230" s="240"/>
      <c r="E230" s="472"/>
      <c r="F230" s="240"/>
      <c r="G230" s="230"/>
    </row>
    <row r="231" spans="2:7">
      <c r="B231" s="651"/>
      <c r="C231" s="652"/>
      <c r="D231" s="234"/>
      <c r="E231" s="470"/>
      <c r="F231" s="234"/>
      <c r="G231" s="249" t="str">
        <f>IF(D231="","",ROUND(E231*F231,2))</f>
        <v/>
      </c>
    </row>
    <row r="232" spans="2:7">
      <c r="B232" s="651"/>
      <c r="C232" s="652"/>
      <c r="D232" s="234"/>
      <c r="E232" s="470"/>
      <c r="F232" s="234"/>
      <c r="G232" s="235" t="str">
        <f>IF(D232="","",ROUND(E232*F232,2))</f>
        <v/>
      </c>
    </row>
    <row r="233" spans="2:7">
      <c r="B233" s="651"/>
      <c r="C233" s="652"/>
      <c r="D233" s="234"/>
      <c r="E233" s="470"/>
      <c r="F233" s="234"/>
      <c r="G233" s="235" t="str">
        <f>IF(D233="","",ROUND(E233*F233,2))</f>
        <v/>
      </c>
    </row>
    <row r="234" spans="2:7">
      <c r="B234" s="653"/>
      <c r="C234" s="654"/>
      <c r="D234" s="237"/>
      <c r="E234" s="471"/>
      <c r="F234" s="237"/>
      <c r="G234" s="250" t="str">
        <f>IF(D234="","",ROUND(E234*F234,2))</f>
        <v/>
      </c>
    </row>
    <row r="235" spans="2:7">
      <c r="B235" s="215"/>
      <c r="C235" s="214"/>
      <c r="D235" s="214"/>
      <c r="E235" s="465"/>
      <c r="F235" s="214" t="s">
        <v>252</v>
      </c>
      <c r="G235" s="251">
        <f>SUM(G230:G234)</f>
        <v>0</v>
      </c>
    </row>
    <row r="236" spans="2:7">
      <c r="B236" s="215"/>
      <c r="C236" s="214"/>
      <c r="D236" s="214"/>
      <c r="E236" s="465"/>
      <c r="F236" s="214"/>
      <c r="G236" s="248"/>
    </row>
    <row r="237" spans="2:7">
      <c r="B237" s="215"/>
      <c r="C237" s="214"/>
      <c r="D237" s="252" t="s">
        <v>253</v>
      </c>
      <c r="E237" s="473"/>
      <c r="F237" s="253"/>
      <c r="G237" s="254">
        <f>ROUND(G208+G217+G226+G235,3)</f>
        <v>8.0459999999999994</v>
      </c>
    </row>
    <row r="238" spans="2:7">
      <c r="B238" s="215"/>
      <c r="C238" s="214"/>
      <c r="D238" s="252" t="s">
        <v>254</v>
      </c>
      <c r="E238" s="473"/>
      <c r="F238" s="373">
        <f>'Costos totales'!M30</f>
        <v>24</v>
      </c>
      <c r="G238" s="206">
        <f>ROUND(F238*G237/100,2)</f>
        <v>1.93</v>
      </c>
    </row>
    <row r="239" spans="2:7">
      <c r="B239" s="215"/>
      <c r="C239" s="214"/>
      <c r="D239" s="252" t="s">
        <v>255</v>
      </c>
      <c r="E239" s="473"/>
      <c r="F239" s="205"/>
      <c r="G239" s="206">
        <f>SUM(G237:G238)</f>
        <v>9.9759999999999991</v>
      </c>
    </row>
    <row r="240" spans="2:7" ht="15" thickBot="1">
      <c r="B240" s="255"/>
      <c r="C240" s="256"/>
      <c r="D240" s="257" t="s">
        <v>256</v>
      </c>
      <c r="E240" s="474"/>
      <c r="F240" s="258"/>
      <c r="G240" s="259">
        <f>+G239</f>
        <v>9.9759999999999991</v>
      </c>
    </row>
    <row r="241" spans="2:7">
      <c r="B241" s="56"/>
      <c r="C241" s="56"/>
      <c r="D241" s="56"/>
      <c r="E241" s="464"/>
      <c r="F241" s="56"/>
      <c r="G241" s="56"/>
    </row>
    <row r="242" spans="2:7" ht="15" thickBot="1">
      <c r="B242" s="56"/>
      <c r="C242" s="56"/>
      <c r="D242" s="56"/>
      <c r="E242" s="464"/>
      <c r="F242" s="56"/>
      <c r="G242" s="56"/>
    </row>
    <row r="243" spans="2:7">
      <c r="B243" s="657" t="s">
        <v>239</v>
      </c>
      <c r="C243" s="659" t="s">
        <v>90</v>
      </c>
      <c r="D243" s="659" t="s">
        <v>240</v>
      </c>
      <c r="E243" s="659" t="s">
        <v>240</v>
      </c>
      <c r="F243" s="659" t="s">
        <v>240</v>
      </c>
      <c r="G243" s="660" t="s">
        <v>240</v>
      </c>
    </row>
    <row r="244" spans="2:7">
      <c r="B244" s="658"/>
      <c r="C244" s="661" t="s">
        <v>240</v>
      </c>
      <c r="D244" s="661" t="s">
        <v>240</v>
      </c>
      <c r="E244" s="661" t="s">
        <v>240</v>
      </c>
      <c r="F244" s="661" t="s">
        <v>240</v>
      </c>
      <c r="G244" s="662" t="s">
        <v>240</v>
      </c>
    </row>
    <row r="245" spans="2:7">
      <c r="B245" s="215"/>
      <c r="C245" s="214"/>
      <c r="D245" s="214"/>
      <c r="E245" s="465"/>
      <c r="F245" s="214"/>
      <c r="G245" s="216"/>
    </row>
    <row r="246" spans="2:7">
      <c r="B246" s="217" t="s">
        <v>241</v>
      </c>
      <c r="C246" s="214"/>
      <c r="D246" s="214"/>
      <c r="E246" s="465"/>
      <c r="F246" s="214"/>
      <c r="G246" s="216"/>
    </row>
    <row r="247" spans="2:7">
      <c r="B247" s="655" t="s">
        <v>242</v>
      </c>
      <c r="C247" s="635" t="s">
        <v>291</v>
      </c>
      <c r="D247" s="635" t="s">
        <v>296</v>
      </c>
      <c r="E247" s="637" t="s">
        <v>293</v>
      </c>
      <c r="F247" s="635" t="s">
        <v>294</v>
      </c>
      <c r="G247" s="639" t="s">
        <v>295</v>
      </c>
    </row>
    <row r="248" spans="2:7">
      <c r="B248" s="656"/>
      <c r="C248" s="636"/>
      <c r="D248" s="636"/>
      <c r="E248" s="638"/>
      <c r="F248" s="636"/>
      <c r="G248" s="640"/>
    </row>
    <row r="249" spans="2:7">
      <c r="B249" s="233" t="s">
        <v>181</v>
      </c>
      <c r="C249" s="260">
        <v>1</v>
      </c>
      <c r="D249" s="261">
        <f>'Costos totales'!K52</f>
        <v>7.0368708526087273E-2</v>
      </c>
      <c r="E249" s="467">
        <f>+D249*C249</f>
        <v>7.0368708526087273E-2</v>
      </c>
      <c r="F249" s="271">
        <f>'Costos totales'!H52</f>
        <v>0.12</v>
      </c>
      <c r="G249" s="270">
        <f>+F249*E249</f>
        <v>8.4442450231304728E-3</v>
      </c>
    </row>
    <row r="250" spans="2:7">
      <c r="B250" s="274" t="s">
        <v>2</v>
      </c>
      <c r="C250" s="377">
        <v>1</v>
      </c>
      <c r="D250" s="219">
        <f>'Costos totales'!K54</f>
        <v>0.23718569877984882</v>
      </c>
      <c r="E250" s="478">
        <f t="shared" ref="E250:E259" si="11">+D250*C250</f>
        <v>0.23718569877984882</v>
      </c>
      <c r="F250" s="375">
        <f>'Costos totales'!H54</f>
        <v>18</v>
      </c>
      <c r="G250" s="376">
        <f t="shared" ref="G250:G259" si="12">+F250*E250</f>
        <v>4.2693425780372785</v>
      </c>
    </row>
    <row r="251" spans="2:7">
      <c r="B251" s="381" t="s">
        <v>9</v>
      </c>
      <c r="C251" s="382">
        <v>1</v>
      </c>
      <c r="D251" s="261">
        <f>'Costos totales'!K53</f>
        <v>9.2389649923896495E-4</v>
      </c>
      <c r="E251" s="467">
        <f t="shared" si="11"/>
        <v>9.2389649923896495E-4</v>
      </c>
      <c r="F251" s="271">
        <f>'Costos totales'!H53</f>
        <v>42.02</v>
      </c>
      <c r="G251" s="270">
        <f t="shared" si="12"/>
        <v>3.8822130898021313E-2</v>
      </c>
    </row>
    <row r="252" spans="2:7">
      <c r="B252" s="381" t="s">
        <v>263</v>
      </c>
      <c r="C252" s="382">
        <v>1</v>
      </c>
      <c r="D252" s="261">
        <f>'Costos totales'!K55</f>
        <v>0.10602836781570478</v>
      </c>
      <c r="E252" s="467">
        <f t="shared" si="11"/>
        <v>0.10602836781570478</v>
      </c>
      <c r="F252" s="271">
        <f>'Costos totales'!H55</f>
        <v>24</v>
      </c>
      <c r="G252" s="270">
        <f t="shared" si="12"/>
        <v>2.5446808275769146</v>
      </c>
    </row>
    <row r="253" spans="2:7">
      <c r="B253" s="381" t="s">
        <v>213</v>
      </c>
      <c r="C253" s="383">
        <v>1</v>
      </c>
      <c r="D253" s="264">
        <f>'Costos totales'!K57</f>
        <v>4.194520547945205E-3</v>
      </c>
      <c r="E253" s="467">
        <f t="shared" si="11"/>
        <v>4.194520547945205E-3</v>
      </c>
      <c r="F253" s="271">
        <f>'Costos totales'!H57</f>
        <v>0.03</v>
      </c>
      <c r="G253" s="270">
        <f t="shared" si="12"/>
        <v>1.2583561643835615E-4</v>
      </c>
    </row>
    <row r="254" spans="2:7">
      <c r="B254" s="381" t="s">
        <v>214</v>
      </c>
      <c r="C254" s="383">
        <v>1</v>
      </c>
      <c r="D254" s="264">
        <f>'Costos totales'!K58</f>
        <v>6.2146118721461184E-3</v>
      </c>
      <c r="E254" s="467">
        <f t="shared" si="11"/>
        <v>6.2146118721461184E-3</v>
      </c>
      <c r="F254" s="271">
        <f>'Costos totales'!H58</f>
        <v>0.03</v>
      </c>
      <c r="G254" s="270">
        <f t="shared" si="12"/>
        <v>1.8643835616438356E-4</v>
      </c>
    </row>
    <row r="255" spans="2:7">
      <c r="B255" s="233" t="s">
        <v>17</v>
      </c>
      <c r="C255" s="272">
        <v>1</v>
      </c>
      <c r="D255" s="265">
        <f>'Costos totales'!K59</f>
        <v>3.7081789430346582E-2</v>
      </c>
      <c r="E255" s="467">
        <f t="shared" si="11"/>
        <v>3.7081789430346582E-2</v>
      </c>
      <c r="F255" s="271">
        <f>'Costos totales'!H59</f>
        <v>0.1</v>
      </c>
      <c r="G255" s="270">
        <f t="shared" si="12"/>
        <v>3.7081789430346585E-3</v>
      </c>
    </row>
    <row r="256" spans="2:7">
      <c r="B256" s="233" t="s">
        <v>264</v>
      </c>
      <c r="C256" s="272">
        <v>1</v>
      </c>
      <c r="D256" s="265">
        <f>'Costos totales'!K60</f>
        <v>1.1643835616438356E-3</v>
      </c>
      <c r="E256" s="467">
        <f t="shared" si="11"/>
        <v>1.1643835616438356E-3</v>
      </c>
      <c r="F256" s="271">
        <f>'Costos totales'!H60</f>
        <v>0.28999999999999998</v>
      </c>
      <c r="G256" s="270">
        <f t="shared" si="12"/>
        <v>3.3767123287671227E-4</v>
      </c>
    </row>
    <row r="257" spans="2:7">
      <c r="B257" s="233" t="s">
        <v>19</v>
      </c>
      <c r="C257" s="272">
        <v>1</v>
      </c>
      <c r="D257" s="265">
        <f>'Costos totales'!K61</f>
        <v>1.1643835616438356E-3</v>
      </c>
      <c r="E257" s="467">
        <f t="shared" si="11"/>
        <v>1.1643835616438356E-3</v>
      </c>
      <c r="F257" s="271">
        <f>'Costos totales'!H61</f>
        <v>24</v>
      </c>
      <c r="G257" s="270">
        <f t="shared" si="12"/>
        <v>2.7945205479452055E-2</v>
      </c>
    </row>
    <row r="258" spans="2:7">
      <c r="B258" s="233" t="s">
        <v>262</v>
      </c>
      <c r="C258" s="272">
        <v>1</v>
      </c>
      <c r="D258" s="265">
        <f>'Costos totales'!K62</f>
        <v>6.7607876712328764E-3</v>
      </c>
      <c r="E258" s="467">
        <f t="shared" si="11"/>
        <v>6.7607876712328764E-3</v>
      </c>
      <c r="F258" s="271">
        <f>'Costos totales'!H62</f>
        <v>24</v>
      </c>
      <c r="G258" s="270">
        <f t="shared" si="12"/>
        <v>0.16225890410958904</v>
      </c>
    </row>
    <row r="259" spans="2:7">
      <c r="B259" s="487" t="s">
        <v>20</v>
      </c>
      <c r="C259" s="378">
        <v>1</v>
      </c>
      <c r="D259" s="379">
        <f>'Costos totales'!K63</f>
        <v>2.1740867579908675E-3</v>
      </c>
      <c r="E259" s="479">
        <f t="shared" si="11"/>
        <v>2.1740867579908675E-3</v>
      </c>
      <c r="F259" s="380">
        <f>'Costos totales'!H63</f>
        <v>0.72</v>
      </c>
      <c r="G259" s="488">
        <f t="shared" si="12"/>
        <v>1.5653424657534245E-3</v>
      </c>
    </row>
    <row r="260" spans="2:7">
      <c r="B260" s="215"/>
      <c r="C260" s="214"/>
      <c r="D260" s="214"/>
      <c r="E260" s="465"/>
      <c r="F260" s="214" t="s">
        <v>245</v>
      </c>
      <c r="G260" s="222">
        <f>SUM(G249:G259)</f>
        <v>7.057417357738653</v>
      </c>
    </row>
    <row r="261" spans="2:7">
      <c r="B261" s="217" t="s">
        <v>246</v>
      </c>
      <c r="C261" s="214"/>
      <c r="D261" s="214"/>
      <c r="E261" s="465"/>
      <c r="F261" s="214"/>
      <c r="G261" s="216"/>
    </row>
    <row r="262" spans="2:7">
      <c r="B262" s="655" t="s">
        <v>242</v>
      </c>
      <c r="C262" s="635" t="s">
        <v>291</v>
      </c>
      <c r="D262" s="635" t="s">
        <v>292</v>
      </c>
      <c r="E262" s="637" t="s">
        <v>293</v>
      </c>
      <c r="F262" s="635" t="s">
        <v>294</v>
      </c>
      <c r="G262" s="639" t="s">
        <v>295</v>
      </c>
    </row>
    <row r="263" spans="2:7">
      <c r="B263" s="656"/>
      <c r="C263" s="636"/>
      <c r="D263" s="636"/>
      <c r="E263" s="638"/>
      <c r="F263" s="636"/>
      <c r="G263" s="640"/>
    </row>
    <row r="264" spans="2:7">
      <c r="B264" s="226" t="s">
        <v>120</v>
      </c>
      <c r="C264" s="388">
        <v>1</v>
      </c>
      <c r="D264" s="390">
        <f>'Costos totales'!I64</f>
        <v>5.1829166666666673</v>
      </c>
      <c r="E264" s="469">
        <f>+D264*C264</f>
        <v>5.1829166666666673</v>
      </c>
      <c r="F264" s="389">
        <f>'Costos totales'!J64</f>
        <v>1.17</v>
      </c>
      <c r="G264" s="391">
        <f>+F264*E264</f>
        <v>6.0640125000000005</v>
      </c>
    </row>
    <row r="265" spans="2:7">
      <c r="B265" s="233"/>
      <c r="C265" s="231"/>
      <c r="D265" s="231"/>
      <c r="E265" s="470"/>
      <c r="F265" s="264"/>
      <c r="G265" s="249"/>
    </row>
    <row r="266" spans="2:7">
      <c r="B266" s="233"/>
      <c r="C266" s="231"/>
      <c r="D266" s="234"/>
      <c r="E266" s="470"/>
      <c r="F266" s="264"/>
      <c r="G266" s="249"/>
    </row>
    <row r="267" spans="2:7">
      <c r="B267" s="233"/>
      <c r="C267" s="234"/>
      <c r="D267" s="234"/>
      <c r="E267" s="470" t="str">
        <f>IF(C267="","",ROUND(C267*D267,2))</f>
        <v/>
      </c>
      <c r="F267" s="234" t="str">
        <f>IF(C267="","", $G$10)</f>
        <v/>
      </c>
      <c r="G267" s="235" t="str">
        <f>IF(D267="","",ROUND(E267*F267,2))</f>
        <v/>
      </c>
    </row>
    <row r="268" spans="2:7">
      <c r="B268" s="236"/>
      <c r="C268" s="237"/>
      <c r="D268" s="237"/>
      <c r="E268" s="471" t="str">
        <f>IF(C268="","",ROUND(C268*D268,2))</f>
        <v/>
      </c>
      <c r="F268" s="237" t="str">
        <f>IF(C268="","", $G$10)</f>
        <v/>
      </c>
      <c r="G268" s="238" t="str">
        <f>IF(D268="","",ROUND(E268*F268,2))</f>
        <v/>
      </c>
    </row>
    <row r="269" spans="2:7">
      <c r="B269" s="215"/>
      <c r="C269" s="214"/>
      <c r="D269" s="214"/>
      <c r="E269" s="465"/>
      <c r="F269" s="214" t="s">
        <v>247</v>
      </c>
      <c r="G269" s="239">
        <f>SUM(G264:G268)</f>
        <v>6.0640125000000005</v>
      </c>
    </row>
    <row r="270" spans="2:7">
      <c r="B270" s="217" t="s">
        <v>248</v>
      </c>
      <c r="C270" s="214"/>
      <c r="D270" s="214"/>
      <c r="E270" s="465"/>
      <c r="F270" s="214"/>
      <c r="G270" s="216"/>
    </row>
    <row r="271" spans="2:7" ht="15" customHeight="1">
      <c r="B271" s="611" t="s">
        <v>242</v>
      </c>
      <c r="C271" s="612"/>
      <c r="D271" s="635" t="s">
        <v>249</v>
      </c>
      <c r="E271" s="637" t="s">
        <v>291</v>
      </c>
      <c r="F271" s="635" t="s">
        <v>297</v>
      </c>
      <c r="G271" s="639" t="s">
        <v>298</v>
      </c>
    </row>
    <row r="272" spans="2:7">
      <c r="B272" s="613"/>
      <c r="C272" s="614"/>
      <c r="D272" s="636"/>
      <c r="E272" s="638"/>
      <c r="F272" s="636"/>
      <c r="G272" s="640"/>
    </row>
    <row r="273" spans="2:7">
      <c r="B273" s="665" t="s">
        <v>265</v>
      </c>
      <c r="C273" s="666"/>
      <c r="D273" s="384" t="s">
        <v>266</v>
      </c>
      <c r="E273" s="469">
        <f>'Costos totales'!H56</f>
        <v>0.4</v>
      </c>
      <c r="F273" s="390">
        <f>'Costos totales'!G56</f>
        <v>80</v>
      </c>
      <c r="G273" s="385">
        <f>+F273*E273/100</f>
        <v>0.32</v>
      </c>
    </row>
    <row r="274" spans="2:7">
      <c r="B274" s="643"/>
      <c r="C274" s="644"/>
      <c r="D274" s="234"/>
      <c r="E274" s="470"/>
      <c r="F274" s="244"/>
      <c r="G274" s="386"/>
    </row>
    <row r="275" spans="2:7">
      <c r="B275" s="643"/>
      <c r="C275" s="644"/>
      <c r="D275" s="234"/>
      <c r="E275" s="470"/>
      <c r="F275" s="244"/>
      <c r="G275" s="386"/>
    </row>
    <row r="276" spans="2:7">
      <c r="B276" s="643"/>
      <c r="C276" s="644"/>
      <c r="D276" s="234"/>
      <c r="E276" s="470"/>
      <c r="F276" s="244"/>
      <c r="G276" s="386"/>
    </row>
    <row r="277" spans="2:7">
      <c r="B277" s="645"/>
      <c r="C277" s="646"/>
      <c r="D277" s="237"/>
      <c r="E277" s="471"/>
      <c r="F277" s="237"/>
      <c r="G277" s="238" t="str">
        <f>IF(D277="","",ROUND(E277*F277,2))</f>
        <v/>
      </c>
    </row>
    <row r="278" spans="2:7">
      <c r="B278" s="215"/>
      <c r="C278" s="214"/>
      <c r="D278" s="214"/>
      <c r="E278" s="465"/>
      <c r="F278" s="214" t="s">
        <v>250</v>
      </c>
      <c r="G278" s="247">
        <f>SUM(G273:G277)</f>
        <v>0.32</v>
      </c>
    </row>
    <row r="279" spans="2:7">
      <c r="B279" s="217" t="s">
        <v>251</v>
      </c>
      <c r="C279" s="214"/>
      <c r="D279" s="214"/>
      <c r="E279" s="465"/>
      <c r="F279" s="214"/>
      <c r="G279" s="248"/>
    </row>
    <row r="280" spans="2:7" ht="15" customHeight="1">
      <c r="B280" s="611" t="s">
        <v>242</v>
      </c>
      <c r="C280" s="612"/>
      <c r="D280" s="635" t="s">
        <v>249</v>
      </c>
      <c r="E280" s="637" t="s">
        <v>291</v>
      </c>
      <c r="F280" s="635" t="s">
        <v>299</v>
      </c>
      <c r="G280" s="639" t="s">
        <v>298</v>
      </c>
    </row>
    <row r="281" spans="2:7">
      <c r="B281" s="613"/>
      <c r="C281" s="614"/>
      <c r="D281" s="636"/>
      <c r="E281" s="638"/>
      <c r="F281" s="636"/>
      <c r="G281" s="640"/>
    </row>
    <row r="282" spans="2:7">
      <c r="B282" s="647"/>
      <c r="C282" s="648"/>
      <c r="D282" s="240"/>
      <c r="E282" s="472"/>
      <c r="F282" s="240"/>
      <c r="G282" s="230"/>
    </row>
    <row r="283" spans="2:7">
      <c r="B283" s="651"/>
      <c r="C283" s="652"/>
      <c r="D283" s="234"/>
      <c r="E283" s="470"/>
      <c r="F283" s="234"/>
      <c r="G283" s="249" t="str">
        <f>IF(D283="","",ROUND(E283*F283,2))</f>
        <v/>
      </c>
    </row>
    <row r="284" spans="2:7">
      <c r="B284" s="651"/>
      <c r="C284" s="652"/>
      <c r="D284" s="234"/>
      <c r="E284" s="470"/>
      <c r="F284" s="234"/>
      <c r="G284" s="235" t="str">
        <f>IF(D284="","",ROUND(E284*F284,2))</f>
        <v/>
      </c>
    </row>
    <row r="285" spans="2:7">
      <c r="B285" s="651"/>
      <c r="C285" s="652"/>
      <c r="D285" s="234"/>
      <c r="E285" s="470"/>
      <c r="F285" s="234"/>
      <c r="G285" s="235" t="str">
        <f>IF(D285="","",ROUND(E285*F285,2))</f>
        <v/>
      </c>
    </row>
    <row r="286" spans="2:7">
      <c r="B286" s="653"/>
      <c r="C286" s="654"/>
      <c r="D286" s="237"/>
      <c r="E286" s="471"/>
      <c r="F286" s="237"/>
      <c r="G286" s="250" t="str">
        <f>IF(D286="","",ROUND(E286*F286,2))</f>
        <v/>
      </c>
    </row>
    <row r="287" spans="2:7">
      <c r="B287" s="215"/>
      <c r="C287" s="214"/>
      <c r="D287" s="214"/>
      <c r="E287" s="465"/>
      <c r="F287" s="214" t="s">
        <v>252</v>
      </c>
      <c r="G287" s="251">
        <f>SUM(G282:G286)</f>
        <v>0</v>
      </c>
    </row>
    <row r="288" spans="2:7">
      <c r="B288" s="215"/>
      <c r="C288" s="214"/>
      <c r="D288" s="214"/>
      <c r="E288" s="465"/>
      <c r="F288" s="214"/>
      <c r="G288" s="248"/>
    </row>
    <row r="289" spans="2:7">
      <c r="B289" s="215"/>
      <c r="C289" s="214"/>
      <c r="D289" s="252" t="s">
        <v>253</v>
      </c>
      <c r="E289" s="473"/>
      <c r="F289" s="253"/>
      <c r="G289" s="254">
        <f>ROUND(G260+G269+G278+G287,3)</f>
        <v>13.441000000000001</v>
      </c>
    </row>
    <row r="290" spans="2:7">
      <c r="B290" s="215"/>
      <c r="C290" s="214"/>
      <c r="D290" s="252" t="s">
        <v>254</v>
      </c>
      <c r="E290" s="473"/>
      <c r="F290" s="373">
        <f>'Costos totales'!M67</f>
        <v>24</v>
      </c>
      <c r="G290" s="206">
        <f>ROUND(F290*G289/100,2)</f>
        <v>3.23</v>
      </c>
    </row>
    <row r="291" spans="2:7">
      <c r="B291" s="215"/>
      <c r="C291" s="214"/>
      <c r="D291" s="252" t="s">
        <v>255</v>
      </c>
      <c r="E291" s="473"/>
      <c r="F291" s="205"/>
      <c r="G291" s="206">
        <f>SUM(G289:G290)</f>
        <v>16.670999999999999</v>
      </c>
    </row>
    <row r="292" spans="2:7" ht="15" thickBot="1">
      <c r="B292" s="255"/>
      <c r="C292" s="256"/>
      <c r="D292" s="257" t="s">
        <v>256</v>
      </c>
      <c r="E292" s="474"/>
      <c r="F292" s="258"/>
      <c r="G292" s="259">
        <f>+G291</f>
        <v>16.670999999999999</v>
      </c>
    </row>
    <row r="293" spans="2:7">
      <c r="B293" s="56"/>
      <c r="C293" s="56"/>
      <c r="D293" s="56"/>
      <c r="E293" s="464"/>
      <c r="F293" s="56"/>
      <c r="G293" s="56"/>
    </row>
    <row r="294" spans="2:7" ht="15" thickBot="1">
      <c r="B294" s="56"/>
      <c r="C294" s="56"/>
      <c r="D294" s="56"/>
      <c r="E294" s="464"/>
      <c r="F294" s="56"/>
      <c r="G294" s="56"/>
    </row>
    <row r="295" spans="2:7">
      <c r="B295" s="657" t="s">
        <v>239</v>
      </c>
      <c r="C295" s="659" t="s">
        <v>267</v>
      </c>
      <c r="D295" s="659" t="s">
        <v>240</v>
      </c>
      <c r="E295" s="659" t="s">
        <v>240</v>
      </c>
      <c r="F295" s="659" t="s">
        <v>240</v>
      </c>
      <c r="G295" s="660" t="s">
        <v>240</v>
      </c>
    </row>
    <row r="296" spans="2:7">
      <c r="B296" s="658"/>
      <c r="C296" s="661" t="s">
        <v>240</v>
      </c>
      <c r="D296" s="661" t="s">
        <v>240</v>
      </c>
      <c r="E296" s="661" t="s">
        <v>240</v>
      </c>
      <c r="F296" s="661" t="s">
        <v>240</v>
      </c>
      <c r="G296" s="662" t="s">
        <v>240</v>
      </c>
    </row>
    <row r="297" spans="2:7">
      <c r="B297" s="215"/>
      <c r="C297" s="214"/>
      <c r="D297" s="214"/>
      <c r="E297" s="465"/>
      <c r="F297" s="214"/>
      <c r="G297" s="216"/>
    </row>
    <row r="298" spans="2:7">
      <c r="B298" s="217" t="s">
        <v>241</v>
      </c>
      <c r="C298" s="214"/>
      <c r="D298" s="214"/>
      <c r="E298" s="465"/>
      <c r="F298" s="214"/>
      <c r="G298" s="216"/>
    </row>
    <row r="299" spans="2:7">
      <c r="B299" s="655" t="s">
        <v>242</v>
      </c>
      <c r="C299" s="635" t="s">
        <v>291</v>
      </c>
      <c r="D299" s="635" t="s">
        <v>296</v>
      </c>
      <c r="E299" s="637" t="s">
        <v>293</v>
      </c>
      <c r="F299" s="635" t="s">
        <v>294</v>
      </c>
      <c r="G299" s="639" t="s">
        <v>295</v>
      </c>
    </row>
    <row r="300" spans="2:7">
      <c r="B300" s="656"/>
      <c r="C300" s="636"/>
      <c r="D300" s="636"/>
      <c r="E300" s="638"/>
      <c r="F300" s="636"/>
      <c r="G300" s="640"/>
    </row>
    <row r="301" spans="2:7">
      <c r="B301" s="227" t="str">
        <f>'Costos totales'!B105</f>
        <v>Balanza aprox 0,01 gr</v>
      </c>
      <c r="C301" s="409">
        <v>1</v>
      </c>
      <c r="D301" s="218">
        <f>'Costos totales'!K105</f>
        <v>7.0368708526087273E-2</v>
      </c>
      <c r="E301" s="466">
        <f>+D301*C301</f>
        <v>7.0368708526087273E-2</v>
      </c>
      <c r="F301" s="485">
        <f>'Costos totales'!H105</f>
        <v>0.25</v>
      </c>
      <c r="G301" s="437">
        <f>+F301*E301</f>
        <v>1.7592177131521818E-2</v>
      </c>
    </row>
    <row r="302" spans="2:7">
      <c r="B302" s="233" t="s">
        <v>221</v>
      </c>
      <c r="C302" s="260">
        <v>1</v>
      </c>
      <c r="D302" s="261">
        <f>'Costos totales'!K102</f>
        <v>2.4894672754946731E-3</v>
      </c>
      <c r="E302" s="467">
        <f t="shared" ref="E302:E313" si="13">+D302*C302</f>
        <v>2.4894672754946731E-3</v>
      </c>
      <c r="F302" s="271">
        <f>'Costos totales'!H102</f>
        <v>0.48</v>
      </c>
      <c r="G302" s="270">
        <f t="shared" ref="G302:G313" si="14">+F302*E302</f>
        <v>1.1949442922374431E-3</v>
      </c>
    </row>
    <row r="303" spans="2:7">
      <c r="B303" s="381" t="s">
        <v>222</v>
      </c>
      <c r="C303" s="382">
        <v>1</v>
      </c>
      <c r="D303" s="261">
        <f>'Costos totales'!K103</f>
        <v>5.5053881278538819E-4</v>
      </c>
      <c r="E303" s="467">
        <f t="shared" si="13"/>
        <v>5.5053881278538819E-4</v>
      </c>
      <c r="F303" s="271">
        <f>'Costos totales'!H103</f>
        <v>0.45</v>
      </c>
      <c r="G303" s="270">
        <f t="shared" si="14"/>
        <v>2.4774246575342472E-4</v>
      </c>
    </row>
    <row r="304" spans="2:7">
      <c r="B304" s="381" t="s">
        <v>268</v>
      </c>
      <c r="C304" s="382">
        <v>1</v>
      </c>
      <c r="D304" s="261">
        <f>'Costos totales'!K104</f>
        <v>2.5579908675799085E-3</v>
      </c>
      <c r="E304" s="467">
        <f t="shared" si="13"/>
        <v>2.5579908675799085E-3</v>
      </c>
      <c r="F304" s="271">
        <f>'Costos totales'!H104</f>
        <v>0.45</v>
      </c>
      <c r="G304" s="270">
        <f t="shared" si="14"/>
        <v>1.1510958904109589E-3</v>
      </c>
    </row>
    <row r="305" spans="2:7">
      <c r="B305" s="381" t="s">
        <v>150</v>
      </c>
      <c r="C305" s="382">
        <v>1</v>
      </c>
      <c r="D305" s="261">
        <f>'Costos totales'!K106</f>
        <v>2.3698630136986302E-3</v>
      </c>
      <c r="E305" s="467">
        <f t="shared" si="13"/>
        <v>2.3698630136986302E-3</v>
      </c>
      <c r="F305" s="271">
        <f>'Costos totales'!H106</f>
        <v>0.08</v>
      </c>
      <c r="G305" s="270">
        <f t="shared" si="14"/>
        <v>1.8958904109589041E-4</v>
      </c>
    </row>
    <row r="306" spans="2:7">
      <c r="B306" s="381" t="s">
        <v>31</v>
      </c>
      <c r="C306" s="382">
        <v>1</v>
      </c>
      <c r="D306" s="264">
        <f>'Costos totales'!K107</f>
        <v>2.6073059360730592E-3</v>
      </c>
      <c r="E306" s="467">
        <f t="shared" si="13"/>
        <v>2.6073059360730592E-3</v>
      </c>
      <c r="F306" s="271">
        <f>'Costos totales'!H107</f>
        <v>0.08</v>
      </c>
      <c r="G306" s="270">
        <f t="shared" si="14"/>
        <v>2.0858447488584475E-4</v>
      </c>
    </row>
    <row r="307" spans="2:7">
      <c r="B307" s="381" t="s">
        <v>269</v>
      </c>
      <c r="C307" s="382">
        <v>1</v>
      </c>
      <c r="D307" s="264">
        <f>'Costos totales'!K108</f>
        <v>1.1643835616438356E-3</v>
      </c>
      <c r="E307" s="467">
        <f t="shared" si="13"/>
        <v>1.1643835616438356E-3</v>
      </c>
      <c r="F307" s="271">
        <f>'Costos totales'!H108</f>
        <v>0.36</v>
      </c>
      <c r="G307" s="270">
        <f t="shared" si="14"/>
        <v>4.1917808219178081E-4</v>
      </c>
    </row>
    <row r="308" spans="2:7">
      <c r="B308" s="233" t="s">
        <v>225</v>
      </c>
      <c r="C308" s="272">
        <v>2</v>
      </c>
      <c r="D308" s="265">
        <f>'Costos totales'!K109</f>
        <v>4.4292237442922374E-4</v>
      </c>
      <c r="E308" s="467">
        <f t="shared" si="13"/>
        <v>8.8584474885844747E-4</v>
      </c>
      <c r="F308" s="271">
        <f>'Costos totales'!H109</f>
        <v>80.489999999999995</v>
      </c>
      <c r="G308" s="270">
        <f t="shared" si="14"/>
        <v>7.1301643835616435E-2</v>
      </c>
    </row>
    <row r="309" spans="2:7">
      <c r="B309" s="233" t="s">
        <v>32</v>
      </c>
      <c r="C309" s="272">
        <v>1</v>
      </c>
      <c r="D309" s="265">
        <f>'Costos totales'!K110</f>
        <v>1.9085278538812787E-2</v>
      </c>
      <c r="E309" s="467">
        <f t="shared" si="13"/>
        <v>1.9085278538812787E-2</v>
      </c>
      <c r="F309" s="271">
        <f>'Costos totales'!H110</f>
        <v>0.33</v>
      </c>
      <c r="G309" s="270">
        <f t="shared" si="14"/>
        <v>6.2981419178082202E-3</v>
      </c>
    </row>
    <row r="310" spans="2:7">
      <c r="B310" s="233" t="s">
        <v>270</v>
      </c>
      <c r="C310" s="272">
        <v>1</v>
      </c>
      <c r="D310" s="265">
        <f>'Costos totales'!K111</f>
        <v>0.23718569877984882</v>
      </c>
      <c r="E310" s="467">
        <f t="shared" si="13"/>
        <v>0.23718569877984882</v>
      </c>
      <c r="F310" s="271">
        <f>'Costos totales'!H111</f>
        <v>20.79</v>
      </c>
      <c r="G310" s="270">
        <f>+F310*E310</f>
        <v>4.9310906776330565</v>
      </c>
    </row>
    <row r="311" spans="2:7">
      <c r="B311" s="233" t="s">
        <v>10</v>
      </c>
      <c r="C311" s="272">
        <v>1</v>
      </c>
      <c r="D311" s="265">
        <f>'Costos totales'!K112</f>
        <v>4.0021308980213088E-3</v>
      </c>
      <c r="E311" s="467">
        <f t="shared" si="13"/>
        <v>4.0021308980213088E-3</v>
      </c>
      <c r="F311" s="271">
        <f>'Costos totales'!H112</f>
        <v>0</v>
      </c>
      <c r="G311" s="270">
        <f t="shared" si="14"/>
        <v>0</v>
      </c>
    </row>
    <row r="312" spans="2:7">
      <c r="B312" s="233" t="s">
        <v>11</v>
      </c>
      <c r="C312" s="272">
        <v>1</v>
      </c>
      <c r="D312" s="265">
        <f>'Costos totales'!K113</f>
        <v>4.5312024353120241E-3</v>
      </c>
      <c r="E312" s="467">
        <f>+D312*C312</f>
        <v>4.5312024353120241E-3</v>
      </c>
      <c r="F312" s="271">
        <f>'Costos totales'!H113</f>
        <v>0</v>
      </c>
      <c r="G312" s="270">
        <f t="shared" si="14"/>
        <v>0</v>
      </c>
    </row>
    <row r="313" spans="2:7">
      <c r="B313" s="236" t="s">
        <v>259</v>
      </c>
      <c r="C313" s="273">
        <v>1</v>
      </c>
      <c r="D313" s="447">
        <f>'Costos totales'!K114</f>
        <v>4.0021308980213088E-3</v>
      </c>
      <c r="E313" s="468">
        <f t="shared" si="13"/>
        <v>4.0021308980213088E-3</v>
      </c>
      <c r="F313" s="486">
        <f>'Costos totales'!H114</f>
        <v>0.13</v>
      </c>
      <c r="G313" s="438">
        <f t="shared" si="14"/>
        <v>5.2027701674277013E-4</v>
      </c>
    </row>
    <row r="314" spans="2:7">
      <c r="B314" s="215"/>
      <c r="C314" s="214"/>
      <c r="D314" s="214"/>
      <c r="E314" s="465"/>
      <c r="F314" s="214" t="s">
        <v>245</v>
      </c>
      <c r="G314" s="222">
        <f>SUM(G301:G313)</f>
        <v>5.0302140517813214</v>
      </c>
    </row>
    <row r="315" spans="2:7">
      <c r="B315" s="217" t="s">
        <v>246</v>
      </c>
      <c r="C315" s="214"/>
      <c r="D315" s="214"/>
      <c r="E315" s="465"/>
      <c r="F315" s="214"/>
      <c r="G315" s="216"/>
    </row>
    <row r="316" spans="2:7">
      <c r="B316" s="655" t="s">
        <v>242</v>
      </c>
      <c r="C316" s="635" t="s">
        <v>291</v>
      </c>
      <c r="D316" s="635" t="s">
        <v>292</v>
      </c>
      <c r="E316" s="637" t="s">
        <v>293</v>
      </c>
      <c r="F316" s="635" t="s">
        <v>294</v>
      </c>
      <c r="G316" s="639" t="s">
        <v>295</v>
      </c>
    </row>
    <row r="317" spans="2:7">
      <c r="B317" s="656"/>
      <c r="C317" s="636"/>
      <c r="D317" s="636"/>
      <c r="E317" s="638"/>
      <c r="F317" s="636"/>
      <c r="G317" s="640"/>
    </row>
    <row r="318" spans="2:7">
      <c r="B318" s="227" t="s">
        <v>120</v>
      </c>
      <c r="C318" s="228">
        <v>1</v>
      </c>
      <c r="D318" s="243">
        <f>'Costos totales'!I115</f>
        <v>5.1829166666666673</v>
      </c>
      <c r="E318" s="472">
        <f>+D318*C318</f>
        <v>5.1829166666666673</v>
      </c>
      <c r="F318" s="229">
        <f>Rendimientos!B8</f>
        <v>1.9166700000000001</v>
      </c>
      <c r="G318" s="245">
        <f>+F318*E318</f>
        <v>9.9339408875000021</v>
      </c>
    </row>
    <row r="319" spans="2:7">
      <c r="B319" s="439"/>
      <c r="C319" s="267"/>
      <c r="D319" s="440"/>
      <c r="E319" s="475"/>
      <c r="F319" s="441"/>
      <c r="G319" s="442"/>
    </row>
    <row r="320" spans="2:7">
      <c r="B320" s="233"/>
      <c r="C320" s="234"/>
      <c r="D320" s="234"/>
      <c r="E320" s="470" t="str">
        <f>IF(C320="","",ROUND(C320*D320,2))</f>
        <v/>
      </c>
      <c r="F320" s="234" t="str">
        <f>IF(C320="","", $G$10)</f>
        <v/>
      </c>
      <c r="G320" s="235" t="str">
        <f>IF(D320="","",ROUND(E320*F320,2))</f>
        <v/>
      </c>
    </row>
    <row r="321" spans="2:7">
      <c r="B321" s="233"/>
      <c r="C321" s="234"/>
      <c r="D321" s="234"/>
      <c r="E321" s="470" t="str">
        <f>IF(C321="","",ROUND(C321*D321,2))</f>
        <v/>
      </c>
      <c r="F321" s="234" t="str">
        <f>IF(C321="","", $G$10)</f>
        <v/>
      </c>
      <c r="G321" s="235" t="str">
        <f>IF(D321="","",ROUND(E321*F321,2))</f>
        <v/>
      </c>
    </row>
    <row r="322" spans="2:7">
      <c r="B322" s="236"/>
      <c r="C322" s="237"/>
      <c r="D322" s="237"/>
      <c r="E322" s="471" t="str">
        <f>IF(C322="","",ROUND(C322*D322,2))</f>
        <v/>
      </c>
      <c r="F322" s="237" t="str">
        <f>IF(C322="","", $G$10)</f>
        <v/>
      </c>
      <c r="G322" s="238" t="str">
        <f>IF(D322="","",ROUND(E322*F322,2))</f>
        <v/>
      </c>
    </row>
    <row r="323" spans="2:7">
      <c r="B323" s="215"/>
      <c r="C323" s="214"/>
      <c r="D323" s="214"/>
      <c r="E323" s="465"/>
      <c r="F323" s="214" t="s">
        <v>247</v>
      </c>
      <c r="G323" s="239">
        <f>SUM(G318:G322)</f>
        <v>9.9339408875000021</v>
      </c>
    </row>
    <row r="324" spans="2:7">
      <c r="B324" s="217" t="s">
        <v>248</v>
      </c>
      <c r="C324" s="214"/>
      <c r="D324" s="214"/>
      <c r="E324" s="465"/>
      <c r="F324" s="214"/>
      <c r="G324" s="216"/>
    </row>
    <row r="325" spans="2:7" ht="15" customHeight="1">
      <c r="B325" s="611" t="s">
        <v>242</v>
      </c>
      <c r="C325" s="612"/>
      <c r="D325" s="635" t="s">
        <v>249</v>
      </c>
      <c r="E325" s="637" t="s">
        <v>291</v>
      </c>
      <c r="F325" s="635" t="s">
        <v>297</v>
      </c>
      <c r="G325" s="639" t="s">
        <v>298</v>
      </c>
    </row>
    <row r="326" spans="2:7">
      <c r="B326" s="613"/>
      <c r="C326" s="614"/>
      <c r="D326" s="636"/>
      <c r="E326" s="638"/>
      <c r="F326" s="636"/>
      <c r="G326" s="640"/>
    </row>
    <row r="327" spans="2:7">
      <c r="B327" s="665"/>
      <c r="C327" s="666"/>
      <c r="D327" s="240"/>
      <c r="E327" s="472"/>
      <c r="F327" s="243"/>
      <c r="G327" s="242"/>
    </row>
    <row r="328" spans="2:7">
      <c r="B328" s="643"/>
      <c r="C328" s="644"/>
      <c r="D328" s="234"/>
      <c r="E328" s="470"/>
      <c r="F328" s="246"/>
      <c r="G328" s="387"/>
    </row>
    <row r="329" spans="2:7">
      <c r="B329" s="663"/>
      <c r="C329" s="664"/>
      <c r="D329" s="234"/>
      <c r="E329" s="470"/>
      <c r="F329" s="246"/>
      <c r="G329" s="387"/>
    </row>
    <row r="330" spans="2:7">
      <c r="B330" s="643"/>
      <c r="C330" s="644"/>
      <c r="D330" s="234"/>
      <c r="E330" s="470"/>
      <c r="F330" s="246"/>
      <c r="G330" s="387"/>
    </row>
    <row r="331" spans="2:7">
      <c r="B331" s="645"/>
      <c r="C331" s="646"/>
      <c r="D331" s="237"/>
      <c r="E331" s="471"/>
      <c r="F331" s="237"/>
      <c r="G331" s="238" t="str">
        <f>IF(D331="","",ROUND(E331*F331,2))</f>
        <v/>
      </c>
    </row>
    <row r="332" spans="2:7">
      <c r="B332" s="215"/>
      <c r="C332" s="214"/>
      <c r="D332" s="214"/>
      <c r="E332" s="465"/>
      <c r="F332" s="214" t="s">
        <v>250</v>
      </c>
      <c r="G332" s="247">
        <f>SUM(G327:G331)</f>
        <v>0</v>
      </c>
    </row>
    <row r="333" spans="2:7">
      <c r="B333" s="217" t="s">
        <v>251</v>
      </c>
      <c r="C333" s="214"/>
      <c r="D333" s="214"/>
      <c r="E333" s="465"/>
      <c r="F333" s="214"/>
      <c r="G333" s="248"/>
    </row>
    <row r="334" spans="2:7">
      <c r="B334" s="611" t="s">
        <v>242</v>
      </c>
      <c r="C334" s="612"/>
      <c r="D334" s="635" t="s">
        <v>249</v>
      </c>
      <c r="E334" s="637" t="s">
        <v>291</v>
      </c>
      <c r="F334" s="635" t="s">
        <v>299</v>
      </c>
      <c r="G334" s="639" t="s">
        <v>298</v>
      </c>
    </row>
    <row r="335" spans="2:7">
      <c r="B335" s="613"/>
      <c r="C335" s="614"/>
      <c r="D335" s="636"/>
      <c r="E335" s="638"/>
      <c r="F335" s="636"/>
      <c r="G335" s="640"/>
    </row>
    <row r="336" spans="2:7">
      <c r="B336" s="647"/>
      <c r="C336" s="648"/>
      <c r="D336" s="240"/>
      <c r="E336" s="472"/>
      <c r="F336" s="240"/>
      <c r="G336" s="230"/>
    </row>
    <row r="337" spans="2:7">
      <c r="B337" s="651"/>
      <c r="C337" s="652"/>
      <c r="D337" s="234"/>
      <c r="E337" s="470"/>
      <c r="F337" s="234"/>
      <c r="G337" s="249" t="str">
        <f>IF(D337="","",ROUND(E337*F337,2))</f>
        <v/>
      </c>
    </row>
    <row r="338" spans="2:7">
      <c r="B338" s="651"/>
      <c r="C338" s="652"/>
      <c r="D338" s="234"/>
      <c r="E338" s="470"/>
      <c r="F338" s="234"/>
      <c r="G338" s="235" t="str">
        <f>IF(D338="","",ROUND(E338*F338,2))</f>
        <v/>
      </c>
    </row>
    <row r="339" spans="2:7">
      <c r="B339" s="651"/>
      <c r="C339" s="652"/>
      <c r="D339" s="234"/>
      <c r="E339" s="470"/>
      <c r="F339" s="234"/>
      <c r="G339" s="235" t="str">
        <f>IF(D339="","",ROUND(E339*F339,2))</f>
        <v/>
      </c>
    </row>
    <row r="340" spans="2:7">
      <c r="B340" s="653"/>
      <c r="C340" s="654"/>
      <c r="D340" s="237"/>
      <c r="E340" s="471"/>
      <c r="F340" s="237"/>
      <c r="G340" s="250" t="str">
        <f>IF(D340="","",ROUND(E340*F340,2))</f>
        <v/>
      </c>
    </row>
    <row r="341" spans="2:7">
      <c r="B341" s="215"/>
      <c r="C341" s="214"/>
      <c r="D341" s="214"/>
      <c r="E341" s="465"/>
      <c r="F341" s="214" t="s">
        <v>252</v>
      </c>
      <c r="G341" s="251">
        <f>SUM(G336:G340)</f>
        <v>0</v>
      </c>
    </row>
    <row r="342" spans="2:7">
      <c r="B342" s="215"/>
      <c r="C342" s="214"/>
      <c r="D342" s="214"/>
      <c r="E342" s="465"/>
      <c r="F342" s="214"/>
      <c r="G342" s="248"/>
    </row>
    <row r="343" spans="2:7">
      <c r="B343" s="215"/>
      <c r="C343" s="214"/>
      <c r="D343" s="252" t="s">
        <v>253</v>
      </c>
      <c r="E343" s="473"/>
      <c r="F343" s="253"/>
      <c r="G343" s="254">
        <f>ROUND(G314+G323+G332+G341,3)</f>
        <v>14.964</v>
      </c>
    </row>
    <row r="344" spans="2:7">
      <c r="B344" s="215"/>
      <c r="C344" s="214"/>
      <c r="D344" s="252" t="s">
        <v>254</v>
      </c>
      <c r="E344" s="473"/>
      <c r="F344" s="373">
        <f>'Costos totales'!M118</f>
        <v>24</v>
      </c>
      <c r="G344" s="206">
        <f>(F344*G343/100)</f>
        <v>3.5913600000000003</v>
      </c>
    </row>
    <row r="345" spans="2:7">
      <c r="B345" s="215"/>
      <c r="C345" s="214"/>
      <c r="D345" s="252" t="s">
        <v>255</v>
      </c>
      <c r="E345" s="473"/>
      <c r="F345" s="205"/>
      <c r="G345" s="206">
        <f>SUM(G343:G344)</f>
        <v>18.55536</v>
      </c>
    </row>
    <row r="346" spans="2:7" ht="15" thickBot="1">
      <c r="B346" s="255"/>
      <c r="C346" s="256"/>
      <c r="D346" s="257" t="s">
        <v>256</v>
      </c>
      <c r="E346" s="474"/>
      <c r="F346" s="258"/>
      <c r="G346" s="259">
        <f>+G345</f>
        <v>18.55536</v>
      </c>
    </row>
    <row r="347" spans="2:7">
      <c r="B347" s="56"/>
      <c r="C347" s="56"/>
      <c r="D347" s="56"/>
      <c r="E347" s="464"/>
      <c r="F347" s="56"/>
      <c r="G347" s="56"/>
    </row>
    <row r="348" spans="2:7" ht="15" thickBot="1">
      <c r="B348" s="56"/>
      <c r="C348" s="56"/>
      <c r="D348" s="56"/>
      <c r="E348" s="464"/>
      <c r="F348" s="56"/>
      <c r="G348" s="56"/>
    </row>
    <row r="349" spans="2:7">
      <c r="B349" s="657" t="s">
        <v>239</v>
      </c>
      <c r="C349" s="659" t="s">
        <v>290</v>
      </c>
      <c r="D349" s="659" t="s">
        <v>240</v>
      </c>
      <c r="E349" s="659" t="s">
        <v>240</v>
      </c>
      <c r="F349" s="659" t="s">
        <v>240</v>
      </c>
      <c r="G349" s="660" t="s">
        <v>240</v>
      </c>
    </row>
    <row r="350" spans="2:7">
      <c r="B350" s="658"/>
      <c r="C350" s="661" t="s">
        <v>240</v>
      </c>
      <c r="D350" s="661" t="s">
        <v>240</v>
      </c>
      <c r="E350" s="661" t="s">
        <v>240</v>
      </c>
      <c r="F350" s="661" t="s">
        <v>240</v>
      </c>
      <c r="G350" s="662" t="s">
        <v>240</v>
      </c>
    </row>
    <row r="351" spans="2:7">
      <c r="B351" s="215"/>
      <c r="C351" s="214"/>
      <c r="D351" s="214"/>
      <c r="E351" s="465"/>
      <c r="F351" s="214"/>
      <c r="G351" s="216"/>
    </row>
    <row r="352" spans="2:7">
      <c r="B352" s="217" t="s">
        <v>241</v>
      </c>
      <c r="C352" s="214"/>
      <c r="D352" s="214"/>
      <c r="E352" s="465"/>
      <c r="F352" s="214"/>
      <c r="G352" s="216"/>
    </row>
    <row r="353" spans="2:7">
      <c r="B353" s="655" t="s">
        <v>242</v>
      </c>
      <c r="C353" s="635" t="s">
        <v>291</v>
      </c>
      <c r="D353" s="635" t="s">
        <v>296</v>
      </c>
      <c r="E353" s="637" t="s">
        <v>293</v>
      </c>
      <c r="F353" s="635" t="s">
        <v>294</v>
      </c>
      <c r="G353" s="639" t="s">
        <v>295</v>
      </c>
    </row>
    <row r="354" spans="2:7">
      <c r="B354" s="656"/>
      <c r="C354" s="636"/>
      <c r="D354" s="636"/>
      <c r="E354" s="638"/>
      <c r="F354" s="636"/>
      <c r="G354" s="640"/>
    </row>
    <row r="355" spans="2:7">
      <c r="B355" s="227" t="str">
        <f>'Costos totales'!B126</f>
        <v>Balanza aprox 0,01 gr</v>
      </c>
      <c r="C355" s="409">
        <v>1</v>
      </c>
      <c r="D355" s="218">
        <f>'Costos totales'!K126</f>
        <v>7.0368708526087273E-2</v>
      </c>
      <c r="E355" s="466">
        <f>+D355*C355</f>
        <v>7.0368708526087273E-2</v>
      </c>
      <c r="F355" s="218">
        <f>'Costos totales'!H126</f>
        <v>0.98609999999999998</v>
      </c>
      <c r="G355" s="437">
        <f>+F355*E355</f>
        <v>6.9390583477574652E-2</v>
      </c>
    </row>
    <row r="356" spans="2:7">
      <c r="B356" s="233" t="s">
        <v>221</v>
      </c>
      <c r="C356" s="260">
        <v>1</v>
      </c>
      <c r="D356" s="261">
        <f>'Costos totales'!K123</f>
        <v>2.4894672754946731E-3</v>
      </c>
      <c r="E356" s="467">
        <f t="shared" ref="E356:E367" si="15">+D356*C356</f>
        <v>2.4894672754946731E-3</v>
      </c>
      <c r="F356" s="261">
        <f>'Costos totales'!H123</f>
        <v>0.65</v>
      </c>
      <c r="G356" s="270">
        <f t="shared" ref="G356:G367" si="16">+F356*E356</f>
        <v>1.6181537290715375E-3</v>
      </c>
    </row>
    <row r="357" spans="2:7">
      <c r="B357" s="233" t="s">
        <v>271</v>
      </c>
      <c r="C357" s="260">
        <v>1</v>
      </c>
      <c r="D357" s="261">
        <f>'Costos totales'!K125</f>
        <v>3.1750380517503798E-3</v>
      </c>
      <c r="E357" s="467">
        <f t="shared" si="15"/>
        <v>3.1750380517503798E-3</v>
      </c>
      <c r="F357" s="261">
        <f>'Costos totales'!H125</f>
        <v>0.66600000000000004</v>
      </c>
      <c r="G357" s="270">
        <f t="shared" si="16"/>
        <v>2.1145753424657533E-3</v>
      </c>
    </row>
    <row r="358" spans="2:7">
      <c r="B358" s="381" t="s">
        <v>222</v>
      </c>
      <c r="C358" s="260">
        <v>1</v>
      </c>
      <c r="D358" s="261">
        <f>'Costos totales'!K124</f>
        <v>5.5053881278538819E-4</v>
      </c>
      <c r="E358" s="467">
        <f t="shared" si="15"/>
        <v>5.5053881278538819E-4</v>
      </c>
      <c r="F358" s="261">
        <f>'Costos totales'!H124</f>
        <v>0.66600000000000004</v>
      </c>
      <c r="G358" s="270">
        <f t="shared" si="16"/>
        <v>3.6665884931506854E-4</v>
      </c>
    </row>
    <row r="359" spans="2:7">
      <c r="B359" s="381" t="s">
        <v>150</v>
      </c>
      <c r="C359" s="260">
        <v>1</v>
      </c>
      <c r="D359" s="261">
        <f>'Costos totales'!K127</f>
        <v>2.3698630136986302E-3</v>
      </c>
      <c r="E359" s="467">
        <f t="shared" si="15"/>
        <v>2.3698630136986302E-3</v>
      </c>
      <c r="F359" s="261">
        <f>'Costos totales'!H127</f>
        <v>0.08</v>
      </c>
      <c r="G359" s="270">
        <f t="shared" si="16"/>
        <v>1.8958904109589041E-4</v>
      </c>
    </row>
    <row r="360" spans="2:7">
      <c r="B360" s="381" t="s">
        <v>31</v>
      </c>
      <c r="C360" s="260">
        <v>1</v>
      </c>
      <c r="D360" s="264">
        <f>'Costos totales'!K128</f>
        <v>2.6073059360730592E-3</v>
      </c>
      <c r="E360" s="467">
        <f t="shared" si="15"/>
        <v>2.6073059360730592E-3</v>
      </c>
      <c r="F360" s="261">
        <f>'Costos totales'!H128</f>
        <v>0.08</v>
      </c>
      <c r="G360" s="270">
        <f t="shared" si="16"/>
        <v>2.0858447488584475E-4</v>
      </c>
    </row>
    <row r="361" spans="2:7">
      <c r="B361" s="381" t="s">
        <v>269</v>
      </c>
      <c r="C361" s="260">
        <v>1</v>
      </c>
      <c r="D361" s="264">
        <f>'Costos totales'!K129</f>
        <v>1.1643835616438356E-3</v>
      </c>
      <c r="E361" s="467">
        <f t="shared" si="15"/>
        <v>1.1643835616438356E-3</v>
      </c>
      <c r="F361" s="261">
        <f>'Costos totales'!H129</f>
        <v>0.2</v>
      </c>
      <c r="G361" s="270">
        <f t="shared" si="16"/>
        <v>2.3287671232876712E-4</v>
      </c>
    </row>
    <row r="362" spans="2:7">
      <c r="B362" s="233" t="s">
        <v>225</v>
      </c>
      <c r="C362" s="260">
        <v>2</v>
      </c>
      <c r="D362" s="264">
        <f>'Costos totales'!K130</f>
        <v>4.4292237442922374E-4</v>
      </c>
      <c r="E362" s="467">
        <f>+D362*C362</f>
        <v>8.8584474885844747E-4</v>
      </c>
      <c r="F362" s="261">
        <f>'Costos totales'!H130</f>
        <v>107.54</v>
      </c>
      <c r="G362" s="270">
        <f t="shared" si="16"/>
        <v>9.526374429223744E-2</v>
      </c>
    </row>
    <row r="363" spans="2:7">
      <c r="B363" s="233" t="s">
        <v>32</v>
      </c>
      <c r="C363" s="260">
        <v>1</v>
      </c>
      <c r="D363" s="264">
        <f>'Costos totales'!K131</f>
        <v>1.9085278538812787E-2</v>
      </c>
      <c r="E363" s="467">
        <f t="shared" si="15"/>
        <v>1.9085278538812787E-2</v>
      </c>
      <c r="F363" s="261">
        <f>'Costos totales'!H131</f>
        <v>0.53300000000000003</v>
      </c>
      <c r="G363" s="270">
        <f t="shared" si="16"/>
        <v>1.0172453461187217E-2</v>
      </c>
    </row>
    <row r="364" spans="2:7">
      <c r="B364" s="233" t="s">
        <v>270</v>
      </c>
      <c r="C364" s="260">
        <v>1</v>
      </c>
      <c r="D364" s="264">
        <f>'Costos totales'!K132</f>
        <v>0.23718569877984882</v>
      </c>
      <c r="E364" s="467">
        <f t="shared" si="15"/>
        <v>0.23718569877984882</v>
      </c>
      <c r="F364" s="261">
        <f>'Costos totales'!H132</f>
        <v>22.49</v>
      </c>
      <c r="G364" s="270">
        <f t="shared" si="16"/>
        <v>5.3343063655587999</v>
      </c>
    </row>
    <row r="365" spans="2:7">
      <c r="B365" s="233" t="s">
        <v>10</v>
      </c>
      <c r="C365" s="260">
        <v>1</v>
      </c>
      <c r="D365" s="264">
        <f>'Costos totales'!K133</f>
        <v>4.0021308980213088E-3</v>
      </c>
      <c r="E365" s="467">
        <f t="shared" si="15"/>
        <v>4.0021308980213088E-3</v>
      </c>
      <c r="F365" s="261">
        <f>'Costos totales'!H133</f>
        <v>0</v>
      </c>
      <c r="G365" s="270">
        <f t="shared" si="16"/>
        <v>0</v>
      </c>
    </row>
    <row r="366" spans="2:7">
      <c r="B366" s="233" t="s">
        <v>11</v>
      </c>
      <c r="C366" s="260">
        <v>1</v>
      </c>
      <c r="D366" s="264">
        <f>'Costos totales'!K134</f>
        <v>4.5312024353120241E-3</v>
      </c>
      <c r="E366" s="467">
        <f t="shared" si="15"/>
        <v>4.5312024353120241E-3</v>
      </c>
      <c r="F366" s="261">
        <f>'Costos totales'!H134</f>
        <v>0</v>
      </c>
      <c r="G366" s="270">
        <f t="shared" si="16"/>
        <v>0</v>
      </c>
    </row>
    <row r="367" spans="2:7">
      <c r="B367" s="236" t="s">
        <v>259</v>
      </c>
      <c r="C367" s="500">
        <v>1</v>
      </c>
      <c r="D367" s="412">
        <f>'Costos totales'!K135</f>
        <v>4.0021308980213088E-3</v>
      </c>
      <c r="E367" s="468">
        <f t="shared" si="15"/>
        <v>4.0021308980213088E-3</v>
      </c>
      <c r="F367" s="413">
        <f>'Costos totales'!H135</f>
        <v>0.13</v>
      </c>
      <c r="G367" s="438">
        <f t="shared" si="16"/>
        <v>5.2027701674277013E-4</v>
      </c>
    </row>
    <row r="368" spans="2:7">
      <c r="B368" s="215"/>
      <c r="C368" s="214"/>
      <c r="D368" s="214"/>
      <c r="E368" s="465"/>
      <c r="F368" s="214" t="s">
        <v>245</v>
      </c>
      <c r="G368" s="222">
        <f>SUM(G355:G367)</f>
        <v>5.5143838619557046</v>
      </c>
    </row>
    <row r="369" spans="2:7">
      <c r="B369" s="217" t="s">
        <v>246</v>
      </c>
      <c r="C369" s="214"/>
      <c r="D369" s="214"/>
      <c r="E369" s="465"/>
      <c r="F369" s="214"/>
      <c r="G369" s="216"/>
    </row>
    <row r="370" spans="2:7">
      <c r="B370" s="655" t="s">
        <v>242</v>
      </c>
      <c r="C370" s="635" t="s">
        <v>291</v>
      </c>
      <c r="D370" s="635" t="s">
        <v>292</v>
      </c>
      <c r="E370" s="637" t="s">
        <v>293</v>
      </c>
      <c r="F370" s="635" t="s">
        <v>294</v>
      </c>
      <c r="G370" s="639" t="s">
        <v>295</v>
      </c>
    </row>
    <row r="371" spans="2:7">
      <c r="B371" s="656"/>
      <c r="C371" s="636"/>
      <c r="D371" s="636"/>
      <c r="E371" s="638"/>
      <c r="F371" s="636"/>
      <c r="G371" s="640"/>
    </row>
    <row r="372" spans="2:7">
      <c r="B372" s="227" t="s">
        <v>120</v>
      </c>
      <c r="C372" s="228">
        <v>1</v>
      </c>
      <c r="D372" s="228">
        <f>'Costos totales'!I136</f>
        <v>5.1829166666666673</v>
      </c>
      <c r="E372" s="472">
        <f>+C372*D372</f>
        <v>5.1829166666666673</v>
      </c>
      <c r="F372" s="229">
        <f>Rendimientos!B9</f>
        <v>2.33</v>
      </c>
      <c r="G372" s="230">
        <f>+F372*E372</f>
        <v>12.076195833333335</v>
      </c>
    </row>
    <row r="373" spans="2:7">
      <c r="B373" s="439"/>
      <c r="C373" s="267"/>
      <c r="D373" s="267"/>
      <c r="E373" s="475"/>
      <c r="F373" s="441"/>
      <c r="G373" s="501"/>
    </row>
    <row r="374" spans="2:7">
      <c r="B374" s="233"/>
      <c r="C374" s="234"/>
      <c r="D374" s="234"/>
      <c r="E374" s="470" t="str">
        <f>IF(C374="","",ROUND(C374*D374,2))</f>
        <v/>
      </c>
      <c r="F374" s="234" t="str">
        <f>IF(C374="","", $G$10)</f>
        <v/>
      </c>
      <c r="G374" s="235" t="str">
        <f>IF(D374="","",ROUND(E374*F374,2))</f>
        <v/>
      </c>
    </row>
    <row r="375" spans="2:7">
      <c r="B375" s="233"/>
      <c r="C375" s="234"/>
      <c r="D375" s="234"/>
      <c r="E375" s="470" t="str">
        <f>IF(C375="","",ROUND(C375*D375,2))</f>
        <v/>
      </c>
      <c r="F375" s="234" t="str">
        <f>IF(C375="","", $G$10)</f>
        <v/>
      </c>
      <c r="G375" s="235" t="str">
        <f>IF(D375="","",ROUND(E375*F375,2))</f>
        <v/>
      </c>
    </row>
    <row r="376" spans="2:7">
      <c r="B376" s="236"/>
      <c r="C376" s="237"/>
      <c r="D376" s="237"/>
      <c r="E376" s="471" t="str">
        <f>IF(C376="","",ROUND(C376*D376,2))</f>
        <v/>
      </c>
      <c r="F376" s="237" t="str">
        <f>IF(C376="","", $G$10)</f>
        <v/>
      </c>
      <c r="G376" s="238" t="str">
        <f>IF(D376="","",ROUND(E376*F376,2))</f>
        <v/>
      </c>
    </row>
    <row r="377" spans="2:7">
      <c r="B377" s="215"/>
      <c r="C377" s="214"/>
      <c r="D377" s="214"/>
      <c r="E377" s="465"/>
      <c r="F377" s="214" t="s">
        <v>247</v>
      </c>
      <c r="G377" s="239">
        <f>SUM(G372:G376)</f>
        <v>12.076195833333335</v>
      </c>
    </row>
    <row r="378" spans="2:7">
      <c r="B378" s="217" t="s">
        <v>248</v>
      </c>
      <c r="C378" s="214"/>
      <c r="D378" s="214"/>
      <c r="E378" s="465"/>
      <c r="F378" s="214"/>
      <c r="G378" s="216"/>
    </row>
    <row r="379" spans="2:7" ht="15" customHeight="1">
      <c r="B379" s="611" t="s">
        <v>242</v>
      </c>
      <c r="C379" s="612"/>
      <c r="D379" s="635" t="s">
        <v>249</v>
      </c>
      <c r="E379" s="637" t="s">
        <v>291</v>
      </c>
      <c r="F379" s="635" t="s">
        <v>297</v>
      </c>
      <c r="G379" s="639" t="s">
        <v>298</v>
      </c>
    </row>
    <row r="380" spans="2:7">
      <c r="B380" s="613"/>
      <c r="C380" s="614"/>
      <c r="D380" s="636"/>
      <c r="E380" s="638"/>
      <c r="F380" s="636"/>
      <c r="G380" s="640"/>
    </row>
    <row r="381" spans="2:7">
      <c r="B381" s="641"/>
      <c r="C381" s="642"/>
      <c r="D381" s="240"/>
      <c r="E381" s="477"/>
      <c r="F381" s="243"/>
      <c r="G381" s="242"/>
    </row>
    <row r="382" spans="2:7">
      <c r="B382" s="641"/>
      <c r="C382" s="642"/>
      <c r="D382" s="234"/>
      <c r="E382" s="470"/>
      <c r="F382" s="246"/>
      <c r="G382" s="242"/>
    </row>
    <row r="383" spans="2:7">
      <c r="B383" s="641"/>
      <c r="C383" s="642"/>
      <c r="D383" s="234"/>
      <c r="E383" s="470"/>
      <c r="F383" s="246"/>
      <c r="G383" s="245"/>
    </row>
    <row r="384" spans="2:7">
      <c r="B384" s="643"/>
      <c r="C384" s="644"/>
      <c r="D384" s="234"/>
      <c r="E384" s="470"/>
      <c r="F384" s="246"/>
      <c r="G384" s="245"/>
    </row>
    <row r="385" spans="2:7">
      <c r="B385" s="645"/>
      <c r="C385" s="646"/>
      <c r="D385" s="237"/>
      <c r="E385" s="471"/>
      <c r="F385" s="237"/>
      <c r="G385" s="238" t="str">
        <f>IF(D385="","",ROUND(E385*F385,2))</f>
        <v/>
      </c>
    </row>
    <row r="386" spans="2:7">
      <c r="B386" s="215"/>
      <c r="C386" s="214"/>
      <c r="D386" s="214"/>
      <c r="E386" s="465"/>
      <c r="F386" s="214" t="s">
        <v>250</v>
      </c>
      <c r="G386" s="247">
        <f>SUM(G381:G385)</f>
        <v>0</v>
      </c>
    </row>
    <row r="387" spans="2:7">
      <c r="B387" s="217" t="s">
        <v>251</v>
      </c>
      <c r="C387" s="214"/>
      <c r="D387" s="214"/>
      <c r="E387" s="465"/>
      <c r="F387" s="214"/>
      <c r="G387" s="248"/>
    </row>
    <row r="388" spans="2:7">
      <c r="B388" s="611" t="s">
        <v>242</v>
      </c>
      <c r="C388" s="612"/>
      <c r="D388" s="635" t="s">
        <v>249</v>
      </c>
      <c r="E388" s="637" t="s">
        <v>291</v>
      </c>
      <c r="F388" s="635" t="s">
        <v>299</v>
      </c>
      <c r="G388" s="639" t="s">
        <v>298</v>
      </c>
    </row>
    <row r="389" spans="2:7">
      <c r="B389" s="613"/>
      <c r="C389" s="614"/>
      <c r="D389" s="636"/>
      <c r="E389" s="638"/>
      <c r="F389" s="636"/>
      <c r="G389" s="640"/>
    </row>
    <row r="390" spans="2:7">
      <c r="B390" s="647"/>
      <c r="C390" s="648"/>
      <c r="D390" s="240"/>
      <c r="E390" s="472"/>
      <c r="F390" s="240"/>
      <c r="G390" s="230"/>
    </row>
    <row r="391" spans="2:7">
      <c r="B391" s="651"/>
      <c r="C391" s="652"/>
      <c r="D391" s="234"/>
      <c r="E391" s="470"/>
      <c r="F391" s="234"/>
      <c r="G391" s="249" t="str">
        <f>IF(D391="","",ROUND(E391*F391,2))</f>
        <v/>
      </c>
    </row>
    <row r="392" spans="2:7">
      <c r="B392" s="651"/>
      <c r="C392" s="652"/>
      <c r="D392" s="234"/>
      <c r="E392" s="470"/>
      <c r="F392" s="234"/>
      <c r="G392" s="235" t="str">
        <f>IF(D392="","",ROUND(E392*F392,2))</f>
        <v/>
      </c>
    </row>
    <row r="393" spans="2:7">
      <c r="B393" s="651"/>
      <c r="C393" s="652"/>
      <c r="D393" s="234"/>
      <c r="E393" s="470"/>
      <c r="F393" s="234"/>
      <c r="G393" s="235" t="str">
        <f>IF(D393="","",ROUND(E393*F393,2))</f>
        <v/>
      </c>
    </row>
    <row r="394" spans="2:7">
      <c r="B394" s="653"/>
      <c r="C394" s="654"/>
      <c r="D394" s="237"/>
      <c r="E394" s="471"/>
      <c r="F394" s="237"/>
      <c r="G394" s="250" t="str">
        <f>IF(D394="","",ROUND(E394*F394,2))</f>
        <v/>
      </c>
    </row>
    <row r="395" spans="2:7">
      <c r="B395" s="215"/>
      <c r="C395" s="214"/>
      <c r="D395" s="214"/>
      <c r="E395" s="465"/>
      <c r="F395" s="214" t="s">
        <v>252</v>
      </c>
      <c r="G395" s="251">
        <f>SUM(G390:G394)</f>
        <v>0</v>
      </c>
    </row>
    <row r="396" spans="2:7">
      <c r="B396" s="215"/>
      <c r="C396" s="214"/>
      <c r="D396" s="214"/>
      <c r="E396" s="465"/>
      <c r="F396" s="214"/>
      <c r="G396" s="248"/>
    </row>
    <row r="397" spans="2:7">
      <c r="B397" s="215"/>
      <c r="C397" s="214"/>
      <c r="D397" s="252" t="s">
        <v>253</v>
      </c>
      <c r="E397" s="473"/>
      <c r="F397" s="253"/>
      <c r="G397" s="254">
        <f>(G368+G377+G386+G395)</f>
        <v>17.590579695289041</v>
      </c>
    </row>
    <row r="398" spans="2:7">
      <c r="B398" s="215"/>
      <c r="C398" s="214"/>
      <c r="D398" s="252" t="s">
        <v>254</v>
      </c>
      <c r="E398" s="473"/>
      <c r="F398" s="373">
        <f>'Costos totales'!M139</f>
        <v>24</v>
      </c>
      <c r="G398" s="206">
        <f>(F398*G397/100)</f>
        <v>4.2217391268693696</v>
      </c>
    </row>
    <row r="399" spans="2:7">
      <c r="B399" s="215"/>
      <c r="C399" s="214"/>
      <c r="D399" s="252" t="s">
        <v>255</v>
      </c>
      <c r="E399" s="473"/>
      <c r="F399" s="253"/>
      <c r="G399" s="254">
        <f>+G397+G398</f>
        <v>21.81231882215841</v>
      </c>
    </row>
    <row r="400" spans="2:7" ht="15" thickBot="1">
      <c r="B400" s="255"/>
      <c r="C400" s="256"/>
      <c r="D400" s="257" t="s">
        <v>256</v>
      </c>
      <c r="E400" s="474"/>
      <c r="F400" s="258"/>
      <c r="G400" s="259">
        <f>+G399</f>
        <v>21.81231882215841</v>
      </c>
    </row>
    <row r="401" spans="2:7">
      <c r="B401" s="56"/>
      <c r="C401" s="56"/>
      <c r="D401" s="56"/>
      <c r="E401" s="464"/>
      <c r="F401" s="56"/>
      <c r="G401" s="56"/>
    </row>
    <row r="402" spans="2:7" ht="15" thickBot="1">
      <c r="B402" s="56"/>
      <c r="C402" s="56"/>
      <c r="D402" s="56"/>
      <c r="E402" s="464"/>
      <c r="F402" s="56"/>
      <c r="G402" s="56"/>
    </row>
    <row r="403" spans="2:7">
      <c r="B403" s="629" t="s">
        <v>239</v>
      </c>
      <c r="C403" s="631" t="s">
        <v>377</v>
      </c>
      <c r="D403" s="631" t="s">
        <v>240</v>
      </c>
      <c r="E403" s="631" t="s">
        <v>240</v>
      </c>
      <c r="F403" s="631" t="s">
        <v>240</v>
      </c>
      <c r="G403" s="632" t="s">
        <v>240</v>
      </c>
    </row>
    <row r="404" spans="2:7">
      <c r="B404" s="630"/>
      <c r="C404" s="633" t="s">
        <v>240</v>
      </c>
      <c r="D404" s="633" t="s">
        <v>240</v>
      </c>
      <c r="E404" s="633" t="s">
        <v>240</v>
      </c>
      <c r="F404" s="633" t="s">
        <v>240</v>
      </c>
      <c r="G404" s="634" t="s">
        <v>240</v>
      </c>
    </row>
    <row r="405" spans="2:7">
      <c r="B405" s="162"/>
      <c r="C405" s="163"/>
      <c r="D405" s="163"/>
      <c r="E405" s="451"/>
      <c r="F405" s="163"/>
      <c r="G405" s="164"/>
    </row>
    <row r="406" spans="2:7">
      <c r="B406" s="165" t="s">
        <v>241</v>
      </c>
      <c r="C406" s="163"/>
      <c r="D406" s="163"/>
      <c r="E406" s="451"/>
      <c r="F406" s="163"/>
      <c r="G406" s="164"/>
    </row>
    <row r="407" spans="2:7">
      <c r="B407" s="655" t="s">
        <v>242</v>
      </c>
      <c r="C407" s="635" t="s">
        <v>291</v>
      </c>
      <c r="D407" s="635" t="s">
        <v>296</v>
      </c>
      <c r="E407" s="637" t="s">
        <v>293</v>
      </c>
      <c r="F407" s="635" t="s">
        <v>294</v>
      </c>
      <c r="G407" s="639" t="s">
        <v>295</v>
      </c>
    </row>
    <row r="408" spans="2:7">
      <c r="B408" s="656"/>
      <c r="C408" s="636"/>
      <c r="D408" s="636"/>
      <c r="E408" s="638"/>
      <c r="F408" s="636"/>
      <c r="G408" s="640"/>
    </row>
    <row r="409" spans="2:7">
      <c r="B409" s="168" t="s">
        <v>243</v>
      </c>
      <c r="C409" s="392">
        <v>1</v>
      </c>
      <c r="D409" s="170">
        <f>'Costos totales'!K144</f>
        <v>7.0368708526087273E-2</v>
      </c>
      <c r="E409" s="452">
        <f>+D409*C409</f>
        <v>7.0368708526087273E-2</v>
      </c>
      <c r="F409" s="393">
        <f>+'[1]Costos totales'!I172</f>
        <v>7.0000000000000007E-2</v>
      </c>
      <c r="G409" s="172">
        <f>+F409*E409</f>
        <v>4.92580959682611E-3</v>
      </c>
    </row>
    <row r="410" spans="2:7">
      <c r="B410" s="173" t="s">
        <v>2</v>
      </c>
      <c r="C410" s="169">
        <v>1</v>
      </c>
      <c r="D410" s="394">
        <f>'Costos totales'!K146</f>
        <v>0.23718569877984882</v>
      </c>
      <c r="E410" s="453">
        <f>+D410*C410</f>
        <v>0.23718569877984882</v>
      </c>
      <c r="F410" s="169">
        <f>+'[1]Costos totales'!I176</f>
        <v>37.31</v>
      </c>
      <c r="G410" s="195">
        <f>+F410*E410</f>
        <v>8.8493984214761596</v>
      </c>
    </row>
    <row r="411" spans="2:7">
      <c r="B411" s="395" t="s">
        <v>272</v>
      </c>
      <c r="C411" s="396">
        <v>1</v>
      </c>
      <c r="D411" s="397">
        <f>'Costos totales'!K145</f>
        <v>3.233031301744143</v>
      </c>
      <c r="E411" s="454">
        <f>+D411*C411</f>
        <v>3.233031301744143</v>
      </c>
      <c r="F411" s="398">
        <f>+'[1]Costos totales'!I174</f>
        <v>0.38</v>
      </c>
      <c r="G411" s="399">
        <f>+F411*E411</f>
        <v>1.2285518946627743</v>
      </c>
    </row>
    <row r="412" spans="2:7">
      <c r="B412" s="173" t="str">
        <f>'Costos totales'!B147</f>
        <v>Software</v>
      </c>
      <c r="C412" s="174">
        <v>1</v>
      </c>
      <c r="D412" s="194">
        <f>'Costos totales'!K147</f>
        <v>8.7843607305936072E-2</v>
      </c>
      <c r="E412" s="454">
        <f>+D412*C412</f>
        <v>8.7843607305936072E-2</v>
      </c>
      <c r="F412" s="171">
        <f>'Costos totales'!H147</f>
        <v>0.38</v>
      </c>
      <c r="G412" s="399">
        <f>+F412*E412</f>
        <v>3.3380570776255711E-2</v>
      </c>
    </row>
    <row r="413" spans="2:7">
      <c r="B413" s="180"/>
      <c r="C413" s="181"/>
      <c r="D413" s="182"/>
      <c r="E413" s="455" t="str">
        <f>IF(C413="","",ROUND(C413*D413,2))</f>
        <v/>
      </c>
      <c r="F413" s="181" t="str">
        <f>IF(C413="","", $G$8)</f>
        <v/>
      </c>
      <c r="G413" s="183" t="str">
        <f>IF(D413="","",ROUND(E413*F413,2))</f>
        <v/>
      </c>
    </row>
    <row r="414" spans="2:7">
      <c r="B414" s="162"/>
      <c r="C414" s="163"/>
      <c r="D414" s="163"/>
      <c r="E414" s="451"/>
      <c r="F414" s="163" t="s">
        <v>245</v>
      </c>
      <c r="G414" s="184">
        <f>SUM(G409:G413)</f>
        <v>10.116256696512016</v>
      </c>
    </row>
    <row r="415" spans="2:7">
      <c r="B415" s="165" t="s">
        <v>246</v>
      </c>
      <c r="C415" s="163"/>
      <c r="D415" s="163"/>
      <c r="E415" s="451"/>
      <c r="F415" s="163"/>
      <c r="G415" s="164"/>
    </row>
    <row r="416" spans="2:7">
      <c r="B416" s="655" t="s">
        <v>242</v>
      </c>
      <c r="C416" s="635" t="s">
        <v>291</v>
      </c>
      <c r="D416" s="635" t="s">
        <v>292</v>
      </c>
      <c r="E416" s="637" t="s">
        <v>293</v>
      </c>
      <c r="F416" s="635" t="s">
        <v>294</v>
      </c>
      <c r="G416" s="639" t="s">
        <v>295</v>
      </c>
    </row>
    <row r="417" spans="2:7">
      <c r="B417" s="656"/>
      <c r="C417" s="636"/>
      <c r="D417" s="636"/>
      <c r="E417" s="638"/>
      <c r="F417" s="636"/>
      <c r="G417" s="640"/>
    </row>
    <row r="418" spans="2:7">
      <c r="B418" s="166" t="s">
        <v>120</v>
      </c>
      <c r="C418" s="185">
        <v>1</v>
      </c>
      <c r="D418" s="186">
        <f>'Costos totales'!I148</f>
        <v>5.874569444444445</v>
      </c>
      <c r="E418" s="480">
        <f>+D418*C418</f>
        <v>5.874569444444445</v>
      </c>
      <c r="F418" s="187">
        <f>Rendimientos!B10</f>
        <v>0.77</v>
      </c>
      <c r="G418" s="188">
        <f>+F418*E418</f>
        <v>4.5234184722222226</v>
      </c>
    </row>
    <row r="419" spans="2:7">
      <c r="B419" s="173"/>
      <c r="C419" s="177"/>
      <c r="D419" s="178"/>
      <c r="E419" s="457" t="str">
        <f>IF(C419="","",ROUND(C419*D419,2))</f>
        <v/>
      </c>
      <c r="F419" s="178" t="str">
        <f>IF(C419="","", $G$8)</f>
        <v/>
      </c>
      <c r="G419" s="179" t="str">
        <f>IF(D419="","",ROUND(E419*F419,2))</f>
        <v/>
      </c>
    </row>
    <row r="420" spans="2:7">
      <c r="B420" s="173"/>
      <c r="C420" s="177"/>
      <c r="D420" s="178"/>
      <c r="E420" s="457" t="str">
        <f>IF(C420="","",ROUND(C420*D420,2))</f>
        <v/>
      </c>
      <c r="F420" s="178" t="str">
        <f>IF(C420="","", $G$8)</f>
        <v/>
      </c>
      <c r="G420" s="179" t="str">
        <f>IF(D420="","",ROUND(E420*F420,2))</f>
        <v/>
      </c>
    </row>
    <row r="421" spans="2:7">
      <c r="B421" s="173"/>
      <c r="C421" s="177"/>
      <c r="D421" s="178"/>
      <c r="E421" s="457" t="str">
        <f>IF(C421="","",ROUND(C421*D421,2))</f>
        <v/>
      </c>
      <c r="F421" s="178" t="str">
        <f>IF(C421="","", $G$8)</f>
        <v/>
      </c>
      <c r="G421" s="179" t="str">
        <f>IF(D421="","",ROUND(E421*F421,2))</f>
        <v/>
      </c>
    </row>
    <row r="422" spans="2:7">
      <c r="B422" s="180"/>
      <c r="C422" s="181"/>
      <c r="D422" s="182"/>
      <c r="E422" s="458" t="str">
        <f>IF(C422="","",ROUND(C422*D422,2))</f>
        <v/>
      </c>
      <c r="F422" s="182" t="str">
        <f>IF(C422="","", $G$8)</f>
        <v/>
      </c>
      <c r="G422" s="183" t="str">
        <f>IF(D422="","",ROUND(E422*F422,2))</f>
        <v/>
      </c>
    </row>
    <row r="423" spans="2:7">
      <c r="B423" s="162"/>
      <c r="C423" s="163"/>
      <c r="D423" s="163"/>
      <c r="E423" s="451"/>
      <c r="F423" s="163" t="s">
        <v>247</v>
      </c>
      <c r="G423" s="190">
        <f>SUM(G418:G422)</f>
        <v>4.5234184722222226</v>
      </c>
    </row>
    <row r="424" spans="2:7">
      <c r="B424" s="165" t="s">
        <v>248</v>
      </c>
      <c r="C424" s="163"/>
      <c r="D424" s="163"/>
      <c r="E424" s="451"/>
      <c r="F424" s="163"/>
      <c r="G424" s="164"/>
    </row>
    <row r="425" spans="2:7" ht="15" customHeight="1">
      <c r="B425" s="611" t="s">
        <v>242</v>
      </c>
      <c r="C425" s="612"/>
      <c r="D425" s="635" t="s">
        <v>249</v>
      </c>
      <c r="E425" s="637" t="s">
        <v>291</v>
      </c>
      <c r="F425" s="635" t="s">
        <v>297</v>
      </c>
      <c r="G425" s="639" t="s">
        <v>298</v>
      </c>
    </row>
    <row r="426" spans="2:7">
      <c r="B426" s="613"/>
      <c r="C426" s="614"/>
      <c r="D426" s="636"/>
      <c r="E426" s="638"/>
      <c r="F426" s="636"/>
      <c r="G426" s="640"/>
    </row>
    <row r="427" spans="2:7">
      <c r="B427" s="649"/>
      <c r="C427" s="650"/>
      <c r="D427" s="191"/>
      <c r="E427" s="481"/>
      <c r="F427" s="192"/>
      <c r="G427" s="193"/>
    </row>
    <row r="428" spans="2:7">
      <c r="B428" s="621"/>
      <c r="C428" s="622"/>
      <c r="D428" s="177"/>
      <c r="E428" s="459"/>
      <c r="F428" s="197"/>
      <c r="G428" s="196"/>
    </row>
    <row r="429" spans="2:7">
      <c r="B429" s="621"/>
      <c r="C429" s="622"/>
      <c r="D429" s="177"/>
      <c r="E429" s="459"/>
      <c r="F429" s="197"/>
      <c r="G429" s="196"/>
    </row>
    <row r="430" spans="2:7">
      <c r="B430" s="621"/>
      <c r="C430" s="622"/>
      <c r="D430" s="177"/>
      <c r="E430" s="459"/>
      <c r="F430" s="197"/>
      <c r="G430" s="196"/>
    </row>
    <row r="431" spans="2:7">
      <c r="B431" s="619"/>
      <c r="C431" s="620"/>
      <c r="D431" s="181"/>
      <c r="E431" s="455"/>
      <c r="F431" s="181"/>
      <c r="G431" s="183" t="str">
        <f>IF(D431="","",ROUND(E431*F431,2))</f>
        <v/>
      </c>
    </row>
    <row r="432" spans="2:7">
      <c r="B432" s="162"/>
      <c r="C432" s="163"/>
      <c r="D432" s="163"/>
      <c r="E432" s="451"/>
      <c r="F432" s="163" t="s">
        <v>250</v>
      </c>
      <c r="G432" s="184">
        <f>SUM(G427:G431)</f>
        <v>0</v>
      </c>
    </row>
    <row r="433" spans="2:7">
      <c r="B433" s="165" t="s">
        <v>251</v>
      </c>
      <c r="C433" s="163"/>
      <c r="D433" s="163"/>
      <c r="E433" s="451"/>
      <c r="F433" s="163"/>
      <c r="G433" s="199"/>
    </row>
    <row r="434" spans="2:7">
      <c r="B434" s="611" t="s">
        <v>242</v>
      </c>
      <c r="C434" s="612"/>
      <c r="D434" s="635" t="s">
        <v>249</v>
      </c>
      <c r="E434" s="637" t="s">
        <v>291</v>
      </c>
      <c r="F434" s="635" t="s">
        <v>299</v>
      </c>
      <c r="G434" s="639" t="s">
        <v>298</v>
      </c>
    </row>
    <row r="435" spans="2:7">
      <c r="B435" s="613"/>
      <c r="C435" s="614"/>
      <c r="D435" s="636"/>
      <c r="E435" s="638"/>
      <c r="F435" s="636"/>
      <c r="G435" s="640"/>
    </row>
    <row r="436" spans="2:7">
      <c r="B436" s="623"/>
      <c r="C436" s="624"/>
      <c r="D436" s="200"/>
      <c r="E436" s="460"/>
      <c r="F436" s="200"/>
      <c r="G436" s="201"/>
    </row>
    <row r="437" spans="2:7">
      <c r="B437" s="625"/>
      <c r="C437" s="626"/>
      <c r="D437" s="178"/>
      <c r="E437" s="459"/>
      <c r="F437" s="178"/>
      <c r="G437" s="176" t="str">
        <f>IF(D437="","",ROUND(E437*F437,2))</f>
        <v/>
      </c>
    </row>
    <row r="438" spans="2:7">
      <c r="B438" s="625"/>
      <c r="C438" s="626"/>
      <c r="D438" s="178"/>
      <c r="E438" s="459"/>
      <c r="F438" s="178"/>
      <c r="G438" s="179" t="str">
        <f>IF(D438="","",ROUND(E438*F438,2))</f>
        <v/>
      </c>
    </row>
    <row r="439" spans="2:7">
      <c r="B439" s="625"/>
      <c r="C439" s="626"/>
      <c r="D439" s="178"/>
      <c r="E439" s="459"/>
      <c r="F439" s="178"/>
      <c r="G439" s="179" t="str">
        <f>IF(D439="","",ROUND(E439*F439,2))</f>
        <v/>
      </c>
    </row>
    <row r="440" spans="2:7">
      <c r="B440" s="627"/>
      <c r="C440" s="628"/>
      <c r="D440" s="182"/>
      <c r="E440" s="455"/>
      <c r="F440" s="182"/>
      <c r="G440" s="202" t="str">
        <f>IF(D440="","",ROUND(E440*F440,2))</f>
        <v/>
      </c>
    </row>
    <row r="441" spans="2:7">
      <c r="B441" s="162"/>
      <c r="C441" s="163"/>
      <c r="D441" s="163"/>
      <c r="E441" s="451"/>
      <c r="F441" s="163" t="s">
        <v>252</v>
      </c>
      <c r="G441" s="203">
        <f>SUM(G436:G440)</f>
        <v>0</v>
      </c>
    </row>
    <row r="442" spans="2:7">
      <c r="B442" s="162"/>
      <c r="C442" s="163"/>
      <c r="D442" s="163"/>
      <c r="E442" s="451"/>
      <c r="F442" s="163"/>
      <c r="G442" s="199"/>
    </row>
    <row r="443" spans="2:7">
      <c r="B443" s="162"/>
      <c r="C443" s="163"/>
      <c r="D443" s="204" t="s">
        <v>253</v>
      </c>
      <c r="E443" s="461"/>
      <c r="F443" s="205"/>
      <c r="G443" s="206">
        <f>ROUND(G414+G423+G432+G441,3)</f>
        <v>14.64</v>
      </c>
    </row>
    <row r="444" spans="2:7">
      <c r="B444" s="162"/>
      <c r="C444" s="163"/>
      <c r="D444" s="204" t="s">
        <v>254</v>
      </c>
      <c r="E444" s="461"/>
      <c r="F444" s="373">
        <f>'Costos totales'!M151</f>
        <v>24</v>
      </c>
      <c r="G444" s="206">
        <f>F444*G443/100</f>
        <v>3.5136000000000003</v>
      </c>
    </row>
    <row r="445" spans="2:7">
      <c r="B445" s="162"/>
      <c r="C445" s="163"/>
      <c r="D445" s="204" t="s">
        <v>255</v>
      </c>
      <c r="E445" s="461"/>
      <c r="F445" s="205"/>
      <c r="G445" s="206">
        <f>SUM(G443:G444)</f>
        <v>18.153600000000001</v>
      </c>
    </row>
    <row r="446" spans="2:7" ht="15" thickBot="1">
      <c r="B446" s="207"/>
      <c r="C446" s="208"/>
      <c r="D446" s="209" t="s">
        <v>256</v>
      </c>
      <c r="E446" s="462"/>
      <c r="F446" s="210"/>
      <c r="G446" s="211">
        <f>+G445</f>
        <v>18.153600000000001</v>
      </c>
    </row>
    <row r="447" spans="2:7">
      <c r="B447" s="56"/>
      <c r="C447" s="56"/>
      <c r="D447" s="56"/>
      <c r="E447" s="464"/>
      <c r="F447" s="56"/>
      <c r="G447" s="56"/>
    </row>
    <row r="448" spans="2:7" ht="15" thickBot="1">
      <c r="B448" s="56"/>
      <c r="C448" s="56"/>
      <c r="D448" s="56"/>
      <c r="E448" s="464"/>
      <c r="F448" s="56"/>
      <c r="G448" s="56"/>
    </row>
    <row r="449" spans="2:7">
      <c r="B449" s="629" t="s">
        <v>239</v>
      </c>
      <c r="C449" s="631" t="s">
        <v>96</v>
      </c>
      <c r="D449" s="631" t="s">
        <v>240</v>
      </c>
      <c r="E449" s="631" t="s">
        <v>240</v>
      </c>
      <c r="F449" s="631" t="s">
        <v>240</v>
      </c>
      <c r="G449" s="632" t="s">
        <v>240</v>
      </c>
    </row>
    <row r="450" spans="2:7">
      <c r="B450" s="630"/>
      <c r="C450" s="633" t="s">
        <v>240</v>
      </c>
      <c r="D450" s="633" t="s">
        <v>240</v>
      </c>
      <c r="E450" s="633" t="s">
        <v>240</v>
      </c>
      <c r="F450" s="633" t="s">
        <v>240</v>
      </c>
      <c r="G450" s="634" t="s">
        <v>240</v>
      </c>
    </row>
    <row r="451" spans="2:7">
      <c r="B451" s="162"/>
      <c r="C451" s="163"/>
      <c r="D451" s="163"/>
      <c r="E451" s="451"/>
      <c r="F451" s="163"/>
      <c r="G451" s="164"/>
    </row>
    <row r="452" spans="2:7">
      <c r="B452" s="165" t="s">
        <v>241</v>
      </c>
      <c r="C452" s="163"/>
      <c r="D452" s="163"/>
      <c r="E452" s="451"/>
      <c r="F452" s="163"/>
      <c r="G452" s="164"/>
    </row>
    <row r="453" spans="2:7">
      <c r="B453" s="166" t="s">
        <v>242</v>
      </c>
      <c r="C453" s="635" t="s">
        <v>291</v>
      </c>
      <c r="D453" s="635" t="s">
        <v>296</v>
      </c>
      <c r="E453" s="637" t="s">
        <v>293</v>
      </c>
      <c r="F453" s="635" t="s">
        <v>294</v>
      </c>
      <c r="G453" s="639" t="s">
        <v>295</v>
      </c>
    </row>
    <row r="454" spans="2:7">
      <c r="B454" s="167"/>
      <c r="C454" s="636"/>
      <c r="D454" s="636"/>
      <c r="E454" s="638"/>
      <c r="F454" s="636"/>
      <c r="G454" s="640"/>
    </row>
    <row r="455" spans="2:7">
      <c r="B455" s="168" t="s">
        <v>243</v>
      </c>
      <c r="C455" s="403">
        <v>1</v>
      </c>
      <c r="D455" s="170">
        <f>'Costos totales'!K159</f>
        <v>7.0368708526087273E-2</v>
      </c>
      <c r="E455" s="452">
        <f>+D455*C455</f>
        <v>7.0368708526087273E-2</v>
      </c>
      <c r="F455" s="170">
        <f>'Costos totales'!H159</f>
        <v>0.05</v>
      </c>
      <c r="G455" s="172">
        <f>+F455*E455</f>
        <v>3.5184354263043637E-3</v>
      </c>
    </row>
    <row r="456" spans="2:7">
      <c r="B456" s="173" t="s">
        <v>2</v>
      </c>
      <c r="C456" s="194">
        <v>1</v>
      </c>
      <c r="D456" s="394">
        <f>'Costos totales'!K161</f>
        <v>0.23718569877984882</v>
      </c>
      <c r="E456" s="453">
        <f>+D456*C456</f>
        <v>0.23718569877984882</v>
      </c>
      <c r="F456" s="194">
        <f>'Costos totales'!H161</f>
        <v>22.16</v>
      </c>
      <c r="G456" s="195">
        <f>+F456*E456</f>
        <v>5.2560350849614501</v>
      </c>
    </row>
    <row r="457" spans="2:7">
      <c r="B457" s="395" t="s">
        <v>34</v>
      </c>
      <c r="C457" s="405">
        <v>1</v>
      </c>
      <c r="D457" s="397">
        <f>'Costos totales'!K160</f>
        <v>0.70374482386406167</v>
      </c>
      <c r="E457" s="454">
        <f>+D457*C457</f>
        <v>0.70374482386406167</v>
      </c>
      <c r="F457" s="406">
        <f>'Costos totales'!H160</f>
        <v>20.010000000000002</v>
      </c>
      <c r="G457" s="399">
        <f>+F457*E457</f>
        <v>14.081933925519875</v>
      </c>
    </row>
    <row r="458" spans="2:7">
      <c r="B458" s="173"/>
      <c r="C458" s="175" t="s">
        <v>244</v>
      </c>
      <c r="D458" s="194"/>
      <c r="E458" s="453"/>
      <c r="F458" s="394"/>
      <c r="G458" s="195"/>
    </row>
    <row r="459" spans="2:7">
      <c r="B459" s="180"/>
      <c r="C459" s="181"/>
      <c r="D459" s="182"/>
      <c r="E459" s="455" t="str">
        <f>IF(C459="","",ROUND(C459*D459,2))</f>
        <v/>
      </c>
      <c r="F459" s="181" t="str">
        <f>IF(C459="","", $G$8)</f>
        <v/>
      </c>
      <c r="G459" s="183" t="str">
        <f>IF(D459="","",ROUND(E459*F459,2))</f>
        <v/>
      </c>
    </row>
    <row r="460" spans="2:7">
      <c r="B460" s="162"/>
      <c r="C460" s="163"/>
      <c r="D460" s="163"/>
      <c r="E460" s="451"/>
      <c r="F460" s="163" t="s">
        <v>245</v>
      </c>
      <c r="G460" s="184">
        <f>SUM(G455:G459)</f>
        <v>19.341487445907632</v>
      </c>
    </row>
    <row r="461" spans="2:7">
      <c r="B461" s="165" t="s">
        <v>246</v>
      </c>
      <c r="C461" s="163"/>
      <c r="D461" s="163"/>
      <c r="E461" s="451"/>
      <c r="F461" s="163"/>
      <c r="G461" s="164"/>
    </row>
    <row r="462" spans="2:7">
      <c r="B462" s="166" t="s">
        <v>242</v>
      </c>
      <c r="C462" s="635" t="s">
        <v>291</v>
      </c>
      <c r="D462" s="635" t="s">
        <v>292</v>
      </c>
      <c r="E462" s="637" t="s">
        <v>293</v>
      </c>
      <c r="F462" s="635" t="s">
        <v>294</v>
      </c>
      <c r="G462" s="639" t="s">
        <v>295</v>
      </c>
    </row>
    <row r="463" spans="2:7">
      <c r="B463" s="167"/>
      <c r="C463" s="636"/>
      <c r="D463" s="636"/>
      <c r="E463" s="638"/>
      <c r="F463" s="636"/>
      <c r="G463" s="640"/>
    </row>
    <row r="464" spans="2:7">
      <c r="B464" s="166" t="s">
        <v>120</v>
      </c>
      <c r="C464" s="185">
        <v>1</v>
      </c>
      <c r="D464" s="186">
        <f>'Costos totales'!I162</f>
        <v>5.874569444444445</v>
      </c>
      <c r="E464" s="480">
        <f>+D464*C464</f>
        <v>5.874569444444445</v>
      </c>
      <c r="F464" s="187">
        <f>Rendimientos!B11</f>
        <v>0.48</v>
      </c>
      <c r="G464" s="188">
        <f>+F464*E464</f>
        <v>2.8197933333333336</v>
      </c>
    </row>
    <row r="465" spans="2:7">
      <c r="B465" s="173"/>
      <c r="C465" s="177"/>
      <c r="D465" s="178"/>
      <c r="E465" s="457" t="str">
        <f>IF(C465="","",ROUND(C465*D465,2))</f>
        <v/>
      </c>
      <c r="F465" s="178" t="str">
        <f>IF(C465="","", $G$8)</f>
        <v/>
      </c>
      <c r="G465" s="179" t="str">
        <f>IF(D465="","",ROUND(E465*F465,2))</f>
        <v/>
      </c>
    </row>
    <row r="466" spans="2:7">
      <c r="B466" s="173"/>
      <c r="C466" s="177"/>
      <c r="D466" s="178"/>
      <c r="E466" s="457" t="str">
        <f>IF(C466="","",ROUND(C466*D466,2))</f>
        <v/>
      </c>
      <c r="F466" s="178" t="str">
        <f>IF(C466="","", $G$8)</f>
        <v/>
      </c>
      <c r="G466" s="179" t="str">
        <f>IF(D466="","",ROUND(E466*F466,2))</f>
        <v/>
      </c>
    </row>
    <row r="467" spans="2:7">
      <c r="B467" s="173"/>
      <c r="C467" s="177"/>
      <c r="D467" s="178"/>
      <c r="E467" s="457" t="str">
        <f>IF(C467="","",ROUND(C467*D467,2))</f>
        <v/>
      </c>
      <c r="F467" s="178" t="str">
        <f>IF(C467="","", $G$8)</f>
        <v/>
      </c>
      <c r="G467" s="179" t="str">
        <f>IF(D467="","",ROUND(E467*F467,2))</f>
        <v/>
      </c>
    </row>
    <row r="468" spans="2:7">
      <c r="B468" s="180"/>
      <c r="C468" s="181"/>
      <c r="D468" s="182"/>
      <c r="E468" s="458" t="str">
        <f>IF(C468="","",ROUND(C468*D468,2))</f>
        <v/>
      </c>
      <c r="F468" s="182" t="str">
        <f>IF(C468="","", $G$8)</f>
        <v/>
      </c>
      <c r="G468" s="183" t="str">
        <f>IF(D468="","",ROUND(E468*F468,2))</f>
        <v/>
      </c>
    </row>
    <row r="469" spans="2:7">
      <c r="B469" s="162"/>
      <c r="C469" s="163"/>
      <c r="D469" s="163"/>
      <c r="E469" s="451"/>
      <c r="F469" s="163" t="s">
        <v>247</v>
      </c>
      <c r="G469" s="190">
        <f>SUM(G464:G468)</f>
        <v>2.8197933333333336</v>
      </c>
    </row>
    <row r="470" spans="2:7">
      <c r="B470" s="165" t="s">
        <v>248</v>
      </c>
      <c r="C470" s="163"/>
      <c r="D470" s="163"/>
      <c r="E470" s="451"/>
      <c r="F470" s="163"/>
      <c r="G470" s="164"/>
    </row>
    <row r="471" spans="2:7" ht="15" customHeight="1">
      <c r="B471" s="611" t="s">
        <v>242</v>
      </c>
      <c r="C471" s="612"/>
      <c r="D471" s="635" t="s">
        <v>249</v>
      </c>
      <c r="E471" s="637" t="s">
        <v>291</v>
      </c>
      <c r="F471" s="635" t="s">
        <v>297</v>
      </c>
      <c r="G471" s="639" t="s">
        <v>298</v>
      </c>
    </row>
    <row r="472" spans="2:7">
      <c r="B472" s="613"/>
      <c r="C472" s="614"/>
      <c r="D472" s="636"/>
      <c r="E472" s="638"/>
      <c r="F472" s="636"/>
      <c r="G472" s="640"/>
    </row>
    <row r="473" spans="2:7">
      <c r="B473" s="617"/>
      <c r="C473" s="618"/>
      <c r="D473" s="275"/>
      <c r="E473" s="482"/>
      <c r="F473" s="276"/>
      <c r="G473" s="193"/>
    </row>
    <row r="474" spans="2:7">
      <c r="B474" s="617"/>
      <c r="C474" s="618"/>
      <c r="D474" s="170"/>
      <c r="E474" s="452"/>
      <c r="F474" s="170"/>
      <c r="G474" s="404"/>
    </row>
    <row r="475" spans="2:7">
      <c r="B475" s="621"/>
      <c r="C475" s="622"/>
      <c r="D475" s="178"/>
      <c r="E475" s="459"/>
      <c r="F475" s="189"/>
      <c r="G475" s="196"/>
    </row>
    <row r="476" spans="2:7">
      <c r="B476" s="621"/>
      <c r="C476" s="622"/>
      <c r="D476" s="177"/>
      <c r="E476" s="459"/>
      <c r="F476" s="197"/>
      <c r="G476" s="196"/>
    </row>
    <row r="477" spans="2:7">
      <c r="B477" s="619"/>
      <c r="C477" s="620"/>
      <c r="D477" s="181"/>
      <c r="E477" s="455"/>
      <c r="F477" s="181"/>
      <c r="G477" s="183" t="str">
        <f>IF(D477="","",ROUND(E477*F477,2))</f>
        <v/>
      </c>
    </row>
    <row r="478" spans="2:7">
      <c r="B478" s="162"/>
      <c r="C478" s="163"/>
      <c r="D478" s="163"/>
      <c r="E478" s="451"/>
      <c r="F478" s="163" t="s">
        <v>250</v>
      </c>
      <c r="G478" s="184">
        <f>SUM(G473:G477)</f>
        <v>0</v>
      </c>
    </row>
    <row r="479" spans="2:7">
      <c r="B479" s="165" t="s">
        <v>251</v>
      </c>
      <c r="C479" s="163"/>
      <c r="D479" s="163"/>
      <c r="E479" s="451"/>
      <c r="F479" s="163"/>
      <c r="G479" s="199"/>
    </row>
    <row r="480" spans="2:7">
      <c r="B480" s="611" t="s">
        <v>242</v>
      </c>
      <c r="C480" s="612"/>
      <c r="D480" s="635" t="s">
        <v>249</v>
      </c>
      <c r="E480" s="637" t="s">
        <v>291</v>
      </c>
      <c r="F480" s="635" t="s">
        <v>299</v>
      </c>
      <c r="G480" s="639" t="s">
        <v>298</v>
      </c>
    </row>
    <row r="481" spans="2:7">
      <c r="B481" s="613"/>
      <c r="C481" s="614"/>
      <c r="D481" s="636"/>
      <c r="E481" s="638"/>
      <c r="F481" s="636"/>
      <c r="G481" s="640"/>
    </row>
    <row r="482" spans="2:7">
      <c r="B482" s="623"/>
      <c r="C482" s="624"/>
      <c r="D482" s="200"/>
      <c r="E482" s="460"/>
      <c r="F482" s="200"/>
      <c r="G482" s="201"/>
    </row>
    <row r="483" spans="2:7">
      <c r="B483" s="625"/>
      <c r="C483" s="626"/>
      <c r="D483" s="178"/>
      <c r="E483" s="459"/>
      <c r="F483" s="178"/>
      <c r="G483" s="176" t="str">
        <f>IF(D483="","",ROUND(E483*F483,2))</f>
        <v/>
      </c>
    </row>
    <row r="484" spans="2:7">
      <c r="B484" s="625"/>
      <c r="C484" s="626"/>
      <c r="D484" s="178"/>
      <c r="E484" s="459"/>
      <c r="F484" s="178"/>
      <c r="G484" s="179" t="str">
        <f>IF(D484="","",ROUND(E484*F484,2))</f>
        <v/>
      </c>
    </row>
    <row r="485" spans="2:7">
      <c r="B485" s="625"/>
      <c r="C485" s="626"/>
      <c r="D485" s="178"/>
      <c r="E485" s="459"/>
      <c r="F485" s="178"/>
      <c r="G485" s="179" t="str">
        <f>IF(D485="","",ROUND(E485*F485,2))</f>
        <v/>
      </c>
    </row>
    <row r="486" spans="2:7">
      <c r="B486" s="627"/>
      <c r="C486" s="628"/>
      <c r="D486" s="182"/>
      <c r="E486" s="455"/>
      <c r="F486" s="182"/>
      <c r="G486" s="202" t="str">
        <f>IF(D486="","",ROUND(E486*F486,2))</f>
        <v/>
      </c>
    </row>
    <row r="487" spans="2:7">
      <c r="B487" s="162"/>
      <c r="C487" s="163"/>
      <c r="D487" s="163"/>
      <c r="E487" s="451"/>
      <c r="F487" s="163" t="s">
        <v>252</v>
      </c>
      <c r="G487" s="203">
        <f>SUM(G482:G486)</f>
        <v>0</v>
      </c>
    </row>
    <row r="488" spans="2:7">
      <c r="B488" s="162"/>
      <c r="C488" s="163"/>
      <c r="D488" s="163"/>
      <c r="E488" s="451"/>
      <c r="F488" s="163"/>
      <c r="G488" s="199"/>
    </row>
    <row r="489" spans="2:7">
      <c r="B489" s="162"/>
      <c r="C489" s="163"/>
      <c r="D489" s="204" t="s">
        <v>253</v>
      </c>
      <c r="E489" s="461"/>
      <c r="F489" s="205"/>
      <c r="G489" s="206">
        <f>ROUND(G460+G469+G478+G487,3)</f>
        <v>22.161000000000001</v>
      </c>
    </row>
    <row r="490" spans="2:7">
      <c r="B490" s="162"/>
      <c r="C490" s="163"/>
      <c r="D490" s="204" t="s">
        <v>254</v>
      </c>
      <c r="E490" s="461"/>
      <c r="F490" s="373">
        <f>'Costos totales'!M165</f>
        <v>24</v>
      </c>
      <c r="G490" s="206">
        <f>F490*G489/100</f>
        <v>5.3186400000000003</v>
      </c>
    </row>
    <row r="491" spans="2:7">
      <c r="B491" s="162"/>
      <c r="C491" s="163"/>
      <c r="D491" s="204" t="s">
        <v>255</v>
      </c>
      <c r="E491" s="461"/>
      <c r="F491" s="205"/>
      <c r="G491" s="206">
        <f>SUM(G489:G490)</f>
        <v>27.479640000000003</v>
      </c>
    </row>
    <row r="492" spans="2:7" ht="15" thickBot="1">
      <c r="B492" s="207"/>
      <c r="C492" s="208"/>
      <c r="D492" s="209" t="s">
        <v>256</v>
      </c>
      <c r="E492" s="462"/>
      <c r="F492" s="210"/>
      <c r="G492" s="211">
        <f>+G491</f>
        <v>27.479640000000003</v>
      </c>
    </row>
    <row r="493" spans="2:7">
      <c r="B493" s="56"/>
      <c r="C493" s="56"/>
      <c r="D493" s="56"/>
      <c r="E493" s="464"/>
      <c r="F493" s="56"/>
      <c r="G493" s="56"/>
    </row>
    <row r="494" spans="2:7" ht="15" thickBot="1">
      <c r="B494" s="56"/>
      <c r="C494" s="56"/>
      <c r="D494" s="56"/>
      <c r="E494" s="464"/>
      <c r="F494" s="56"/>
      <c r="G494" s="56"/>
    </row>
    <row r="495" spans="2:7">
      <c r="B495" s="629" t="s">
        <v>239</v>
      </c>
      <c r="C495" s="631" t="s">
        <v>97</v>
      </c>
      <c r="D495" s="631" t="s">
        <v>240</v>
      </c>
      <c r="E495" s="631" t="s">
        <v>240</v>
      </c>
      <c r="F495" s="631" t="s">
        <v>240</v>
      </c>
      <c r="G495" s="632" t="s">
        <v>240</v>
      </c>
    </row>
    <row r="496" spans="2:7">
      <c r="B496" s="630"/>
      <c r="C496" s="633" t="s">
        <v>240</v>
      </c>
      <c r="D496" s="633" t="s">
        <v>240</v>
      </c>
      <c r="E496" s="633" t="s">
        <v>240</v>
      </c>
      <c r="F496" s="633" t="s">
        <v>240</v>
      </c>
      <c r="G496" s="634" t="s">
        <v>240</v>
      </c>
    </row>
    <row r="497" spans="2:7">
      <c r="B497" s="162"/>
      <c r="C497" s="163"/>
      <c r="D497" s="163"/>
      <c r="E497" s="451"/>
      <c r="F497" s="163"/>
      <c r="G497" s="164"/>
    </row>
    <row r="498" spans="2:7">
      <c r="B498" s="165" t="s">
        <v>241</v>
      </c>
      <c r="C498" s="163"/>
      <c r="D498" s="163"/>
      <c r="E498" s="451"/>
      <c r="F498" s="163"/>
      <c r="G498" s="164"/>
    </row>
    <row r="499" spans="2:7">
      <c r="B499" s="166" t="s">
        <v>242</v>
      </c>
      <c r="C499" s="635" t="s">
        <v>291</v>
      </c>
      <c r="D499" s="635" t="s">
        <v>296</v>
      </c>
      <c r="E499" s="637" t="s">
        <v>293</v>
      </c>
      <c r="F499" s="635" t="s">
        <v>294</v>
      </c>
      <c r="G499" s="639" t="s">
        <v>295</v>
      </c>
    </row>
    <row r="500" spans="2:7">
      <c r="B500" s="167"/>
      <c r="C500" s="636"/>
      <c r="D500" s="636"/>
      <c r="E500" s="638"/>
      <c r="F500" s="636"/>
      <c r="G500" s="640"/>
    </row>
    <row r="501" spans="2:7">
      <c r="B501" s="168" t="s">
        <v>243</v>
      </c>
      <c r="C501" s="392">
        <v>1</v>
      </c>
      <c r="D501" s="170">
        <f>'Costos totales'!K170</f>
        <v>7.0368708526087273E-2</v>
      </c>
      <c r="E501" s="452">
        <f>+D501*C501</f>
        <v>7.0368708526087273E-2</v>
      </c>
      <c r="F501" s="393">
        <f>+'[1]Costos totales'!I205</f>
        <v>7.0000000000000007E-2</v>
      </c>
      <c r="G501" s="172">
        <f>+F501*E501</f>
        <v>4.92580959682611E-3</v>
      </c>
    </row>
    <row r="502" spans="2:7">
      <c r="B502" s="173" t="s">
        <v>2</v>
      </c>
      <c r="C502" s="169">
        <v>1</v>
      </c>
      <c r="D502" s="394">
        <f>'Costos totales'!K172</f>
        <v>0.23718569877984882</v>
      </c>
      <c r="E502" s="453">
        <f>+D502*C502</f>
        <v>0.23718569877984882</v>
      </c>
      <c r="F502" s="169">
        <f>+'[1]Costos totales'!I209</f>
        <v>39.28</v>
      </c>
      <c r="G502" s="195">
        <f>+F502*E502</f>
        <v>9.3166542480724619</v>
      </c>
    </row>
    <row r="503" spans="2:7">
      <c r="B503" s="395" t="str">
        <f>'Costos totales'!B171</f>
        <v>Equipo triaxial</v>
      </c>
      <c r="C503" s="396">
        <v>1</v>
      </c>
      <c r="D503" s="397">
        <f>'Costos totales'!K171</f>
        <v>5.127712373661951</v>
      </c>
      <c r="E503" s="454">
        <f>+D503*C503</f>
        <v>5.127712373661951</v>
      </c>
      <c r="F503" s="398">
        <f>+'[1]Costos totales'!I207</f>
        <v>0.89</v>
      </c>
      <c r="G503" s="399">
        <f>+F503*E503</f>
        <v>4.5636640125591361</v>
      </c>
    </row>
    <row r="504" spans="2:7">
      <c r="B504" s="173" t="str">
        <f>'Costos totales'!B173</f>
        <v>Bomba de vacío</v>
      </c>
      <c r="C504" s="174">
        <v>1</v>
      </c>
      <c r="D504" s="194">
        <f>'Costos totales'!K173</f>
        <v>5.6838680597200389E-2</v>
      </c>
      <c r="E504" s="454">
        <f t="shared" ref="E504:E505" si="17">+D504*C504</f>
        <v>5.6838680597200389E-2</v>
      </c>
      <c r="F504" s="171">
        <f>'Costos totales'!H173</f>
        <v>0.89</v>
      </c>
      <c r="G504" s="399">
        <f t="shared" ref="G504:G505" si="18">+F504*E504</f>
        <v>5.0586425731508344E-2</v>
      </c>
    </row>
    <row r="505" spans="2:7">
      <c r="B505" s="180" t="str">
        <f>'Costos totales'!B174</f>
        <v>Software</v>
      </c>
      <c r="C505" s="407">
        <v>1</v>
      </c>
      <c r="D505" s="492">
        <f>'Costos totales'!K174</f>
        <v>8.7843607305936072E-2</v>
      </c>
      <c r="E505" s="493">
        <f t="shared" si="17"/>
        <v>8.7843607305936072E-2</v>
      </c>
      <c r="F505" s="494">
        <f>'Costos totales'!H174</f>
        <v>0.89</v>
      </c>
      <c r="G505" s="495">
        <f t="shared" si="18"/>
        <v>7.8180810502283107E-2</v>
      </c>
    </row>
    <row r="506" spans="2:7">
      <c r="B506" s="162"/>
      <c r="C506" s="163"/>
      <c r="D506" s="163"/>
      <c r="E506" s="451"/>
      <c r="F506" s="163" t="s">
        <v>245</v>
      </c>
      <c r="G506" s="491">
        <f>SUM(G501:G505)</f>
        <v>14.014011306462216</v>
      </c>
    </row>
    <row r="507" spans="2:7">
      <c r="B507" s="165" t="s">
        <v>246</v>
      </c>
      <c r="C507" s="163"/>
      <c r="D507" s="163"/>
      <c r="E507" s="451"/>
      <c r="F507" s="163"/>
      <c r="G507" s="164"/>
    </row>
    <row r="508" spans="2:7">
      <c r="B508" s="166" t="s">
        <v>242</v>
      </c>
      <c r="C508" s="635" t="s">
        <v>291</v>
      </c>
      <c r="D508" s="635" t="s">
        <v>292</v>
      </c>
      <c r="E508" s="637" t="s">
        <v>293</v>
      </c>
      <c r="F508" s="635" t="s">
        <v>294</v>
      </c>
      <c r="G508" s="639" t="s">
        <v>295</v>
      </c>
    </row>
    <row r="509" spans="2:7">
      <c r="B509" s="167"/>
      <c r="C509" s="636"/>
      <c r="D509" s="636"/>
      <c r="E509" s="638"/>
      <c r="F509" s="636"/>
      <c r="G509" s="640"/>
    </row>
    <row r="510" spans="2:7">
      <c r="B510" s="168" t="str">
        <f>'Costos totales'!E177</f>
        <v>Laboratorista</v>
      </c>
      <c r="C510" s="400">
        <v>1</v>
      </c>
      <c r="D510" s="401">
        <f>'Costos totales'!I177</f>
        <v>5.874569444444445</v>
      </c>
      <c r="E510" s="456">
        <f>D510*C510</f>
        <v>5.874569444444445</v>
      </c>
      <c r="F510" s="402">
        <f>Rendimientos!B12</f>
        <v>1.63</v>
      </c>
      <c r="G510" s="201">
        <f>F510*E510</f>
        <v>9.5755481944444441</v>
      </c>
    </row>
    <row r="511" spans="2:7">
      <c r="B511" s="173"/>
      <c r="C511" s="177"/>
      <c r="D511" s="178"/>
      <c r="E511" s="457" t="str">
        <f>IF(C511="","",ROUND(C511*D511,2))</f>
        <v/>
      </c>
      <c r="F511" s="178" t="str">
        <f>IF(C511="","", $G$8)</f>
        <v/>
      </c>
      <c r="G511" s="179" t="str">
        <f>IF(D511="","",ROUND(E511*F511,2))</f>
        <v/>
      </c>
    </row>
    <row r="512" spans="2:7">
      <c r="B512" s="173"/>
      <c r="C512" s="177"/>
      <c r="D512" s="178"/>
      <c r="E512" s="457" t="str">
        <f>IF(C512="","",ROUND(C512*D512,2))</f>
        <v/>
      </c>
      <c r="F512" s="178" t="str">
        <f>IF(C512="","", $G$8)</f>
        <v/>
      </c>
      <c r="G512" s="179" t="str">
        <f>IF(D512="","",ROUND(E512*F512,2))</f>
        <v/>
      </c>
    </row>
    <row r="513" spans="2:7">
      <c r="B513" s="173"/>
      <c r="C513" s="177"/>
      <c r="D513" s="178"/>
      <c r="E513" s="457" t="str">
        <f>IF(C513="","",ROUND(C513*D513,2))</f>
        <v/>
      </c>
      <c r="F513" s="178" t="str">
        <f>IF(C513="","", $G$8)</f>
        <v/>
      </c>
      <c r="G513" s="179" t="str">
        <f>IF(D513="","",ROUND(E513*F513,2))</f>
        <v/>
      </c>
    </row>
    <row r="514" spans="2:7">
      <c r="B514" s="180"/>
      <c r="C514" s="181"/>
      <c r="D514" s="182"/>
      <c r="E514" s="458" t="str">
        <f>IF(C514="","",ROUND(C514*D514,2))</f>
        <v/>
      </c>
      <c r="F514" s="182" t="str">
        <f>IF(C514="","", $G$8)</f>
        <v/>
      </c>
      <c r="G514" s="183" t="str">
        <f>IF(D514="","",ROUND(E514*F514,2))</f>
        <v/>
      </c>
    </row>
    <row r="515" spans="2:7">
      <c r="B515" s="162"/>
      <c r="C515" s="163"/>
      <c r="D515" s="163"/>
      <c r="E515" s="451"/>
      <c r="F515" s="163" t="s">
        <v>247</v>
      </c>
      <c r="G515" s="190">
        <f>SUM(G510:G514)</f>
        <v>9.5755481944444441</v>
      </c>
    </row>
    <row r="516" spans="2:7">
      <c r="B516" s="165" t="s">
        <v>248</v>
      </c>
      <c r="C516" s="163"/>
      <c r="D516" s="163"/>
      <c r="E516" s="451"/>
      <c r="F516" s="163"/>
      <c r="G516" s="164"/>
    </row>
    <row r="517" spans="2:7" ht="15" customHeight="1">
      <c r="B517" s="611" t="s">
        <v>242</v>
      </c>
      <c r="C517" s="612"/>
      <c r="D517" s="635" t="s">
        <v>249</v>
      </c>
      <c r="E517" s="637" t="s">
        <v>291</v>
      </c>
      <c r="F517" s="635" t="s">
        <v>297</v>
      </c>
      <c r="G517" s="639" t="s">
        <v>298</v>
      </c>
    </row>
    <row r="518" spans="2:7">
      <c r="B518" s="613"/>
      <c r="C518" s="614"/>
      <c r="D518" s="636"/>
      <c r="E518" s="638"/>
      <c r="F518" s="636"/>
      <c r="G518" s="640"/>
    </row>
    <row r="519" spans="2:7">
      <c r="B519" s="675" t="str">
        <f>'Costos totales'!B175</f>
        <v>Malla</v>
      </c>
      <c r="C519" s="676"/>
      <c r="D519" s="191" t="s">
        <v>249</v>
      </c>
      <c r="E519" s="481">
        <v>1</v>
      </c>
      <c r="F519" s="192">
        <f>'Costos totales'!G175</f>
        <v>1.5</v>
      </c>
      <c r="G519" s="277">
        <f>+F519*E519</f>
        <v>1.5</v>
      </c>
    </row>
    <row r="520" spans="2:7">
      <c r="B520" s="649" t="str">
        <f>'Costos totales'!B176</f>
        <v>Piedra poroza</v>
      </c>
      <c r="C520" s="650"/>
      <c r="D520" s="171" t="s">
        <v>249</v>
      </c>
      <c r="E520" s="453">
        <v>1</v>
      </c>
      <c r="F520" s="171">
        <f>'Costos totales'!G176</f>
        <v>0.25</v>
      </c>
      <c r="G520" s="198">
        <f>+F520*E520</f>
        <v>0.25</v>
      </c>
    </row>
    <row r="521" spans="2:7">
      <c r="B521" s="621"/>
      <c r="C521" s="622"/>
      <c r="D521" s="177"/>
      <c r="E521" s="459"/>
      <c r="F521" s="197"/>
      <c r="G521" s="196"/>
    </row>
    <row r="522" spans="2:7">
      <c r="B522" s="621"/>
      <c r="C522" s="622"/>
      <c r="D522" s="177"/>
      <c r="E522" s="459"/>
      <c r="F522" s="197"/>
      <c r="G522" s="196"/>
    </row>
    <row r="523" spans="2:7">
      <c r="B523" s="619"/>
      <c r="C523" s="620"/>
      <c r="D523" s="181"/>
      <c r="E523" s="455"/>
      <c r="F523" s="181"/>
      <c r="G523" s="183" t="str">
        <f>IF(D523="","",ROUND(E523*F523,2))</f>
        <v/>
      </c>
    </row>
    <row r="524" spans="2:7">
      <c r="B524" s="162"/>
      <c r="C524" s="163"/>
      <c r="D524" s="163"/>
      <c r="E524" s="451"/>
      <c r="F524" s="163" t="s">
        <v>250</v>
      </c>
      <c r="G524" s="184">
        <f>SUM(G519:G523)</f>
        <v>1.75</v>
      </c>
    </row>
    <row r="525" spans="2:7">
      <c r="B525" s="165" t="s">
        <v>251</v>
      </c>
      <c r="C525" s="163"/>
      <c r="D525" s="163"/>
      <c r="E525" s="451"/>
      <c r="F525" s="163"/>
      <c r="G525" s="199"/>
    </row>
    <row r="526" spans="2:7">
      <c r="B526" s="611" t="s">
        <v>242</v>
      </c>
      <c r="C526" s="612"/>
      <c r="D526" s="635" t="s">
        <v>249</v>
      </c>
      <c r="E526" s="637" t="s">
        <v>291</v>
      </c>
      <c r="F526" s="635" t="s">
        <v>299</v>
      </c>
      <c r="G526" s="639" t="s">
        <v>298</v>
      </c>
    </row>
    <row r="527" spans="2:7">
      <c r="B527" s="613"/>
      <c r="C527" s="614"/>
      <c r="D527" s="636"/>
      <c r="E527" s="638"/>
      <c r="F527" s="636"/>
      <c r="G527" s="640"/>
    </row>
    <row r="528" spans="2:7">
      <c r="B528" s="623"/>
      <c r="C528" s="624"/>
      <c r="D528" s="200"/>
      <c r="E528" s="460"/>
      <c r="F528" s="200"/>
      <c r="G528" s="201"/>
    </row>
    <row r="529" spans="2:7">
      <c r="B529" s="625"/>
      <c r="C529" s="626"/>
      <c r="D529" s="178"/>
      <c r="E529" s="459"/>
      <c r="F529" s="178"/>
      <c r="G529" s="176" t="str">
        <f>IF(D529="","",ROUND(E529*F529,2))</f>
        <v/>
      </c>
    </row>
    <row r="530" spans="2:7">
      <c r="B530" s="625"/>
      <c r="C530" s="626"/>
      <c r="D530" s="178"/>
      <c r="E530" s="459"/>
      <c r="F530" s="178"/>
      <c r="G530" s="179" t="str">
        <f>IF(D530="","",ROUND(E530*F530,2))</f>
        <v/>
      </c>
    </row>
    <row r="531" spans="2:7">
      <c r="B531" s="625"/>
      <c r="C531" s="626"/>
      <c r="D531" s="178"/>
      <c r="E531" s="459"/>
      <c r="F531" s="178"/>
      <c r="G531" s="179" t="str">
        <f>IF(D531="","",ROUND(E531*F531,2))</f>
        <v/>
      </c>
    </row>
    <row r="532" spans="2:7">
      <c r="B532" s="627"/>
      <c r="C532" s="628"/>
      <c r="D532" s="182"/>
      <c r="E532" s="455"/>
      <c r="F532" s="182"/>
      <c r="G532" s="202" t="str">
        <f>IF(D532="","",ROUND(E532*F532,2))</f>
        <v/>
      </c>
    </row>
    <row r="533" spans="2:7">
      <c r="B533" s="162"/>
      <c r="C533" s="163"/>
      <c r="D533" s="163"/>
      <c r="E533" s="451"/>
      <c r="F533" s="163" t="s">
        <v>252</v>
      </c>
      <c r="G533" s="203">
        <f>SUM(G528:G532)</f>
        <v>0</v>
      </c>
    </row>
    <row r="534" spans="2:7">
      <c r="B534" s="162"/>
      <c r="C534" s="163"/>
      <c r="D534" s="163"/>
      <c r="E534" s="451"/>
      <c r="F534" s="163"/>
      <c r="G534" s="199"/>
    </row>
    <row r="535" spans="2:7">
      <c r="B535" s="162"/>
      <c r="C535" s="163"/>
      <c r="D535" s="204" t="s">
        <v>253</v>
      </c>
      <c r="E535" s="461"/>
      <c r="F535" s="205"/>
      <c r="G535" s="206">
        <f>ROUND(G506+G515+G524+G533,3)</f>
        <v>25.34</v>
      </c>
    </row>
    <row r="536" spans="2:7">
      <c r="B536" s="162"/>
      <c r="C536" s="163"/>
      <c r="D536" s="204" t="s">
        <v>254</v>
      </c>
      <c r="E536" s="461"/>
      <c r="F536" s="373">
        <f>'Costos totales'!M180</f>
        <v>24</v>
      </c>
      <c r="G536" s="206">
        <f>F536*G535/100</f>
        <v>6.0815999999999999</v>
      </c>
    </row>
    <row r="537" spans="2:7">
      <c r="B537" s="162"/>
      <c r="C537" s="163"/>
      <c r="D537" s="204" t="s">
        <v>255</v>
      </c>
      <c r="E537" s="461"/>
      <c r="F537" s="205"/>
      <c r="G537" s="206">
        <f>SUM(G535:G536)</f>
        <v>31.421599999999998</v>
      </c>
    </row>
    <row r="538" spans="2:7" ht="15" thickBot="1">
      <c r="B538" s="207"/>
      <c r="C538" s="208"/>
      <c r="D538" s="209" t="s">
        <v>256</v>
      </c>
      <c r="E538" s="462"/>
      <c r="F538" s="210"/>
      <c r="G538" s="211">
        <f>+G537</f>
        <v>31.421599999999998</v>
      </c>
    </row>
    <row r="539" spans="2:7">
      <c r="B539" s="56"/>
      <c r="C539" s="56"/>
      <c r="D539" s="56"/>
      <c r="E539" s="464"/>
      <c r="F539" s="56"/>
      <c r="G539" s="56"/>
    </row>
    <row r="540" spans="2:7" ht="15" thickBot="1">
      <c r="B540" s="56"/>
      <c r="C540" s="56"/>
      <c r="D540" s="56"/>
      <c r="E540" s="464"/>
      <c r="F540" s="56"/>
      <c r="G540" s="56"/>
    </row>
    <row r="541" spans="2:7">
      <c r="B541" s="629" t="s">
        <v>239</v>
      </c>
      <c r="C541" s="631" t="s">
        <v>98</v>
      </c>
      <c r="D541" s="631" t="s">
        <v>240</v>
      </c>
      <c r="E541" s="631" t="s">
        <v>240</v>
      </c>
      <c r="F541" s="631" t="s">
        <v>240</v>
      </c>
      <c r="G541" s="632" t="s">
        <v>240</v>
      </c>
    </row>
    <row r="542" spans="2:7">
      <c r="B542" s="630"/>
      <c r="C542" s="633" t="s">
        <v>240</v>
      </c>
      <c r="D542" s="633" t="s">
        <v>240</v>
      </c>
      <c r="E542" s="633" t="s">
        <v>240</v>
      </c>
      <c r="F542" s="633" t="s">
        <v>240</v>
      </c>
      <c r="G542" s="634" t="s">
        <v>240</v>
      </c>
    </row>
    <row r="543" spans="2:7">
      <c r="B543" s="162"/>
      <c r="C543" s="163"/>
      <c r="D543" s="163"/>
      <c r="E543" s="451"/>
      <c r="F543" s="163"/>
      <c r="G543" s="164"/>
    </row>
    <row r="544" spans="2:7">
      <c r="B544" s="165" t="s">
        <v>241</v>
      </c>
      <c r="C544" s="163"/>
      <c r="D544" s="163"/>
      <c r="E544" s="451"/>
      <c r="F544" s="163"/>
      <c r="G544" s="164"/>
    </row>
    <row r="545" spans="2:7">
      <c r="B545" s="166" t="s">
        <v>242</v>
      </c>
      <c r="C545" s="635" t="s">
        <v>291</v>
      </c>
      <c r="D545" s="635" t="s">
        <v>296</v>
      </c>
      <c r="E545" s="637" t="s">
        <v>293</v>
      </c>
      <c r="F545" s="635" t="s">
        <v>294</v>
      </c>
      <c r="G545" s="639" t="s">
        <v>295</v>
      </c>
    </row>
    <row r="546" spans="2:7">
      <c r="B546" s="167"/>
      <c r="C546" s="636"/>
      <c r="D546" s="636"/>
      <c r="E546" s="638"/>
      <c r="F546" s="636"/>
      <c r="G546" s="640"/>
    </row>
    <row r="547" spans="2:7">
      <c r="B547" s="168" t="s">
        <v>243</v>
      </c>
      <c r="C547" s="169">
        <v>1</v>
      </c>
      <c r="D547" s="170">
        <f>'Costos totales'!K185</f>
        <v>7.0368708526087273E-2</v>
      </c>
      <c r="E547" s="452">
        <f>+D547*C547</f>
        <v>7.0368708526087273E-2</v>
      </c>
      <c r="F547" s="171">
        <f>+'[1]Costos totales'!I220</f>
        <v>7.0000000000000007E-2</v>
      </c>
      <c r="G547" s="172">
        <f>+F547*E547</f>
        <v>4.92580959682611E-3</v>
      </c>
    </row>
    <row r="548" spans="2:7">
      <c r="B548" s="173" t="s">
        <v>2</v>
      </c>
      <c r="C548" s="169">
        <v>1</v>
      </c>
      <c r="D548" s="394">
        <f>'Costos totales'!K187</f>
        <v>0.23718569877984882</v>
      </c>
      <c r="E548" s="453">
        <f>+D548*C548</f>
        <v>0.23718569877984882</v>
      </c>
      <c r="F548" s="169">
        <f>+'[1]Costos totales'!I224</f>
        <v>45.75</v>
      </c>
      <c r="G548" s="195">
        <f>+F548*E548</f>
        <v>10.851245719178083</v>
      </c>
    </row>
    <row r="549" spans="2:7">
      <c r="B549" s="395" t="str">
        <f>'Costos totales'!B186</f>
        <v>Equipo triaxial</v>
      </c>
      <c r="C549" s="396">
        <v>1</v>
      </c>
      <c r="D549" s="397">
        <f>'Costos totales'!K186</f>
        <v>5.127712373661951</v>
      </c>
      <c r="E549" s="454">
        <f>+D549*C549</f>
        <v>5.127712373661951</v>
      </c>
      <c r="F549" s="398">
        <f>+'[1]Costos totales'!I222</f>
        <v>20.329999999999998</v>
      </c>
      <c r="G549" s="399">
        <f>+F549*E549</f>
        <v>104.24639255654745</v>
      </c>
    </row>
    <row r="550" spans="2:7">
      <c r="B550" s="173" t="str">
        <f>'Costos totales'!B188</f>
        <v>Bomba de vacío</v>
      </c>
      <c r="C550" s="174">
        <v>1</v>
      </c>
      <c r="D550" s="194">
        <f>'Costos totales'!K188</f>
        <v>5.6838680597200389E-2</v>
      </c>
      <c r="E550" s="454">
        <f t="shared" ref="E550:E551" si="19">+D550*C550</f>
        <v>5.6838680597200389E-2</v>
      </c>
      <c r="F550" s="171">
        <f>'Costos totales'!H188</f>
        <v>20.329999999999998</v>
      </c>
      <c r="G550" s="399">
        <f t="shared" ref="G550:G551" si="20">+F550*E550</f>
        <v>1.1555303765410838</v>
      </c>
    </row>
    <row r="551" spans="2:7">
      <c r="B551" s="167" t="str">
        <f>'Costos totales'!B189</f>
        <v>Software</v>
      </c>
      <c r="C551" s="496">
        <v>1</v>
      </c>
      <c r="D551" s="497">
        <f>'Costos totales'!K189</f>
        <v>8.7843607305936072E-2</v>
      </c>
      <c r="E551" s="498">
        <f t="shared" si="19"/>
        <v>8.7843607305936072E-2</v>
      </c>
      <c r="F551" s="499">
        <f>'Costos totales'!H189</f>
        <v>20.329999999999998</v>
      </c>
      <c r="G551" s="502">
        <f t="shared" si="20"/>
        <v>1.7858605365296802</v>
      </c>
    </row>
    <row r="552" spans="2:7">
      <c r="B552" s="162"/>
      <c r="C552" s="163"/>
      <c r="D552" s="163"/>
      <c r="E552" s="451"/>
      <c r="F552" s="163" t="s">
        <v>245</v>
      </c>
      <c r="G552" s="491">
        <f>SUM(G547:G551)</f>
        <v>118.04395499839312</v>
      </c>
    </row>
    <row r="553" spans="2:7">
      <c r="B553" s="165" t="s">
        <v>246</v>
      </c>
      <c r="C553" s="163"/>
      <c r="D553" s="163"/>
      <c r="E553" s="451"/>
      <c r="F553" s="163"/>
      <c r="G553" s="164"/>
    </row>
    <row r="554" spans="2:7">
      <c r="B554" s="166" t="s">
        <v>242</v>
      </c>
      <c r="C554" s="635" t="s">
        <v>291</v>
      </c>
      <c r="D554" s="635" t="s">
        <v>292</v>
      </c>
      <c r="E554" s="637" t="s">
        <v>293</v>
      </c>
      <c r="F554" s="635" t="s">
        <v>294</v>
      </c>
      <c r="G554" s="639" t="s">
        <v>295</v>
      </c>
    </row>
    <row r="555" spans="2:7">
      <c r="B555" s="167"/>
      <c r="C555" s="636"/>
      <c r="D555" s="636"/>
      <c r="E555" s="638"/>
      <c r="F555" s="636"/>
      <c r="G555" s="640"/>
    </row>
    <row r="556" spans="2:7">
      <c r="B556" s="166" t="s">
        <v>120</v>
      </c>
      <c r="C556" s="185">
        <v>1</v>
      </c>
      <c r="D556" s="186">
        <f>'Costos totales'!I192</f>
        <v>5.874569444444445</v>
      </c>
      <c r="E556" s="480">
        <f>+D556*C556</f>
        <v>5.874569444444445</v>
      </c>
      <c r="F556" s="187">
        <f>Rendimientos!B13</f>
        <v>2.36</v>
      </c>
      <c r="G556" s="188">
        <f>+F556*E556</f>
        <v>13.863983888888889</v>
      </c>
    </row>
    <row r="557" spans="2:7">
      <c r="B557" s="173"/>
      <c r="C557" s="177"/>
      <c r="D557" s="178"/>
      <c r="E557" s="457" t="str">
        <f>IF(C557="","",ROUND(C557*D557,2))</f>
        <v/>
      </c>
      <c r="F557" s="178" t="str">
        <f>IF(C557="","", $G$8)</f>
        <v/>
      </c>
      <c r="G557" s="179" t="str">
        <f>IF(D557="","",ROUND(E557*F557,2))</f>
        <v/>
      </c>
    </row>
    <row r="558" spans="2:7">
      <c r="B558" s="173"/>
      <c r="C558" s="177"/>
      <c r="D558" s="178"/>
      <c r="E558" s="457" t="str">
        <f>IF(C558="","",ROUND(C558*D558,2))</f>
        <v/>
      </c>
      <c r="F558" s="178" t="str">
        <f>IF(C558="","", $G$8)</f>
        <v/>
      </c>
      <c r="G558" s="179" t="str">
        <f>IF(D558="","",ROUND(E558*F558,2))</f>
        <v/>
      </c>
    </row>
    <row r="559" spans="2:7">
      <c r="B559" s="173"/>
      <c r="C559" s="177"/>
      <c r="D559" s="178"/>
      <c r="E559" s="457" t="str">
        <f>IF(C559="","",ROUND(C559*D559,2))</f>
        <v/>
      </c>
      <c r="F559" s="178" t="str">
        <f>IF(C559="","", $G$8)</f>
        <v/>
      </c>
      <c r="G559" s="179" t="str">
        <f>IF(D559="","",ROUND(E559*F559,2))</f>
        <v/>
      </c>
    </row>
    <row r="560" spans="2:7">
      <c r="B560" s="180"/>
      <c r="C560" s="181"/>
      <c r="D560" s="182"/>
      <c r="E560" s="458" t="str">
        <f>IF(C560="","",ROUND(C560*D560,2))</f>
        <v/>
      </c>
      <c r="F560" s="182" t="str">
        <f>IF(C560="","", $G$8)</f>
        <v/>
      </c>
      <c r="G560" s="183" t="str">
        <f>IF(D560="","",ROUND(E560*F560,2))</f>
        <v/>
      </c>
    </row>
    <row r="561" spans="2:7">
      <c r="B561" s="162"/>
      <c r="C561" s="163"/>
      <c r="D561" s="163"/>
      <c r="E561" s="451"/>
      <c r="F561" s="163" t="s">
        <v>247</v>
      </c>
      <c r="G561" s="190">
        <f>SUM(G556:G560)</f>
        <v>13.863983888888889</v>
      </c>
    </row>
    <row r="562" spans="2:7">
      <c r="B562" s="165" t="s">
        <v>248</v>
      </c>
      <c r="C562" s="163"/>
      <c r="D562" s="163"/>
      <c r="E562" s="451"/>
      <c r="F562" s="163"/>
      <c r="G562" s="164"/>
    </row>
    <row r="563" spans="2:7" ht="15" customHeight="1">
      <c r="B563" s="611" t="s">
        <v>242</v>
      </c>
      <c r="C563" s="612"/>
      <c r="D563" s="635" t="s">
        <v>249</v>
      </c>
      <c r="E563" s="637" t="s">
        <v>291</v>
      </c>
      <c r="F563" s="635" t="s">
        <v>297</v>
      </c>
      <c r="G563" s="639" t="s">
        <v>298</v>
      </c>
    </row>
    <row r="564" spans="2:7">
      <c r="B564" s="613"/>
      <c r="C564" s="614"/>
      <c r="D564" s="636"/>
      <c r="E564" s="638"/>
      <c r="F564" s="636"/>
      <c r="G564" s="640"/>
    </row>
    <row r="565" spans="2:7">
      <c r="B565" s="617" t="str">
        <f>'Costos totales'!B190</f>
        <v>Malla</v>
      </c>
      <c r="C565" s="618"/>
      <c r="D565" s="191" t="s">
        <v>249</v>
      </c>
      <c r="E565" s="481">
        <v>1</v>
      </c>
      <c r="F565" s="192">
        <f>'Costos totales'!G190</f>
        <v>1.5</v>
      </c>
      <c r="G565" s="277">
        <f>F565*E565</f>
        <v>1.5</v>
      </c>
    </row>
    <row r="566" spans="2:7" ht="16.05" customHeight="1">
      <c r="B566" s="615" t="str">
        <f>'Costos totales'!B191</f>
        <v>Piedra poroza</v>
      </c>
      <c r="C566" s="616"/>
      <c r="D566" s="171" t="s">
        <v>249</v>
      </c>
      <c r="E566" s="453">
        <v>1</v>
      </c>
      <c r="F566" s="171">
        <f>'Costos totales'!G191</f>
        <v>0.25</v>
      </c>
      <c r="G566" s="277">
        <f>F566*E566</f>
        <v>0.25</v>
      </c>
    </row>
    <row r="567" spans="2:7">
      <c r="B567" s="621"/>
      <c r="C567" s="622"/>
      <c r="D567" s="177"/>
      <c r="E567" s="459"/>
      <c r="F567" s="197"/>
      <c r="G567" s="196"/>
    </row>
    <row r="568" spans="2:7">
      <c r="B568" s="621"/>
      <c r="C568" s="622"/>
      <c r="D568" s="177"/>
      <c r="E568" s="459"/>
      <c r="F568" s="197"/>
      <c r="G568" s="196"/>
    </row>
    <row r="569" spans="2:7">
      <c r="B569" s="619"/>
      <c r="C569" s="620"/>
      <c r="D569" s="181"/>
      <c r="E569" s="455"/>
      <c r="F569" s="181"/>
      <c r="G569" s="183" t="str">
        <f>IF(D569="","",ROUND(E569*F569,2))</f>
        <v/>
      </c>
    </row>
    <row r="570" spans="2:7">
      <c r="B570" s="162"/>
      <c r="C570" s="163"/>
      <c r="D570" s="163"/>
      <c r="E570" s="451"/>
      <c r="F570" s="163" t="s">
        <v>250</v>
      </c>
      <c r="G570" s="184">
        <f>SUM(G565:G569)</f>
        <v>1.75</v>
      </c>
    </row>
    <row r="571" spans="2:7">
      <c r="B571" s="165" t="s">
        <v>251</v>
      </c>
      <c r="C571" s="163"/>
      <c r="D571" s="163"/>
      <c r="E571" s="451"/>
      <c r="F571" s="163"/>
      <c r="G571" s="199"/>
    </row>
    <row r="572" spans="2:7">
      <c r="B572" s="611" t="s">
        <v>242</v>
      </c>
      <c r="C572" s="612"/>
      <c r="D572" s="635" t="s">
        <v>249</v>
      </c>
      <c r="E572" s="637" t="s">
        <v>291</v>
      </c>
      <c r="F572" s="635" t="s">
        <v>299</v>
      </c>
      <c r="G572" s="639" t="s">
        <v>298</v>
      </c>
    </row>
    <row r="573" spans="2:7">
      <c r="B573" s="613"/>
      <c r="C573" s="614"/>
      <c r="D573" s="636"/>
      <c r="E573" s="638"/>
      <c r="F573" s="636"/>
      <c r="G573" s="640"/>
    </row>
    <row r="574" spans="2:7">
      <c r="B574" s="623"/>
      <c r="C574" s="624"/>
      <c r="D574" s="200"/>
      <c r="E574" s="460"/>
      <c r="F574" s="200"/>
      <c r="G574" s="201"/>
    </row>
    <row r="575" spans="2:7">
      <c r="B575" s="625"/>
      <c r="C575" s="626"/>
      <c r="D575" s="178"/>
      <c r="E575" s="459"/>
      <c r="F575" s="178"/>
      <c r="G575" s="176" t="str">
        <f>IF(D575="","",ROUND(E575*F575,2))</f>
        <v/>
      </c>
    </row>
    <row r="576" spans="2:7">
      <c r="B576" s="625"/>
      <c r="C576" s="626"/>
      <c r="D576" s="178"/>
      <c r="E576" s="459"/>
      <c r="F576" s="178"/>
      <c r="G576" s="179" t="str">
        <f>IF(D576="","",ROUND(E576*F576,2))</f>
        <v/>
      </c>
    </row>
    <row r="577" spans="2:7">
      <c r="B577" s="625"/>
      <c r="C577" s="626"/>
      <c r="D577" s="178"/>
      <c r="E577" s="459"/>
      <c r="F577" s="178"/>
      <c r="G577" s="179" t="str">
        <f>IF(D577="","",ROUND(E577*F577,2))</f>
        <v/>
      </c>
    </row>
    <row r="578" spans="2:7">
      <c r="B578" s="627"/>
      <c r="C578" s="628"/>
      <c r="D578" s="182"/>
      <c r="E578" s="455"/>
      <c r="F578" s="182"/>
      <c r="G578" s="202" t="str">
        <f>IF(D578="","",ROUND(E578*F578,2))</f>
        <v/>
      </c>
    </row>
    <row r="579" spans="2:7">
      <c r="B579" s="162"/>
      <c r="C579" s="163"/>
      <c r="D579" s="163"/>
      <c r="E579" s="451"/>
      <c r="F579" s="163" t="s">
        <v>252</v>
      </c>
      <c r="G579" s="203">
        <f>SUM(G574:G578)</f>
        <v>0</v>
      </c>
    </row>
    <row r="580" spans="2:7">
      <c r="B580" s="162"/>
      <c r="C580" s="163"/>
      <c r="D580" s="163"/>
      <c r="E580" s="451"/>
      <c r="F580" s="163"/>
      <c r="G580" s="199"/>
    </row>
    <row r="581" spans="2:7">
      <c r="B581" s="162"/>
      <c r="C581" s="163"/>
      <c r="D581" s="204" t="s">
        <v>253</v>
      </c>
      <c r="E581" s="461"/>
      <c r="F581" s="205"/>
      <c r="G581" s="206">
        <f>ROUND(G552+G561+G570+G579,3)</f>
        <v>133.65799999999999</v>
      </c>
    </row>
    <row r="582" spans="2:7">
      <c r="B582" s="162"/>
      <c r="C582" s="163"/>
      <c r="D582" s="204" t="s">
        <v>254</v>
      </c>
      <c r="E582" s="461"/>
      <c r="F582" s="373">
        <f>'Costos totales'!M195</f>
        <v>24</v>
      </c>
      <c r="G582" s="206">
        <f>F582*G581/100</f>
        <v>32.077919999999992</v>
      </c>
    </row>
    <row r="583" spans="2:7">
      <c r="B583" s="162"/>
      <c r="C583" s="163"/>
      <c r="D583" s="204" t="s">
        <v>255</v>
      </c>
      <c r="E583" s="461"/>
      <c r="F583" s="205"/>
      <c r="G583" s="206">
        <f>SUM(G581:G582)</f>
        <v>165.73591999999996</v>
      </c>
    </row>
    <row r="584" spans="2:7" ht="15" thickBot="1">
      <c r="B584" s="207"/>
      <c r="C584" s="208"/>
      <c r="D584" s="209" t="s">
        <v>256</v>
      </c>
      <c r="E584" s="462"/>
      <c r="F584" s="210"/>
      <c r="G584" s="211">
        <f>+G583</f>
        <v>165.73591999999996</v>
      </c>
    </row>
  </sheetData>
  <mergeCells count="402">
    <mergeCell ref="D572:D573"/>
    <mergeCell ref="E572:E573"/>
    <mergeCell ref="F572:F573"/>
    <mergeCell ref="G572:G573"/>
    <mergeCell ref="B52:B53"/>
    <mergeCell ref="B6:B7"/>
    <mergeCell ref="B15:B16"/>
    <mergeCell ref="B24:C25"/>
    <mergeCell ref="B33:C34"/>
    <mergeCell ref="B66:B67"/>
    <mergeCell ref="B103:B104"/>
    <mergeCell ref="B114:B115"/>
    <mergeCell ref="B151:B152"/>
    <mergeCell ref="B161:B162"/>
    <mergeCell ref="B198:B199"/>
    <mergeCell ref="B210:B211"/>
    <mergeCell ref="B247:B248"/>
    <mergeCell ref="B262:B263"/>
    <mergeCell ref="B299:B300"/>
    <mergeCell ref="B316:B317"/>
    <mergeCell ref="B353:B354"/>
    <mergeCell ref="B370:B371"/>
    <mergeCell ref="B407:B408"/>
    <mergeCell ref="G24:G25"/>
    <mergeCell ref="E33:E34"/>
    <mergeCell ref="F33:F34"/>
    <mergeCell ref="G33:G34"/>
    <mergeCell ref="D84:D85"/>
    <mergeCell ref="E84:E85"/>
    <mergeCell ref="F84:F85"/>
    <mergeCell ref="G84:G85"/>
    <mergeCell ref="F517:F518"/>
    <mergeCell ref="G517:G518"/>
    <mergeCell ref="D471:D472"/>
    <mergeCell ref="E471:E472"/>
    <mergeCell ref="F471:F472"/>
    <mergeCell ref="G471:G472"/>
    <mergeCell ref="D425:D426"/>
    <mergeCell ref="E425:E426"/>
    <mergeCell ref="F425:F426"/>
    <mergeCell ref="G425:G426"/>
    <mergeCell ref="D434:D435"/>
    <mergeCell ref="E434:E435"/>
    <mergeCell ref="F434:F435"/>
    <mergeCell ref="G434:G435"/>
    <mergeCell ref="D480:D481"/>
    <mergeCell ref="E480:E481"/>
    <mergeCell ref="F545:F546"/>
    <mergeCell ref="G545:G546"/>
    <mergeCell ref="B485:C485"/>
    <mergeCell ref="B486:C486"/>
    <mergeCell ref="B495:B496"/>
    <mergeCell ref="C495:G496"/>
    <mergeCell ref="B519:C519"/>
    <mergeCell ref="B520:C520"/>
    <mergeCell ref="G499:G500"/>
    <mergeCell ref="C508:C509"/>
    <mergeCell ref="D526:D527"/>
    <mergeCell ref="E526:E527"/>
    <mergeCell ref="F526:F527"/>
    <mergeCell ref="G526:G527"/>
    <mergeCell ref="B526:C527"/>
    <mergeCell ref="D508:D509"/>
    <mergeCell ref="E508:E509"/>
    <mergeCell ref="F508:F509"/>
    <mergeCell ref="G508:G509"/>
    <mergeCell ref="D517:D518"/>
    <mergeCell ref="E517:E518"/>
    <mergeCell ref="B517:C518"/>
    <mergeCell ref="C66:C67"/>
    <mergeCell ref="D66:D67"/>
    <mergeCell ref="E66:E67"/>
    <mergeCell ref="F66:F67"/>
    <mergeCell ref="G66:G67"/>
    <mergeCell ref="C114:C115"/>
    <mergeCell ref="D114:D115"/>
    <mergeCell ref="E114:E115"/>
    <mergeCell ref="F114:F115"/>
    <mergeCell ref="G114:G115"/>
    <mergeCell ref="B78:C78"/>
    <mergeCell ref="B79:C79"/>
    <mergeCell ref="B80:C80"/>
    <mergeCell ref="B81:C81"/>
    <mergeCell ref="B86:C86"/>
    <mergeCell ref="B77:C77"/>
    <mergeCell ref="D75:D76"/>
    <mergeCell ref="E75:E76"/>
    <mergeCell ref="F75:F76"/>
    <mergeCell ref="G75:G76"/>
    <mergeCell ref="B75:C76"/>
    <mergeCell ref="B84:C85"/>
    <mergeCell ref="C161:C162"/>
    <mergeCell ref="D161:D162"/>
    <mergeCell ref="E161:E162"/>
    <mergeCell ref="F161:F162"/>
    <mergeCell ref="G161:G162"/>
    <mergeCell ref="C210:C211"/>
    <mergeCell ref="D210:D211"/>
    <mergeCell ref="E210:E211"/>
    <mergeCell ref="F210:F211"/>
    <mergeCell ref="B170:C171"/>
    <mergeCell ref="B179:C180"/>
    <mergeCell ref="C353:C354"/>
    <mergeCell ref="D353:D354"/>
    <mergeCell ref="E353:E354"/>
    <mergeCell ref="F353:F354"/>
    <mergeCell ref="G353:G354"/>
    <mergeCell ref="C407:C408"/>
    <mergeCell ref="D407:D408"/>
    <mergeCell ref="E407:E408"/>
    <mergeCell ref="F407:F408"/>
    <mergeCell ref="G407:G408"/>
    <mergeCell ref="C370:C371"/>
    <mergeCell ref="D370:D371"/>
    <mergeCell ref="E370:E371"/>
    <mergeCell ref="F370:F371"/>
    <mergeCell ref="G370:G371"/>
    <mergeCell ref="D379:D380"/>
    <mergeCell ref="E379:E380"/>
    <mergeCell ref="F379:F380"/>
    <mergeCell ref="G379:G380"/>
    <mergeCell ref="D388:D389"/>
    <mergeCell ref="E388:E389"/>
    <mergeCell ref="F388:F389"/>
    <mergeCell ref="G388:G389"/>
    <mergeCell ref="B382:C382"/>
    <mergeCell ref="C247:C248"/>
    <mergeCell ref="D247:D248"/>
    <mergeCell ref="E247:E248"/>
    <mergeCell ref="F247:F248"/>
    <mergeCell ref="G247:G248"/>
    <mergeCell ref="C299:C300"/>
    <mergeCell ref="D299:D300"/>
    <mergeCell ref="E299:E300"/>
    <mergeCell ref="F299:F300"/>
    <mergeCell ref="G299:G300"/>
    <mergeCell ref="C262:C263"/>
    <mergeCell ref="D262:D263"/>
    <mergeCell ref="E262:E263"/>
    <mergeCell ref="F262:F263"/>
    <mergeCell ref="G262:G263"/>
    <mergeCell ref="D271:D272"/>
    <mergeCell ref="E271:E272"/>
    <mergeCell ref="F271:F272"/>
    <mergeCell ref="G271:G272"/>
    <mergeCell ref="D280:D281"/>
    <mergeCell ref="E280:E281"/>
    <mergeCell ref="F280:F281"/>
    <mergeCell ref="G280:G281"/>
    <mergeCell ref="B277:C277"/>
    <mergeCell ref="C151:C152"/>
    <mergeCell ref="D151:D152"/>
    <mergeCell ref="E151:E152"/>
    <mergeCell ref="F151:F152"/>
    <mergeCell ref="G151:G152"/>
    <mergeCell ref="C198:C199"/>
    <mergeCell ref="D198:D199"/>
    <mergeCell ref="E198:E199"/>
    <mergeCell ref="F198:F199"/>
    <mergeCell ref="G198:G199"/>
    <mergeCell ref="D170:D171"/>
    <mergeCell ref="E170:E171"/>
    <mergeCell ref="F170:F171"/>
    <mergeCell ref="G170:G171"/>
    <mergeCell ref="D179:D180"/>
    <mergeCell ref="E179:E180"/>
    <mergeCell ref="F179:F180"/>
    <mergeCell ref="G179:G180"/>
    <mergeCell ref="B172:C172"/>
    <mergeCell ref="B173:C173"/>
    <mergeCell ref="B174:C174"/>
    <mergeCell ref="B175:C175"/>
    <mergeCell ref="B176:C176"/>
    <mergeCell ref="B181:C181"/>
    <mergeCell ref="B36:C36"/>
    <mergeCell ref="B37:C37"/>
    <mergeCell ref="B26:C26"/>
    <mergeCell ref="B27:C27"/>
    <mergeCell ref="B28:C28"/>
    <mergeCell ref="B29:C29"/>
    <mergeCell ref="B30:C30"/>
    <mergeCell ref="B2:B3"/>
    <mergeCell ref="C2:G3"/>
    <mergeCell ref="B35:C35"/>
    <mergeCell ref="C15:C16"/>
    <mergeCell ref="D15:D16"/>
    <mergeCell ref="E15:E16"/>
    <mergeCell ref="F15:F16"/>
    <mergeCell ref="G15:G16"/>
    <mergeCell ref="C6:C7"/>
    <mergeCell ref="E6:E7"/>
    <mergeCell ref="F6:F7"/>
    <mergeCell ref="G6:G7"/>
    <mergeCell ref="D6:D7"/>
    <mergeCell ref="D24:D25"/>
    <mergeCell ref="E24:E25"/>
    <mergeCell ref="F24:F25"/>
    <mergeCell ref="D33:D34"/>
    <mergeCell ref="B38:C38"/>
    <mergeCell ref="B39:C39"/>
    <mergeCell ref="B48:B49"/>
    <mergeCell ref="C48:G49"/>
    <mergeCell ref="C52:C53"/>
    <mergeCell ref="D52:D53"/>
    <mergeCell ref="E52:E53"/>
    <mergeCell ref="F52:F53"/>
    <mergeCell ref="G52:G53"/>
    <mergeCell ref="B125:C125"/>
    <mergeCell ref="B126:C126"/>
    <mergeCell ref="B87:C87"/>
    <mergeCell ref="B88:C88"/>
    <mergeCell ref="B89:C89"/>
    <mergeCell ref="B90:C90"/>
    <mergeCell ref="B99:B100"/>
    <mergeCell ref="C99:G100"/>
    <mergeCell ref="C103:C104"/>
    <mergeCell ref="D103:D104"/>
    <mergeCell ref="E103:E104"/>
    <mergeCell ref="F103:F104"/>
    <mergeCell ref="G103:G104"/>
    <mergeCell ref="D123:D124"/>
    <mergeCell ref="E123:E124"/>
    <mergeCell ref="F123:F124"/>
    <mergeCell ref="G123:G124"/>
    <mergeCell ref="B123:C124"/>
    <mergeCell ref="B135:C135"/>
    <mergeCell ref="B136:C136"/>
    <mergeCell ref="B137:C137"/>
    <mergeCell ref="B138:C138"/>
    <mergeCell ref="B147:B148"/>
    <mergeCell ref="C147:G148"/>
    <mergeCell ref="B127:C127"/>
    <mergeCell ref="B128:C128"/>
    <mergeCell ref="B129:C129"/>
    <mergeCell ref="B134:C134"/>
    <mergeCell ref="D132:D133"/>
    <mergeCell ref="E132:E133"/>
    <mergeCell ref="F132:F133"/>
    <mergeCell ref="G132:G133"/>
    <mergeCell ref="B132:C133"/>
    <mergeCell ref="B221:C221"/>
    <mergeCell ref="B222:C222"/>
    <mergeCell ref="B182:C182"/>
    <mergeCell ref="B183:C183"/>
    <mergeCell ref="B184:C184"/>
    <mergeCell ref="B185:C185"/>
    <mergeCell ref="B194:B195"/>
    <mergeCell ref="C194:G195"/>
    <mergeCell ref="G210:G211"/>
    <mergeCell ref="D219:D220"/>
    <mergeCell ref="E219:E220"/>
    <mergeCell ref="F219:F220"/>
    <mergeCell ref="G219:G220"/>
    <mergeCell ref="B219:C220"/>
    <mergeCell ref="B231:C231"/>
    <mergeCell ref="B232:C232"/>
    <mergeCell ref="B233:C233"/>
    <mergeCell ref="B234:C234"/>
    <mergeCell ref="B243:B244"/>
    <mergeCell ref="C243:G244"/>
    <mergeCell ref="B223:C223"/>
    <mergeCell ref="B224:C224"/>
    <mergeCell ref="B225:C225"/>
    <mergeCell ref="B230:C230"/>
    <mergeCell ref="D228:D229"/>
    <mergeCell ref="E228:E229"/>
    <mergeCell ref="F228:F229"/>
    <mergeCell ref="G228:G229"/>
    <mergeCell ref="B228:C229"/>
    <mergeCell ref="B282:C282"/>
    <mergeCell ref="B273:C273"/>
    <mergeCell ref="B274:C274"/>
    <mergeCell ref="B275:C275"/>
    <mergeCell ref="B276:C276"/>
    <mergeCell ref="B327:C327"/>
    <mergeCell ref="B283:C283"/>
    <mergeCell ref="B284:C284"/>
    <mergeCell ref="B285:C285"/>
    <mergeCell ref="B286:C286"/>
    <mergeCell ref="B295:B296"/>
    <mergeCell ref="C295:G296"/>
    <mergeCell ref="C316:C317"/>
    <mergeCell ref="D316:D317"/>
    <mergeCell ref="E316:E317"/>
    <mergeCell ref="F316:F317"/>
    <mergeCell ref="G316:G317"/>
    <mergeCell ref="D325:D326"/>
    <mergeCell ref="E325:E326"/>
    <mergeCell ref="F325:F326"/>
    <mergeCell ref="G325:G326"/>
    <mergeCell ref="B337:C337"/>
    <mergeCell ref="B338:C338"/>
    <mergeCell ref="B339:C339"/>
    <mergeCell ref="B340:C340"/>
    <mergeCell ref="B349:B350"/>
    <mergeCell ref="C349:G350"/>
    <mergeCell ref="B328:C328"/>
    <mergeCell ref="B329:C329"/>
    <mergeCell ref="B330:C330"/>
    <mergeCell ref="B331:C331"/>
    <mergeCell ref="B336:C336"/>
    <mergeCell ref="D334:D335"/>
    <mergeCell ref="E334:E335"/>
    <mergeCell ref="F334:F335"/>
    <mergeCell ref="G334:G335"/>
    <mergeCell ref="B383:C383"/>
    <mergeCell ref="B384:C384"/>
    <mergeCell ref="B385:C385"/>
    <mergeCell ref="B390:C390"/>
    <mergeCell ref="B381:C381"/>
    <mergeCell ref="B427:C427"/>
    <mergeCell ref="B428:C428"/>
    <mergeCell ref="B429:C429"/>
    <mergeCell ref="B430:C430"/>
    <mergeCell ref="B391:C391"/>
    <mergeCell ref="B392:C392"/>
    <mergeCell ref="B393:C393"/>
    <mergeCell ref="B394:C394"/>
    <mergeCell ref="B403:B404"/>
    <mergeCell ref="C403:G404"/>
    <mergeCell ref="C416:C417"/>
    <mergeCell ref="D416:D417"/>
    <mergeCell ref="E416:E417"/>
    <mergeCell ref="F416:F417"/>
    <mergeCell ref="G416:G417"/>
    <mergeCell ref="B416:B417"/>
    <mergeCell ref="B431:C431"/>
    <mergeCell ref="B436:C436"/>
    <mergeCell ref="B437:C437"/>
    <mergeCell ref="B438:C438"/>
    <mergeCell ref="B439:C439"/>
    <mergeCell ref="B440:C440"/>
    <mergeCell ref="C453:C454"/>
    <mergeCell ref="D453:D454"/>
    <mergeCell ref="E453:E454"/>
    <mergeCell ref="B484:C484"/>
    <mergeCell ref="C499:C500"/>
    <mergeCell ref="D499:D500"/>
    <mergeCell ref="E499:E500"/>
    <mergeCell ref="F499:F500"/>
    <mergeCell ref="B480:C481"/>
    <mergeCell ref="B449:B450"/>
    <mergeCell ref="C449:G450"/>
    <mergeCell ref="B473:C473"/>
    <mergeCell ref="B475:C475"/>
    <mergeCell ref="F453:F454"/>
    <mergeCell ref="G453:G454"/>
    <mergeCell ref="C462:C463"/>
    <mergeCell ref="D462:D463"/>
    <mergeCell ref="E462:E463"/>
    <mergeCell ref="F462:F463"/>
    <mergeCell ref="G462:G463"/>
    <mergeCell ref="F480:F481"/>
    <mergeCell ref="G480:G481"/>
    <mergeCell ref="B574:C574"/>
    <mergeCell ref="B575:C575"/>
    <mergeCell ref="B576:C576"/>
    <mergeCell ref="B577:C577"/>
    <mergeCell ref="B578:C578"/>
    <mergeCell ref="B565:C565"/>
    <mergeCell ref="B567:C567"/>
    <mergeCell ref="B568:C568"/>
    <mergeCell ref="B531:C531"/>
    <mergeCell ref="B532:C532"/>
    <mergeCell ref="B541:B542"/>
    <mergeCell ref="C541:G542"/>
    <mergeCell ref="C554:C555"/>
    <mergeCell ref="D554:D555"/>
    <mergeCell ref="E554:E555"/>
    <mergeCell ref="F554:F555"/>
    <mergeCell ref="G554:G555"/>
    <mergeCell ref="D563:D564"/>
    <mergeCell ref="E563:E564"/>
    <mergeCell ref="F563:F564"/>
    <mergeCell ref="G563:G564"/>
    <mergeCell ref="C545:C546"/>
    <mergeCell ref="D545:D546"/>
    <mergeCell ref="E545:E546"/>
    <mergeCell ref="B563:C564"/>
    <mergeCell ref="B572:C573"/>
    <mergeCell ref="B566:C566"/>
    <mergeCell ref="B474:C474"/>
    <mergeCell ref="B271:C272"/>
    <mergeCell ref="B280:C281"/>
    <mergeCell ref="B325:C326"/>
    <mergeCell ref="B334:C335"/>
    <mergeCell ref="B379:C380"/>
    <mergeCell ref="B388:C389"/>
    <mergeCell ref="B425:C426"/>
    <mergeCell ref="B434:C435"/>
    <mergeCell ref="B471:C472"/>
    <mergeCell ref="B569:C569"/>
    <mergeCell ref="B521:C521"/>
    <mergeCell ref="B522:C522"/>
    <mergeCell ref="B523:C523"/>
    <mergeCell ref="B528:C528"/>
    <mergeCell ref="B529:C529"/>
    <mergeCell ref="B530:C530"/>
    <mergeCell ref="B476:C476"/>
    <mergeCell ref="B477:C477"/>
    <mergeCell ref="B482:C482"/>
    <mergeCell ref="B483:C483"/>
  </mergeCells>
  <pageMargins left="0.7" right="0.7" top="0.75" bottom="0.75" header="0.3" footer="0.3"/>
  <pageSetup paperSize="9" orientation="portrait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Costos horarios</vt:lpstr>
      <vt:lpstr>opcion  1</vt:lpstr>
      <vt:lpstr>Costo de operación</vt:lpstr>
      <vt:lpstr>Costo horario</vt:lpstr>
      <vt:lpstr>Costo Ind.</vt:lpstr>
      <vt:lpstr>Rendimientos</vt:lpstr>
      <vt:lpstr>Tiempos</vt:lpstr>
      <vt:lpstr>Costos totales</vt:lpstr>
      <vt:lpstr>APUS</vt:lpstr>
      <vt:lpstr>Comparaciones</vt:lpstr>
      <vt:lpstr>Conclusiones1</vt:lpstr>
      <vt:lpstr>Conclusiones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Alexander</cp:lastModifiedBy>
  <dcterms:created xsi:type="dcterms:W3CDTF">2018-06-13T22:50:53Z</dcterms:created>
  <dcterms:modified xsi:type="dcterms:W3CDTF">2018-07-30T01:35:25Z</dcterms:modified>
</cp:coreProperties>
</file>