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3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E\Dropbox\Tesis PUCE\Capítulo III\"/>
    </mc:Choice>
  </mc:AlternateContent>
  <xr:revisionPtr revIDLastSave="0" documentId="13_ncr:1_{9D43B5ED-559E-48FE-B9B2-E9655CA3FF3A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ANEXO" sheetId="6" r:id="rId1"/>
    <sheet name="Comercio Bilateral" sheetId="2" r:id="rId2"/>
    <sheet name="DISTRIBUCIÓN MENSUAL ECU-COL" sheetId="7" r:id="rId3"/>
    <sheet name="Socio comercial" sheetId="3" r:id="rId4"/>
    <sheet name="Distribución mensual MT Cargado" sheetId="4" r:id="rId5"/>
  </sheets>
  <calcPr calcId="191029"/>
</workbook>
</file>

<file path=xl/calcChain.xml><?xml version="1.0" encoding="utf-8"?>
<calcChain xmlns="http://schemas.openxmlformats.org/spreadsheetml/2006/main">
  <c r="Y17" i="7" l="1"/>
  <c r="X17" i="7"/>
  <c r="W17" i="7"/>
  <c r="V17" i="7"/>
  <c r="S17" i="7"/>
  <c r="R17" i="7"/>
  <c r="Q17" i="7"/>
  <c r="P17" i="7"/>
  <c r="Y16" i="7"/>
  <c r="X16" i="7"/>
  <c r="W16" i="7"/>
  <c r="V16" i="7"/>
  <c r="S16" i="7"/>
  <c r="R16" i="7"/>
  <c r="Q16" i="7"/>
  <c r="P16" i="7"/>
  <c r="Y15" i="7"/>
  <c r="X15" i="7"/>
  <c r="W15" i="7"/>
  <c r="V15" i="7"/>
  <c r="S15" i="7"/>
  <c r="R15" i="7"/>
  <c r="Q15" i="7"/>
  <c r="P15" i="7"/>
  <c r="Y14" i="7"/>
  <c r="X14" i="7"/>
  <c r="W14" i="7"/>
  <c r="V14" i="7"/>
  <c r="S14" i="7"/>
  <c r="R14" i="7"/>
  <c r="Q14" i="7"/>
  <c r="P14" i="7"/>
  <c r="Y13" i="7"/>
  <c r="X13" i="7"/>
  <c r="W13" i="7"/>
  <c r="V13" i="7"/>
  <c r="S13" i="7"/>
  <c r="R13" i="7"/>
  <c r="Q13" i="7"/>
  <c r="P13" i="7"/>
  <c r="Y12" i="7"/>
  <c r="X12" i="7"/>
  <c r="W12" i="7"/>
  <c r="V12" i="7"/>
  <c r="S12" i="7"/>
  <c r="R12" i="7"/>
  <c r="Q12" i="7"/>
  <c r="P12" i="7"/>
  <c r="Y11" i="7"/>
  <c r="X11" i="7"/>
  <c r="W11" i="7"/>
  <c r="V11" i="7"/>
  <c r="S11" i="7"/>
  <c r="R11" i="7"/>
  <c r="Q11" i="7"/>
  <c r="P11" i="7"/>
  <c r="Y10" i="7"/>
  <c r="X10" i="7"/>
  <c r="W10" i="7"/>
  <c r="V10" i="7"/>
  <c r="S10" i="7"/>
  <c r="R10" i="7"/>
  <c r="Q10" i="7"/>
  <c r="P10" i="7"/>
  <c r="Y9" i="7"/>
  <c r="X9" i="7"/>
  <c r="W9" i="7"/>
  <c r="V9" i="7"/>
  <c r="S9" i="7"/>
  <c r="R9" i="7"/>
  <c r="Q9" i="7"/>
  <c r="P9" i="7"/>
  <c r="Y8" i="7"/>
  <c r="X8" i="7"/>
  <c r="W8" i="7"/>
  <c r="V8" i="7"/>
  <c r="S8" i="7"/>
  <c r="R8" i="7"/>
  <c r="Q8" i="7"/>
  <c r="P8" i="7"/>
  <c r="Y7" i="7"/>
  <c r="X7" i="7"/>
  <c r="W7" i="7"/>
  <c r="V7" i="7"/>
  <c r="S7" i="7"/>
  <c r="R7" i="7"/>
  <c r="Q7" i="7"/>
  <c r="P7" i="7"/>
  <c r="Y6" i="7"/>
  <c r="Y18" i="7" s="1"/>
  <c r="X6" i="7"/>
  <c r="X18" i="7" s="1"/>
  <c r="W6" i="7"/>
  <c r="W18" i="7" s="1"/>
  <c r="V6" i="7"/>
  <c r="V18" i="7" s="1"/>
  <c r="S6" i="7"/>
  <c r="S18" i="7" s="1"/>
  <c r="R6" i="7"/>
  <c r="R18" i="7" s="1"/>
  <c r="Q6" i="7"/>
  <c r="Q18" i="7" s="1"/>
  <c r="P6" i="7"/>
  <c r="P18" i="7" s="1"/>
  <c r="D58" i="2"/>
  <c r="G20" i="4" l="1"/>
  <c r="F20" i="4"/>
  <c r="H9" i="4"/>
  <c r="H10" i="4"/>
  <c r="H11" i="4"/>
  <c r="H12" i="4"/>
  <c r="H13" i="4"/>
  <c r="H14" i="4"/>
  <c r="H15" i="4"/>
  <c r="H16" i="4"/>
  <c r="H17" i="4"/>
  <c r="H18" i="4"/>
  <c r="H19" i="4"/>
  <c r="H8" i="4"/>
  <c r="H20" i="4" s="1"/>
  <c r="J11" i="4" l="1"/>
  <c r="J13" i="4"/>
  <c r="M74" i="2"/>
  <c r="M75" i="2"/>
  <c r="M76" i="2"/>
  <c r="M73" i="2"/>
  <c r="N76" i="2" s="1"/>
  <c r="N77" i="2" s="1"/>
  <c r="M66" i="2"/>
  <c r="M67" i="2"/>
  <c r="M68" i="2"/>
  <c r="M65" i="2"/>
  <c r="O55" i="2"/>
  <c r="O59" i="2" s="1"/>
  <c r="O44" i="2"/>
  <c r="O49" i="2" s="1"/>
  <c r="P15" i="2"/>
  <c r="P11" i="2"/>
  <c r="O25" i="2"/>
  <c r="L26" i="2" s="1"/>
  <c r="E41" i="2"/>
  <c r="E47" i="2"/>
  <c r="E46" i="2"/>
  <c r="E45" i="2"/>
  <c r="E44" i="2"/>
  <c r="E43" i="2"/>
  <c r="E42" i="2"/>
  <c r="E40" i="2"/>
  <c r="P47" i="2" s="1"/>
  <c r="E39" i="2"/>
  <c r="E38" i="2"/>
  <c r="E37" i="2"/>
  <c r="E36" i="2"/>
  <c r="E35" i="2"/>
  <c r="E34" i="2"/>
  <c r="E33" i="2"/>
  <c r="E32" i="2"/>
  <c r="E31" i="2"/>
  <c r="N32" i="2"/>
  <c r="N33" i="2"/>
  <c r="N34" i="2"/>
  <c r="N35" i="2"/>
  <c r="N36" i="2"/>
  <c r="N37" i="2"/>
  <c r="N38" i="2"/>
  <c r="N39" i="2"/>
  <c r="N40" i="2"/>
  <c r="P59" i="2" s="1"/>
  <c r="N41" i="2"/>
  <c r="N42" i="2"/>
  <c r="N43" i="2"/>
  <c r="N44" i="2"/>
  <c r="N45" i="2"/>
  <c r="N46" i="2"/>
  <c r="N47" i="2"/>
  <c r="N31" i="2"/>
  <c r="N5" i="2"/>
  <c r="N6" i="2"/>
  <c r="N7" i="2"/>
  <c r="N8" i="2"/>
  <c r="N9" i="2"/>
  <c r="N10" i="2"/>
  <c r="N11" i="2"/>
  <c r="N12" i="2"/>
  <c r="N13" i="2"/>
  <c r="Q15" i="2" s="1"/>
  <c r="N14" i="2"/>
  <c r="N15" i="2"/>
  <c r="N16" i="2"/>
  <c r="N4" i="2"/>
  <c r="E5" i="2"/>
  <c r="I21" i="2" s="1"/>
  <c r="E6" i="2"/>
  <c r="I22" i="2" s="1"/>
  <c r="E7" i="2"/>
  <c r="I23" i="2" s="1"/>
  <c r="E8" i="2"/>
  <c r="I24" i="2" s="1"/>
  <c r="E9" i="2"/>
  <c r="I25" i="2" s="1"/>
  <c r="E10" i="2"/>
  <c r="I26" i="2" s="1"/>
  <c r="E11" i="2"/>
  <c r="I27" i="2" s="1"/>
  <c r="E12" i="2"/>
  <c r="I28" i="2" s="1"/>
  <c r="E13" i="2"/>
  <c r="I29" i="2" s="1"/>
  <c r="E21" i="2"/>
  <c r="E4" i="2"/>
  <c r="I20" i="2" s="1"/>
  <c r="M20" i="2"/>
  <c r="N20" i="2" s="1"/>
  <c r="M19" i="2"/>
  <c r="N19" i="2" s="1"/>
  <c r="M18" i="2"/>
  <c r="N18" i="2" s="1"/>
  <c r="M17" i="2"/>
  <c r="N17" i="2" s="1"/>
  <c r="M16" i="2"/>
  <c r="K21" i="2"/>
  <c r="M21" i="2"/>
  <c r="N21" i="2" s="1"/>
  <c r="M22" i="2"/>
  <c r="N22" i="2" s="1"/>
  <c r="K22" i="2"/>
  <c r="C21" i="2"/>
  <c r="C22" i="2"/>
  <c r="D22" i="2"/>
  <c r="E22" i="2" s="1"/>
  <c r="D21" i="2"/>
  <c r="D20" i="2"/>
  <c r="E20" i="2" s="1"/>
  <c r="D19" i="2"/>
  <c r="E19" i="2" s="1"/>
  <c r="D18" i="2"/>
  <c r="E18" i="2" s="1"/>
  <c r="D17" i="2"/>
  <c r="E17" i="2" s="1"/>
  <c r="D16" i="2"/>
  <c r="E16" i="2" s="1"/>
  <c r="D15" i="2"/>
  <c r="E15" i="2" s="1"/>
  <c r="D14" i="2"/>
  <c r="E14" i="2" s="1"/>
  <c r="M22" i="3"/>
  <c r="D59" i="2"/>
  <c r="E59" i="2" s="1"/>
  <c r="D60" i="2"/>
  <c r="E60" i="2" s="1"/>
  <c r="D61" i="2"/>
  <c r="E61" i="2" s="1"/>
  <c r="D62" i="2"/>
  <c r="E62" i="2" s="1"/>
  <c r="D63" i="2"/>
  <c r="E63" i="2" s="1"/>
  <c r="D64" i="2"/>
  <c r="E64" i="2" s="1"/>
  <c r="D65" i="2"/>
  <c r="E65" i="2" s="1"/>
  <c r="D66" i="2"/>
  <c r="E66" i="2" s="1"/>
  <c r="D67" i="2"/>
  <c r="E67" i="2" s="1"/>
  <c r="E58" i="2"/>
  <c r="C58" i="2"/>
  <c r="C59" i="2"/>
  <c r="C60" i="2"/>
  <c r="C61" i="2"/>
  <c r="C62" i="2"/>
  <c r="C63" i="2"/>
  <c r="C64" i="2"/>
  <c r="C65" i="2"/>
  <c r="C66" i="2"/>
  <c r="C67" i="2"/>
  <c r="O29" i="2" l="1"/>
  <c r="F13" i="2"/>
  <c r="F40" i="2"/>
  <c r="O47" i="2"/>
  <c r="M26" i="2"/>
</calcChain>
</file>

<file path=xl/sharedStrings.xml><?xml version="1.0" encoding="utf-8"?>
<sst xmlns="http://schemas.openxmlformats.org/spreadsheetml/2006/main" count="228" uniqueCount="89">
  <si>
    <t>Importaciones desde Ecuador</t>
  </si>
  <si>
    <t>Año</t>
  </si>
  <si>
    <t>Peso (kg)</t>
  </si>
  <si>
    <t>Peso (Kg)</t>
  </si>
  <si>
    <t>Exportaciones hacia Ecuador</t>
  </si>
  <si>
    <t>Valor FOB (USD)</t>
  </si>
  <si>
    <t>Importaciones desde Colombia</t>
  </si>
  <si>
    <t>Exportaciones hacia Colombia</t>
  </si>
  <si>
    <t>Valor CIF (USD)</t>
  </si>
  <si>
    <t>*Fuente: Banco Central del Ecuador: https://contenido.bce.fin.ec/home1/estadisticas/bolmensual/IEMensual.jsp</t>
  </si>
  <si>
    <t>https://www.nube-mcit.gov.co/public.php?service=files&amp;t=3040a9a7106f89ad382a71dd9993e4ba</t>
  </si>
  <si>
    <t>*Fuente: DANE-DIAN. Cifras provisionales *Elaborado por Oficina de Estudios Económicos del Ministerio de Comercio, Industria, y Turismo de Colombia</t>
  </si>
  <si>
    <t>Lugar</t>
  </si>
  <si>
    <t>%</t>
  </si>
  <si>
    <t>EXPORTACIONES DE COLOMBIA A ECUADOR</t>
  </si>
  <si>
    <t>IMPORTACIONES DE ECUADOR A COLOMBIA</t>
  </si>
  <si>
    <t>IMPORTACIONES DE COLOMBIA A ECUADOR</t>
  </si>
  <si>
    <t>EXPORTACIONES DE ECUADOR A COLOMBIA</t>
  </si>
  <si>
    <t>https://atlas.media.mit.edu/</t>
  </si>
  <si>
    <t>The Observatory of Economic Complexity</t>
  </si>
  <si>
    <t>http://www.mincit.gov.co/loader.php?lServicio=Documentos&amp;lFuncion=verPdf&amp;id=77319&amp;name=OEE_espanol_Perfil_Colombia_21-09-18.pdf&amp;prefijo=file</t>
  </si>
  <si>
    <t>http://www.mincit.gov.co/loader.php?lServicio=Documentos&amp;lFuncion=verPdf&amp;id=77320&amp;name=OEE_Espanol_Perfil_Ecuador_29-06-2018.pdf&amp;prefijo=file</t>
  </si>
  <si>
    <t>SISTEMA SITC</t>
  </si>
  <si>
    <t>Ago-18</t>
  </si>
  <si>
    <t>Peso (Ton)</t>
  </si>
  <si>
    <t>DATOS ECUADOR</t>
  </si>
  <si>
    <t>DATOS COLOMBIA</t>
  </si>
  <si>
    <t>Totales exportación</t>
  </si>
  <si>
    <t>Miles de dolares</t>
  </si>
  <si>
    <t>Importacion datos ec</t>
  </si>
  <si>
    <t>Exp datos ec</t>
  </si>
  <si>
    <t>Export col</t>
  </si>
  <si>
    <t>Importacion Col</t>
  </si>
  <si>
    <t>Valor en $US sentido ECU-COL</t>
  </si>
  <si>
    <t>Valor en $US sentido COL-ECU</t>
  </si>
  <si>
    <t>Volumen en Ton sentido ECU-COL</t>
  </si>
  <si>
    <t xml:space="preserve">Volumen Total en Ton </t>
  </si>
  <si>
    <t>Valor Total en $US</t>
  </si>
  <si>
    <t>Volumen en Ton sentido COL-ECU</t>
  </si>
  <si>
    <t>MES</t>
  </si>
  <si>
    <t>Total</t>
  </si>
  <si>
    <t>DIC</t>
  </si>
  <si>
    <t>Sentido ECU-COL</t>
  </si>
  <si>
    <t>Sentido COL-ECU</t>
  </si>
  <si>
    <t>TOTAL</t>
  </si>
  <si>
    <t>Cantidad de MT cargados por sentido y mes promedio 2017</t>
  </si>
  <si>
    <t>FUENTES</t>
  </si>
  <si>
    <t>Atlas MIT:</t>
  </si>
  <si>
    <t>Ministerio de Comercio, Industria y Turismo</t>
  </si>
  <si>
    <t>Modo de transporte terrestre exclusivamente</t>
  </si>
  <si>
    <t>Fuente: SGCAN</t>
  </si>
  <si>
    <t xml:space="preserve">Sin Datos </t>
  </si>
  <si>
    <t>INFORMANTE: ECUADOR
Distribución mensual de los despachos en US$ FOB y Ton
Promedio Mensual del período 2014-2017</t>
  </si>
  <si>
    <t>INFORMANTE: COLOMBIA
Distribución mensual de los despachos en US$ FOB y Ton
Promedio Mensual del período 2014-2017</t>
  </si>
  <si>
    <t>PERFIL COMERCIO BILATERAL ECUADOR - COLOMBIA AÑOS 2014 A 2017</t>
  </si>
  <si>
    <t>Informante Colombia</t>
  </si>
  <si>
    <t>US$</t>
  </si>
  <si>
    <t>Ton</t>
  </si>
  <si>
    <t>ECU - COL</t>
  </si>
  <si>
    <t>COL - ECU</t>
  </si>
  <si>
    <t>Exportación hacia Ecuador</t>
  </si>
  <si>
    <t>Valores (FOB)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</si>
  <si>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</si>
  <si>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</si>
  <si>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</si>
  <si>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</si>
  <si>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</si>
  <si>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</si>
  <si>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</si>
  <si>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</si>
  <si>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</si>
  <si>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</si>
  <si>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</si>
  <si>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</si>
  <si>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Toneladas</t>
  </si>
  <si>
    <t>Informante Ecuador</t>
  </si>
  <si>
    <t>Exportación hacia Colombia</t>
  </si>
  <si>
    <t>FUENTE:</t>
  </si>
  <si>
    <t>SECRETARIA GENERAL DE LA COMUNIDAD ANDINA DE NACIONES (CAN)</t>
  </si>
  <si>
    <t>ANEXO</t>
  </si>
  <si>
    <t>AUTOR</t>
  </si>
  <si>
    <t>MAURICIO ANDRÉS CORONEL EGAS</t>
  </si>
  <si>
    <t>FUENTE</t>
  </si>
  <si>
    <t>INDICADAS EN CADA HOJA</t>
  </si>
  <si>
    <t>DISERTACIÓN</t>
  </si>
  <si>
    <t>MOVILIDAD Y TRANSPORTE E IMPLEMENTACIÓN DE CONTROLES FRONTERIZOS. CASO DE ESTUDIO: CENTRO BINACIONAL DE ATENCIÓN EN FRONTERA (CEBAF) LÍMITE ECUADOR - COLOMBIA</t>
  </si>
  <si>
    <t>AÑO</t>
  </si>
  <si>
    <t>DATOS Y ANÁLISIS DE COMERCIO BILATERAL ECUADOR - COLOMBIA</t>
  </si>
  <si>
    <r>
      <rPr>
        <b/>
        <sz val="11"/>
        <color theme="1"/>
        <rFont val="Calibri"/>
        <family val="2"/>
        <scheme val="minor"/>
      </rPr>
      <t>Fuente</t>
    </r>
    <r>
      <rPr>
        <sz val="11"/>
        <color theme="1"/>
        <rFont val="Calibri"/>
        <family val="2"/>
        <scheme val="minor"/>
      </rPr>
      <t>: Estudio de prefactibilidad de EPYPSA basado en datos de SENAE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</si>
</sst>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#,##0.0"/>
    <numFmt numFmtId="166" formatCode="#,##0.000"/>
    <numFmt numFmtId="167" formatCode="0.0%"/>
  </numFmts>
  <fonts count="18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Border="1"/>
    <xf numFmtId="4" fontId="1" fillId="2" borderId="1" xfId="0" applyNumberFormat="1" applyFont="1" applyFill="1" applyBorder="1" applyAlignment="1">
      <alignment horizontal="right" vertical="center" wrapText="1"/>
    </xf>
    <xf numFmtId="3" fontId="1" fillId="2" borderId="1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4" fontId="0" fillId="0" borderId="0" xfId="0" applyNumberFormat="1"/>
    <xf numFmtId="1" fontId="0" fillId="0" borderId="0" xfId="0" applyNumberFormat="1"/>
    <xf numFmtId="17" fontId="0" fillId="0" borderId="0" xfId="0" applyNumberFormat="1" applyBorder="1"/>
    <xf numFmtId="0" fontId="0" fillId="0" borderId="0" xfId="0" applyAlignment="1">
      <alignment horizontal="center" vertical="center"/>
    </xf>
    <xf numFmtId="4" fontId="8" fillId="0" borderId="0" xfId="0" applyNumberFormat="1" applyFont="1" applyFill="1" applyBorder="1"/>
    <xf numFmtId="0" fontId="6" fillId="0" borderId="0" xfId="0" applyFont="1"/>
    <xf numFmtId="0" fontId="0" fillId="0" borderId="0" xfId="0" applyAlignment="1">
      <alignment horizontal="center"/>
    </xf>
    <xf numFmtId="167" fontId="0" fillId="0" borderId="0" xfId="2" applyNumberFormat="1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wrapText="1"/>
    </xf>
    <xf numFmtId="4" fontId="1" fillId="2" borderId="0" xfId="0" applyNumberFormat="1" applyFont="1" applyFill="1" applyBorder="1" applyAlignment="1">
      <alignment horizontal="right" vertical="center" wrapText="1"/>
    </xf>
    <xf numFmtId="0" fontId="0" fillId="3" borderId="0" xfId="0" applyFill="1" applyBorder="1"/>
    <xf numFmtId="3" fontId="1" fillId="3" borderId="0" xfId="0" applyNumberFormat="1" applyFont="1" applyFill="1" applyBorder="1" applyAlignment="1">
      <alignment horizontal="right" vertical="center" wrapText="1"/>
    </xf>
    <xf numFmtId="0" fontId="6" fillId="0" borderId="0" xfId="0" applyFont="1" applyBorder="1"/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3" borderId="0" xfId="0" applyFill="1"/>
    <xf numFmtId="0" fontId="0" fillId="3" borderId="0" xfId="0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17" fontId="0" fillId="3" borderId="0" xfId="0" applyNumberFormat="1" applyFill="1" applyBorder="1" applyAlignment="1">
      <alignment horizontal="center" vertical="center"/>
    </xf>
    <xf numFmtId="0" fontId="9" fillId="3" borderId="5" xfId="0" applyFont="1" applyFill="1" applyBorder="1" applyAlignment="1">
      <alignment vertical="top" wrapText="1"/>
    </xf>
    <xf numFmtId="165" fontId="4" fillId="3" borderId="0" xfId="0" applyNumberFormat="1" applyFont="1" applyFill="1"/>
    <xf numFmtId="0" fontId="9" fillId="3" borderId="4" xfId="0" applyFont="1" applyFill="1" applyBorder="1" applyAlignment="1">
      <alignment vertical="top" wrapText="1"/>
    </xf>
    <xf numFmtId="165" fontId="5" fillId="3" borderId="0" xfId="0" applyNumberFormat="1" applyFont="1" applyFill="1" applyAlignment="1">
      <alignment vertical="center"/>
    </xf>
    <xf numFmtId="0" fontId="6" fillId="3" borderId="0" xfId="0" applyFont="1" applyFill="1"/>
    <xf numFmtId="3" fontId="10" fillId="3" borderId="0" xfId="0" applyNumberFormat="1" applyFont="1" applyFill="1" applyBorder="1" applyAlignment="1">
      <alignment horizontal="center" vertical="center" wrapText="1"/>
    </xf>
    <xf numFmtId="4" fontId="10" fillId="3" borderId="0" xfId="0" applyNumberFormat="1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/>
    </xf>
    <xf numFmtId="4" fontId="0" fillId="3" borderId="0" xfId="0" applyNumberFormat="1" applyFont="1" applyFill="1" applyBorder="1" applyAlignment="1">
      <alignment horizontal="center" vertical="center"/>
    </xf>
    <xf numFmtId="17" fontId="0" fillId="3" borderId="0" xfId="0" applyNumberFormat="1" applyFont="1" applyFill="1" applyBorder="1" applyAlignment="1">
      <alignment horizontal="center" vertical="center"/>
    </xf>
    <xf numFmtId="166" fontId="10" fillId="3" borderId="0" xfId="0" applyNumberFormat="1" applyFont="1" applyFill="1" applyBorder="1" applyAlignment="1">
      <alignment horizontal="center" vertical="center" wrapText="1"/>
    </xf>
    <xf numFmtId="166" fontId="0" fillId="3" borderId="0" xfId="0" applyNumberFormat="1" applyFont="1" applyFill="1" applyBorder="1" applyAlignment="1">
      <alignment horizontal="center" vertical="center"/>
    </xf>
    <xf numFmtId="0" fontId="0" fillId="3" borderId="0" xfId="0" applyFont="1" applyFill="1"/>
    <xf numFmtId="0" fontId="0" fillId="3" borderId="2" xfId="0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right" vertical="center" wrapText="1"/>
    </xf>
    <xf numFmtId="0" fontId="9" fillId="3" borderId="7" xfId="0" applyFont="1" applyFill="1" applyBorder="1" applyAlignment="1">
      <alignment vertical="top" wrapText="1"/>
    </xf>
    <xf numFmtId="0" fontId="0" fillId="3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horizontal="center"/>
    </xf>
    <xf numFmtId="17" fontId="0" fillId="3" borderId="0" xfId="0" applyNumberFormat="1" applyFont="1" applyFill="1" applyBorder="1" applyAlignment="1">
      <alignment horizontal="center"/>
    </xf>
    <xf numFmtId="17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" fontId="10" fillId="2" borderId="0" xfId="0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/>
    </xf>
    <xf numFmtId="3" fontId="12" fillId="3" borderId="0" xfId="0" applyNumberFormat="1" applyFont="1" applyFill="1" applyBorder="1" applyAlignment="1">
      <alignment horizontal="center" vertical="center" wrapText="1"/>
    </xf>
    <xf numFmtId="165" fontId="12" fillId="3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/>
    <xf numFmtId="0" fontId="0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 vertical="center"/>
    </xf>
    <xf numFmtId="1" fontId="13" fillId="3" borderId="0" xfId="0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/>
    </xf>
    <xf numFmtId="1" fontId="13" fillId="3" borderId="3" xfId="0" applyNumberFormat="1" applyFont="1" applyFill="1" applyBorder="1" applyAlignment="1">
      <alignment horizontal="center" vertical="center"/>
    </xf>
    <xf numFmtId="4" fontId="1" fillId="2" borderId="0" xfId="0" applyNumberFormat="1" applyFont="1" applyFill="1" applyAlignment="1">
      <alignment horizontal="right" vertical="center" wrapText="1"/>
    </xf>
    <xf numFmtId="0" fontId="0" fillId="0" borderId="2" xfId="0" applyBorder="1"/>
    <xf numFmtId="4" fontId="1" fillId="2" borderId="2" xfId="0" applyNumberFormat="1" applyFont="1" applyFill="1" applyBorder="1" applyAlignment="1">
      <alignment horizontal="righ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6" fillId="0" borderId="0" xfId="0" applyFont="1"/>
    <xf numFmtId="0" fontId="17" fillId="3" borderId="3" xfId="0" applyFont="1" applyFill="1" applyBorder="1" applyAlignment="1">
      <alignment horizontal="center"/>
    </xf>
    <xf numFmtId="0" fontId="17" fillId="3" borderId="0" xfId="0" applyFont="1" applyFill="1" applyAlignment="1">
      <alignment horizontal="center" vertical="center"/>
    </xf>
    <xf numFmtId="4" fontId="17" fillId="3" borderId="0" xfId="0" applyNumberFormat="1" applyFont="1" applyFill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4" fontId="17" fillId="3" borderId="2" xfId="0" applyNumberFormat="1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4" fontId="17" fillId="3" borderId="3" xfId="0" applyNumberFormat="1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5" fillId="3" borderId="0" xfId="0" applyFont="1" applyFill="1" applyAlignment="1">
      <alignment horizontal="center" wrapText="1"/>
    </xf>
    <xf numFmtId="0" fontId="15" fillId="3" borderId="2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5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3" xfId="0" applyFont="1" applyFill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7" fillId="0" borderId="0" xfId="0" applyFont="1" applyAlignment="1">
      <alignment horizontal="center" vertical="center"/>
    </xf>
  </cellXfs>
  <cellStyles count="3">
    <cellStyle name="Millares 3 2" xfId="1" xr:uid="{00000000-0005-0000-0000-000001000000}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Exportaciones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Valores FOB - US$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Exportaciones de ECU a 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Bilateral'!$C$4:$C$13</c:f>
              <c:numCache>
                <c:formatCode>#,##0</c:formatCode>
                <c:ptCount val="10"/>
                <c:pt idx="0">
                  <c:v>803778588</c:v>
                </c:pt>
                <c:pt idx="1">
                  <c:v>678338111</c:v>
                </c:pt>
                <c:pt idx="2">
                  <c:v>793061849</c:v>
                </c:pt>
                <c:pt idx="3">
                  <c:v>1025510233</c:v>
                </c:pt>
                <c:pt idx="4">
                  <c:v>1055945339</c:v>
                </c:pt>
                <c:pt idx="5">
                  <c:v>912116080.14499998</c:v>
                </c:pt>
                <c:pt idx="6">
                  <c:v>951305102.61500001</c:v>
                </c:pt>
                <c:pt idx="7">
                  <c:v>784028398.824</c:v>
                </c:pt>
                <c:pt idx="8">
                  <c:v>810457461.21800005</c:v>
                </c:pt>
                <c:pt idx="9">
                  <c:v>763222022.26800001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E5-4040-983C-3A677C651275}"/>
            </c:ext>
          </c:extLst>
        </c:ser>
        <c:ser>
          <c:idx val="1"/>
          <c:order val="1"/>
          <c:tx>
            <c:v>Exportaciones de COL a 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Bilateral'!$C$31:$C$40</c:f>
              <c:numCache>
                <c:formatCode>#,##0</c:formatCode>
                <c:ptCount val="10"/>
                <c:pt idx="0">
                  <c:v>1491067313.29</c:v>
                </c:pt>
                <c:pt idx="1">
                  <c:v>1257333601.78</c:v>
                </c:pt>
                <c:pt idx="2">
                  <c:v>1807652879.01</c:v>
                </c:pt>
                <c:pt idx="3">
                  <c:v>1908614149.3399999</c:v>
                </c:pt>
                <c:pt idx="4">
                  <c:v>1910497978.79</c:v>
                </c:pt>
                <c:pt idx="5">
                  <c:v>1974770121.8</c:v>
                </c:pt>
                <c:pt idx="6">
                  <c:v>1887611533.9100001</c:v>
                </c:pt>
                <c:pt idx="7">
                  <c:v>1470483792.78</c:v>
                </c:pt>
                <c:pt idx="8">
                  <c:v>1199721003.9000001</c:v>
                </c:pt>
                <c:pt idx="9">
                  <c:v>1465057394.8399999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E5-4040-983C-3A677C651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Evolución</a:t>
            </a:r>
            <a:r>
              <a:rPr lang="es-EC" baseline="0">
                <a:solidFill>
                  <a:srgbClr val="002060"/>
                </a:solidFill>
              </a:rPr>
              <a:t> de comercio total carretero Ecuador-Colombia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Toneladas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Comercio Total Carretero en Ton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Bilateral'!$M$73:$M$76</c:f>
              <c:numCache>
                <c:formatCode>#,##0.0</c:formatCode>
                <c:ptCount val="4"/>
                <c:pt idx="0">
                  <c:v>983203.63056929386</c:v>
                </c:pt>
                <c:pt idx="1">
                  <c:v>876360.53052924434</c:v>
                </c:pt>
                <c:pt idx="2">
                  <c:v>823403.30100000079</c:v>
                </c:pt>
                <c:pt idx="3">
                  <c:v>957141.20399999828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41-4923-8E08-18F56E983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78317343"/>
        <c:axId val="1578309855"/>
      </c:lineChart>
      <c:catAx>
        <c:axId val="157831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09855"/>
        <c:crosses val="autoZero"/>
        <c:auto val="1"/>
        <c:lblAlgn val="ctr"/>
        <c:lblOffset val="100"/>
        <c:noMultiLvlLbl val="0"/>
      </c:catAx>
      <c:valAx>
        <c:axId val="1578309855"/>
        <c:scaling>
          <c:orientation val="minMax"/>
          <c:min val="8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17343"/>
        <c:crosses val="autoZero"/>
        <c:crossBetween val="between"/>
        <c:majorUnit val="5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Evolución</a:t>
            </a:r>
            <a:r>
              <a:rPr lang="es-EC" baseline="0">
                <a:solidFill>
                  <a:srgbClr val="002060"/>
                </a:solidFill>
              </a:rPr>
              <a:t> de comercio total carretero Ecuador-Colombia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US$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38716135059389"/>
          <c:y val="0.15288770053475936"/>
          <c:w val="0.86748431869745091"/>
          <c:h val="0.73194281864499555"/>
        </c:manualLayout>
      </c:layout>
      <c:lineChart>
        <c:grouping val="standard"/>
        <c:varyColors val="0"/>
        <c:ser>
          <c:idx val="0"/>
          <c:order val="0"/>
          <c:tx>
            <c:v>Comercio Total Carretero en $US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Bilateral'!$M$65:$M$68</c:f>
              <c:numCache>
                <c:formatCode>#,##0</c:formatCode>
                <c:ptCount val="4"/>
                <c:pt idx="0">
                  <c:v>1789276767.0000014</c:v>
                </c:pt>
                <c:pt idx="1">
                  <c:v>1367261961.9999986</c:v>
                </c:pt>
                <c:pt idx="2">
                  <c:v>1072014125.999998</c:v>
                </c:pt>
                <c:pt idx="3">
                  <c:v>1315490891.0000005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AB-4F43-B527-B26833AE31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78317343"/>
        <c:axId val="1578309855"/>
      </c:lineChart>
      <c:catAx>
        <c:axId val="157831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09855"/>
        <c:crosses val="autoZero"/>
        <c:auto val="1"/>
        <c:lblAlgn val="ctr"/>
        <c:lblOffset val="100"/>
        <c:noMultiLvlLbl val="0"/>
      </c:catAx>
      <c:valAx>
        <c:axId val="1578309855"/>
        <c:scaling>
          <c:orientation val="minMax"/>
          <c:max val="1850000000"/>
          <c:min val="10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1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INFORMANTE ECUADOR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Sentido ECU-COL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'DISTRIBUCIÓN MENSUAL ECU-COL'!$Q$6:$Q$17</c:f>
              <c:numCache>
                <c:formatCode>#,##0.00</c:formatCode>
                <c:ptCount val="12"/>
                <c:pt idx="0">
                  <c:v>38039.415548973469</c:v>
                </c:pt>
                <c:pt idx="1">
                  <c:v>38442.139784096027</c:v>
                </c:pt>
                <c:pt idx="2">
                  <c:v>39008.7709990734</c:v>
                </c:pt>
                <c:pt idx="3">
                  <c:v>39020.031944881426</c:v>
                </c:pt>
                <c:pt idx="4">
                  <c:v>39462.009770373254</c:v>
                </c:pt>
                <c:pt idx="5">
                  <c:v>38636.782540710497</c:v>
                </c:pt>
                <c:pt idx="6">
                  <c:v>41484.305205346776</c:v>
                </c:pt>
                <c:pt idx="7">
                  <c:v>41029.546582526978</c:v>
                </c:pt>
                <c:pt idx="8">
                  <c:v>41197.724658503445</c:v>
                </c:pt>
                <c:pt idx="9">
                  <c:v>42930.797104550802</c:v>
                </c:pt>
                <c:pt idx="10">
                  <c:v>41397.484945176075</c:v>
                </c:pt>
                <c:pt idx="11">
                  <c:v>41394.263072733898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D5-4B29-95E9-80DB24E80481}"/>
            </c:ext>
          </c:extLst>
        </c:ser>
        <c:ser>
          <c:idx val="1"/>
          <c:order val="1"/>
          <c:tx>
            <c:v>Sentido COL-ECU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'DISTRIBUCIÓN MENSUAL ECU-COL'!$S$6:$S$17</c:f>
              <c:numCache>
                <c:formatCode>#,##0.00</c:formatCode>
                <c:ptCount val="12"/>
                <c:pt idx="0">
                  <c:v>33903.209279992152</c:v>
                </c:pt>
                <c:pt idx="1">
                  <c:v>36101.59687541765</c:v>
                </c:pt>
                <c:pt idx="2">
                  <c:v>31562.680664537402</c:v>
                </c:pt>
                <c:pt idx="3">
                  <c:v>33990.844482780572</c:v>
                </c:pt>
                <c:pt idx="4">
                  <c:v>35310.113846724751</c:v>
                </c:pt>
                <c:pt idx="5">
                  <c:v>34526.044051139979</c:v>
                </c:pt>
                <c:pt idx="6">
                  <c:v>34369.63025859202</c:v>
                </c:pt>
                <c:pt idx="7">
                  <c:v>38890.706763588903</c:v>
                </c:pt>
                <c:pt idx="8">
                  <c:v>36650.996993116423</c:v>
                </c:pt>
                <c:pt idx="9">
                  <c:v>37610.626208895497</c:v>
                </c:pt>
                <c:pt idx="10">
                  <c:v>35476.4992178303</c:v>
                </c:pt>
                <c:pt idx="11">
                  <c:v>36487.643895106405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D5-4B29-95E9-80DB24E80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5009375"/>
        <c:axId val="1405005215"/>
      </c:lineChart>
      <c:catAx>
        <c:axId val="14050093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5005215"/>
        <c:crosses val="autoZero"/>
        <c:auto val="1"/>
        <c:lblAlgn val="ctr"/>
        <c:lblOffset val="100"/>
        <c:noMultiLvlLbl val="0"/>
      </c:catAx>
      <c:valAx>
        <c:axId val="140500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500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INFORMANTE COLOMBIA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Sentido ECU-COL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'DISTRIBUCIÓN MENSUAL ECU-COL'!$W$6:$W$17</c:f>
              <c:numCache>
                <c:formatCode>#,##0.00</c:formatCode>
                <c:ptCount val="12"/>
                <c:pt idx="0">
                  <c:v>37040.572250000005</c:v>
                </c:pt>
                <c:pt idx="1">
                  <c:v>40480.37975</c:v>
                </c:pt>
                <c:pt idx="2">
                  <c:v>39776.674999999996</c:v>
                </c:pt>
                <c:pt idx="3">
                  <c:v>39863.839749999999</c:v>
                </c:pt>
                <c:pt idx="4">
                  <c:v>40149.704249999995</c:v>
                </c:pt>
                <c:pt idx="5">
                  <c:v>36440.897499999999</c:v>
                </c:pt>
                <c:pt idx="6">
                  <c:v>38399.50675</c:v>
                </c:pt>
                <c:pt idx="7">
                  <c:v>43693.611499999999</c:v>
                </c:pt>
                <c:pt idx="8">
                  <c:v>43186.338000000003</c:v>
                </c:pt>
                <c:pt idx="9">
                  <c:v>42509.75</c:v>
                </c:pt>
                <c:pt idx="10">
                  <c:v>40064.089999999997</c:v>
                </c:pt>
                <c:pt idx="11">
                  <c:v>42296.757250000002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59-492C-B646-FC76763A8E2B}"/>
            </c:ext>
          </c:extLst>
        </c:ser>
        <c:ser>
          <c:idx val="1"/>
          <c:order val="1"/>
          <c:tx>
            <c:v>Sentido COL-ECU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'DISTRIBUCIÓN MENSUAL ECU-COL'!$Y$6:$Y$17</c:f>
              <c:numCache>
                <c:formatCode>#,##0.00</c:formatCode>
                <c:ptCount val="12"/>
                <c:pt idx="0">
                  <c:v>29815.659749999999</c:v>
                </c:pt>
                <c:pt idx="1">
                  <c:v>36305.472500000003</c:v>
                </c:pt>
                <c:pt idx="2">
                  <c:v>30521.524250000002</c:v>
                </c:pt>
                <c:pt idx="3">
                  <c:v>33346.964</c:v>
                </c:pt>
                <c:pt idx="4">
                  <c:v>35543.98775</c:v>
                </c:pt>
                <c:pt idx="5">
                  <c:v>33728.558250000002</c:v>
                </c:pt>
                <c:pt idx="6">
                  <c:v>34765.616000000002</c:v>
                </c:pt>
                <c:pt idx="7">
                  <c:v>41186.0815</c:v>
                </c:pt>
                <c:pt idx="8">
                  <c:v>36670.357749999996</c:v>
                </c:pt>
                <c:pt idx="9">
                  <c:v>35816.253750000003</c:v>
                </c:pt>
                <c:pt idx="10">
                  <c:v>36938.452499999999</c:v>
                </c:pt>
                <c:pt idx="11">
                  <c:v>40153.740749999997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59-492C-B646-FC76763A8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5009375"/>
        <c:axId val="1405005215"/>
      </c:lineChart>
      <c:catAx>
        <c:axId val="14050093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5005215"/>
        <c:crosses val="autoZero"/>
        <c:auto val="1"/>
        <c:lblAlgn val="ctr"/>
        <c:lblOffset val="100"/>
        <c:noMultiLvlLbl val="0"/>
      </c:catAx>
      <c:valAx>
        <c:axId val="1405005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500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Perfil</a:t>
            </a:r>
            <a:r>
              <a:rPr lang="es-EC" baseline="0">
                <a:solidFill>
                  <a:srgbClr val="002060"/>
                </a:solidFill>
              </a:rPr>
              <a:t> comercial de Colombia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Incidencia del comercio con ECU respecto a su comercio total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COL: Exportaciones a ECU sobre el total exportado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'Socio comercial'!$A$3:$A$12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'Socio comercial'!$J$3:$J$12</c:f>
              <c:numCache>
                <c:formatCode>0.0%</c:formatCode>
                <c:ptCount val="10"/>
                <c:pt idx="0">
                  <c:v>0.04</c:v>
                </c:pt>
                <c:pt idx="1">
                  <c:v>4.3999999999999997E-2</c:v>
                </c:pt>
                <c:pt idx="2">
                  <c:v>4.9000000000000002E-2</c:v>
                </c:pt>
                <c:pt idx="3">
                  <c:v>3.2000000000000001E-2</c:v>
                </c:pt>
                <c:pt idx="4">
                  <c:v>3.1E-2</c:v>
                </c:pt>
                <c:pt idx="5">
                  <c:v>3.2000000000000001E-2</c:v>
                </c:pt>
                <c:pt idx="6">
                  <c:v>3.4000000000000002E-2</c:v>
                </c:pt>
                <c:pt idx="7">
                  <c:v>4.2000000000000003E-2</c:v>
                </c:pt>
                <c:pt idx="8">
                  <c:v>4.1000000000000002E-2</c:v>
                </c:pt>
                <c:pt idx="9">
                  <c:v>3.9E-2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AF-4317-BDA9-B8AB65FF74A0}"/>
            </c:ext>
          </c:extLst>
        </c:ser>
        <c:ser>
          <c:idx val="1"/>
          <c:order val="1"/>
          <c:tx>
            <c:v>COL: Importaciones desde ECU sobre total importado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'Socio comercial'!$A$3:$A$12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'Socio comercial'!$B$3:$B$12</c:f>
              <c:numCache>
                <c:formatCode>0.0%</c:formatCode>
                <c:ptCount val="10"/>
                <c:pt idx="0">
                  <c:v>2.1000000000000001E-2</c:v>
                </c:pt>
                <c:pt idx="1">
                  <c:v>2.1999999999999999E-2</c:v>
                </c:pt>
                <c:pt idx="2">
                  <c:v>2.1999999999999999E-2</c:v>
                </c:pt>
                <c:pt idx="3">
                  <c:v>1.9E-2</c:v>
                </c:pt>
                <c:pt idx="4">
                  <c:v>1.7999999999999999E-2</c:v>
                </c:pt>
                <c:pt idx="5">
                  <c:v>1.4E-2</c:v>
                </c:pt>
                <c:pt idx="6">
                  <c:v>1.4E-2</c:v>
                </c:pt>
                <c:pt idx="7">
                  <c:v>1.7000000000000001E-2</c:v>
                </c:pt>
                <c:pt idx="8">
                  <c:v>2.1000000000000001E-2</c:v>
                </c:pt>
                <c:pt idx="9">
                  <c:v>1.6E-2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AF-4317-BDA9-B8AB65FF7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81161439"/>
        <c:axId val="1581174751"/>
      </c:lineChart>
      <c:catAx>
        <c:axId val="158116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74751"/>
        <c:crosses val="autoZero"/>
        <c:auto val="1"/>
        <c:lblAlgn val="ctr"/>
        <c:lblOffset val="100"/>
        <c:noMultiLvlLbl val="0"/>
      </c:catAx>
      <c:valAx>
        <c:axId val="1581174751"/>
        <c:scaling>
          <c:orientation val="minMax"/>
          <c:min val="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61439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Perfil</a:t>
            </a:r>
            <a:r>
              <a:rPr lang="es-EC" baseline="0">
                <a:solidFill>
                  <a:srgbClr val="002060"/>
                </a:solidFill>
              </a:rPr>
              <a:t> comercial de Ecuador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Incidencia del comercio con COL respecto a su comercio total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ECU: Exportaciones a COL sobre el total exportado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'Socio comercial'!$A$3:$A$12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'Socio comercial'!$J$17:$J$26</c:f>
              <c:numCache>
                <c:formatCode>0.0%</c:formatCode>
                <c:ptCount val="10"/>
                <c:pt idx="0">
                  <c:v>3.6999999999999998E-2</c:v>
                </c:pt>
                <c:pt idx="1">
                  <c:v>4.4999999999999998E-2</c:v>
                </c:pt>
                <c:pt idx="2">
                  <c:v>4.4999999999999998E-2</c:v>
                </c:pt>
                <c:pt idx="3">
                  <c:v>4.4999999999999998E-2</c:v>
                </c:pt>
                <c:pt idx="4">
                  <c:v>4.3999999999999997E-2</c:v>
                </c:pt>
                <c:pt idx="5">
                  <c:v>3.5999999999999997E-2</c:v>
                </c:pt>
                <c:pt idx="6">
                  <c:v>3.5999999999999997E-2</c:v>
                </c:pt>
                <c:pt idx="7">
                  <c:v>4.2999999999999997E-2</c:v>
                </c:pt>
                <c:pt idx="8">
                  <c:v>4.9000000000000002E-2</c:v>
                </c:pt>
                <c:pt idx="9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6E-4948-88EE-6F458B015F80}"/>
            </c:ext>
          </c:extLst>
        </c:ser>
        <c:ser>
          <c:idx val="1"/>
          <c:order val="1"/>
          <c:tx>
            <c:v>ECU: Importaciones desde COL sobre total importado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'Socio comercial'!$A$3:$A$12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'Socio comercial'!$B$17:$B$26</c:f>
              <c:numCache>
                <c:formatCode>0.0%</c:formatCode>
                <c:ptCount val="10"/>
                <c:pt idx="0">
                  <c:v>9.7000000000000003E-2</c:v>
                </c:pt>
                <c:pt idx="1">
                  <c:v>0.1</c:v>
                </c:pt>
                <c:pt idx="2">
                  <c:v>0.1</c:v>
                </c:pt>
                <c:pt idx="3">
                  <c:v>8.5999999999999993E-2</c:v>
                </c:pt>
                <c:pt idx="4">
                  <c:v>8.5999999999999993E-2</c:v>
                </c:pt>
                <c:pt idx="5">
                  <c:v>7.8E-2</c:v>
                </c:pt>
                <c:pt idx="6">
                  <c:v>7.4999999999999997E-2</c:v>
                </c:pt>
                <c:pt idx="7">
                  <c:v>8.5000000000000006E-2</c:v>
                </c:pt>
                <c:pt idx="8">
                  <c:v>8.8999999999999996E-2</c:v>
                </c:pt>
                <c:pt idx="9">
                  <c:v>8.1000000000000003E-2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6E-4948-88EE-6F458B015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81161439"/>
        <c:axId val="1581174751"/>
      </c:lineChart>
      <c:catAx>
        <c:axId val="158116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74751"/>
        <c:crosses val="autoZero"/>
        <c:auto val="1"/>
        <c:lblAlgn val="ctr"/>
        <c:lblOffset val="100"/>
        <c:noMultiLvlLbl val="0"/>
      </c:catAx>
      <c:valAx>
        <c:axId val="1581174751"/>
        <c:scaling>
          <c:orientation val="minMax"/>
          <c:min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61439"/>
        <c:crosses val="autoZero"/>
        <c:crossBetween val="between"/>
        <c:minorUnit val="1.0000000000000002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 sz="1400" b="1" i="0" u="none" strike="noStrike" baseline="0">
                <a:solidFill>
                  <a:srgbClr val="002060"/>
                </a:solidFill>
              </a:rPr>
              <a:t>Distribución mensual de Medios de Transporte 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sz="1400" b="1" i="0" u="none" strike="noStrike" baseline="0">
                <a:solidFill>
                  <a:srgbClr val="002060"/>
                </a:solidFill>
              </a:rPr>
              <a:t>por sentido para MT cargados 2017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692038495188105E-2"/>
          <c:y val="0.17171296296296298"/>
          <c:w val="0.87753018372703417"/>
          <c:h val="0.61498432487605714"/>
        </c:manualLayout>
      </c:layout>
      <c:barChart>
        <c:barDir val="col"/>
        <c:grouping val="clustered"/>
        <c:varyColors val="0"/>
        <c:ser>
          <c:idx val="0"/>
          <c:order val="0"/>
          <c:tx>
            <c:v>Sentido ECU-COL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'Distribución mensual MT Cargado'!$E$8:$E$19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'Distribución mensual MT Cargado'!$G$8:$G$19</c:f>
              <c:numCache>
                <c:formatCode>General</c:formatCode>
                <c:ptCount val="12"/>
                <c:pt idx="0">
                  <c:v>2953</c:v>
                </c:pt>
                <c:pt idx="1">
                  <c:v>3480</c:v>
                </c:pt>
                <c:pt idx="2">
                  <c:v>2822</c:v>
                </c:pt>
                <c:pt idx="3">
                  <c:v>2940</c:v>
                </c:pt>
                <c:pt idx="4">
                  <c:v>2942</c:v>
                </c:pt>
                <c:pt idx="5">
                  <c:v>2960</c:v>
                </c:pt>
                <c:pt idx="6">
                  <c:v>2756</c:v>
                </c:pt>
                <c:pt idx="7">
                  <c:v>2821</c:v>
                </c:pt>
                <c:pt idx="8">
                  <c:v>3033</c:v>
                </c:pt>
                <c:pt idx="9">
                  <c:v>3300</c:v>
                </c:pt>
                <c:pt idx="10">
                  <c:v>2940</c:v>
                </c:pt>
                <c:pt idx="11">
                  <c:v>3167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19-4D34-B4BD-BAF743B65197}"/>
            </c:ext>
          </c:extLst>
        </c:ser>
        <c:ser>
          <c:idx val="1"/>
          <c:order val="1"/>
          <c:tx>
            <c:v>Sentido COL-ECU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'Distribución mensual MT Cargado'!$E$8:$E$19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cat>
          <c:val>
            <c:numRef>
              <c:f>'Distribución mensual MT Cargado'!$F$8:$F$19</c:f>
              <c:numCache>
                <c:formatCode>General</c:formatCode>
                <c:ptCount val="12"/>
                <c:pt idx="0">
                  <c:v>2243</c:v>
                </c:pt>
                <c:pt idx="1">
                  <c:v>2136</c:v>
                </c:pt>
                <c:pt idx="2">
                  <c:v>2553</c:v>
                </c:pt>
                <c:pt idx="3">
                  <c:v>2299</c:v>
                </c:pt>
                <c:pt idx="4">
                  <c:v>2284</c:v>
                </c:pt>
                <c:pt idx="5">
                  <c:v>2089</c:v>
                </c:pt>
                <c:pt idx="6">
                  <c:v>2275</c:v>
                </c:pt>
                <c:pt idx="7">
                  <c:v>2249</c:v>
                </c:pt>
                <c:pt idx="8">
                  <c:v>2335</c:v>
                </c:pt>
                <c:pt idx="9">
                  <c:v>2263</c:v>
                </c:pt>
                <c:pt idx="10">
                  <c:v>2106</c:v>
                </c:pt>
                <c:pt idx="11">
                  <c:v>2285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19-4D34-B4BD-BAF743B65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1162271"/>
        <c:axId val="1581164767"/>
      </c:barChart>
      <c:catAx>
        <c:axId val="15811622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C"/>
                  <a:t>Meses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64767"/>
        <c:crosses val="autoZero"/>
        <c:auto val="1"/>
        <c:lblAlgn val="ctr"/>
        <c:lblOffset val="100"/>
        <c:noMultiLvlLbl val="0"/>
      </c:catAx>
      <c:valAx>
        <c:axId val="1581164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116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Importaciones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Valores CIF - US$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Importaciones de ECU a 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Bilateral'!$L$31:$L$40</c:f>
              <c:numCache>
                <c:formatCode>#,##0.00</c:formatCode>
                <c:ptCount val="10"/>
                <c:pt idx="0">
                  <c:v>809616003.05999899</c:v>
                </c:pt>
                <c:pt idx="1">
                  <c:v>694566504.77999997</c:v>
                </c:pt>
                <c:pt idx="2">
                  <c:v>834935734.79999995</c:v>
                </c:pt>
                <c:pt idx="3">
                  <c:v>1065845522.26</c:v>
                </c:pt>
                <c:pt idx="4">
                  <c:v>1089905711.79</c:v>
                </c:pt>
                <c:pt idx="5">
                  <c:v>881686799.51999998</c:v>
                </c:pt>
                <c:pt idx="6">
                  <c:v>918291533.73000002</c:v>
                </c:pt>
                <c:pt idx="7">
                  <c:v>783082802.32000005</c:v>
                </c:pt>
                <c:pt idx="8">
                  <c:v>804784490.16000295</c:v>
                </c:pt>
                <c:pt idx="9">
                  <c:v>715385487.75999904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6C-4819-85FF-826A4100C911}"/>
            </c:ext>
          </c:extLst>
        </c:ser>
        <c:ser>
          <c:idx val="1"/>
          <c:order val="1"/>
          <c:tx>
            <c:v>Importaciones de COL a 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Bilateral'!$L$4:$L$13</c:f>
              <c:numCache>
                <c:formatCode>#,##0.00</c:formatCode>
                <c:ptCount val="10"/>
                <c:pt idx="0">
                  <c:v>1791372720</c:v>
                </c:pt>
                <c:pt idx="1">
                  <c:v>1537898630</c:v>
                </c:pt>
                <c:pt idx="2">
                  <c:v>2022328660</c:v>
                </c:pt>
                <c:pt idx="3">
                  <c:v>2220917880</c:v>
                </c:pt>
                <c:pt idx="4">
                  <c:v>2198201170</c:v>
                </c:pt>
                <c:pt idx="5">
                  <c:v>2288152169.5089998</c:v>
                </c:pt>
                <c:pt idx="6">
                  <c:v>2201307716.875</c:v>
                </c:pt>
                <c:pt idx="7">
                  <c:v>1765471953.846</c:v>
                </c:pt>
                <c:pt idx="8">
                  <c:v>1421097001.326</c:v>
                </c:pt>
                <c:pt idx="9">
                  <c:v>1716118559.559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6C-4819-85FF-826A4100C9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Exportaciones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Toneladas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Exportaciones de ECU a COL en Ton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Bilateral'!$E$4:$E$13</c:f>
              <c:numCache>
                <c:formatCode>#,##0.00</c:formatCode>
                <c:ptCount val="10"/>
                <c:pt idx="0">
                  <c:v>549429.98</c:v>
                </c:pt>
                <c:pt idx="1">
                  <c:v>546494.07999999996</c:v>
                </c:pt>
                <c:pt idx="2">
                  <c:v>468106.09</c:v>
                </c:pt>
                <c:pt idx="3">
                  <c:v>609240.9</c:v>
                </c:pt>
                <c:pt idx="4">
                  <c:v>648872.87</c:v>
                </c:pt>
                <c:pt idx="5">
                  <c:v>665853.19999999995</c:v>
                </c:pt>
                <c:pt idx="6">
                  <c:v>659341.6</c:v>
                </c:pt>
                <c:pt idx="7">
                  <c:v>632554.1</c:v>
                </c:pt>
                <c:pt idx="8">
                  <c:v>786481.9</c:v>
                </c:pt>
                <c:pt idx="9">
                  <c:v>683115.9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1E-4659-8835-637A8F1D0C4B}"/>
            </c:ext>
          </c:extLst>
        </c:ser>
        <c:ser>
          <c:idx val="1"/>
          <c:order val="1"/>
          <c:tx>
            <c:v>Exportaciones de COL a ECU en Ton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Bilateral'!$E$31:$E$40</c:f>
              <c:numCache>
                <c:formatCode>#,##0.00</c:formatCode>
                <c:ptCount val="10"/>
                <c:pt idx="0">
                  <c:v>720462.66888000001</c:v>
                </c:pt>
                <c:pt idx="1">
                  <c:v>577675.52629999991</c:v>
                </c:pt>
                <c:pt idx="2">
                  <c:v>1038610.02111</c:v>
                </c:pt>
                <c:pt idx="3">
                  <c:v>767210.63185000001</c:v>
                </c:pt>
                <c:pt idx="4">
                  <c:v>727829.55580999993</c:v>
                </c:pt>
                <c:pt idx="5">
                  <c:v>779934.33260000008</c:v>
                </c:pt>
                <c:pt idx="6">
                  <c:v>690663.62574000005</c:v>
                </c:pt>
                <c:pt idx="7">
                  <c:v>712106.97179999994</c:v>
                </c:pt>
                <c:pt idx="8">
                  <c:v>616138.8200399999</c:v>
                </c:pt>
                <c:pt idx="9">
                  <c:v>929296.829540001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1E-4659-8835-637A8F1D0C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  <c:max val="1100000"/>
          <c:min val="4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  <c:majorUnit val="2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Importaciones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Toneladas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Importaciones de ECU a COL en Ton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Bilateral'!$N$31:$N$40</c:f>
              <c:numCache>
                <c:formatCode>#,##0.00</c:formatCode>
                <c:ptCount val="10"/>
                <c:pt idx="0">
                  <c:v>566823.70069000009</c:v>
                </c:pt>
                <c:pt idx="1">
                  <c:v>539091.88130000001</c:v>
                </c:pt>
                <c:pt idx="2">
                  <c:v>476587.98762000003</c:v>
                </c:pt>
                <c:pt idx="3">
                  <c:v>595067.14711999998</c:v>
                </c:pt>
                <c:pt idx="4">
                  <c:v>624504.55723000003</c:v>
                </c:pt>
                <c:pt idx="5">
                  <c:v>643904.18047999998</c:v>
                </c:pt>
                <c:pt idx="6">
                  <c:v>632866.68530999997</c:v>
                </c:pt>
                <c:pt idx="7">
                  <c:v>615034.02766000002</c:v>
                </c:pt>
                <c:pt idx="8">
                  <c:v>753057.29709000001</c:v>
                </c:pt>
                <c:pt idx="9">
                  <c:v>621437.78027999902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7C-4181-8973-F7844B0B7A7F}"/>
            </c:ext>
          </c:extLst>
        </c:ser>
        <c:ser>
          <c:idx val="1"/>
          <c:order val="1"/>
          <c:tx>
            <c:v>Importaciones de COL a ECU en Ton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Bilateral'!$N$4:$N$13</c:f>
              <c:numCache>
                <c:formatCode>#,##0.00</c:formatCode>
                <c:ptCount val="10"/>
                <c:pt idx="0">
                  <c:v>825675.57</c:v>
                </c:pt>
                <c:pt idx="1">
                  <c:v>629130.6</c:v>
                </c:pt>
                <c:pt idx="2">
                  <c:v>924878.54</c:v>
                </c:pt>
                <c:pt idx="3">
                  <c:v>894951.82</c:v>
                </c:pt>
                <c:pt idx="4">
                  <c:v>777136.54</c:v>
                </c:pt>
                <c:pt idx="5">
                  <c:v>822251</c:v>
                </c:pt>
                <c:pt idx="6">
                  <c:v>728398.5</c:v>
                </c:pt>
                <c:pt idx="7">
                  <c:v>632668.9</c:v>
                </c:pt>
                <c:pt idx="8">
                  <c:v>603448.9</c:v>
                </c:pt>
                <c:pt idx="9">
                  <c:v>808909.7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7C-4181-8973-F7844B0B7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  <c:min val="4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  <c:majorUnit val="2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Suma Total de Exportaciones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Valores FOB - US$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Suma de valores de exportación total de Ecuador y Colombia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Bilateral'!$C$58:$C$67</c:f>
              <c:numCache>
                <c:formatCode>#,##0</c:formatCode>
                <c:ptCount val="10"/>
                <c:pt idx="0">
                  <c:v>2294845901.29</c:v>
                </c:pt>
                <c:pt idx="1">
                  <c:v>1935671712.78</c:v>
                </c:pt>
                <c:pt idx="2">
                  <c:v>2600714728.0100002</c:v>
                </c:pt>
                <c:pt idx="3">
                  <c:v>2934124382.3400002</c:v>
                </c:pt>
                <c:pt idx="4">
                  <c:v>2966443317.79</c:v>
                </c:pt>
                <c:pt idx="5">
                  <c:v>2886886201.9449997</c:v>
                </c:pt>
                <c:pt idx="6">
                  <c:v>2838916636.5250001</c:v>
                </c:pt>
                <c:pt idx="7">
                  <c:v>2254512191.6040001</c:v>
                </c:pt>
                <c:pt idx="8">
                  <c:v>2010178465.118</c:v>
                </c:pt>
                <c:pt idx="9">
                  <c:v>2228279417.1079998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F1-41B3-92C1-CB30FBE021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  <c:max val="3100000000"/>
          <c:min val="18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Volumen Total de Exportaciones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Toneladas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Suma volumétrica total de exportaciones de Ecuador y Colombia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Bilateral'!$E$58:$E$67</c:f>
              <c:numCache>
                <c:formatCode>#,##0</c:formatCode>
                <c:ptCount val="10"/>
                <c:pt idx="0">
                  <c:v>1269892.6488800002</c:v>
                </c:pt>
                <c:pt idx="1">
                  <c:v>1124169.6062999999</c:v>
                </c:pt>
                <c:pt idx="2">
                  <c:v>1506716.1111100002</c:v>
                </c:pt>
                <c:pt idx="3">
                  <c:v>1376451.5318499999</c:v>
                </c:pt>
                <c:pt idx="4">
                  <c:v>1376702.4258099999</c:v>
                </c:pt>
                <c:pt idx="5">
                  <c:v>1445787.5325999998</c:v>
                </c:pt>
                <c:pt idx="6">
                  <c:v>1350005.2257399999</c:v>
                </c:pt>
                <c:pt idx="7">
                  <c:v>1344661.0718</c:v>
                </c:pt>
                <c:pt idx="8">
                  <c:v>1402620.72004</c:v>
                </c:pt>
                <c:pt idx="9">
                  <c:v>1612412.7295400009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C-413C-BEBC-2A55A1917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  <c:min val="1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C" sz="1350" b="1">
                <a:solidFill>
                  <a:srgbClr val="002060"/>
                </a:solidFill>
              </a:rPr>
              <a:t>Importaciones registradas</a:t>
            </a:r>
          </a:p>
          <a:p>
            <a:pPr>
              <a:defRPr/>
            </a:pPr>
            <a:r>
              <a:rPr lang="es-EC" sz="1350" b="1">
                <a:solidFill>
                  <a:srgbClr val="002060"/>
                </a:solidFill>
              </a:rPr>
              <a:t>Evolución Comercio</a:t>
            </a:r>
            <a:r>
              <a:rPr lang="es-EC" sz="1350" b="1" baseline="0">
                <a:solidFill>
                  <a:srgbClr val="002060"/>
                </a:solidFill>
              </a:rPr>
              <a:t> Bilateral entre Ecuador y Colombia</a:t>
            </a:r>
          </a:p>
          <a:p>
            <a:pPr>
              <a:defRPr/>
            </a:pPr>
            <a:r>
              <a:rPr lang="es-EC" sz="1350" b="1" baseline="0">
                <a:solidFill>
                  <a:srgbClr val="002060"/>
                </a:solidFill>
              </a:rPr>
              <a:t>Valores FOB - US$</a:t>
            </a:r>
            <a:endParaRPr lang="es-EC" sz="1350" b="1">
              <a:solidFill>
                <a:srgbClr val="002060"/>
              </a:solidFill>
            </a:endParaRPr>
          </a:p>
        </c:rich>
      </c:tx>
      <c:layout>
        <c:manualLayout>
          <c:xMode val="edge"/>
          <c:yMode val="edge"/>
          <c:x val="0.12484037899517879"/>
          <c:y val="6.720430107526881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98864503639"/>
          <c:y val="0.1786962365591398"/>
          <c:w val="0.81516725302954152"/>
          <c:h val="0.66312706375412755"/>
        </c:manualLayout>
      </c:layout>
      <c:lineChart>
        <c:grouping val="standard"/>
        <c:varyColors val="0"/>
        <c:ser>
          <c:idx val="0"/>
          <c:order val="0"/>
          <c:tx>
            <c:v>Importaciones de ECU a 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Bilateral'!$K$31:$K$40</c:f>
              <c:numCache>
                <c:formatCode>#,##0.00</c:formatCode>
                <c:ptCount val="10"/>
                <c:pt idx="0">
                  <c:v>786848904.60000002</c:v>
                </c:pt>
                <c:pt idx="1">
                  <c:v>674669640.02999997</c:v>
                </c:pt>
                <c:pt idx="2">
                  <c:v>814548142.52999997</c:v>
                </c:pt>
                <c:pt idx="3">
                  <c:v>1040962903.26</c:v>
                </c:pt>
                <c:pt idx="4">
                  <c:v>1063698621.71</c:v>
                </c:pt>
                <c:pt idx="5">
                  <c:v>855519863.35000002</c:v>
                </c:pt>
                <c:pt idx="6">
                  <c:v>892532408.75</c:v>
                </c:pt>
                <c:pt idx="7">
                  <c:v>759620274.42999995</c:v>
                </c:pt>
                <c:pt idx="8">
                  <c:v>779796903.77999997</c:v>
                </c:pt>
                <c:pt idx="9">
                  <c:v>692703983.93999994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17-4773-BD29-844D0C6CBC9B}"/>
            </c:ext>
          </c:extLst>
        </c:ser>
        <c:ser>
          <c:idx val="1"/>
          <c:order val="1"/>
          <c:tx>
            <c:v>Importaciones de COL a 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'Comercio Bilateral'!$B$4:$B$13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</c:numRef>
          </c:cat>
          <c:val>
            <c:numRef>
              <c:f>'Comercio Bilateral'!$K$4:$K$13</c:f>
              <c:numCache>
                <c:formatCode>#,##0.00</c:formatCode>
                <c:ptCount val="10"/>
                <c:pt idx="0">
                  <c:v>1727047245</c:v>
                </c:pt>
                <c:pt idx="1">
                  <c:v>1485168651</c:v>
                </c:pt>
                <c:pt idx="2">
                  <c:v>1949997479</c:v>
                </c:pt>
                <c:pt idx="3">
                  <c:v>2141580481</c:v>
                </c:pt>
                <c:pt idx="4">
                  <c:v>2121752129</c:v>
                </c:pt>
                <c:pt idx="5">
                  <c:v>2219294076</c:v>
                </c:pt>
                <c:pt idx="6">
                  <c:v>2133268859.619</c:v>
                </c:pt>
                <c:pt idx="7">
                  <c:v>1708067678.221</c:v>
                </c:pt>
                <c:pt idx="8">
                  <c:v>1377643048.915</c:v>
                </c:pt>
                <c:pt idx="9">
                  <c:v>1661050595.276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17-4773-BD29-844D0C6CB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394372047"/>
        <c:axId val="1394372879"/>
      </c:lineChart>
      <c:catAx>
        <c:axId val="1394372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879"/>
        <c:crosses val="autoZero"/>
        <c:auto val="1"/>
        <c:lblAlgn val="ctr"/>
        <c:lblOffset val="100"/>
        <c:noMultiLvlLbl val="0"/>
      </c:catAx>
      <c:valAx>
        <c:axId val="1394372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372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Evolución</a:t>
            </a:r>
            <a:r>
              <a:rPr lang="es-EC" baseline="0">
                <a:solidFill>
                  <a:srgbClr val="002060"/>
                </a:solidFill>
              </a:rPr>
              <a:t> de comercio carretero Ecuador-Colombia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Toneladas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Sentido ECU-COL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Bilateral'!$K$73:$K$76</c:f>
              <c:numCache>
                <c:formatCode>#,##0.0</c:formatCode>
                <c:ptCount val="4"/>
                <c:pt idx="0">
                  <c:v>521060.90556929453</c:v>
                </c:pt>
                <c:pt idx="1">
                  <c:v>484918.35952924471</c:v>
                </c:pt>
                <c:pt idx="2">
                  <c:v>497683.26199999999</c:v>
                </c:pt>
                <c:pt idx="3">
                  <c:v>437275.46399999945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3-47C0-AF09-C3B84786DB32}"/>
            </c:ext>
          </c:extLst>
        </c:ser>
        <c:ser>
          <c:idx val="1"/>
          <c:order val="1"/>
          <c:tx>
            <c:v>Sentido COL-ECU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Bilateral'!$L$73:$L$76</c:f>
              <c:numCache>
                <c:formatCode>#,##0.0</c:formatCode>
                <c:ptCount val="4"/>
                <c:pt idx="0">
                  <c:v>462142.72499999928</c:v>
                </c:pt>
                <c:pt idx="1">
                  <c:v>391442.17099999968</c:v>
                </c:pt>
                <c:pt idx="2">
                  <c:v>325720.0390000008</c:v>
                </c:pt>
                <c:pt idx="3">
                  <c:v>519865.73999999888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A3-47C0-AF09-C3B84786D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78317343"/>
        <c:axId val="1578309855"/>
      </c:lineChart>
      <c:catAx>
        <c:axId val="157831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09855"/>
        <c:crosses val="autoZero"/>
        <c:auto val="1"/>
        <c:lblAlgn val="ctr"/>
        <c:lblOffset val="100"/>
        <c:noMultiLvlLbl val="0"/>
      </c:catAx>
      <c:valAx>
        <c:axId val="1578309855"/>
        <c:scaling>
          <c:orientation val="minMax"/>
          <c:min val="3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1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>
                <a:solidFill>
                  <a:srgbClr val="002060"/>
                </a:solidFill>
              </a:rPr>
              <a:t>Evolución</a:t>
            </a:r>
            <a:r>
              <a:rPr lang="es-EC" baseline="0">
                <a:solidFill>
                  <a:srgbClr val="002060"/>
                </a:solidFill>
              </a:rPr>
              <a:t> de comercio carretero Ecuador-Colombia</a:t>
            </a:r>
          </a:p>
          <a:p>
            <a:pPr>
              <a:defRPr>
                <a:solidFill>
                  <a:srgbClr val="002060"/>
                </a:solidFill>
              </a:defRPr>
            </a:pPr>
            <a:r>
              <a:rPr lang="es-EC" baseline="0">
                <a:solidFill>
                  <a:srgbClr val="002060"/>
                </a:solidFill>
              </a:rPr>
              <a:t>US$</a:t>
            </a:r>
            <a:endParaRPr lang="es-EC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38716135059389"/>
          <c:y val="0.15288770053475936"/>
          <c:w val="0.86748431869745091"/>
          <c:h val="0.73194281864499555"/>
        </c:manualLayout>
      </c:layout>
      <c:lineChart>
        <c:grouping val="standard"/>
        <c:varyColors val="0"/>
        <c:ser>
          <c:idx val="0"/>
          <c:order val="0"/>
          <c:tx>
            <c:v>Sentido ECU-COL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Bilateral'!$K$65:$K$68</c:f>
              <c:numCache>
                <c:formatCode>#,##0</c:formatCode>
                <c:ptCount val="4"/>
                <c:pt idx="0">
                  <c:v>714207698</c:v>
                </c:pt>
                <c:pt idx="1">
                  <c:v>570646416.00000012</c:v>
                </c:pt>
                <c:pt idx="2">
                  <c:v>470451315.99999952</c:v>
                </c:pt>
                <c:pt idx="3">
                  <c:v>472445774.99999982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86-4D4E-A3BB-7D0F43B6B0E4}"/>
            </c:ext>
          </c:extLst>
        </c:ser>
        <c:ser>
          <c:idx val="1"/>
          <c:order val="1"/>
          <c:tx>
            <c:v>Sentido COL-ECU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'Comercio Bilateral'!$J$65:$J$68</c:f>
              <c:numCache>
                <c:formatCode>General</c:formatCode>
                <c:ptCount val="4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</c:numCache>
            </c:numRef>
          </c:cat>
          <c:val>
            <c:numRef>
              <c:f>'Comercio Bilateral'!$L$65:$L$68</c:f>
              <c:numCache>
                <c:formatCode>#,##0</c:formatCode>
                <c:ptCount val="4"/>
                <c:pt idx="0">
                  <c:v>1075069069.0000014</c:v>
                </c:pt>
                <c:pt idx="1">
                  <c:v>796615545.99999857</c:v>
                </c:pt>
                <c:pt idx="2">
                  <c:v>601562809.99999845</c:v>
                </c:pt>
                <c:pt idx="3">
                  <c:v>843045116.00000072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86-4D4E-A3BB-7D0F43B6B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1578317343"/>
        <c:axId val="1578309855"/>
      </c:lineChart>
      <c:catAx>
        <c:axId val="1578317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09855"/>
        <c:crosses val="autoZero"/>
        <c:auto val="1"/>
        <c:lblAlgn val="ctr"/>
        <c:lblOffset val="100"/>
        <c:noMultiLvlLbl val="0"/>
      </c:catAx>
      <c:valAx>
        <c:axId val="1578309855"/>
        <c:scaling>
          <c:orientation val="minMax"/>
          <c:max val="1150000000.0000002"/>
          <c:min val="40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173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754380</xdr:colOff>
      <xdr:row>1</xdr:row>
      <xdr:rowOff>40640</xdr:rowOff>
    </xdr:from>
    <xdr:to>
      <xdr:col>25</xdr:col>
      <xdr:colOff>154940</xdr:colOff>
      <xdr:row>21</xdr:row>
      <xdr:rowOff>167640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0</xdr:colOff>
      <xdr:row>22</xdr:row>
      <xdr:rowOff>127000</xdr:rowOff>
    </xdr:from>
    <xdr:to>
      <xdr:col>25</xdr:col>
      <xdr:colOff>190500</xdr:colOff>
      <xdr:row>42</xdr:row>
      <xdr:rowOff>172720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723900</xdr:colOff>
      <xdr:row>44</xdr:row>
      <xdr:rowOff>152400</xdr:rowOff>
    </xdr:from>
    <xdr:to>
      <xdr:col>26</xdr:col>
      <xdr:colOff>373380</xdr:colOff>
      <xdr:row>67</xdr:row>
      <xdr:rowOff>96520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25400</xdr:colOff>
      <xdr:row>68</xdr:row>
      <xdr:rowOff>76200</xdr:rowOff>
    </xdr:from>
    <xdr:to>
      <xdr:col>26</xdr:col>
      <xdr:colOff>462280</xdr:colOff>
      <xdr:row>89</xdr:row>
      <xdr:rowOff>20320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635000</xdr:colOff>
      <xdr:row>13</xdr:row>
      <xdr:rowOff>76200</xdr:rowOff>
    </xdr:from>
    <xdr:to>
      <xdr:col>34</xdr:col>
      <xdr:colOff>492760</xdr:colOff>
      <xdr:row>33</xdr:row>
      <xdr:rowOff>127000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165100</xdr:colOff>
      <xdr:row>58</xdr:row>
      <xdr:rowOff>165100</xdr:rowOff>
    </xdr:from>
    <xdr:to>
      <xdr:col>35</xdr:col>
      <xdr:colOff>601980</xdr:colOff>
      <xdr:row>79</xdr:row>
      <xdr:rowOff>109220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203200</xdr:colOff>
      <xdr:row>13</xdr:row>
      <xdr:rowOff>50800</xdr:rowOff>
    </xdr:from>
    <xdr:to>
      <xdr:col>42</xdr:col>
      <xdr:colOff>393700</xdr:colOff>
      <xdr:row>33</xdr:row>
      <xdr:rowOff>96520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469900</xdr:colOff>
      <xdr:row>81</xdr:row>
      <xdr:rowOff>152400</xdr:rowOff>
    </xdr:from>
    <xdr:to>
      <xdr:col>15</xdr:col>
      <xdr:colOff>533400</xdr:colOff>
      <xdr:row>108</xdr:row>
      <xdr:rowOff>101600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</xdr:col>
      <xdr:colOff>0</xdr:colOff>
      <xdr:row>111</xdr:row>
      <xdr:rowOff>0</xdr:rowOff>
    </xdr:from>
    <xdr:to>
      <xdr:col>15</xdr:col>
      <xdr:colOff>762000</xdr:colOff>
      <xdr:row>137</xdr:row>
      <xdr:rowOff>127000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92</xdr:row>
      <xdr:rowOff>0</xdr:rowOff>
    </xdr:from>
    <xdr:to>
      <xdr:col>24</xdr:col>
      <xdr:colOff>673100</xdr:colOff>
      <xdr:row>118</xdr:row>
      <xdr:rowOff>127000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0</xdr:colOff>
      <xdr:row>123</xdr:row>
      <xdr:rowOff>0</xdr:rowOff>
    </xdr:from>
    <xdr:to>
      <xdr:col>24</xdr:col>
      <xdr:colOff>673100</xdr:colOff>
      <xdr:row>149</xdr:row>
      <xdr:rowOff>127000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57150</xdr:colOff>
      <xdr:row>22</xdr:row>
      <xdr:rowOff>28575</xdr:rowOff>
    </xdr:from>
    <xdr:to>
      <xdr:col>20</xdr:col>
      <xdr:colOff>171450</xdr:colOff>
      <xdr:row>37</xdr:row>
      <xdr:rowOff>57150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5E8FB9AE-6F6A-4DFD-AE8E-0A54C246C9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22</xdr:row>
      <xdr:rowOff>0</xdr:rowOff>
    </xdr:from>
    <xdr:to>
      <xdr:col>26</xdr:col>
      <xdr:colOff>190500</xdr:colOff>
      <xdr:row>37</xdr:row>
      <xdr:rowOff>28575</xdr:rowOff>
    </xdr:to>
    <xdr:graphicFrame macro="">
      <xdr:nvGraphicFramePr>
        <xdr:cNvPr id="3" name="Chart 7">
          <a:extLst>
            <a:ext uri="{FF2B5EF4-FFF2-40B4-BE49-F238E27FC236}">
              <a16:creationId xmlns:a16="http://schemas.microsoft.com/office/drawing/2014/main" id="{F3BC713C-E55F-4DBB-A830-0F2EEB4D3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548640</xdr:colOff>
      <xdr:row>26</xdr:row>
      <xdr:rowOff>167640</xdr:rowOff>
    </xdr:from>
    <xdr:to>
      <xdr:col>9</xdr:col>
      <xdr:colOff>259080</xdr:colOff>
      <xdr:row>46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18</xdr:col>
      <xdr:colOff>320040</xdr:colOff>
      <xdr:row>46</xdr:row>
      <xdr:rowOff>45720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281940</xdr:colOff>
      <xdr:row>4</xdr:row>
      <xdr:rowOff>91440</xdr:rowOff>
    </xdr:from>
    <xdr:to>
      <xdr:col>19</xdr:col>
      <xdr:colOff>106680</xdr:colOff>
      <xdr:row>24</xdr:row>
      <xdr:rowOff>30480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519F-8579-4B47-AB1B-A93E8BBD9B92}">
  <dimension ref="B2:C6"/>
  <sheetViews>
    <sheetView showGridLines="0" tabSelected="1" workbookViewId="0"/>
  </sheetViews>
  <sheetFormatPr baseColWidth="10" defaultRowHeight="14.4" x14ac:dyDescent="0.3"/>
  <cols>
    <col min="2" max="2" width="17.33203125" customWidth="1"/>
  </cols>
  <sheetData>
    <row r="2" spans="2:3" x14ac:dyDescent="0.3">
      <c r="B2" s="10" t="s">
        <v>79</v>
      </c>
      <c r="C2" t="s">
        <v>87</v>
      </c>
    </row>
    <row r="3" spans="2:3" x14ac:dyDescent="0.3">
      <c r="B3" s="10" t="s">
        <v>80</v>
      </c>
      <c r="C3" t="s">
        <v>81</v>
      </c>
    </row>
    <row r="4" spans="2:3" x14ac:dyDescent="0.3">
      <c r="B4" s="10" t="s">
        <v>82</v>
      </c>
      <c r="C4" t="s">
        <v>83</v>
      </c>
    </row>
    <row r="5" spans="2:3" x14ac:dyDescent="0.3">
      <c r="B5" s="10" t="s">
        <v>84</v>
      </c>
      <c r="C5" t="s">
        <v>85</v>
      </c>
    </row>
    <row r="6" spans="2:3" x14ac:dyDescent="0.3">
      <c r="B6" s="10" t="s">
        <v>86</v>
      </c>
      <c r="C6" s="69">
        <v>2019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80"/>
  <sheetViews>
    <sheetView showGridLines="0" topLeftCell="A49" zoomScale="60" zoomScaleNormal="60" workbookViewId="0">
      <selection activeCell="A50" sqref="A50"/>
    </sheetView>
  </sheetViews>
  <sheetFormatPr baseColWidth="10" defaultColWidth="11.5546875" defaultRowHeight="14.4" x14ac:dyDescent="0.3"/>
  <cols>
    <col min="2" max="2" width="29.5546875" customWidth="1"/>
    <col min="3" max="3" width="22" customWidth="1"/>
    <col min="4" max="4" width="22.33203125" customWidth="1"/>
    <col min="5" max="5" width="14.109375" bestFit="1" customWidth="1"/>
    <col min="6" max="6" width="16.44140625" hidden="1" customWidth="1"/>
    <col min="7" max="7" width="16.44140625" customWidth="1"/>
    <col min="8" max="9" width="0" hidden="1" customWidth="1"/>
    <col min="10" max="10" width="10.109375" customWidth="1"/>
    <col min="11" max="11" width="18.88671875" customWidth="1"/>
    <col min="12" max="12" width="20.33203125" customWidth="1"/>
    <col min="13" max="13" width="21.44140625" customWidth="1"/>
    <col min="14" max="14" width="18.77734375" customWidth="1"/>
    <col min="15" max="15" width="18.6640625" hidden="1" customWidth="1"/>
    <col min="16" max="16" width="17.44140625" hidden="1" customWidth="1"/>
    <col min="17" max="17" width="19" hidden="1" customWidth="1"/>
  </cols>
  <sheetData>
    <row r="1" spans="2:17" x14ac:dyDescent="0.3">
      <c r="B1" s="10" t="s">
        <v>25</v>
      </c>
    </row>
    <row r="2" spans="2:17" x14ac:dyDescent="0.3">
      <c r="B2" s="81" t="s">
        <v>7</v>
      </c>
      <c r="C2" s="81"/>
      <c r="D2" s="81"/>
      <c r="E2" s="81"/>
      <c r="F2" s="22"/>
      <c r="G2" s="22"/>
      <c r="H2" s="22"/>
      <c r="I2" s="22"/>
      <c r="J2" s="81" t="s">
        <v>6</v>
      </c>
      <c r="K2" s="81"/>
      <c r="L2" s="81"/>
      <c r="M2" s="81"/>
      <c r="N2" s="81"/>
    </row>
    <row r="3" spans="2:17" x14ac:dyDescent="0.3">
      <c r="B3" s="39" t="s">
        <v>1</v>
      </c>
      <c r="C3" s="39" t="s">
        <v>5</v>
      </c>
      <c r="D3" s="39" t="s">
        <v>2</v>
      </c>
      <c r="E3" s="39" t="s">
        <v>24</v>
      </c>
      <c r="F3" s="23"/>
      <c r="G3" s="23"/>
      <c r="H3" s="23">
        <v>1991</v>
      </c>
      <c r="I3" s="24">
        <v>52606</v>
      </c>
      <c r="J3" s="39" t="s">
        <v>1</v>
      </c>
      <c r="K3" s="39" t="s">
        <v>5</v>
      </c>
      <c r="L3" s="39" t="s">
        <v>8</v>
      </c>
      <c r="M3" s="39" t="s">
        <v>2</v>
      </c>
      <c r="N3" s="39" t="s">
        <v>24</v>
      </c>
    </row>
    <row r="4" spans="2:17" x14ac:dyDescent="0.3">
      <c r="B4" s="23">
        <v>2008</v>
      </c>
      <c r="C4" s="31">
        <v>803778588</v>
      </c>
      <c r="D4" s="31">
        <v>549429980</v>
      </c>
      <c r="E4" s="32">
        <f>D4/1000</f>
        <v>549429.98</v>
      </c>
      <c r="F4" s="33"/>
      <c r="G4" s="33"/>
      <c r="H4" s="33">
        <v>1992</v>
      </c>
      <c r="I4" s="24">
        <v>105380</v>
      </c>
      <c r="J4" s="33">
        <v>2008</v>
      </c>
      <c r="K4" s="32">
        <v>1727047245</v>
      </c>
      <c r="L4" s="32">
        <v>1791372720</v>
      </c>
      <c r="M4" s="31">
        <v>825675570</v>
      </c>
      <c r="N4" s="32">
        <f>M4/1000</f>
        <v>825675.57</v>
      </c>
    </row>
    <row r="5" spans="2:17" x14ac:dyDescent="0.3">
      <c r="B5" s="23">
        <v>2009</v>
      </c>
      <c r="C5" s="31">
        <v>678338111</v>
      </c>
      <c r="D5" s="31">
        <v>546494080</v>
      </c>
      <c r="E5" s="32">
        <f t="shared" ref="E5:E22" si="0">D5/1000</f>
        <v>546494.07999999996</v>
      </c>
      <c r="F5" s="33"/>
      <c r="G5" s="33"/>
      <c r="H5" s="33">
        <v>1993</v>
      </c>
      <c r="I5" s="24">
        <v>182092</v>
      </c>
      <c r="J5" s="33">
        <v>2009</v>
      </c>
      <c r="K5" s="32">
        <v>1485168651</v>
      </c>
      <c r="L5" s="32">
        <v>1537898630</v>
      </c>
      <c r="M5" s="31">
        <v>629130600</v>
      </c>
      <c r="N5" s="32">
        <f t="shared" ref="N5:N22" si="1">M5/1000</f>
        <v>629130.6</v>
      </c>
    </row>
    <row r="6" spans="2:17" x14ac:dyDescent="0.3">
      <c r="B6" s="23">
        <v>2010</v>
      </c>
      <c r="C6" s="31">
        <v>793061849</v>
      </c>
      <c r="D6" s="31">
        <v>468106090</v>
      </c>
      <c r="E6" s="32">
        <f t="shared" si="0"/>
        <v>468106.09</v>
      </c>
      <c r="F6" s="33"/>
      <c r="G6" s="33"/>
      <c r="H6" s="33">
        <v>1994</v>
      </c>
      <c r="I6" s="24">
        <v>290199</v>
      </c>
      <c r="J6" s="33">
        <v>2010</v>
      </c>
      <c r="K6" s="32">
        <v>1949997479</v>
      </c>
      <c r="L6" s="32">
        <v>2022328660</v>
      </c>
      <c r="M6" s="31">
        <v>924878540</v>
      </c>
      <c r="N6" s="32">
        <f t="shared" si="1"/>
        <v>924878.54</v>
      </c>
    </row>
    <row r="7" spans="2:17" x14ac:dyDescent="0.3">
      <c r="B7" s="23">
        <v>2011</v>
      </c>
      <c r="C7" s="31">
        <v>1025510233</v>
      </c>
      <c r="D7" s="31">
        <v>609240900</v>
      </c>
      <c r="E7" s="32">
        <f t="shared" si="0"/>
        <v>609240.9</v>
      </c>
      <c r="F7" s="33"/>
      <c r="G7" s="33"/>
      <c r="H7" s="33">
        <v>1995</v>
      </c>
      <c r="I7" s="24">
        <v>256209</v>
      </c>
      <c r="J7" s="33">
        <v>2011</v>
      </c>
      <c r="K7" s="32">
        <v>2141580481</v>
      </c>
      <c r="L7" s="32">
        <v>2220917880</v>
      </c>
      <c r="M7" s="31">
        <v>894951820</v>
      </c>
      <c r="N7" s="32">
        <f t="shared" si="1"/>
        <v>894951.82</v>
      </c>
    </row>
    <row r="8" spans="2:17" x14ac:dyDescent="0.3">
      <c r="B8" s="23">
        <v>2012</v>
      </c>
      <c r="C8" s="31">
        <v>1055945339</v>
      </c>
      <c r="D8" s="31">
        <v>648872870</v>
      </c>
      <c r="E8" s="32">
        <f t="shared" si="0"/>
        <v>648872.87</v>
      </c>
      <c r="F8" s="34"/>
      <c r="G8" s="34"/>
      <c r="H8" s="33">
        <v>1996</v>
      </c>
      <c r="I8" s="24">
        <v>472243</v>
      </c>
      <c r="J8" s="33">
        <v>2012</v>
      </c>
      <c r="K8" s="32">
        <v>2121752129</v>
      </c>
      <c r="L8" s="32">
        <v>2198201170</v>
      </c>
      <c r="M8" s="31">
        <v>777136540</v>
      </c>
      <c r="N8" s="32">
        <f t="shared" si="1"/>
        <v>777136.54</v>
      </c>
      <c r="P8" t="s">
        <v>29</v>
      </c>
    </row>
    <row r="9" spans="2:17" x14ac:dyDescent="0.3">
      <c r="B9" s="23">
        <v>2013</v>
      </c>
      <c r="C9" s="31">
        <v>912116080.14499998</v>
      </c>
      <c r="D9" s="31">
        <v>665853200</v>
      </c>
      <c r="E9" s="32">
        <f t="shared" si="0"/>
        <v>665853.19999999995</v>
      </c>
      <c r="F9" s="33"/>
      <c r="G9" s="33"/>
      <c r="H9" s="33">
        <v>1997</v>
      </c>
      <c r="I9" s="24">
        <v>564097</v>
      </c>
      <c r="J9" s="33">
        <v>2013</v>
      </c>
      <c r="K9" s="32">
        <v>2219294076</v>
      </c>
      <c r="L9" s="32">
        <v>2288152169.5089998</v>
      </c>
      <c r="M9" s="31">
        <v>822251000</v>
      </c>
      <c r="N9" s="32">
        <f t="shared" si="1"/>
        <v>822251</v>
      </c>
    </row>
    <row r="10" spans="2:17" x14ac:dyDescent="0.3">
      <c r="B10" s="23">
        <v>2014</v>
      </c>
      <c r="C10" s="31">
        <v>951305102.61500001</v>
      </c>
      <c r="D10" s="31">
        <v>659341600</v>
      </c>
      <c r="E10" s="32">
        <f t="shared" si="0"/>
        <v>659341.6</v>
      </c>
      <c r="F10" s="33"/>
      <c r="G10" s="33"/>
      <c r="H10" s="33">
        <v>1998</v>
      </c>
      <c r="I10" s="24">
        <v>407673</v>
      </c>
      <c r="J10" s="33">
        <v>2014</v>
      </c>
      <c r="K10" s="32">
        <v>2133268859.619</v>
      </c>
      <c r="L10" s="32">
        <v>2201307716.875</v>
      </c>
      <c r="M10" s="31">
        <v>728398500</v>
      </c>
      <c r="N10" s="32">
        <f t="shared" si="1"/>
        <v>728398.5</v>
      </c>
      <c r="P10" s="2">
        <v>1023683.1609999983</v>
      </c>
      <c r="Q10" s="2">
        <v>471384.1309999997</v>
      </c>
    </row>
    <row r="11" spans="2:17" x14ac:dyDescent="0.3">
      <c r="B11" s="23">
        <v>2015</v>
      </c>
      <c r="C11" s="31">
        <v>784028398.824</v>
      </c>
      <c r="D11" s="31">
        <v>632554100</v>
      </c>
      <c r="E11" s="32">
        <f t="shared" si="0"/>
        <v>632554.1</v>
      </c>
      <c r="F11" s="33"/>
      <c r="G11" s="33"/>
      <c r="H11" s="33">
        <v>1999</v>
      </c>
      <c r="I11" s="24">
        <v>465871</v>
      </c>
      <c r="J11" s="33">
        <v>2015</v>
      </c>
      <c r="K11" s="32">
        <v>1708067678.221</v>
      </c>
      <c r="L11" s="32">
        <v>1765471953.846</v>
      </c>
      <c r="M11" s="31">
        <v>632668900</v>
      </c>
      <c r="N11" s="32">
        <f t="shared" si="1"/>
        <v>632668.9</v>
      </c>
      <c r="P11" s="2">
        <f>P10*1000</f>
        <v>1023683160.9999983</v>
      </c>
      <c r="Q11" s="2"/>
    </row>
    <row r="12" spans="2:17" x14ac:dyDescent="0.3">
      <c r="B12" s="23">
        <v>2016</v>
      </c>
      <c r="C12" s="31">
        <v>810457461.21800005</v>
      </c>
      <c r="D12" s="31">
        <v>786481900</v>
      </c>
      <c r="E12" s="32">
        <f t="shared" si="0"/>
        <v>786481.9</v>
      </c>
      <c r="F12" s="33"/>
      <c r="G12" s="33"/>
      <c r="H12" s="33">
        <v>2000</v>
      </c>
      <c r="I12" s="24">
        <v>577226</v>
      </c>
      <c r="J12" s="33">
        <v>2016</v>
      </c>
      <c r="K12" s="32">
        <v>1377643048.915</v>
      </c>
      <c r="L12" s="32">
        <v>1421097001.326</v>
      </c>
      <c r="M12" s="31">
        <v>603448900</v>
      </c>
      <c r="N12" s="32">
        <f t="shared" si="1"/>
        <v>603448.9</v>
      </c>
    </row>
    <row r="13" spans="2:17" x14ac:dyDescent="0.3">
      <c r="B13" s="23">
        <v>2017</v>
      </c>
      <c r="C13" s="31">
        <v>763222022.26800001</v>
      </c>
      <c r="D13" s="31">
        <v>683115900</v>
      </c>
      <c r="E13" s="32">
        <f t="shared" si="0"/>
        <v>683115.9</v>
      </c>
      <c r="F13" s="33">
        <f>C13/E13</f>
        <v>1117.2657850124701</v>
      </c>
      <c r="G13" s="33"/>
      <c r="H13" s="33">
        <v>2001</v>
      </c>
      <c r="I13" s="24">
        <v>663487</v>
      </c>
      <c r="J13" s="33">
        <v>2017</v>
      </c>
      <c r="K13" s="32">
        <v>1661050595.276</v>
      </c>
      <c r="L13" s="32">
        <v>1716118559.559</v>
      </c>
      <c r="M13" s="31">
        <v>808909700</v>
      </c>
      <c r="N13" s="32">
        <f t="shared" si="1"/>
        <v>808909.7</v>
      </c>
    </row>
    <row r="14" spans="2:17" x14ac:dyDescent="0.3">
      <c r="B14" s="25">
        <v>43101</v>
      </c>
      <c r="C14" s="32">
        <v>72740100</v>
      </c>
      <c r="D14" s="31">
        <f>58.3*1000*1000</f>
        <v>58300000</v>
      </c>
      <c r="E14" s="32">
        <f t="shared" si="0"/>
        <v>58300</v>
      </c>
      <c r="F14" s="33"/>
      <c r="G14" s="33"/>
      <c r="H14" s="33">
        <v>2002</v>
      </c>
      <c r="I14" s="24">
        <v>684364</v>
      </c>
      <c r="J14" s="35">
        <v>43101</v>
      </c>
      <c r="K14" s="32">
        <v>130145564.671</v>
      </c>
      <c r="L14" s="32">
        <v>134449028.81400001</v>
      </c>
      <c r="M14" s="31">
        <v>65677600</v>
      </c>
      <c r="N14" s="32">
        <f t="shared" si="1"/>
        <v>65677.600000000006</v>
      </c>
    </row>
    <row r="15" spans="2:17" x14ac:dyDescent="0.3">
      <c r="B15" s="25">
        <v>43132</v>
      </c>
      <c r="C15" s="32">
        <v>62247226.774999999</v>
      </c>
      <c r="D15" s="31">
        <f>46.5*1000*1000</f>
        <v>46500000</v>
      </c>
      <c r="E15" s="32">
        <f t="shared" si="0"/>
        <v>46500</v>
      </c>
      <c r="F15" s="33"/>
      <c r="G15" s="33"/>
      <c r="H15" s="33">
        <v>2003</v>
      </c>
      <c r="I15" s="24">
        <v>806757</v>
      </c>
      <c r="J15" s="35">
        <v>43132</v>
      </c>
      <c r="K15" s="32">
        <v>136240487.22299999</v>
      </c>
      <c r="L15" s="32">
        <v>140908545.96799999</v>
      </c>
      <c r="M15" s="31">
        <v>58092057.409000002</v>
      </c>
      <c r="N15" s="32">
        <f t="shared" si="1"/>
        <v>58092.057409000001</v>
      </c>
      <c r="P15">
        <f>P11*100/K13</f>
        <v>61.628656219824734</v>
      </c>
      <c r="Q15">
        <f>Q10*100/N13</f>
        <v>58.274011425502714</v>
      </c>
    </row>
    <row r="16" spans="2:17" x14ac:dyDescent="0.3">
      <c r="B16" s="25">
        <v>43160</v>
      </c>
      <c r="C16" s="32">
        <v>70790515.380999997</v>
      </c>
      <c r="D16" s="31">
        <f>56.8*1000*1000</f>
        <v>56800000</v>
      </c>
      <c r="E16" s="32">
        <f t="shared" si="0"/>
        <v>56800</v>
      </c>
      <c r="F16" s="33"/>
      <c r="G16" s="33"/>
      <c r="H16" s="33">
        <v>2004</v>
      </c>
      <c r="I16" s="24">
        <v>432370</v>
      </c>
      <c r="J16" s="35">
        <v>43160</v>
      </c>
      <c r="K16" s="32">
        <v>151935457.21200001</v>
      </c>
      <c r="L16" s="32">
        <v>156663223.87</v>
      </c>
      <c r="M16" s="31">
        <f>62.7*1000*1000</f>
        <v>62700000</v>
      </c>
      <c r="N16" s="32">
        <f t="shared" si="1"/>
        <v>62700</v>
      </c>
    </row>
    <row r="17" spans="1:17" x14ac:dyDescent="0.3">
      <c r="B17" s="25">
        <v>43191</v>
      </c>
      <c r="C17" s="32">
        <v>66992796.472000003</v>
      </c>
      <c r="D17" s="32">
        <f>55.3*1000*1000</f>
        <v>55300000</v>
      </c>
      <c r="E17" s="32">
        <f t="shared" si="0"/>
        <v>55300</v>
      </c>
      <c r="F17" s="36"/>
      <c r="G17" s="36"/>
      <c r="H17" s="33">
        <v>2005</v>
      </c>
      <c r="I17" s="24">
        <v>545782</v>
      </c>
      <c r="J17" s="35">
        <v>43191</v>
      </c>
      <c r="K17" s="32">
        <v>170616472.48300001</v>
      </c>
      <c r="L17" s="32">
        <v>175979347.39199999</v>
      </c>
      <c r="M17" s="31">
        <f>62.1*1000*1000</f>
        <v>62100000</v>
      </c>
      <c r="N17" s="32">
        <f t="shared" si="1"/>
        <v>62100</v>
      </c>
    </row>
    <row r="18" spans="1:17" x14ac:dyDescent="0.3">
      <c r="B18" s="25">
        <v>43221</v>
      </c>
      <c r="C18" s="32">
        <v>73863419.760000005</v>
      </c>
      <c r="D18" s="32">
        <f>65.4*1000*1000</f>
        <v>65400000.000000007</v>
      </c>
      <c r="E18" s="32">
        <f t="shared" si="0"/>
        <v>65400.000000000007</v>
      </c>
      <c r="F18" s="37"/>
      <c r="G18" s="37"/>
      <c r="H18" s="33">
        <v>2006</v>
      </c>
      <c r="I18" s="24">
        <v>702629</v>
      </c>
      <c r="J18" s="35">
        <v>43221</v>
      </c>
      <c r="K18" s="32">
        <v>157186262.646</v>
      </c>
      <c r="L18" s="32">
        <v>161908483.035</v>
      </c>
      <c r="M18" s="31">
        <f>55.1*1000*1000</f>
        <v>55100000</v>
      </c>
      <c r="N18" s="32">
        <f t="shared" si="1"/>
        <v>55100</v>
      </c>
    </row>
    <row r="19" spans="1:17" x14ac:dyDescent="0.3">
      <c r="B19" s="25">
        <v>43252</v>
      </c>
      <c r="C19" s="32">
        <v>83351840.680000007</v>
      </c>
      <c r="D19" s="32">
        <f>85.7*1000*1000</f>
        <v>85700000</v>
      </c>
      <c r="E19" s="32">
        <f t="shared" si="0"/>
        <v>85700</v>
      </c>
      <c r="F19" s="33"/>
      <c r="G19" s="33"/>
      <c r="H19" s="33">
        <v>2007</v>
      </c>
      <c r="I19" s="24">
        <v>693416</v>
      </c>
      <c r="J19" s="35">
        <v>43252</v>
      </c>
      <c r="K19" s="32">
        <v>133025783.72499999</v>
      </c>
      <c r="L19" s="32">
        <v>137161687.366</v>
      </c>
      <c r="M19" s="31">
        <f>51.3*1000*1000</f>
        <v>51300000</v>
      </c>
      <c r="N19" s="32">
        <f t="shared" si="1"/>
        <v>51300</v>
      </c>
    </row>
    <row r="20" spans="1:17" x14ac:dyDescent="0.3">
      <c r="B20" s="25">
        <v>43282</v>
      </c>
      <c r="C20" s="32">
        <v>78836110.289000005</v>
      </c>
      <c r="D20" s="32">
        <f>59.7*1000*1000</f>
        <v>59700000</v>
      </c>
      <c r="E20" s="32">
        <f t="shared" si="0"/>
        <v>59700</v>
      </c>
      <c r="F20" s="33"/>
      <c r="G20" s="33"/>
      <c r="H20" s="33">
        <v>2008</v>
      </c>
      <c r="I20" s="24">
        <f>E4</f>
        <v>549429.98</v>
      </c>
      <c r="J20" s="35">
        <v>43282</v>
      </c>
      <c r="K20" s="32">
        <v>156142992.051</v>
      </c>
      <c r="L20" s="32">
        <v>160728585.92899999</v>
      </c>
      <c r="M20" s="31">
        <f>69.3*1000*1000</f>
        <v>69300000</v>
      </c>
      <c r="N20" s="32">
        <f t="shared" si="1"/>
        <v>69300</v>
      </c>
    </row>
    <row r="21" spans="1:17" x14ac:dyDescent="0.3">
      <c r="B21" s="25" t="s">
        <v>23</v>
      </c>
      <c r="C21" s="32">
        <f>67.1*1000000</f>
        <v>67099999.999999993</v>
      </c>
      <c r="D21" s="32">
        <f>51.1*1000*1000</f>
        <v>51100000</v>
      </c>
      <c r="E21" s="32">
        <f t="shared" si="0"/>
        <v>51100</v>
      </c>
      <c r="F21" s="33"/>
      <c r="G21" s="33"/>
      <c r="H21" s="33">
        <v>2009</v>
      </c>
      <c r="I21" s="24">
        <f t="shared" ref="I21:I29" si="2">E5</f>
        <v>546494.07999999996</v>
      </c>
      <c r="J21" s="35" t="s">
        <v>23</v>
      </c>
      <c r="K21" s="32">
        <f>158.9*1000000</f>
        <v>158900000</v>
      </c>
      <c r="L21" s="32" t="s">
        <v>51</v>
      </c>
      <c r="M21" s="31">
        <f>67.1*1000*1000</f>
        <v>67100000</v>
      </c>
      <c r="N21" s="32">
        <f t="shared" si="1"/>
        <v>67100</v>
      </c>
    </row>
    <row r="22" spans="1:17" x14ac:dyDescent="0.3">
      <c r="B22" s="25">
        <v>43344</v>
      </c>
      <c r="C22" s="32">
        <f>54.4*1000000</f>
        <v>54400000</v>
      </c>
      <c r="D22" s="32">
        <f>41.5*1000*1000</f>
        <v>41500000</v>
      </c>
      <c r="E22" s="32">
        <f t="shared" si="0"/>
        <v>41500</v>
      </c>
      <c r="F22" s="33"/>
      <c r="G22" s="33"/>
      <c r="H22" s="33">
        <v>2010</v>
      </c>
      <c r="I22" s="24">
        <f t="shared" si="2"/>
        <v>468106.09</v>
      </c>
      <c r="J22" s="35">
        <v>43344</v>
      </c>
      <c r="K22" s="32">
        <f>127.4*1000000</f>
        <v>127400000</v>
      </c>
      <c r="L22" s="32" t="s">
        <v>51</v>
      </c>
      <c r="M22" s="31">
        <f>50.8*1000*1000</f>
        <v>50800000</v>
      </c>
      <c r="N22" s="32">
        <f t="shared" si="1"/>
        <v>50800</v>
      </c>
      <c r="O22" t="s">
        <v>28</v>
      </c>
    </row>
    <row r="23" spans="1:17" ht="16.2" thickBot="1" x14ac:dyDescent="0.35">
      <c r="B23" s="22"/>
      <c r="C23" s="38"/>
      <c r="D23" s="38"/>
      <c r="E23" s="38"/>
      <c r="F23" s="38"/>
      <c r="G23" s="38"/>
      <c r="H23" s="38">
        <v>2011</v>
      </c>
      <c r="I23" s="26">
        <f t="shared" si="2"/>
        <v>609240.9</v>
      </c>
      <c r="J23" s="27"/>
      <c r="K23" s="27"/>
      <c r="L23" s="27"/>
      <c r="M23" s="27"/>
      <c r="N23" s="38"/>
    </row>
    <row r="24" spans="1:17" ht="15" thickBot="1" x14ac:dyDescent="0.35">
      <c r="B24" s="22"/>
      <c r="C24" s="22"/>
      <c r="D24" s="22"/>
      <c r="E24" s="22"/>
      <c r="F24" s="22"/>
      <c r="G24" s="22"/>
      <c r="H24" s="22">
        <v>2012</v>
      </c>
      <c r="I24" s="28">
        <f t="shared" si="2"/>
        <v>648872.87</v>
      </c>
      <c r="J24" s="22"/>
      <c r="K24" s="22"/>
      <c r="L24" s="22"/>
      <c r="M24" s="22"/>
      <c r="N24" s="22"/>
      <c r="O24">
        <v>472445.77499999985</v>
      </c>
      <c r="P24" s="2">
        <v>437275.46399999945</v>
      </c>
      <c r="Q24" t="s">
        <v>30</v>
      </c>
    </row>
    <row r="25" spans="1:17" ht="16.2" thickBot="1" x14ac:dyDescent="0.35">
      <c r="A25" s="16"/>
      <c r="B25" s="17"/>
      <c r="C25" s="17"/>
      <c r="D25" s="17"/>
      <c r="E25" s="17"/>
      <c r="F25" s="17"/>
      <c r="G25" s="17"/>
      <c r="H25" s="22">
        <v>2013</v>
      </c>
      <c r="I25" s="28">
        <f t="shared" si="2"/>
        <v>665853.19999999995</v>
      </c>
      <c r="J25" s="29"/>
      <c r="K25" s="29"/>
      <c r="L25" s="29"/>
      <c r="M25" s="29"/>
      <c r="N25" s="29"/>
      <c r="O25" s="3">
        <f>O24*1000</f>
        <v>472445774.99999982</v>
      </c>
    </row>
    <row r="26" spans="1:17" ht="15" thickBot="1" x14ac:dyDescent="0.35">
      <c r="B26" s="30" t="s">
        <v>9</v>
      </c>
      <c r="C26" s="22"/>
      <c r="D26" s="22"/>
      <c r="E26" s="22"/>
      <c r="F26" s="22"/>
      <c r="G26" s="22"/>
      <c r="H26" s="22">
        <v>2014</v>
      </c>
      <c r="I26" s="28">
        <f t="shared" si="2"/>
        <v>659341.6</v>
      </c>
      <c r="J26" s="22"/>
      <c r="K26" s="22"/>
      <c r="L26" s="22">
        <f>O25*100/C13</f>
        <v>61.901486227569031</v>
      </c>
      <c r="M26" s="22">
        <f>P24*100/E13</f>
        <v>64.011899591269867</v>
      </c>
      <c r="N26" s="22"/>
    </row>
    <row r="27" spans="1:17" ht="15" thickBot="1" x14ac:dyDescent="0.35">
      <c r="B27" s="22"/>
      <c r="C27" s="22"/>
      <c r="D27" s="22"/>
      <c r="E27" s="22"/>
      <c r="F27" s="22"/>
      <c r="G27" s="22"/>
      <c r="H27" s="22">
        <v>2015</v>
      </c>
      <c r="I27" s="28">
        <f t="shared" si="2"/>
        <v>632554.1</v>
      </c>
      <c r="J27" s="22"/>
      <c r="K27" s="22"/>
      <c r="L27" s="22"/>
      <c r="M27" s="22"/>
      <c r="N27" s="22"/>
    </row>
    <row r="28" spans="1:17" x14ac:dyDescent="0.3">
      <c r="B28" s="30" t="s">
        <v>26</v>
      </c>
      <c r="C28" s="22"/>
      <c r="D28" s="22"/>
      <c r="E28" s="22"/>
      <c r="F28" s="22"/>
      <c r="G28" s="22"/>
      <c r="H28" s="22">
        <v>2016</v>
      </c>
      <c r="I28" s="41">
        <f t="shared" si="2"/>
        <v>786481.9</v>
      </c>
      <c r="J28" s="22"/>
      <c r="K28" s="22"/>
      <c r="L28" s="22"/>
      <c r="M28" s="22"/>
      <c r="N28" s="22"/>
    </row>
    <row r="29" spans="1:17" x14ac:dyDescent="0.3">
      <c r="B29" s="81" t="s">
        <v>4</v>
      </c>
      <c r="C29" s="81"/>
      <c r="D29" s="81"/>
      <c r="E29" s="81"/>
      <c r="F29" s="42"/>
      <c r="G29" s="42"/>
      <c r="H29" s="42">
        <v>2017</v>
      </c>
      <c r="I29" s="43">
        <f t="shared" si="2"/>
        <v>683115.9</v>
      </c>
      <c r="J29" s="81" t="s">
        <v>0</v>
      </c>
      <c r="K29" s="81"/>
      <c r="L29" s="81"/>
      <c r="M29" s="81"/>
      <c r="N29" s="81"/>
      <c r="O29">
        <f>O25/P24</f>
        <v>1080.4305612720141</v>
      </c>
    </row>
    <row r="30" spans="1:17" ht="15.6" x14ac:dyDescent="0.3">
      <c r="B30" s="56" t="s">
        <v>1</v>
      </c>
      <c r="C30" s="56" t="s">
        <v>5</v>
      </c>
      <c r="D30" s="56" t="s">
        <v>2</v>
      </c>
      <c r="E30" s="57" t="s">
        <v>24</v>
      </c>
      <c r="F30" s="44"/>
      <c r="G30" s="44"/>
      <c r="H30" s="44"/>
      <c r="I30" s="42"/>
      <c r="J30" s="56" t="s">
        <v>1</v>
      </c>
      <c r="K30" s="56" t="s">
        <v>5</v>
      </c>
      <c r="L30" s="56" t="s">
        <v>8</v>
      </c>
      <c r="M30" s="56" t="s">
        <v>3</v>
      </c>
      <c r="N30" s="56" t="s">
        <v>24</v>
      </c>
    </row>
    <row r="31" spans="1:17" x14ac:dyDescent="0.3">
      <c r="B31" s="42">
        <v>2008</v>
      </c>
      <c r="C31" s="31">
        <v>1491067313.29</v>
      </c>
      <c r="D31" s="31">
        <v>720462668.88</v>
      </c>
      <c r="E31" s="32">
        <f>D31/1000</f>
        <v>720462.66888000001</v>
      </c>
      <c r="F31" s="42"/>
      <c r="G31" s="42"/>
      <c r="H31" s="42"/>
      <c r="I31" s="42"/>
      <c r="J31" s="42">
        <v>2008</v>
      </c>
      <c r="K31" s="32">
        <v>786848904.60000002</v>
      </c>
      <c r="L31" s="32">
        <v>809616003.05999899</v>
      </c>
      <c r="M31" s="32">
        <v>566823700.69000006</v>
      </c>
      <c r="N31" s="32">
        <f>M31/1000</f>
        <v>566823.70069000009</v>
      </c>
    </row>
    <row r="32" spans="1:17" x14ac:dyDescent="0.3">
      <c r="B32" s="42">
        <v>2009</v>
      </c>
      <c r="C32" s="31">
        <v>1257333601.78</v>
      </c>
      <c r="D32" s="31">
        <v>577675526.29999995</v>
      </c>
      <c r="E32" s="32">
        <f t="shared" ref="E32:E47" si="3">D32/1000</f>
        <v>577675.52629999991</v>
      </c>
      <c r="F32" s="42"/>
      <c r="G32" s="42"/>
      <c r="H32" s="42"/>
      <c r="I32" s="42"/>
      <c r="J32" s="42">
        <v>2009</v>
      </c>
      <c r="K32" s="32">
        <v>674669640.02999997</v>
      </c>
      <c r="L32" s="32">
        <v>694566504.77999997</v>
      </c>
      <c r="M32" s="32">
        <v>539091881.29999995</v>
      </c>
      <c r="N32" s="32">
        <f t="shared" ref="N32:N47" si="4">M32/1000</f>
        <v>539091.88130000001</v>
      </c>
    </row>
    <row r="33" spans="2:16" x14ac:dyDescent="0.3">
      <c r="B33" s="42">
        <v>2010</v>
      </c>
      <c r="C33" s="31">
        <v>1807652879.01</v>
      </c>
      <c r="D33" s="31">
        <v>1038610021.11</v>
      </c>
      <c r="E33" s="32">
        <f t="shared" si="3"/>
        <v>1038610.02111</v>
      </c>
      <c r="F33" s="42"/>
      <c r="G33" s="42"/>
      <c r="H33" s="42"/>
      <c r="I33" s="42"/>
      <c r="J33" s="42">
        <v>2010</v>
      </c>
      <c r="K33" s="32">
        <v>814548142.52999997</v>
      </c>
      <c r="L33" s="32">
        <v>834935734.79999995</v>
      </c>
      <c r="M33" s="32">
        <v>476587987.62</v>
      </c>
      <c r="N33" s="32">
        <f t="shared" si="4"/>
        <v>476587.98762000003</v>
      </c>
    </row>
    <row r="34" spans="2:16" x14ac:dyDescent="0.3">
      <c r="B34" s="42">
        <v>2011</v>
      </c>
      <c r="C34" s="31">
        <v>1908614149.3399999</v>
      </c>
      <c r="D34" s="31">
        <v>767210631.85000002</v>
      </c>
      <c r="E34" s="32">
        <f t="shared" si="3"/>
        <v>767210.63185000001</v>
      </c>
      <c r="F34" s="42"/>
      <c r="G34" s="42"/>
      <c r="H34" s="42"/>
      <c r="I34" s="42"/>
      <c r="J34" s="42">
        <v>2011</v>
      </c>
      <c r="K34" s="32">
        <v>1040962903.26</v>
      </c>
      <c r="L34" s="32">
        <v>1065845522.26</v>
      </c>
      <c r="M34" s="32">
        <v>595067147.12</v>
      </c>
      <c r="N34" s="32">
        <f t="shared" si="4"/>
        <v>595067.14711999998</v>
      </c>
    </row>
    <row r="35" spans="2:16" x14ac:dyDescent="0.3">
      <c r="B35" s="42">
        <v>2012</v>
      </c>
      <c r="C35" s="31">
        <v>1910497978.79</v>
      </c>
      <c r="D35" s="31">
        <v>727829555.80999994</v>
      </c>
      <c r="E35" s="32">
        <f t="shared" si="3"/>
        <v>727829.55580999993</v>
      </c>
      <c r="F35" s="42"/>
      <c r="G35" s="42"/>
      <c r="H35" s="42"/>
      <c r="I35" s="42"/>
      <c r="J35" s="42">
        <v>2012</v>
      </c>
      <c r="K35" s="32">
        <v>1063698621.71</v>
      </c>
      <c r="L35" s="32">
        <v>1089905711.79</v>
      </c>
      <c r="M35" s="32">
        <v>624504557.23000002</v>
      </c>
      <c r="N35" s="32">
        <f t="shared" si="4"/>
        <v>624504.55723000003</v>
      </c>
    </row>
    <row r="36" spans="2:16" x14ac:dyDescent="0.3">
      <c r="B36" s="42">
        <v>2013</v>
      </c>
      <c r="C36" s="31">
        <v>1974770121.8</v>
      </c>
      <c r="D36" s="31">
        <v>779934332.60000002</v>
      </c>
      <c r="E36" s="32">
        <f t="shared" si="3"/>
        <v>779934.33260000008</v>
      </c>
      <c r="F36" s="42"/>
      <c r="G36" s="42"/>
      <c r="H36" s="42"/>
      <c r="I36" s="42"/>
      <c r="J36" s="42">
        <v>2013</v>
      </c>
      <c r="K36" s="32">
        <v>855519863.35000002</v>
      </c>
      <c r="L36" s="32">
        <v>881686799.51999998</v>
      </c>
      <c r="M36" s="32">
        <v>643904180.48000002</v>
      </c>
      <c r="N36" s="32">
        <f t="shared" si="4"/>
        <v>643904.18047999998</v>
      </c>
    </row>
    <row r="37" spans="2:16" x14ac:dyDescent="0.3">
      <c r="B37" s="42">
        <v>2014</v>
      </c>
      <c r="C37" s="31">
        <v>1887611533.9100001</v>
      </c>
      <c r="D37" s="31">
        <v>690663625.74000001</v>
      </c>
      <c r="E37" s="32">
        <f t="shared" si="3"/>
        <v>690663.62574000005</v>
      </c>
      <c r="F37" s="42"/>
      <c r="G37" s="42"/>
      <c r="H37" s="42"/>
      <c r="I37" s="42"/>
      <c r="J37" s="42">
        <v>2014</v>
      </c>
      <c r="K37" s="32">
        <v>892532408.75</v>
      </c>
      <c r="L37" s="32">
        <v>918291533.73000002</v>
      </c>
      <c r="M37" s="32">
        <v>632866685.30999994</v>
      </c>
      <c r="N37" s="32">
        <f t="shared" si="4"/>
        <v>632866.68530999997</v>
      </c>
    </row>
    <row r="38" spans="2:16" x14ac:dyDescent="0.3">
      <c r="B38" s="42">
        <v>2015</v>
      </c>
      <c r="C38" s="31">
        <v>1470483792.78</v>
      </c>
      <c r="D38" s="31">
        <v>712106971.79999995</v>
      </c>
      <c r="E38" s="32">
        <f t="shared" si="3"/>
        <v>712106.97179999994</v>
      </c>
      <c r="F38" s="42"/>
      <c r="G38" s="42"/>
      <c r="H38" s="42"/>
      <c r="I38" s="42"/>
      <c r="J38" s="42">
        <v>2015</v>
      </c>
      <c r="K38" s="32">
        <v>759620274.42999995</v>
      </c>
      <c r="L38" s="32">
        <v>783082802.32000005</v>
      </c>
      <c r="M38" s="32">
        <v>615034027.65999997</v>
      </c>
      <c r="N38" s="32">
        <f t="shared" si="4"/>
        <v>615034.02766000002</v>
      </c>
    </row>
    <row r="39" spans="2:16" x14ac:dyDescent="0.3">
      <c r="B39" s="42">
        <v>2016</v>
      </c>
      <c r="C39" s="31">
        <v>1199721003.9000001</v>
      </c>
      <c r="D39" s="31">
        <v>616138820.03999996</v>
      </c>
      <c r="E39" s="32">
        <f t="shared" si="3"/>
        <v>616138.8200399999</v>
      </c>
      <c r="F39" s="42"/>
      <c r="G39" s="42"/>
      <c r="H39" s="42"/>
      <c r="I39" s="42"/>
      <c r="J39" s="42">
        <v>2016</v>
      </c>
      <c r="K39" s="32">
        <v>779796903.77999997</v>
      </c>
      <c r="L39" s="32">
        <v>804784490.16000295</v>
      </c>
      <c r="M39" s="32">
        <v>753057297.09000003</v>
      </c>
      <c r="N39" s="32">
        <f t="shared" si="4"/>
        <v>753057.29709000001</v>
      </c>
    </row>
    <row r="40" spans="2:16" x14ac:dyDescent="0.3">
      <c r="B40" s="42">
        <v>2017</v>
      </c>
      <c r="C40" s="31">
        <v>1465057394.8399999</v>
      </c>
      <c r="D40" s="31">
        <v>929296829.54000103</v>
      </c>
      <c r="E40" s="32">
        <f t="shared" si="3"/>
        <v>929296.829540001</v>
      </c>
      <c r="F40" s="42">
        <f>C40/E40</f>
        <v>1576.5225364700734</v>
      </c>
      <c r="G40" s="42"/>
      <c r="H40" s="42"/>
      <c r="I40" s="42"/>
      <c r="J40" s="42">
        <v>2017</v>
      </c>
      <c r="K40" s="32">
        <v>692703983.93999994</v>
      </c>
      <c r="L40" s="32">
        <v>715385487.75999904</v>
      </c>
      <c r="M40" s="32">
        <v>621437780.27999902</v>
      </c>
      <c r="N40" s="32">
        <f t="shared" si="4"/>
        <v>621437.78027999902</v>
      </c>
    </row>
    <row r="41" spans="2:16" x14ac:dyDescent="0.3">
      <c r="B41" s="45">
        <v>43101</v>
      </c>
      <c r="C41" s="32">
        <v>128571749.44</v>
      </c>
      <c r="D41" s="31">
        <v>122590993.12</v>
      </c>
      <c r="E41" s="32">
        <f>D41/1000</f>
        <v>122590.99312</v>
      </c>
      <c r="F41" s="42"/>
      <c r="G41" s="42"/>
      <c r="H41" s="42"/>
      <c r="I41" s="42"/>
      <c r="J41" s="45">
        <v>43101</v>
      </c>
      <c r="K41" s="32">
        <v>60914596.399999999</v>
      </c>
      <c r="L41" s="32">
        <v>62924244.810000002</v>
      </c>
      <c r="M41" s="32">
        <v>44341166.630000003</v>
      </c>
      <c r="N41" s="32">
        <f t="shared" si="4"/>
        <v>44341.16663</v>
      </c>
    </row>
    <row r="42" spans="2:16" x14ac:dyDescent="0.3">
      <c r="B42" s="45">
        <v>43132</v>
      </c>
      <c r="C42" s="32">
        <v>118195858.73</v>
      </c>
      <c r="D42" s="31">
        <v>59666000.789999999</v>
      </c>
      <c r="E42" s="32">
        <f t="shared" si="3"/>
        <v>59666.000789999998</v>
      </c>
      <c r="F42" s="42"/>
      <c r="G42" s="42"/>
      <c r="H42" s="42"/>
      <c r="I42" s="42"/>
      <c r="J42" s="45">
        <v>43132</v>
      </c>
      <c r="K42" s="32">
        <v>65012639.189999998</v>
      </c>
      <c r="L42" s="32">
        <v>67167707.090000093</v>
      </c>
      <c r="M42" s="32">
        <v>49640713.689999998</v>
      </c>
      <c r="N42" s="32">
        <f t="shared" si="4"/>
        <v>49640.713689999997</v>
      </c>
      <c r="O42" t="s">
        <v>31</v>
      </c>
    </row>
    <row r="43" spans="2:16" x14ac:dyDescent="0.3">
      <c r="B43" s="45">
        <v>43160</v>
      </c>
      <c r="C43" s="32">
        <v>152402992.50999999</v>
      </c>
      <c r="D43" s="31">
        <v>111886907.03</v>
      </c>
      <c r="E43" s="32">
        <f t="shared" si="3"/>
        <v>111886.90703</v>
      </c>
      <c r="F43" s="42"/>
      <c r="G43" s="42"/>
      <c r="H43" s="42"/>
      <c r="I43" s="42"/>
      <c r="J43" s="45">
        <v>43160</v>
      </c>
      <c r="K43" s="32">
        <v>69387037.939999998</v>
      </c>
      <c r="L43" s="32">
        <v>71579691.659999996</v>
      </c>
      <c r="M43" s="32">
        <v>56931366.579999998</v>
      </c>
      <c r="N43" s="32">
        <f t="shared" si="4"/>
        <v>56931.366580000002</v>
      </c>
      <c r="O43" s="40">
        <v>843045.11600000074</v>
      </c>
      <c r="P43" s="2">
        <v>519865.73999999888</v>
      </c>
    </row>
    <row r="44" spans="2:16" x14ac:dyDescent="0.3">
      <c r="B44" s="45">
        <v>43191</v>
      </c>
      <c r="C44" s="32">
        <v>158507811.16</v>
      </c>
      <c r="D44" s="31">
        <v>103859200.81999999</v>
      </c>
      <c r="E44" s="32">
        <f t="shared" si="3"/>
        <v>103859.20082</v>
      </c>
      <c r="F44" s="42"/>
      <c r="G44" s="42"/>
      <c r="H44" s="42"/>
      <c r="I44" s="42"/>
      <c r="J44" s="45">
        <v>43191</v>
      </c>
      <c r="K44" s="32">
        <v>70210984.230000004</v>
      </c>
      <c r="L44" s="32">
        <v>72608258.719999999</v>
      </c>
      <c r="M44" s="32">
        <v>62105352.93</v>
      </c>
      <c r="N44" s="32">
        <f t="shared" si="4"/>
        <v>62105.352930000001</v>
      </c>
      <c r="O44" s="40">
        <f>O43*1000</f>
        <v>843045116.00000072</v>
      </c>
      <c r="P44" s="2"/>
    </row>
    <row r="45" spans="2:16" x14ac:dyDescent="0.3">
      <c r="B45" s="45">
        <v>43221</v>
      </c>
      <c r="C45" s="32">
        <v>142864246.06</v>
      </c>
      <c r="D45" s="31">
        <v>71086242.370000005</v>
      </c>
      <c r="E45" s="32">
        <f t="shared" si="3"/>
        <v>71086.242370000007</v>
      </c>
      <c r="F45" s="42"/>
      <c r="G45" s="42"/>
      <c r="H45" s="42"/>
      <c r="I45" s="42"/>
      <c r="J45" s="45">
        <v>43221</v>
      </c>
      <c r="K45" s="32">
        <v>72025184.890000001</v>
      </c>
      <c r="L45" s="32">
        <v>74482550.810000002</v>
      </c>
      <c r="M45" s="32">
        <v>65935372.210000001</v>
      </c>
      <c r="N45" s="32">
        <f t="shared" si="4"/>
        <v>65935.372210000001</v>
      </c>
    </row>
    <row r="46" spans="2:16" x14ac:dyDescent="0.3">
      <c r="B46" s="45">
        <v>43252</v>
      </c>
      <c r="C46" s="32">
        <v>139876607.38</v>
      </c>
      <c r="D46" s="31">
        <v>66353258.100000001</v>
      </c>
      <c r="E46" s="32">
        <f t="shared" si="3"/>
        <v>66353.258100000006</v>
      </c>
      <c r="F46" s="42"/>
      <c r="G46" s="42"/>
      <c r="H46" s="42"/>
      <c r="I46" s="42"/>
      <c r="J46" s="45">
        <v>43252</v>
      </c>
      <c r="K46" s="32">
        <v>72159315.280000001</v>
      </c>
      <c r="L46" s="32">
        <v>74730202.090000004</v>
      </c>
      <c r="M46" s="32">
        <v>70955798.019999996</v>
      </c>
      <c r="N46" s="32">
        <f t="shared" si="4"/>
        <v>70955.798020000002</v>
      </c>
    </row>
    <row r="47" spans="2:16" x14ac:dyDescent="0.3">
      <c r="B47" s="45">
        <v>43282</v>
      </c>
      <c r="C47" s="32">
        <v>131208455.55</v>
      </c>
      <c r="D47" s="31">
        <v>68172632.090000004</v>
      </c>
      <c r="E47" s="32">
        <f t="shared" si="3"/>
        <v>68172.632089999999</v>
      </c>
      <c r="F47" s="42"/>
      <c r="G47" s="42"/>
      <c r="H47" s="42"/>
      <c r="I47" s="42"/>
      <c r="J47" s="45">
        <v>43282</v>
      </c>
      <c r="K47" s="32">
        <v>72893864.319999993</v>
      </c>
      <c r="L47" s="32">
        <v>75387094.569999993</v>
      </c>
      <c r="M47" s="32">
        <v>62643604.759999998</v>
      </c>
      <c r="N47" s="32">
        <f t="shared" si="4"/>
        <v>62643.604759999995</v>
      </c>
      <c r="O47">
        <f>O44*100/C40</f>
        <v>57.543487304268403</v>
      </c>
      <c r="P47">
        <f>P43*100/E40</f>
        <v>55.941839407472294</v>
      </c>
    </row>
    <row r="48" spans="2:16" x14ac:dyDescent="0.3">
      <c r="B48" s="45"/>
      <c r="C48" s="42"/>
      <c r="D48" s="42"/>
      <c r="E48" s="32"/>
      <c r="F48" s="42"/>
      <c r="G48" s="42"/>
      <c r="H48" s="42"/>
      <c r="I48" s="42"/>
    </row>
    <row r="49" spans="2:16" x14ac:dyDescent="0.3">
      <c r="B49" s="46"/>
      <c r="C49" s="47"/>
      <c r="D49" s="47"/>
      <c r="E49" s="48"/>
      <c r="F49" s="47"/>
      <c r="G49" s="47"/>
      <c r="H49" s="47"/>
      <c r="I49" s="47"/>
      <c r="J49" s="46"/>
      <c r="K49" s="47"/>
      <c r="L49" s="47"/>
      <c r="M49" s="47"/>
      <c r="N49" s="47"/>
      <c r="O49">
        <f>O44/P43</f>
        <v>1621.6593076512456</v>
      </c>
    </row>
    <row r="50" spans="2:16" x14ac:dyDescent="0.3">
      <c r="B50" s="47"/>
      <c r="C50" s="47"/>
      <c r="D50" s="47"/>
      <c r="E50" s="47"/>
      <c r="F50" s="47"/>
      <c r="G50" s="47"/>
      <c r="H50" s="47"/>
      <c r="I50" s="47"/>
      <c r="J50" s="46"/>
      <c r="K50" s="47"/>
      <c r="L50" s="47"/>
      <c r="M50" s="47"/>
      <c r="N50" s="47"/>
    </row>
    <row r="51" spans="2:16" x14ac:dyDescent="0.3">
      <c r="J51" s="7"/>
      <c r="K51" s="1"/>
      <c r="L51" s="1"/>
      <c r="M51" s="1"/>
      <c r="N51" s="1"/>
    </row>
    <row r="52" spans="2:16" x14ac:dyDescent="0.3">
      <c r="B52" s="10" t="s">
        <v>11</v>
      </c>
    </row>
    <row r="53" spans="2:16" x14ac:dyDescent="0.3">
      <c r="B53" s="18" t="s">
        <v>10</v>
      </c>
      <c r="O53" t="s">
        <v>32</v>
      </c>
    </row>
    <row r="54" spans="2:16" x14ac:dyDescent="0.3">
      <c r="O54" s="2">
        <v>440451.91900000046</v>
      </c>
      <c r="P54" s="2">
        <v>431797.40699999913</v>
      </c>
    </row>
    <row r="55" spans="2:16" x14ac:dyDescent="0.3">
      <c r="O55" s="2">
        <f>O54*1000</f>
        <v>440451919.00000048</v>
      </c>
      <c r="P55" s="2"/>
    </row>
    <row r="56" spans="2:16" x14ac:dyDescent="0.3">
      <c r="B56" s="80" t="s">
        <v>27</v>
      </c>
      <c r="C56" s="80"/>
      <c r="D56" s="80"/>
      <c r="E56" s="80"/>
    </row>
    <row r="57" spans="2:16" ht="15.6" x14ac:dyDescent="0.3">
      <c r="B57" s="13" t="s">
        <v>1</v>
      </c>
      <c r="C57" s="13" t="s">
        <v>5</v>
      </c>
      <c r="D57" s="13" t="s">
        <v>2</v>
      </c>
      <c r="E57" s="21" t="s">
        <v>24</v>
      </c>
    </row>
    <row r="58" spans="2:16" x14ac:dyDescent="0.3">
      <c r="B58" s="19">
        <v>2008</v>
      </c>
      <c r="C58" s="20">
        <f t="shared" ref="C58:C67" si="5">C4+C31</f>
        <v>2294845901.29</v>
      </c>
      <c r="D58" s="20">
        <f t="shared" ref="D58:D67" si="6">D31+D4</f>
        <v>1269892648.8800001</v>
      </c>
      <c r="E58" s="20">
        <f>D58/1000</f>
        <v>1269892.6488800002</v>
      </c>
    </row>
    <row r="59" spans="2:16" x14ac:dyDescent="0.3">
      <c r="B59" s="19">
        <v>2009</v>
      </c>
      <c r="C59" s="20">
        <f t="shared" si="5"/>
        <v>1935671712.78</v>
      </c>
      <c r="D59" s="20">
        <f t="shared" si="6"/>
        <v>1124169606.3</v>
      </c>
      <c r="E59" s="20">
        <f t="shared" ref="E59:E67" si="7">D59/1000</f>
        <v>1124169.6062999999</v>
      </c>
      <c r="O59">
        <f>O55*100/K40</f>
        <v>63.584435662513982</v>
      </c>
      <c r="P59">
        <f>P54*100/N40</f>
        <v>69.483610540293469</v>
      </c>
    </row>
    <row r="60" spans="2:16" x14ac:dyDescent="0.3">
      <c r="B60" s="19">
        <v>2010</v>
      </c>
      <c r="C60" s="20">
        <f t="shared" si="5"/>
        <v>2600714728.0100002</v>
      </c>
      <c r="D60" s="20">
        <f t="shared" si="6"/>
        <v>1506716111.1100001</v>
      </c>
      <c r="E60" s="20">
        <f t="shared" si="7"/>
        <v>1506716.1111100002</v>
      </c>
      <c r="J60" t="s">
        <v>50</v>
      </c>
    </row>
    <row r="61" spans="2:16" x14ac:dyDescent="0.3">
      <c r="B61" s="19">
        <v>2011</v>
      </c>
      <c r="C61" s="20">
        <f t="shared" si="5"/>
        <v>2934124382.3400002</v>
      </c>
      <c r="D61" s="20">
        <f t="shared" si="6"/>
        <v>1376451531.8499999</v>
      </c>
      <c r="E61" s="20">
        <f t="shared" si="7"/>
        <v>1376451.5318499999</v>
      </c>
    </row>
    <row r="62" spans="2:16" x14ac:dyDescent="0.3">
      <c r="B62" s="19">
        <v>2012</v>
      </c>
      <c r="C62" s="20">
        <f t="shared" si="5"/>
        <v>2966443317.79</v>
      </c>
      <c r="D62" s="20">
        <f t="shared" si="6"/>
        <v>1376702425.8099999</v>
      </c>
      <c r="E62" s="20">
        <f t="shared" si="7"/>
        <v>1376702.4258099999</v>
      </c>
      <c r="J62" s="10" t="s">
        <v>49</v>
      </c>
    </row>
    <row r="63" spans="2:16" x14ac:dyDescent="0.3">
      <c r="B63" s="19">
        <v>2013</v>
      </c>
      <c r="C63" s="20">
        <f t="shared" si="5"/>
        <v>2886886201.9449997</v>
      </c>
      <c r="D63" s="20">
        <f t="shared" si="6"/>
        <v>1445787532.5999999</v>
      </c>
      <c r="E63" s="20">
        <f t="shared" si="7"/>
        <v>1445787.5325999998</v>
      </c>
    </row>
    <row r="64" spans="2:16" ht="49.2" customHeight="1" x14ac:dyDescent="0.3">
      <c r="B64" s="19">
        <v>2014</v>
      </c>
      <c r="C64" s="20">
        <f t="shared" si="5"/>
        <v>2838916636.5250001</v>
      </c>
      <c r="D64" s="20">
        <f t="shared" si="6"/>
        <v>1350005225.74</v>
      </c>
      <c r="E64" s="20">
        <f t="shared" si="7"/>
        <v>1350005.2257399999</v>
      </c>
      <c r="J64" s="49" t="s">
        <v>1</v>
      </c>
      <c r="K64" s="50" t="s">
        <v>33</v>
      </c>
      <c r="L64" s="50" t="s">
        <v>34</v>
      </c>
      <c r="M64" s="50" t="s">
        <v>37</v>
      </c>
    </row>
    <row r="65" spans="2:14" ht="15" x14ac:dyDescent="0.3">
      <c r="B65" s="19">
        <v>2015</v>
      </c>
      <c r="C65" s="20">
        <f t="shared" si="5"/>
        <v>2254512191.6040001</v>
      </c>
      <c r="D65" s="20">
        <f t="shared" si="6"/>
        <v>1344661071.8</v>
      </c>
      <c r="E65" s="20">
        <f t="shared" si="7"/>
        <v>1344661.0718</v>
      </c>
      <c r="J65" s="51">
        <v>2014</v>
      </c>
      <c r="K65" s="52">
        <v>714207698</v>
      </c>
      <c r="L65" s="52">
        <v>1075069069.0000014</v>
      </c>
      <c r="M65" s="52">
        <f>K65+L65</f>
        <v>1789276767.0000014</v>
      </c>
    </row>
    <row r="66" spans="2:14" ht="15" x14ac:dyDescent="0.3">
      <c r="B66" s="19">
        <v>2016</v>
      </c>
      <c r="C66" s="20">
        <f t="shared" si="5"/>
        <v>2010178465.118</v>
      </c>
      <c r="D66" s="20">
        <f t="shared" si="6"/>
        <v>1402620720.04</v>
      </c>
      <c r="E66" s="20">
        <f t="shared" si="7"/>
        <v>1402620.72004</v>
      </c>
      <c r="J66" s="51">
        <v>2015</v>
      </c>
      <c r="K66" s="52">
        <v>570646416.00000012</v>
      </c>
      <c r="L66" s="52">
        <v>796615545.99999857</v>
      </c>
      <c r="M66" s="52">
        <f t="shared" ref="M66:M68" si="8">K66+L66</f>
        <v>1367261961.9999986</v>
      </c>
    </row>
    <row r="67" spans="2:14" ht="15" x14ac:dyDescent="0.3">
      <c r="B67" s="19">
        <v>2017</v>
      </c>
      <c r="C67" s="20">
        <f t="shared" si="5"/>
        <v>2228279417.1079998</v>
      </c>
      <c r="D67" s="20">
        <f t="shared" si="6"/>
        <v>1612412729.5400009</v>
      </c>
      <c r="E67" s="20">
        <f t="shared" si="7"/>
        <v>1612412.7295400009</v>
      </c>
      <c r="J67" s="51">
        <v>2016</v>
      </c>
      <c r="K67" s="52">
        <v>470451315.99999952</v>
      </c>
      <c r="L67" s="52">
        <v>601562809.99999845</v>
      </c>
      <c r="M67" s="52">
        <f t="shared" si="8"/>
        <v>1072014125.999998</v>
      </c>
    </row>
    <row r="68" spans="2:14" ht="15" x14ac:dyDescent="0.3">
      <c r="J68" s="51">
        <v>2017</v>
      </c>
      <c r="K68" s="52">
        <v>472445774.99999982</v>
      </c>
      <c r="L68" s="52">
        <v>843045116.00000072</v>
      </c>
      <c r="M68" s="52">
        <f t="shared" si="8"/>
        <v>1315490891.0000005</v>
      </c>
    </row>
    <row r="69" spans="2:14" ht="15.6" x14ac:dyDescent="0.3">
      <c r="J69" s="54"/>
      <c r="K69" s="55"/>
      <c r="L69" s="55"/>
      <c r="M69" s="55"/>
    </row>
    <row r="70" spans="2:14" ht="15.6" x14ac:dyDescent="0.3">
      <c r="J70" s="54"/>
      <c r="K70" s="55"/>
      <c r="L70" s="55"/>
      <c r="M70" s="55"/>
      <c r="N70" s="5"/>
    </row>
    <row r="71" spans="2:14" ht="15.6" x14ac:dyDescent="0.3">
      <c r="C71" s="4"/>
      <c r="J71" s="54"/>
      <c r="K71" s="55"/>
      <c r="L71" s="55"/>
      <c r="M71" s="55"/>
    </row>
    <row r="72" spans="2:14" ht="58.2" customHeight="1" x14ac:dyDescent="0.3">
      <c r="B72" s="6"/>
      <c r="J72" s="49" t="s">
        <v>1</v>
      </c>
      <c r="K72" s="50" t="s">
        <v>35</v>
      </c>
      <c r="L72" s="50" t="s">
        <v>38</v>
      </c>
      <c r="M72" s="50" t="s">
        <v>36</v>
      </c>
    </row>
    <row r="73" spans="2:14" ht="15" x14ac:dyDescent="0.3">
      <c r="J73" s="51">
        <v>2014</v>
      </c>
      <c r="K73" s="53">
        <v>521060.90556929453</v>
      </c>
      <c r="L73" s="53">
        <v>462142.72499999928</v>
      </c>
      <c r="M73" s="53">
        <f>K73+L73</f>
        <v>983203.63056929386</v>
      </c>
    </row>
    <row r="74" spans="2:14" ht="15" x14ac:dyDescent="0.3">
      <c r="D74" s="9"/>
      <c r="J74" s="51">
        <v>2015</v>
      </c>
      <c r="K74" s="53">
        <v>484918.35952924471</v>
      </c>
      <c r="L74" s="53">
        <v>391442.17099999968</v>
      </c>
      <c r="M74" s="53">
        <f t="shared" ref="M74:M76" si="9">K74+L74</f>
        <v>876360.53052924434</v>
      </c>
    </row>
    <row r="75" spans="2:14" ht="15" x14ac:dyDescent="0.3">
      <c r="J75" s="51">
        <v>2016</v>
      </c>
      <c r="K75" s="53">
        <v>497683.26199999999</v>
      </c>
      <c r="L75" s="53">
        <v>325720.0390000008</v>
      </c>
      <c r="M75" s="53">
        <f t="shared" si="9"/>
        <v>823403.30100000079</v>
      </c>
    </row>
    <row r="76" spans="2:14" ht="15" x14ac:dyDescent="0.3">
      <c r="J76" s="51">
        <v>2017</v>
      </c>
      <c r="K76" s="53">
        <v>437275.46399999945</v>
      </c>
      <c r="L76" s="53">
        <v>519865.73999999888</v>
      </c>
      <c r="M76" s="53">
        <f t="shared" si="9"/>
        <v>957141.20399999828</v>
      </c>
      <c r="N76">
        <f>(M73-M76)/M76</f>
        <v>2.7229447923021011E-2</v>
      </c>
    </row>
    <row r="77" spans="2:14" x14ac:dyDescent="0.3">
      <c r="N77">
        <f>N76*100</f>
        <v>2.7229447923021013</v>
      </c>
    </row>
    <row r="79" spans="2:14" x14ac:dyDescent="0.3">
      <c r="M79" s="1"/>
    </row>
    <row r="80" spans="2:14" x14ac:dyDescent="0.3">
      <c r="M80" s="15"/>
    </row>
  </sheetData>
  <mergeCells count="5">
    <mergeCell ref="B56:E56"/>
    <mergeCell ref="B2:E2"/>
    <mergeCell ref="J2:N2"/>
    <mergeCell ref="B29:E29"/>
    <mergeCell ref="J29:N2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DA6A-C7BC-40D1-9B13-11DC501B24A7}">
  <dimension ref="A1:Y68"/>
  <sheetViews>
    <sheetView showGridLines="0" zoomScale="80" zoomScaleNormal="80" workbookViewId="0">
      <selection activeCell="A2" sqref="A2:M3"/>
    </sheetView>
  </sheetViews>
  <sheetFormatPr baseColWidth="10" defaultColWidth="8.88671875" defaultRowHeight="14.4" x14ac:dyDescent="0.3"/>
  <cols>
    <col min="1" max="1" width="13.44140625" customWidth="1"/>
    <col min="2" max="13" width="13.77734375" customWidth="1"/>
    <col min="16" max="19" width="20.77734375" customWidth="1"/>
    <col min="22" max="25" width="20.77734375" customWidth="1"/>
  </cols>
  <sheetData>
    <row r="1" spans="1:25" x14ac:dyDescent="0.3">
      <c r="F1" s="65"/>
      <c r="O1" s="82" t="s">
        <v>52</v>
      </c>
      <c r="P1" s="82"/>
      <c r="Q1" s="82"/>
      <c r="R1" s="82"/>
      <c r="S1" s="82"/>
      <c r="T1" s="70"/>
      <c r="U1" s="82" t="s">
        <v>53</v>
      </c>
      <c r="V1" s="82"/>
      <c r="W1" s="82"/>
      <c r="X1" s="82"/>
      <c r="Y1" s="82"/>
    </row>
    <row r="2" spans="1:25" ht="14.4" customHeight="1" x14ac:dyDescent="0.3">
      <c r="A2" s="84" t="s">
        <v>54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O2" s="82"/>
      <c r="P2" s="82"/>
      <c r="Q2" s="82"/>
      <c r="R2" s="82"/>
      <c r="S2" s="82"/>
      <c r="T2" s="70"/>
      <c r="U2" s="82"/>
      <c r="V2" s="82"/>
      <c r="W2" s="82"/>
      <c r="X2" s="82"/>
      <c r="Y2" s="82"/>
    </row>
    <row r="3" spans="1:25" x14ac:dyDescent="0.3">
      <c r="A3" s="84"/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O3" s="83"/>
      <c r="P3" s="83"/>
      <c r="Q3" s="83"/>
      <c r="R3" s="83"/>
      <c r="S3" s="83"/>
      <c r="T3" s="70"/>
      <c r="U3" s="83"/>
      <c r="V3" s="83"/>
      <c r="W3" s="83"/>
      <c r="X3" s="83"/>
      <c r="Y3" s="83"/>
    </row>
    <row r="4" spans="1:25" x14ac:dyDescent="0.3">
      <c r="A4" s="10" t="s">
        <v>55</v>
      </c>
      <c r="O4" s="85" t="s">
        <v>39</v>
      </c>
      <c r="P4" s="71" t="s">
        <v>56</v>
      </c>
      <c r="Q4" s="71" t="s">
        <v>57</v>
      </c>
      <c r="R4" s="71" t="s">
        <v>56</v>
      </c>
      <c r="S4" s="71" t="s">
        <v>57</v>
      </c>
      <c r="T4" s="70"/>
      <c r="U4" s="86" t="s">
        <v>39</v>
      </c>
      <c r="V4" s="71" t="s">
        <v>56</v>
      </c>
      <c r="W4" s="71" t="s">
        <v>57</v>
      </c>
      <c r="X4" s="71" t="s">
        <v>56</v>
      </c>
      <c r="Y4" s="71" t="s">
        <v>57</v>
      </c>
    </row>
    <row r="5" spans="1:25" x14ac:dyDescent="0.3">
      <c r="O5" s="85"/>
      <c r="P5" s="87" t="s">
        <v>58</v>
      </c>
      <c r="Q5" s="87"/>
      <c r="R5" s="87" t="s">
        <v>59</v>
      </c>
      <c r="S5" s="87"/>
      <c r="T5" s="70"/>
      <c r="U5" s="86"/>
      <c r="V5" s="87" t="s">
        <v>58</v>
      </c>
      <c r="W5" s="87"/>
      <c r="X5" s="87" t="s">
        <v>59</v>
      </c>
      <c r="Y5" s="87"/>
    </row>
    <row r="6" spans="1:25" x14ac:dyDescent="0.3">
      <c r="A6" t="s">
        <v>60</v>
      </c>
      <c r="O6" s="72">
        <v>1</v>
      </c>
      <c r="P6" s="73">
        <f>AVERAGE(B$40:B$43)</f>
        <v>45376383.25</v>
      </c>
      <c r="Q6" s="73">
        <f>AVERAGE(B$46:B$49)</f>
        <v>38039.415548973469</v>
      </c>
      <c r="R6" s="73">
        <f>AVERAGE(B$54:B$57)</f>
        <v>73005161.75</v>
      </c>
      <c r="S6" s="73">
        <f>AVERAGE(B$60:B$63)</f>
        <v>33903.209279992152</v>
      </c>
      <c r="T6" s="70"/>
      <c r="U6" s="72">
        <v>1</v>
      </c>
      <c r="V6" s="73">
        <f>AVERAGE(B$22:B$25)</f>
        <v>37156496</v>
      </c>
      <c r="W6" s="73">
        <f>AVERAGE(B$28:B$31)</f>
        <v>37040.572250000005</v>
      </c>
      <c r="X6" s="73">
        <f>AVERAGE(B$8:B$11)</f>
        <v>49530633</v>
      </c>
      <c r="Y6" s="73">
        <f>AVERAGE(B$14:B$17)</f>
        <v>29815.659749999999</v>
      </c>
    </row>
    <row r="7" spans="1:25" x14ac:dyDescent="0.3">
      <c r="A7" s="66" t="s">
        <v>61</v>
      </c>
      <c r="B7" s="66" t="s">
        <v>62</v>
      </c>
      <c r="C7" s="66" t="s">
        <v>63</v>
      </c>
      <c r="D7" s="66" t="s">
        <v>64</v>
      </c>
      <c r="E7" s="66" t="s">
        <v>65</v>
      </c>
      <c r="F7" s="66" t="s">
        <v>66</v>
      </c>
      <c r="G7" s="66" t="s">
        <v>67</v>
      </c>
      <c r="H7" s="66" t="s">
        <v>68</v>
      </c>
      <c r="I7" s="66" t="s">
        <v>69</v>
      </c>
      <c r="J7" s="66" t="s">
        <v>70</v>
      </c>
      <c r="K7" s="66" t="s">
        <v>71</v>
      </c>
      <c r="L7" s="66" t="s">
        <v>72</v>
      </c>
      <c r="M7" s="66" t="s">
        <v>73</v>
      </c>
      <c r="O7" s="72">
        <v>2</v>
      </c>
      <c r="P7" s="73">
        <f>AVERAGE(C$40:C$43)</f>
        <v>48112169.75</v>
      </c>
      <c r="Q7" s="73">
        <f>AVERAGE(C$46:C$49)</f>
        <v>38442.139784096027</v>
      </c>
      <c r="R7" s="73">
        <f>AVERAGE(C$54:C$57)</f>
        <v>83313183.25</v>
      </c>
      <c r="S7" s="73">
        <f>AVERAGE(C$60:C$63)</f>
        <v>36101.59687541765</v>
      </c>
      <c r="T7" s="70"/>
      <c r="U7" s="72">
        <v>2</v>
      </c>
      <c r="V7" s="73">
        <f>AVERAGE(C$22:C$25)</f>
        <v>41658652.25</v>
      </c>
      <c r="W7" s="73">
        <f>AVERAGE(C$28:C$31)</f>
        <v>40480.37975</v>
      </c>
      <c r="X7" s="73">
        <f>AVERAGE(C$8:C$11)</f>
        <v>71027156.25</v>
      </c>
      <c r="Y7" s="73">
        <f>AVERAGE(C$14:C$17)</f>
        <v>36305.472500000003</v>
      </c>
    </row>
    <row r="8" spans="1:25" x14ac:dyDescent="0.3">
      <c r="A8" s="66">
        <v>2014</v>
      </c>
      <c r="B8" s="67">
        <v>64821396</v>
      </c>
      <c r="C8" s="67">
        <v>86637835</v>
      </c>
      <c r="D8" s="67">
        <v>92086528</v>
      </c>
      <c r="E8" s="67">
        <v>77795542</v>
      </c>
      <c r="F8" s="67">
        <v>95523005</v>
      </c>
      <c r="G8" s="67">
        <v>80301674</v>
      </c>
      <c r="H8" s="67">
        <v>102050832</v>
      </c>
      <c r="I8" s="67">
        <v>84610281</v>
      </c>
      <c r="J8" s="67">
        <v>96011881</v>
      </c>
      <c r="K8" s="67">
        <v>98415475</v>
      </c>
      <c r="L8" s="67">
        <v>93909011</v>
      </c>
      <c r="M8" s="67">
        <v>102905609</v>
      </c>
      <c r="O8" s="72">
        <v>3</v>
      </c>
      <c r="P8" s="73">
        <f>AVERAGE(D$40:D$43)</f>
        <v>45292115.25</v>
      </c>
      <c r="Q8" s="73">
        <f>AVERAGE(D$46:D$49)</f>
        <v>39008.7709990734</v>
      </c>
      <c r="R8" s="73">
        <f>AVERAGE(D$54:D$57)</f>
        <v>78592497</v>
      </c>
      <c r="S8" s="73">
        <f>AVERAGE(D$60:D$63)</f>
        <v>31562.680664537402</v>
      </c>
      <c r="T8" s="70"/>
      <c r="U8" s="72">
        <v>3</v>
      </c>
      <c r="V8" s="73">
        <f>AVERAGE(D$22:D$25)</f>
        <v>38139939.75</v>
      </c>
      <c r="W8" s="73">
        <f>AVERAGE(D$28:D$31)</f>
        <v>39776.674999999996</v>
      </c>
      <c r="X8" s="73">
        <f>AVERAGE(D$8:D$11)</f>
        <v>64050920.75</v>
      </c>
      <c r="Y8" s="73">
        <f>AVERAGE(D$14:D$17)</f>
        <v>30521.524250000002</v>
      </c>
    </row>
    <row r="9" spans="1:25" x14ac:dyDescent="0.3">
      <c r="A9" s="66">
        <v>2015</v>
      </c>
      <c r="B9" s="67">
        <v>51621833</v>
      </c>
      <c r="C9" s="67">
        <v>86761075</v>
      </c>
      <c r="D9" s="67">
        <v>57086713</v>
      </c>
      <c r="E9" s="67">
        <v>77496668</v>
      </c>
      <c r="F9" s="67">
        <v>72478887</v>
      </c>
      <c r="G9" s="67">
        <v>74006978</v>
      </c>
      <c r="H9" s="67">
        <v>66662850.999999993</v>
      </c>
      <c r="I9" s="67">
        <v>62641438</v>
      </c>
      <c r="J9" s="67">
        <v>66882528.999999993</v>
      </c>
      <c r="K9" s="67">
        <v>60646177</v>
      </c>
      <c r="L9" s="67">
        <v>60126910</v>
      </c>
      <c r="M9" s="67">
        <v>60203487</v>
      </c>
      <c r="O9" s="72">
        <v>4</v>
      </c>
      <c r="P9" s="73">
        <f>AVERAGE(E$40:E$43)</f>
        <v>46366112.5</v>
      </c>
      <c r="Q9" s="73">
        <f>AVERAGE(E$46:E$49)</f>
        <v>39020.031944881426</v>
      </c>
      <c r="R9" s="73">
        <f>AVERAGE(E$54:E$57)</f>
        <v>84089525.25</v>
      </c>
      <c r="S9" s="73">
        <f>AVERAGE(E$60:E$63)</f>
        <v>33990.844482780572</v>
      </c>
      <c r="T9" s="70"/>
      <c r="U9" s="72">
        <v>4</v>
      </c>
      <c r="V9" s="73">
        <f>AVERAGE(E$22:E$25)</f>
        <v>37934764</v>
      </c>
      <c r="W9" s="73">
        <f>AVERAGE(E$28:E$31)</f>
        <v>39863.839749999999</v>
      </c>
      <c r="X9" s="73">
        <f>AVERAGE(E$8:E$11)</f>
        <v>64893464.25</v>
      </c>
      <c r="Y9" s="73">
        <f>AVERAGE(E$14:E$17)</f>
        <v>33346.964</v>
      </c>
    </row>
    <row r="10" spans="1:25" x14ac:dyDescent="0.3">
      <c r="A10" s="66">
        <v>2016</v>
      </c>
      <c r="B10" s="67">
        <v>38268659</v>
      </c>
      <c r="C10" s="67">
        <v>52474472</v>
      </c>
      <c r="D10" s="67">
        <v>45987204</v>
      </c>
      <c r="E10" s="67">
        <v>46571129</v>
      </c>
      <c r="F10" s="67">
        <v>52802634</v>
      </c>
      <c r="G10" s="67">
        <v>32936171.000000004</v>
      </c>
      <c r="H10" s="67">
        <v>18155158</v>
      </c>
      <c r="I10" s="67">
        <v>79975059</v>
      </c>
      <c r="J10" s="67">
        <v>53672748</v>
      </c>
      <c r="K10" s="67">
        <v>56706517</v>
      </c>
      <c r="L10" s="67">
        <v>60721348</v>
      </c>
      <c r="M10" s="67">
        <v>63291711</v>
      </c>
      <c r="O10" s="72">
        <v>5</v>
      </c>
      <c r="P10" s="73">
        <f>AVERAGE(F$40:F$43)</f>
        <v>48332038.5</v>
      </c>
      <c r="Q10" s="73">
        <f>AVERAGE(F$46:F$49)</f>
        <v>39462.009770373254</v>
      </c>
      <c r="R10" s="73">
        <f>AVERAGE(F$54:F$57)</f>
        <v>83645797.25</v>
      </c>
      <c r="S10" s="73">
        <f>AVERAGE(F$60:F$63)</f>
        <v>35310.113846724751</v>
      </c>
      <c r="T10" s="70"/>
      <c r="U10" s="72">
        <v>5</v>
      </c>
      <c r="V10" s="73">
        <f>AVERAGE(F$22:F$25)</f>
        <v>38635953</v>
      </c>
      <c r="W10" s="73">
        <f>AVERAGE(F$28:F$31)</f>
        <v>40149.704249999995</v>
      </c>
      <c r="X10" s="73">
        <f>AVERAGE(F$8:F$11)</f>
        <v>70784296</v>
      </c>
      <c r="Y10" s="73">
        <f>AVERAGE(F$14:F$17)</f>
        <v>35543.98775</v>
      </c>
    </row>
    <row r="11" spans="1:25" x14ac:dyDescent="0.3">
      <c r="A11" s="66">
        <v>2017</v>
      </c>
      <c r="B11" s="67">
        <v>43410644</v>
      </c>
      <c r="C11" s="67">
        <v>58235243</v>
      </c>
      <c r="D11" s="67">
        <v>61043238</v>
      </c>
      <c r="E11" s="67">
        <v>57710518</v>
      </c>
      <c r="F11" s="67">
        <v>62332658</v>
      </c>
      <c r="G11" s="67">
        <v>78491323</v>
      </c>
      <c r="H11" s="67">
        <v>74178412</v>
      </c>
      <c r="I11" s="67">
        <v>82280406</v>
      </c>
      <c r="J11" s="67">
        <v>79272707</v>
      </c>
      <c r="K11" s="67">
        <v>78666025</v>
      </c>
      <c r="L11" s="67">
        <v>80036190</v>
      </c>
      <c r="M11" s="67">
        <v>87387752</v>
      </c>
      <c r="O11" s="72">
        <v>6</v>
      </c>
      <c r="P11" s="73">
        <f>AVERAGE(G$40:G$43)</f>
        <v>45859738</v>
      </c>
      <c r="Q11" s="73">
        <f>AVERAGE(G$46:G$49)</f>
        <v>38636.782540710497</v>
      </c>
      <c r="R11" s="73">
        <f>AVERAGE(G$54:G$57)</f>
        <v>84256733.25</v>
      </c>
      <c r="S11" s="73">
        <f>AVERAGE(G$60:G$63)</f>
        <v>34526.044051139979</v>
      </c>
      <c r="T11" s="70"/>
      <c r="U11" s="72">
        <v>6</v>
      </c>
      <c r="V11" s="73">
        <f>AVERAGE(G$22:G$25)</f>
        <v>36938632.25</v>
      </c>
      <c r="W11" s="73">
        <f>AVERAGE(G$28:G$31)</f>
        <v>36440.897499999999</v>
      </c>
      <c r="X11" s="73">
        <f>AVERAGE(G$8:G$11)</f>
        <v>66434036.5</v>
      </c>
      <c r="Y11" s="73">
        <f>AVERAGE(G$14:G$17)</f>
        <v>33728.558250000002</v>
      </c>
    </row>
    <row r="12" spans="1:25" x14ac:dyDescent="0.3">
      <c r="A12" t="s">
        <v>74</v>
      </c>
      <c r="O12" s="72">
        <v>7</v>
      </c>
      <c r="P12" s="73">
        <f>AVERAGE(H$40:H$43)</f>
        <v>44385620.5</v>
      </c>
      <c r="Q12" s="73">
        <f>AVERAGE(H$46:H$49)</f>
        <v>41484.305205346776</v>
      </c>
      <c r="R12" s="73">
        <f>AVERAGE(H$54:H$57)</f>
        <v>78222848.25</v>
      </c>
      <c r="S12" s="73">
        <f>AVERAGE(H$60:H$63)</f>
        <v>34369.63025859202</v>
      </c>
      <c r="T12" s="70"/>
      <c r="U12" s="72">
        <v>7</v>
      </c>
      <c r="V12" s="73">
        <f>AVERAGE(H$22:H$25)</f>
        <v>38261018</v>
      </c>
      <c r="W12" s="73">
        <f>AVERAGE(H$28:H$31)</f>
        <v>38399.50675</v>
      </c>
      <c r="X12" s="73">
        <f>AVERAGE(H$8:H$11)</f>
        <v>65261813.25</v>
      </c>
      <c r="Y12" s="73">
        <f>AVERAGE(H$14:H$17)</f>
        <v>34765.616000000002</v>
      </c>
    </row>
    <row r="13" spans="1:25" x14ac:dyDescent="0.3">
      <c r="A13" s="66" t="s">
        <v>57</v>
      </c>
      <c r="B13" s="66" t="s">
        <v>62</v>
      </c>
      <c r="C13" s="66" t="s">
        <v>63</v>
      </c>
      <c r="D13" s="66" t="s">
        <v>64</v>
      </c>
      <c r="E13" s="66" t="s">
        <v>65</v>
      </c>
      <c r="F13" s="66" t="s">
        <v>66</v>
      </c>
      <c r="G13" s="66" t="s">
        <v>67</v>
      </c>
      <c r="H13" s="66" t="s">
        <v>68</v>
      </c>
      <c r="I13" s="66" t="s">
        <v>69</v>
      </c>
      <c r="J13" s="66" t="s">
        <v>70</v>
      </c>
      <c r="K13" s="66" t="s">
        <v>71</v>
      </c>
      <c r="L13" s="66" t="s">
        <v>72</v>
      </c>
      <c r="M13" s="66" t="s">
        <v>73</v>
      </c>
      <c r="O13" s="72">
        <v>8</v>
      </c>
      <c r="P13" s="73">
        <f>AVERAGE(I$40:I$43)</f>
        <v>52703770.5</v>
      </c>
      <c r="Q13" s="73">
        <f>AVERAGE(I$46:I$49)</f>
        <v>41029.546582526978</v>
      </c>
      <c r="R13" s="73">
        <f>AVERAGE(I$54:I$57)</f>
        <v>92524199.5</v>
      </c>
      <c r="S13" s="73">
        <f>AVERAGE(I$60:I$63)</f>
        <v>38890.706763588903</v>
      </c>
      <c r="T13" s="70"/>
      <c r="U13" s="72">
        <v>8</v>
      </c>
      <c r="V13" s="73">
        <f>AVERAGE(I$22:I$25)</f>
        <v>43019508.75</v>
      </c>
      <c r="W13" s="73">
        <f>AVERAGE(I$28:I$31)</f>
        <v>43693.611499999999</v>
      </c>
      <c r="X13" s="73">
        <f>AVERAGE(I$8:I$11)</f>
        <v>77376796</v>
      </c>
      <c r="Y13" s="73">
        <f>AVERAGE(I$14:I$17)</f>
        <v>41186.0815</v>
      </c>
    </row>
    <row r="14" spans="1:25" x14ac:dyDescent="0.3">
      <c r="A14" s="66">
        <v>2014</v>
      </c>
      <c r="B14" s="67">
        <v>34330.057000000001</v>
      </c>
      <c r="C14" s="67">
        <v>43422.517</v>
      </c>
      <c r="D14" s="67">
        <v>37646.457000000002</v>
      </c>
      <c r="E14" s="67">
        <v>35400.298999999999</v>
      </c>
      <c r="F14" s="67">
        <v>38984.652999999998</v>
      </c>
      <c r="G14" s="67">
        <v>35147.510999999999</v>
      </c>
      <c r="H14" s="67">
        <v>42759.216</v>
      </c>
      <c r="I14" s="67">
        <v>37826.622000000003</v>
      </c>
      <c r="J14" s="67">
        <v>35744.972000000002</v>
      </c>
      <c r="K14" s="67">
        <v>39746.644999999997</v>
      </c>
      <c r="L14" s="67">
        <v>36482.088000000003</v>
      </c>
      <c r="M14" s="67">
        <v>44651.688000000002</v>
      </c>
      <c r="O14" s="72">
        <v>9</v>
      </c>
      <c r="P14" s="73">
        <f>AVERAGE(J$40:J$43)</f>
        <v>47061079.75</v>
      </c>
      <c r="Q14" s="73">
        <f>AVERAGE(J$46:J$49)</f>
        <v>41197.724658503445</v>
      </c>
      <c r="R14" s="73">
        <f>AVERAGE(J$54:J$57)</f>
        <v>90460233.25</v>
      </c>
      <c r="S14" s="73">
        <f>AVERAGE(J$60:J$63)</f>
        <v>36650.996993116423</v>
      </c>
      <c r="T14" s="70"/>
      <c r="U14" s="72">
        <v>9</v>
      </c>
      <c r="V14" s="73">
        <f>AVERAGE(J$22:J$25)</f>
        <v>42139605.75</v>
      </c>
      <c r="W14" s="73">
        <f>AVERAGE(J$28:J$31)</f>
        <v>43186.338000000003</v>
      </c>
      <c r="X14" s="73">
        <f>AVERAGE(J$8:J$11)</f>
        <v>73959966.25</v>
      </c>
      <c r="Y14" s="73">
        <f>AVERAGE(J$14:J$17)</f>
        <v>36670.357749999996</v>
      </c>
    </row>
    <row r="15" spans="1:25" x14ac:dyDescent="0.3">
      <c r="A15" s="66">
        <v>2015</v>
      </c>
      <c r="B15" s="67">
        <v>28468.045999999998</v>
      </c>
      <c r="C15" s="67">
        <v>37085.767</v>
      </c>
      <c r="D15" s="67">
        <v>20734.394</v>
      </c>
      <c r="E15" s="67">
        <v>37950.408000000003</v>
      </c>
      <c r="F15" s="67">
        <v>35841.603999999999</v>
      </c>
      <c r="G15" s="67">
        <v>33656.720000000001</v>
      </c>
      <c r="H15" s="67">
        <v>36849.302000000003</v>
      </c>
      <c r="I15" s="67">
        <v>35246.784</v>
      </c>
      <c r="J15" s="67">
        <v>29789.755000000001</v>
      </c>
      <c r="K15" s="67">
        <v>31440.34</v>
      </c>
      <c r="L15" s="67">
        <v>32299.198</v>
      </c>
      <c r="M15" s="67">
        <v>32079.852999999999</v>
      </c>
      <c r="O15" s="72">
        <v>10</v>
      </c>
      <c r="P15" s="73">
        <f>AVERAGE(K$40:K$43)</f>
        <v>47406195.75</v>
      </c>
      <c r="Q15" s="73">
        <f>AVERAGE(K$46:K$49)</f>
        <v>42930.797104550802</v>
      </c>
      <c r="R15" s="73">
        <f>AVERAGE(K$54:K$57)</f>
        <v>97262545.75</v>
      </c>
      <c r="S15" s="73">
        <f>AVERAGE(K$60:K$63)</f>
        <v>37610.626208895497</v>
      </c>
      <c r="T15" s="70"/>
      <c r="U15" s="72">
        <v>10</v>
      </c>
      <c r="V15" s="73">
        <f>AVERAGE(K$22:K$25)</f>
        <v>42386654.25</v>
      </c>
      <c r="W15" s="73">
        <f>AVERAGE(K$28:K$31)</f>
        <v>42509.75</v>
      </c>
      <c r="X15" s="73">
        <f>AVERAGE(K$8:K$11)</f>
        <v>73608548.5</v>
      </c>
      <c r="Y15" s="73">
        <f>AVERAGE(K$14:K$17)</f>
        <v>35816.253750000003</v>
      </c>
    </row>
    <row r="16" spans="1:25" x14ac:dyDescent="0.3">
      <c r="A16" s="66">
        <v>2016</v>
      </c>
      <c r="B16" s="67">
        <v>21934.458999999999</v>
      </c>
      <c r="C16" s="67">
        <v>27021.469000000001</v>
      </c>
      <c r="D16" s="67">
        <v>24954.681</v>
      </c>
      <c r="E16" s="67">
        <v>24924.522000000001</v>
      </c>
      <c r="F16" s="67">
        <v>27448.834999999999</v>
      </c>
      <c r="G16" s="67">
        <v>18943.438999999998</v>
      </c>
      <c r="H16" s="67">
        <v>8297.4840000000004</v>
      </c>
      <c r="I16" s="67">
        <v>41492.565999999999</v>
      </c>
      <c r="J16" s="67">
        <v>31671.581999999999</v>
      </c>
      <c r="K16" s="67">
        <v>29535.944</v>
      </c>
      <c r="L16" s="67">
        <v>33129.614999999998</v>
      </c>
      <c r="M16" s="67">
        <v>36365.442999999999</v>
      </c>
      <c r="O16" s="72">
        <v>11</v>
      </c>
      <c r="P16" s="73">
        <f>AVERAGE(L$40:L$43)</f>
        <v>46079572</v>
      </c>
      <c r="Q16" s="73">
        <f>AVERAGE(L$46:L$49)</f>
        <v>41397.484945176075</v>
      </c>
      <c r="R16" s="73">
        <f>AVERAGE(L$54:L$57)</f>
        <v>87386634.75</v>
      </c>
      <c r="S16" s="73">
        <f>AVERAGE(L$60:L$63)</f>
        <v>35476.4992178303</v>
      </c>
      <c r="T16" s="70"/>
      <c r="U16" s="72">
        <v>11</v>
      </c>
      <c r="V16" s="73">
        <f>AVERAGE(L$22:L$25)</f>
        <v>41032694.5</v>
      </c>
      <c r="W16" s="73">
        <f>AVERAGE(L$28:L$31)</f>
        <v>40064.089999999997</v>
      </c>
      <c r="X16" s="73">
        <f>AVERAGE(L$8:L$11)</f>
        <v>73698364.75</v>
      </c>
      <c r="Y16" s="73">
        <f>AVERAGE(L$14:L$17)</f>
        <v>36938.452499999999</v>
      </c>
    </row>
    <row r="17" spans="1:25" x14ac:dyDescent="0.3">
      <c r="A17" s="66">
        <v>2017</v>
      </c>
      <c r="B17" s="67">
        <v>34530.076999999997</v>
      </c>
      <c r="C17" s="67">
        <v>37692.137000000002</v>
      </c>
      <c r="D17" s="67">
        <v>38750.565000000002</v>
      </c>
      <c r="E17" s="67">
        <v>35112.627</v>
      </c>
      <c r="F17" s="67">
        <v>39900.858999999997</v>
      </c>
      <c r="G17" s="67">
        <v>47166.563000000002</v>
      </c>
      <c r="H17" s="67">
        <v>51156.462</v>
      </c>
      <c r="I17" s="67">
        <v>50178.353999999999</v>
      </c>
      <c r="J17" s="67">
        <v>49475.122000000003</v>
      </c>
      <c r="K17" s="67">
        <v>42542.086000000003</v>
      </c>
      <c r="L17" s="67">
        <v>45842.909</v>
      </c>
      <c r="M17" s="67">
        <v>47517.978999999999</v>
      </c>
      <c r="O17" s="74">
        <v>12</v>
      </c>
      <c r="P17" s="75">
        <f>AVERAGE(M$40:M$43)</f>
        <v>46770992</v>
      </c>
      <c r="Q17" s="75">
        <f>AVERAGE(M$46:M$49)</f>
        <v>41394.263072733898</v>
      </c>
      <c r="R17" s="75">
        <f>AVERAGE(M$54:M$57)</f>
        <v>88235651</v>
      </c>
      <c r="S17" s="75">
        <f>AVERAGE(M$60:M$63)</f>
        <v>36487.643895106405</v>
      </c>
      <c r="T17" s="70"/>
      <c r="U17" s="74">
        <v>12</v>
      </c>
      <c r="V17" s="75">
        <f>AVERAGE(M$22:M$25)</f>
        <v>45297784.25</v>
      </c>
      <c r="W17" s="75">
        <f>AVERAGE(M$28:M$31)</f>
        <v>42296.757250000002</v>
      </c>
      <c r="X17" s="75">
        <f>AVERAGE(M$8:M$11)</f>
        <v>78447139.75</v>
      </c>
      <c r="Y17" s="75">
        <f>AVERAGE(M$14:M$17)</f>
        <v>40153.740749999997</v>
      </c>
    </row>
    <row r="18" spans="1:25" x14ac:dyDescent="0.3">
      <c r="O18" s="76" t="s">
        <v>40</v>
      </c>
      <c r="P18" s="77">
        <f>SUM(P6:P17)</f>
        <v>563745787.75</v>
      </c>
      <c r="Q18" s="77">
        <f t="shared" ref="Q18:S18" si="0">SUM(Q6:Q17)</f>
        <v>482043.27215694601</v>
      </c>
      <c r="R18" s="77">
        <f t="shared" si="0"/>
        <v>1020995010.25</v>
      </c>
      <c r="S18" s="77">
        <f t="shared" si="0"/>
        <v>424880.59253772203</v>
      </c>
      <c r="T18" s="70"/>
      <c r="U18" s="74" t="s">
        <v>40</v>
      </c>
      <c r="V18" s="75">
        <f>SUM(V6:V17)</f>
        <v>482601702.75</v>
      </c>
      <c r="W18" s="75">
        <f t="shared" ref="W18:Y18" si="1">SUM(W6:W17)</f>
        <v>483902.12199999997</v>
      </c>
      <c r="X18" s="75">
        <f t="shared" si="1"/>
        <v>829073135.25</v>
      </c>
      <c r="Y18" s="75">
        <f t="shared" si="1"/>
        <v>424792.66875000007</v>
      </c>
    </row>
    <row r="19" spans="1:25" x14ac:dyDescent="0.3">
      <c r="O19" s="8"/>
      <c r="P19" s="8"/>
      <c r="Q19" s="8"/>
      <c r="R19" s="8"/>
      <c r="S19" s="8"/>
    </row>
    <row r="20" spans="1:25" x14ac:dyDescent="0.3">
      <c r="A20" t="s">
        <v>0</v>
      </c>
      <c r="O20" s="8"/>
      <c r="P20" s="8"/>
      <c r="Q20" s="68"/>
      <c r="R20" s="8"/>
      <c r="S20" s="68"/>
      <c r="W20" s="5"/>
      <c r="Y20" s="5"/>
    </row>
    <row r="21" spans="1:25" x14ac:dyDescent="0.3">
      <c r="A21" s="66" t="s">
        <v>61</v>
      </c>
      <c r="B21" s="66" t="s">
        <v>62</v>
      </c>
      <c r="C21" s="66" t="s">
        <v>63</v>
      </c>
      <c r="D21" s="66" t="s">
        <v>64</v>
      </c>
      <c r="E21" s="66" t="s">
        <v>65</v>
      </c>
      <c r="F21" s="66" t="s">
        <v>66</v>
      </c>
      <c r="G21" s="66" t="s">
        <v>67</v>
      </c>
      <c r="H21" s="66" t="s">
        <v>68</v>
      </c>
      <c r="I21" s="66" t="s">
        <v>69</v>
      </c>
      <c r="J21" s="66" t="s">
        <v>70</v>
      </c>
      <c r="K21" s="66" t="s">
        <v>71</v>
      </c>
      <c r="L21" s="66" t="s">
        <v>72</v>
      </c>
      <c r="M21" s="66" t="s">
        <v>73</v>
      </c>
      <c r="O21" s="8"/>
      <c r="P21" s="8"/>
      <c r="Q21" s="8"/>
      <c r="R21" s="8"/>
      <c r="S21" s="8"/>
    </row>
    <row r="22" spans="1:25" x14ac:dyDescent="0.3">
      <c r="A22" s="66">
        <v>2014</v>
      </c>
      <c r="B22" s="67">
        <v>44632811</v>
      </c>
      <c r="C22" s="67">
        <v>42908840</v>
      </c>
      <c r="D22" s="67">
        <v>45406920</v>
      </c>
      <c r="E22" s="67">
        <v>47293203</v>
      </c>
      <c r="F22" s="67">
        <v>43736281</v>
      </c>
      <c r="G22" s="67">
        <v>44198452</v>
      </c>
      <c r="H22" s="67">
        <v>53010349</v>
      </c>
      <c r="I22" s="67">
        <v>47756185</v>
      </c>
      <c r="J22" s="67">
        <v>47879151</v>
      </c>
      <c r="K22" s="67">
        <v>52630731</v>
      </c>
      <c r="L22" s="67">
        <v>47957344</v>
      </c>
      <c r="M22" s="67">
        <v>54162154</v>
      </c>
      <c r="O22" s="8"/>
      <c r="P22" s="8"/>
      <c r="Q22" s="8"/>
      <c r="R22" s="8"/>
      <c r="S22" s="8"/>
    </row>
    <row r="23" spans="1:25" x14ac:dyDescent="0.3">
      <c r="A23" s="66">
        <v>2015</v>
      </c>
      <c r="B23" s="67">
        <v>37385294</v>
      </c>
      <c r="C23" s="67">
        <v>49410645</v>
      </c>
      <c r="D23" s="67">
        <v>35653440</v>
      </c>
      <c r="E23" s="67">
        <v>40142920</v>
      </c>
      <c r="F23" s="67">
        <v>36662984</v>
      </c>
      <c r="G23" s="67">
        <v>37216545</v>
      </c>
      <c r="H23" s="67">
        <v>42912074</v>
      </c>
      <c r="I23" s="67">
        <v>38044253</v>
      </c>
      <c r="J23" s="67">
        <v>37561679</v>
      </c>
      <c r="K23" s="67">
        <v>39513151</v>
      </c>
      <c r="L23" s="67">
        <v>37989373</v>
      </c>
      <c r="M23" s="67">
        <v>42477477</v>
      </c>
      <c r="O23" s="8"/>
      <c r="P23" s="68"/>
      <c r="Q23" s="68"/>
      <c r="R23" s="68"/>
      <c r="S23" s="68"/>
      <c r="T23" s="68"/>
      <c r="U23" s="68"/>
      <c r="V23" s="68"/>
      <c r="W23" s="68"/>
      <c r="X23" s="68"/>
      <c r="Y23" s="68"/>
    </row>
    <row r="24" spans="1:25" x14ac:dyDescent="0.3">
      <c r="A24" s="66">
        <v>2016</v>
      </c>
      <c r="B24" s="67">
        <v>27764516</v>
      </c>
      <c r="C24" s="67">
        <v>38125211</v>
      </c>
      <c r="D24" s="67">
        <v>36615433</v>
      </c>
      <c r="E24" s="67">
        <v>34647633</v>
      </c>
      <c r="F24" s="67">
        <v>38308849</v>
      </c>
      <c r="G24" s="67">
        <v>29692640</v>
      </c>
      <c r="H24" s="67">
        <v>21782637</v>
      </c>
      <c r="I24" s="67">
        <v>46824769</v>
      </c>
      <c r="J24" s="67">
        <v>44940254</v>
      </c>
      <c r="K24" s="67">
        <v>41263872</v>
      </c>
      <c r="L24" s="67">
        <v>38832230</v>
      </c>
      <c r="M24" s="67">
        <v>44614592</v>
      </c>
      <c r="O24" s="8"/>
      <c r="P24" s="8"/>
      <c r="Q24" s="8"/>
      <c r="R24" s="8"/>
      <c r="S24" s="8"/>
    </row>
    <row r="25" spans="1:25" x14ac:dyDescent="0.3">
      <c r="A25" s="66">
        <v>2017</v>
      </c>
      <c r="B25" s="67">
        <v>38843363</v>
      </c>
      <c r="C25" s="67">
        <v>36189913</v>
      </c>
      <c r="D25" s="67">
        <v>34883966</v>
      </c>
      <c r="E25" s="67">
        <v>29655300</v>
      </c>
      <c r="F25" s="67">
        <v>35835698</v>
      </c>
      <c r="G25" s="67">
        <v>36646892</v>
      </c>
      <c r="H25" s="67">
        <v>35339012</v>
      </c>
      <c r="I25" s="67">
        <v>39452828</v>
      </c>
      <c r="J25" s="67">
        <v>38177339</v>
      </c>
      <c r="K25" s="67">
        <v>36138863</v>
      </c>
      <c r="L25" s="67">
        <v>39351831</v>
      </c>
      <c r="M25" s="67">
        <v>39936914</v>
      </c>
    </row>
    <row r="26" spans="1:25" x14ac:dyDescent="0.3">
      <c r="A26" t="s">
        <v>74</v>
      </c>
    </row>
    <row r="27" spans="1:25" x14ac:dyDescent="0.3">
      <c r="A27" s="66" t="s">
        <v>57</v>
      </c>
      <c r="B27" s="66" t="s">
        <v>62</v>
      </c>
      <c r="C27" s="66" t="s">
        <v>63</v>
      </c>
      <c r="D27" s="66" t="s">
        <v>64</v>
      </c>
      <c r="E27" s="66" t="s">
        <v>65</v>
      </c>
      <c r="F27" s="66" t="s">
        <v>66</v>
      </c>
      <c r="G27" s="66" t="s">
        <v>67</v>
      </c>
      <c r="H27" s="66" t="s">
        <v>68</v>
      </c>
      <c r="I27" s="66" t="s">
        <v>69</v>
      </c>
      <c r="J27" s="66" t="s">
        <v>70</v>
      </c>
      <c r="K27" s="66" t="s">
        <v>71</v>
      </c>
      <c r="L27" s="66" t="s">
        <v>72</v>
      </c>
      <c r="M27" s="66" t="s">
        <v>73</v>
      </c>
      <c r="Q27" s="5"/>
      <c r="R27" s="5"/>
    </row>
    <row r="28" spans="1:25" x14ac:dyDescent="0.3">
      <c r="A28" s="66">
        <v>2014</v>
      </c>
      <c r="B28" s="67">
        <v>44958.963000000003</v>
      </c>
      <c r="C28" s="67">
        <v>41259.165000000001</v>
      </c>
      <c r="D28" s="67">
        <v>44274.27</v>
      </c>
      <c r="E28" s="67">
        <v>43643.72</v>
      </c>
      <c r="F28" s="67">
        <v>39010.42</v>
      </c>
      <c r="G28" s="67">
        <v>38094.910000000003</v>
      </c>
      <c r="H28" s="67">
        <v>46414.89</v>
      </c>
      <c r="I28" s="67">
        <v>42667.347000000002</v>
      </c>
      <c r="J28" s="67">
        <v>42171.052000000003</v>
      </c>
      <c r="K28" s="67">
        <v>44261.523999999998</v>
      </c>
      <c r="L28" s="67">
        <v>42570.408000000003</v>
      </c>
      <c r="M28" s="67">
        <v>46365.658000000003</v>
      </c>
    </row>
    <row r="29" spans="1:25" x14ac:dyDescent="0.3">
      <c r="A29" s="66">
        <v>2015</v>
      </c>
      <c r="B29" s="67">
        <v>33604.040999999997</v>
      </c>
      <c r="C29" s="67">
        <v>42778.803999999996</v>
      </c>
      <c r="D29" s="67">
        <v>35054.336000000003</v>
      </c>
      <c r="E29" s="67">
        <v>43611.222999999998</v>
      </c>
      <c r="F29" s="67">
        <v>38285.106</v>
      </c>
      <c r="G29" s="67">
        <v>36757.911</v>
      </c>
      <c r="H29" s="67">
        <v>43079.358999999997</v>
      </c>
      <c r="I29" s="67">
        <v>36170.243000000002</v>
      </c>
      <c r="J29" s="67">
        <v>41434.811999999998</v>
      </c>
      <c r="K29" s="67">
        <v>45834.527000000002</v>
      </c>
      <c r="L29" s="67">
        <v>42190.292999999998</v>
      </c>
      <c r="M29" s="67">
        <v>44524.029000000002</v>
      </c>
    </row>
    <row r="30" spans="1:25" x14ac:dyDescent="0.3">
      <c r="A30" s="66">
        <v>2016</v>
      </c>
      <c r="B30" s="67">
        <v>31548.055</v>
      </c>
      <c r="C30" s="67">
        <v>42773.093000000001</v>
      </c>
      <c r="D30" s="67">
        <v>43510.18</v>
      </c>
      <c r="E30" s="67">
        <v>43131.444000000003</v>
      </c>
      <c r="F30" s="67">
        <v>46780.080999999998</v>
      </c>
      <c r="G30" s="67">
        <v>36387.447999999997</v>
      </c>
      <c r="H30" s="67">
        <v>29920.16</v>
      </c>
      <c r="I30" s="67">
        <v>54227.595000000001</v>
      </c>
      <c r="J30" s="67">
        <v>50046.578999999998</v>
      </c>
      <c r="K30" s="67">
        <v>43476.557000000001</v>
      </c>
      <c r="L30" s="67">
        <v>40618.720999999998</v>
      </c>
      <c r="M30" s="67">
        <v>42374.156999999999</v>
      </c>
    </row>
    <row r="31" spans="1:25" x14ac:dyDescent="0.3">
      <c r="A31" s="66">
        <v>2017</v>
      </c>
      <c r="B31" s="67">
        <v>38051.230000000003</v>
      </c>
      <c r="C31" s="67">
        <v>35110.457000000002</v>
      </c>
      <c r="D31" s="67">
        <v>36267.913999999997</v>
      </c>
      <c r="E31" s="67">
        <v>29068.972000000002</v>
      </c>
      <c r="F31" s="67">
        <v>36523.21</v>
      </c>
      <c r="G31" s="67">
        <v>34523.321000000004</v>
      </c>
      <c r="H31" s="67">
        <v>34183.618000000002</v>
      </c>
      <c r="I31" s="67">
        <v>41709.260999999999</v>
      </c>
      <c r="J31" s="67">
        <v>39092.909</v>
      </c>
      <c r="K31" s="67">
        <v>36466.392</v>
      </c>
      <c r="L31" s="67">
        <v>34876.938000000002</v>
      </c>
      <c r="M31" s="67">
        <v>35923.184999999998</v>
      </c>
    </row>
    <row r="36" spans="1:13" x14ac:dyDescent="0.3">
      <c r="A36" s="10" t="s">
        <v>75</v>
      </c>
    </row>
    <row r="38" spans="1:13" x14ac:dyDescent="0.3">
      <c r="A38" t="s">
        <v>76</v>
      </c>
    </row>
    <row r="39" spans="1:13" x14ac:dyDescent="0.3">
      <c r="A39" s="66" t="s">
        <v>61</v>
      </c>
      <c r="B39" s="66" t="s">
        <v>62</v>
      </c>
      <c r="C39" s="66" t="s">
        <v>63</v>
      </c>
      <c r="D39" s="66" t="s">
        <v>64</v>
      </c>
      <c r="E39" s="66" t="s">
        <v>65</v>
      </c>
      <c r="F39" s="66" t="s">
        <v>66</v>
      </c>
      <c r="G39" s="66" t="s">
        <v>67</v>
      </c>
      <c r="H39" s="66" t="s">
        <v>68</v>
      </c>
      <c r="I39" s="66" t="s">
        <v>69</v>
      </c>
      <c r="J39" s="66" t="s">
        <v>70</v>
      </c>
      <c r="K39" s="66" t="s">
        <v>71</v>
      </c>
      <c r="L39" s="66" t="s">
        <v>72</v>
      </c>
      <c r="M39" s="66" t="s">
        <v>73</v>
      </c>
    </row>
    <row r="40" spans="1:13" x14ac:dyDescent="0.3">
      <c r="A40" s="66">
        <v>2014</v>
      </c>
      <c r="B40" s="67">
        <v>56367588</v>
      </c>
      <c r="C40" s="67">
        <v>53621904</v>
      </c>
      <c r="D40" s="67">
        <v>58690326</v>
      </c>
      <c r="E40" s="67">
        <v>59075595</v>
      </c>
      <c r="F40" s="67">
        <v>62968046</v>
      </c>
      <c r="G40" s="67">
        <v>60536932</v>
      </c>
      <c r="H40" s="67">
        <v>63617339</v>
      </c>
      <c r="I40" s="67">
        <v>62223359</v>
      </c>
      <c r="J40" s="67">
        <v>60963185</v>
      </c>
      <c r="K40" s="67">
        <v>59140189</v>
      </c>
      <c r="L40" s="67">
        <v>57627776</v>
      </c>
      <c r="M40" s="67">
        <v>59375459</v>
      </c>
    </row>
    <row r="41" spans="1:13" x14ac:dyDescent="0.3">
      <c r="A41" s="66">
        <v>2015</v>
      </c>
      <c r="B41" s="67">
        <v>54185861</v>
      </c>
      <c r="C41" s="67">
        <v>58936263</v>
      </c>
      <c r="D41" s="67">
        <v>41393764</v>
      </c>
      <c r="E41" s="67">
        <v>54946111</v>
      </c>
      <c r="F41" s="67">
        <v>44394712</v>
      </c>
      <c r="G41" s="67">
        <v>47166711</v>
      </c>
      <c r="H41" s="67">
        <v>46757250</v>
      </c>
      <c r="I41" s="67">
        <v>50324206</v>
      </c>
      <c r="J41" s="67">
        <v>40593712</v>
      </c>
      <c r="K41" s="67">
        <v>43269424</v>
      </c>
      <c r="L41" s="67">
        <v>45558337</v>
      </c>
      <c r="M41" s="67">
        <v>43120065</v>
      </c>
    </row>
    <row r="42" spans="1:13" x14ac:dyDescent="0.3">
      <c r="A42" s="66">
        <v>2016</v>
      </c>
      <c r="B42" s="67">
        <v>29546388</v>
      </c>
      <c r="C42" s="67">
        <v>42844834</v>
      </c>
      <c r="D42" s="67">
        <v>43974307</v>
      </c>
      <c r="E42" s="67">
        <v>42192593</v>
      </c>
      <c r="F42" s="67">
        <v>45557128</v>
      </c>
      <c r="G42" s="67">
        <v>36321594</v>
      </c>
      <c r="H42" s="67">
        <v>28962160</v>
      </c>
      <c r="I42" s="67">
        <v>54402012</v>
      </c>
      <c r="J42" s="67">
        <v>46874440</v>
      </c>
      <c r="K42" s="67">
        <v>44343274</v>
      </c>
      <c r="L42" s="67">
        <v>39939022</v>
      </c>
      <c r="M42" s="67">
        <v>42725510</v>
      </c>
    </row>
    <row r="43" spans="1:13" x14ac:dyDescent="0.3">
      <c r="A43" s="66">
        <v>2017</v>
      </c>
      <c r="B43" s="67">
        <v>41405696</v>
      </c>
      <c r="C43" s="67">
        <v>37045678</v>
      </c>
      <c r="D43" s="67">
        <v>37110064</v>
      </c>
      <c r="E43" s="67">
        <v>29250151</v>
      </c>
      <c r="F43" s="67">
        <v>40408268</v>
      </c>
      <c r="G43" s="67">
        <v>39413715</v>
      </c>
      <c r="H43" s="67">
        <v>38205733</v>
      </c>
      <c r="I43" s="67">
        <v>43865505</v>
      </c>
      <c r="J43" s="67">
        <v>39812982</v>
      </c>
      <c r="K43" s="67">
        <v>42871896</v>
      </c>
      <c r="L43" s="67">
        <v>41193153</v>
      </c>
      <c r="M43" s="67">
        <v>41862934</v>
      </c>
    </row>
    <row r="44" spans="1:13" x14ac:dyDescent="0.3">
      <c r="A44" t="s">
        <v>74</v>
      </c>
    </row>
    <row r="45" spans="1:13" x14ac:dyDescent="0.3">
      <c r="A45" s="66" t="s">
        <v>57</v>
      </c>
      <c r="B45" s="66" t="s">
        <v>62</v>
      </c>
      <c r="C45" s="66" t="s">
        <v>63</v>
      </c>
      <c r="D45" s="66" t="s">
        <v>64</v>
      </c>
      <c r="E45" s="66" t="s">
        <v>65</v>
      </c>
      <c r="F45" s="66" t="s">
        <v>66</v>
      </c>
      <c r="G45" s="66" t="s">
        <v>67</v>
      </c>
      <c r="H45" s="66" t="s">
        <v>68</v>
      </c>
      <c r="I45" s="66" t="s">
        <v>69</v>
      </c>
      <c r="J45" s="66" t="s">
        <v>70</v>
      </c>
      <c r="K45" s="66" t="s">
        <v>71</v>
      </c>
      <c r="L45" s="66" t="s">
        <v>72</v>
      </c>
      <c r="M45" s="66" t="s">
        <v>73</v>
      </c>
    </row>
    <row r="46" spans="1:13" x14ac:dyDescent="0.3">
      <c r="A46" s="66">
        <v>2014</v>
      </c>
      <c r="B46" s="67">
        <v>45411.552721258297</v>
      </c>
      <c r="C46" s="67">
        <v>41100.870180669699</v>
      </c>
      <c r="D46" s="67">
        <v>47865.346309432804</v>
      </c>
      <c r="E46" s="67">
        <v>40596.527723648702</v>
      </c>
      <c r="F46" s="67">
        <v>41384.063867271601</v>
      </c>
      <c r="G46" s="67">
        <v>41627.594164805603</v>
      </c>
      <c r="H46" s="67">
        <v>44821.046174200899</v>
      </c>
      <c r="I46" s="67">
        <v>43138.630526350302</v>
      </c>
      <c r="J46" s="67">
        <v>43330.632599694</v>
      </c>
      <c r="K46" s="67">
        <v>43730.563958576196</v>
      </c>
      <c r="L46" s="67">
        <v>41532.7872095313</v>
      </c>
      <c r="M46" s="67">
        <v>46521.290133855</v>
      </c>
    </row>
    <row r="47" spans="1:13" x14ac:dyDescent="0.3">
      <c r="A47" s="66">
        <v>2015</v>
      </c>
      <c r="B47" s="67">
        <v>34957.302737317797</v>
      </c>
      <c r="C47" s="67">
        <v>38869.409477857203</v>
      </c>
      <c r="D47" s="67">
        <v>36076.701843430397</v>
      </c>
      <c r="E47" s="67">
        <v>43482.031527938503</v>
      </c>
      <c r="F47" s="67">
        <v>38809.925607110701</v>
      </c>
      <c r="G47" s="67">
        <v>38277.916999018198</v>
      </c>
      <c r="H47" s="67">
        <v>42137.094323593097</v>
      </c>
      <c r="I47" s="67">
        <v>39671.131901878798</v>
      </c>
      <c r="J47" s="67">
        <v>40537.788517159897</v>
      </c>
      <c r="K47" s="67">
        <v>44900.512229813503</v>
      </c>
      <c r="L47" s="67">
        <v>44798.828785586498</v>
      </c>
      <c r="M47" s="67">
        <v>42399.715578540301</v>
      </c>
    </row>
    <row r="48" spans="1:13" x14ac:dyDescent="0.3">
      <c r="A48" s="66">
        <v>2016</v>
      </c>
      <c r="B48" s="67">
        <v>34957.302737317797</v>
      </c>
      <c r="C48" s="67">
        <v>38869.409477857203</v>
      </c>
      <c r="D48" s="67">
        <v>36076.701843430397</v>
      </c>
      <c r="E48" s="67">
        <v>43482.031527938503</v>
      </c>
      <c r="F48" s="67">
        <v>38809.925607110701</v>
      </c>
      <c r="G48" s="67">
        <v>38277.916999018198</v>
      </c>
      <c r="H48" s="67">
        <v>42137.094323593097</v>
      </c>
      <c r="I48" s="67">
        <v>39671.131901878798</v>
      </c>
      <c r="J48" s="67">
        <v>40537.788517159897</v>
      </c>
      <c r="K48" s="67">
        <v>44900.512229813503</v>
      </c>
      <c r="L48" s="67">
        <v>44798.828785586498</v>
      </c>
      <c r="M48" s="67">
        <v>42399.715578540301</v>
      </c>
    </row>
    <row r="49" spans="1:13" x14ac:dyDescent="0.3">
      <c r="A49" s="66">
        <v>2017</v>
      </c>
      <c r="B49" s="67">
        <v>36831.504000000001</v>
      </c>
      <c r="C49" s="67">
        <v>34928.870000000003</v>
      </c>
      <c r="D49" s="67">
        <v>36016.334000000003</v>
      </c>
      <c r="E49" s="67">
        <v>28519.537</v>
      </c>
      <c r="F49" s="67">
        <v>38844.124000000003</v>
      </c>
      <c r="G49" s="67">
        <v>36363.701999999997</v>
      </c>
      <c r="H49" s="67">
        <v>36841.985999999997</v>
      </c>
      <c r="I49" s="67">
        <v>41637.292000000001</v>
      </c>
      <c r="J49" s="67">
        <v>40384.688999999998</v>
      </c>
      <c r="K49" s="67">
        <v>38191.599999999999</v>
      </c>
      <c r="L49" s="67">
        <v>34459.495000000003</v>
      </c>
      <c r="M49" s="67">
        <v>34256.330999999998</v>
      </c>
    </row>
    <row r="52" spans="1:13" x14ac:dyDescent="0.3">
      <c r="A52" t="s">
        <v>6</v>
      </c>
    </row>
    <row r="53" spans="1:13" x14ac:dyDescent="0.3">
      <c r="A53" s="66" t="s">
        <v>61</v>
      </c>
      <c r="B53" s="66" t="s">
        <v>62</v>
      </c>
      <c r="C53" s="66" t="s">
        <v>63</v>
      </c>
      <c r="D53" s="66" t="s">
        <v>64</v>
      </c>
      <c r="E53" s="66" t="s">
        <v>65</v>
      </c>
      <c r="F53" s="66" t="s">
        <v>66</v>
      </c>
      <c r="G53" s="66" t="s">
        <v>67</v>
      </c>
      <c r="H53" s="66" t="s">
        <v>68</v>
      </c>
      <c r="I53" s="66" t="s">
        <v>69</v>
      </c>
      <c r="J53" s="66" t="s">
        <v>70</v>
      </c>
      <c r="K53" s="66" t="s">
        <v>71</v>
      </c>
      <c r="L53" s="66" t="s">
        <v>72</v>
      </c>
      <c r="M53" s="66" t="s">
        <v>73</v>
      </c>
    </row>
    <row r="54" spans="1:13" x14ac:dyDescent="0.3">
      <c r="A54" s="66">
        <v>2014</v>
      </c>
      <c r="B54" s="67">
        <v>90944436</v>
      </c>
      <c r="C54" s="67">
        <v>105284880</v>
      </c>
      <c r="D54" s="67">
        <v>100654754</v>
      </c>
      <c r="E54" s="67">
        <v>106423960</v>
      </c>
      <c r="F54" s="67">
        <v>113208451</v>
      </c>
      <c r="G54" s="67">
        <v>106626469</v>
      </c>
      <c r="H54" s="67">
        <v>114899791</v>
      </c>
      <c r="I54" s="67">
        <v>114900470</v>
      </c>
      <c r="J54" s="67">
        <v>115092928</v>
      </c>
      <c r="K54" s="67">
        <v>121342050</v>
      </c>
      <c r="L54" s="67">
        <v>113349867</v>
      </c>
      <c r="M54" s="67">
        <v>115871576</v>
      </c>
    </row>
    <row r="55" spans="1:13" x14ac:dyDescent="0.3">
      <c r="A55" s="66">
        <v>2015</v>
      </c>
      <c r="B55" s="67">
        <v>81996296</v>
      </c>
      <c r="C55" s="67">
        <v>102170184</v>
      </c>
      <c r="D55" s="67">
        <v>74827981</v>
      </c>
      <c r="E55" s="67">
        <v>95649738</v>
      </c>
      <c r="F55" s="67">
        <v>85489918</v>
      </c>
      <c r="G55" s="67">
        <v>85487091</v>
      </c>
      <c r="H55" s="67">
        <v>81430877</v>
      </c>
      <c r="I55" s="67">
        <v>70040580</v>
      </c>
      <c r="J55" s="67">
        <v>77234656</v>
      </c>
      <c r="K55" s="67">
        <v>76188397</v>
      </c>
      <c r="L55" s="67">
        <v>66385460.000000007</v>
      </c>
      <c r="M55" s="67">
        <v>73806416</v>
      </c>
    </row>
    <row r="56" spans="1:13" x14ac:dyDescent="0.3">
      <c r="A56" s="66">
        <v>2016</v>
      </c>
      <c r="B56" s="67">
        <v>52009125</v>
      </c>
      <c r="C56" s="67">
        <v>57564162</v>
      </c>
      <c r="D56" s="67">
        <v>55184868</v>
      </c>
      <c r="E56" s="67">
        <v>67085778.000000007</v>
      </c>
      <c r="F56" s="67">
        <v>58585111</v>
      </c>
      <c r="G56" s="67">
        <v>43939558</v>
      </c>
      <c r="H56" s="67">
        <v>29108898</v>
      </c>
      <c r="I56" s="67">
        <v>91033667</v>
      </c>
      <c r="J56" s="67">
        <v>77755891</v>
      </c>
      <c r="K56" s="67">
        <v>100570554</v>
      </c>
      <c r="L56" s="67">
        <v>68760202</v>
      </c>
      <c r="M56" s="67">
        <v>69391840</v>
      </c>
    </row>
    <row r="57" spans="1:13" x14ac:dyDescent="0.3">
      <c r="A57" s="66">
        <v>2017</v>
      </c>
      <c r="B57" s="67">
        <v>67070789.999999993</v>
      </c>
      <c r="C57" s="67">
        <v>68233507</v>
      </c>
      <c r="D57" s="67">
        <v>83702385</v>
      </c>
      <c r="E57" s="67">
        <v>67198625</v>
      </c>
      <c r="F57" s="67">
        <v>77299709</v>
      </c>
      <c r="G57" s="67">
        <v>100973815</v>
      </c>
      <c r="H57" s="67">
        <v>87451827</v>
      </c>
      <c r="I57" s="67">
        <v>94122081</v>
      </c>
      <c r="J57" s="67">
        <v>91757458</v>
      </c>
      <c r="K57" s="67">
        <v>90949182</v>
      </c>
      <c r="L57" s="67">
        <v>101051010</v>
      </c>
      <c r="M57" s="67">
        <v>93872772</v>
      </c>
    </row>
    <row r="58" spans="1:13" x14ac:dyDescent="0.3">
      <c r="A58" t="s">
        <v>74</v>
      </c>
    </row>
    <row r="59" spans="1:13" x14ac:dyDescent="0.3">
      <c r="A59" s="66" t="s">
        <v>57</v>
      </c>
      <c r="B59" s="66" t="s">
        <v>62</v>
      </c>
      <c r="C59" s="66" t="s">
        <v>63</v>
      </c>
      <c r="D59" s="66" t="s">
        <v>64</v>
      </c>
      <c r="E59" s="66" t="s">
        <v>65</v>
      </c>
      <c r="F59" s="66" t="s">
        <v>66</v>
      </c>
      <c r="G59" s="66" t="s">
        <v>67</v>
      </c>
      <c r="H59" s="66" t="s">
        <v>68</v>
      </c>
      <c r="I59" s="66" t="s">
        <v>69</v>
      </c>
      <c r="J59" s="66" t="s">
        <v>70</v>
      </c>
      <c r="K59" s="66" t="s">
        <v>71</v>
      </c>
      <c r="L59" s="66" t="s">
        <v>72</v>
      </c>
      <c r="M59" s="66" t="s">
        <v>73</v>
      </c>
    </row>
    <row r="60" spans="1:13" x14ac:dyDescent="0.3">
      <c r="A60" s="66">
        <v>2014</v>
      </c>
      <c r="B60" s="67">
        <v>42253.856133205903</v>
      </c>
      <c r="C60" s="67">
        <v>45187.371793443599</v>
      </c>
      <c r="D60" s="67">
        <v>37882.734274296003</v>
      </c>
      <c r="E60" s="67">
        <v>38755.937731315702</v>
      </c>
      <c r="F60" s="67">
        <v>39614.516888345002</v>
      </c>
      <c r="G60" s="67">
        <v>38255.300578577102</v>
      </c>
      <c r="H60" s="67">
        <v>44114.001190471899</v>
      </c>
      <c r="I60" s="67">
        <v>38344.050352727703</v>
      </c>
      <c r="J60" s="67">
        <v>40515.519546693002</v>
      </c>
      <c r="K60" s="67">
        <v>44015.710456706802</v>
      </c>
      <c r="L60" s="67">
        <v>39334.375893572796</v>
      </c>
      <c r="M60" s="67">
        <v>44131.401154141102</v>
      </c>
    </row>
    <row r="61" spans="1:13" x14ac:dyDescent="0.3">
      <c r="A61" s="66">
        <v>2015</v>
      </c>
      <c r="B61" s="67">
        <v>33727.312986762699</v>
      </c>
      <c r="C61" s="67">
        <v>39568.045708227</v>
      </c>
      <c r="D61" s="67">
        <v>24281.541383853601</v>
      </c>
      <c r="E61" s="67">
        <v>39938.263199806599</v>
      </c>
      <c r="F61" s="67">
        <v>36783.384498553998</v>
      </c>
      <c r="G61" s="67">
        <v>36405.411625982801</v>
      </c>
      <c r="H61" s="67">
        <v>37935.417843896197</v>
      </c>
      <c r="I61" s="67">
        <v>32323.7417016279</v>
      </c>
      <c r="J61" s="67">
        <v>32924.169425772699</v>
      </c>
      <c r="K61" s="67">
        <v>34313.075378875197</v>
      </c>
      <c r="L61" s="67">
        <v>30343.755977748398</v>
      </c>
      <c r="M61" s="67">
        <v>31799.320426284499</v>
      </c>
    </row>
    <row r="62" spans="1:13" x14ac:dyDescent="0.3">
      <c r="A62" s="66">
        <v>2016</v>
      </c>
      <c r="B62" s="67">
        <v>25142.292000000001</v>
      </c>
      <c r="C62" s="67">
        <v>25892.576000000001</v>
      </c>
      <c r="D62" s="67">
        <v>24889.661</v>
      </c>
      <c r="E62" s="67">
        <v>24936.345000000001</v>
      </c>
      <c r="F62" s="67">
        <v>26791.159</v>
      </c>
      <c r="G62" s="67">
        <v>18283.208999999999</v>
      </c>
      <c r="H62" s="67">
        <v>8918.6119999999992</v>
      </c>
      <c r="I62" s="67">
        <v>39789.686000000002</v>
      </c>
      <c r="J62" s="67">
        <v>32910.163999999997</v>
      </c>
      <c r="K62" s="67">
        <v>31667.351999999999</v>
      </c>
      <c r="L62" s="67">
        <v>32249.635999999999</v>
      </c>
      <c r="M62" s="67">
        <v>33919.330999999998</v>
      </c>
    </row>
    <row r="63" spans="1:13" x14ac:dyDescent="0.3">
      <c r="A63" s="66">
        <v>2017</v>
      </c>
      <c r="B63" s="67">
        <v>34489.375999999997</v>
      </c>
      <c r="C63" s="67">
        <v>33758.394</v>
      </c>
      <c r="D63" s="67">
        <v>39196.786</v>
      </c>
      <c r="E63" s="67">
        <v>32332.831999999999</v>
      </c>
      <c r="F63" s="67">
        <v>38051.394999999997</v>
      </c>
      <c r="G63" s="67">
        <v>45160.254999999997</v>
      </c>
      <c r="H63" s="67">
        <v>46510.49</v>
      </c>
      <c r="I63" s="67">
        <v>45105.349000000002</v>
      </c>
      <c r="J63" s="67">
        <v>40254.135000000002</v>
      </c>
      <c r="K63" s="67">
        <v>40446.366999999998</v>
      </c>
      <c r="L63" s="67">
        <v>39978.228999999999</v>
      </c>
      <c r="M63" s="67">
        <v>36100.523000000001</v>
      </c>
    </row>
    <row r="66" spans="1:1" x14ac:dyDescent="0.3">
      <c r="A66" s="10" t="s">
        <v>77</v>
      </c>
    </row>
    <row r="68" spans="1:1" x14ac:dyDescent="0.3">
      <c r="A68" t="s">
        <v>78</v>
      </c>
    </row>
  </sheetData>
  <mergeCells count="9">
    <mergeCell ref="O1:S3"/>
    <mergeCell ref="U1:Y3"/>
    <mergeCell ref="A2:M3"/>
    <mergeCell ref="O4:O5"/>
    <mergeCell ref="U4:U5"/>
    <mergeCell ref="P5:Q5"/>
    <mergeCell ref="R5:S5"/>
    <mergeCell ref="V5:W5"/>
    <mergeCell ref="X5:Y5"/>
  </mergeCells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6"/>
  <sheetViews>
    <sheetView showGridLines="0" zoomScale="70" zoomScaleNormal="70" workbookViewId="0">
      <selection activeCell="F17" sqref="F17"/>
    </sheetView>
  </sheetViews>
  <sheetFormatPr baseColWidth="10" defaultColWidth="8.88671875" defaultRowHeight="14.4" x14ac:dyDescent="0.3"/>
  <cols>
    <col min="13" max="13" width="0" hidden="1" customWidth="1"/>
  </cols>
  <sheetData>
    <row r="1" spans="1:15" s="14" customFormat="1" ht="35.4" customHeight="1" x14ac:dyDescent="0.3">
      <c r="A1" s="88" t="s">
        <v>15</v>
      </c>
      <c r="B1" s="88"/>
      <c r="C1" s="88"/>
      <c r="I1" s="88" t="s">
        <v>14</v>
      </c>
      <c r="J1" s="88"/>
      <c r="K1" s="88"/>
    </row>
    <row r="2" spans="1:15" x14ac:dyDescent="0.3">
      <c r="A2" s="13" t="s">
        <v>1</v>
      </c>
      <c r="B2" s="13" t="s">
        <v>13</v>
      </c>
      <c r="C2" s="13" t="s">
        <v>12</v>
      </c>
      <c r="I2" s="13" t="s">
        <v>1</v>
      </c>
      <c r="J2" s="13" t="s">
        <v>13</v>
      </c>
      <c r="K2" s="13" t="s">
        <v>12</v>
      </c>
    </row>
    <row r="3" spans="1:15" x14ac:dyDescent="0.3">
      <c r="A3" s="11">
        <v>2008</v>
      </c>
      <c r="B3" s="12">
        <v>2.1000000000000001E-2</v>
      </c>
      <c r="C3" s="11">
        <v>11</v>
      </c>
      <c r="I3" s="11">
        <v>2008</v>
      </c>
      <c r="J3" s="12">
        <v>0.04</v>
      </c>
      <c r="K3" s="11">
        <v>4</v>
      </c>
    </row>
    <row r="4" spans="1:15" x14ac:dyDescent="0.3">
      <c r="A4" s="11">
        <v>2009</v>
      </c>
      <c r="B4" s="12">
        <v>2.1999999999999999E-2</v>
      </c>
      <c r="C4" s="11">
        <v>9</v>
      </c>
      <c r="I4" s="11">
        <v>2009</v>
      </c>
      <c r="J4" s="12">
        <v>4.3999999999999997E-2</v>
      </c>
      <c r="K4" s="11">
        <v>3</v>
      </c>
      <c r="O4" s="10" t="s">
        <v>46</v>
      </c>
    </row>
    <row r="5" spans="1:15" x14ac:dyDescent="0.3">
      <c r="A5" s="11">
        <v>2010</v>
      </c>
      <c r="B5" s="12">
        <v>2.1999999999999999E-2</v>
      </c>
      <c r="C5" s="11">
        <v>10</v>
      </c>
      <c r="I5" s="11">
        <v>2010</v>
      </c>
      <c r="J5" s="12">
        <v>4.9000000000000002E-2</v>
      </c>
      <c r="K5" s="11">
        <v>3</v>
      </c>
    </row>
    <row r="6" spans="1:15" x14ac:dyDescent="0.3">
      <c r="A6" s="11">
        <v>2011</v>
      </c>
      <c r="B6" s="12">
        <v>1.9E-2</v>
      </c>
      <c r="C6" s="11">
        <v>10</v>
      </c>
      <c r="I6" s="11">
        <v>2011</v>
      </c>
      <c r="J6" s="12">
        <v>3.2000000000000001E-2</v>
      </c>
      <c r="K6" s="11">
        <v>6</v>
      </c>
      <c r="O6" s="10" t="s">
        <v>47</v>
      </c>
    </row>
    <row r="7" spans="1:15" x14ac:dyDescent="0.3">
      <c r="A7" s="11">
        <v>2012</v>
      </c>
      <c r="B7" s="12">
        <v>1.7999999999999999E-2</v>
      </c>
      <c r="C7" s="11">
        <v>13</v>
      </c>
      <c r="I7" s="11">
        <v>2012</v>
      </c>
      <c r="J7" s="12">
        <v>3.1E-2</v>
      </c>
      <c r="K7" s="11">
        <v>8</v>
      </c>
      <c r="O7" t="s">
        <v>18</v>
      </c>
    </row>
    <row r="8" spans="1:15" x14ac:dyDescent="0.3">
      <c r="A8" s="11">
        <v>2013</v>
      </c>
      <c r="B8" s="12">
        <v>1.4E-2</v>
      </c>
      <c r="C8" s="11">
        <v>15</v>
      </c>
      <c r="I8" s="11">
        <v>2013</v>
      </c>
      <c r="J8" s="12">
        <v>3.2000000000000001E-2</v>
      </c>
      <c r="K8" s="11">
        <v>8</v>
      </c>
    </row>
    <row r="9" spans="1:15" x14ac:dyDescent="0.3">
      <c r="A9" s="11">
        <v>2014</v>
      </c>
      <c r="B9" s="12">
        <v>1.4E-2</v>
      </c>
      <c r="C9" s="11">
        <v>17</v>
      </c>
      <c r="I9" s="11">
        <v>2014</v>
      </c>
      <c r="J9" s="12">
        <v>3.4000000000000002E-2</v>
      </c>
      <c r="K9" s="11">
        <v>8</v>
      </c>
      <c r="O9" s="10" t="s">
        <v>19</v>
      </c>
    </row>
    <row r="10" spans="1:15" x14ac:dyDescent="0.3">
      <c r="A10" s="11">
        <v>2015</v>
      </c>
      <c r="B10" s="12">
        <v>1.7000000000000001E-2</v>
      </c>
      <c r="C10" s="11">
        <v>13</v>
      </c>
      <c r="I10" s="11">
        <v>2015</v>
      </c>
      <c r="J10" s="12">
        <v>4.2000000000000003E-2</v>
      </c>
      <c r="K10" s="11">
        <v>5</v>
      </c>
    </row>
    <row r="11" spans="1:15" x14ac:dyDescent="0.3">
      <c r="A11" s="11">
        <v>2016</v>
      </c>
      <c r="B11" s="12">
        <v>2.1000000000000001E-2</v>
      </c>
      <c r="C11" s="11">
        <v>11</v>
      </c>
      <c r="I11" s="11">
        <v>2016</v>
      </c>
      <c r="J11" s="12">
        <v>4.1000000000000002E-2</v>
      </c>
      <c r="K11" s="11">
        <v>3</v>
      </c>
      <c r="O11" s="10" t="s">
        <v>22</v>
      </c>
    </row>
    <row r="12" spans="1:15" x14ac:dyDescent="0.3">
      <c r="A12" s="11">
        <v>2017</v>
      </c>
      <c r="B12" s="12">
        <v>1.6E-2</v>
      </c>
      <c r="C12" s="11">
        <v>8</v>
      </c>
      <c r="I12" s="11">
        <v>2017</v>
      </c>
      <c r="J12" s="12">
        <v>3.9E-2</v>
      </c>
      <c r="K12" s="11">
        <v>6</v>
      </c>
    </row>
    <row r="15" spans="1:15" ht="28.2" customHeight="1" x14ac:dyDescent="0.3">
      <c r="A15" s="88" t="s">
        <v>16</v>
      </c>
      <c r="B15" s="88"/>
      <c r="C15" s="88"/>
      <c r="D15" s="14"/>
      <c r="E15" s="14"/>
      <c r="F15" s="14"/>
      <c r="G15" s="14"/>
      <c r="H15" s="14"/>
      <c r="I15" s="88" t="s">
        <v>17</v>
      </c>
      <c r="J15" s="88"/>
      <c r="K15" s="88"/>
      <c r="L15" s="14"/>
      <c r="O15" s="10" t="s">
        <v>48</v>
      </c>
    </row>
    <row r="16" spans="1:15" x14ac:dyDescent="0.3">
      <c r="A16" s="13" t="s">
        <v>1</v>
      </c>
      <c r="B16" s="13" t="s">
        <v>13</v>
      </c>
      <c r="C16" s="13" t="s">
        <v>12</v>
      </c>
      <c r="I16" s="13" t="s">
        <v>1</v>
      </c>
      <c r="J16" s="13" t="s">
        <v>13</v>
      </c>
      <c r="K16" s="13" t="s">
        <v>12</v>
      </c>
    </row>
    <row r="17" spans="1:15" x14ac:dyDescent="0.3">
      <c r="A17" s="11">
        <v>2008</v>
      </c>
      <c r="B17" s="12">
        <v>9.7000000000000003E-2</v>
      </c>
      <c r="C17" s="11">
        <v>3</v>
      </c>
      <c r="I17" s="11">
        <v>2008</v>
      </c>
      <c r="J17" s="12">
        <v>3.6999999999999998E-2</v>
      </c>
      <c r="K17" s="11">
        <v>6</v>
      </c>
    </row>
    <row r="18" spans="1:15" x14ac:dyDescent="0.3">
      <c r="A18" s="11">
        <v>2009</v>
      </c>
      <c r="B18" s="12">
        <v>0.1</v>
      </c>
      <c r="C18" s="11">
        <v>2</v>
      </c>
      <c r="I18" s="11">
        <v>2009</v>
      </c>
      <c r="J18" s="12">
        <v>4.4999999999999998E-2</v>
      </c>
      <c r="K18" s="11">
        <v>6</v>
      </c>
      <c r="O18" t="s">
        <v>20</v>
      </c>
    </row>
    <row r="19" spans="1:15" x14ac:dyDescent="0.3">
      <c r="A19" s="11">
        <v>2010</v>
      </c>
      <c r="B19" s="12">
        <v>0.1</v>
      </c>
      <c r="C19" s="11">
        <v>2</v>
      </c>
      <c r="I19" s="11">
        <v>2010</v>
      </c>
      <c r="J19" s="12">
        <v>4.4999999999999998E-2</v>
      </c>
      <c r="K19" s="11">
        <v>5</v>
      </c>
      <c r="O19" t="s">
        <v>21</v>
      </c>
    </row>
    <row r="20" spans="1:15" x14ac:dyDescent="0.3">
      <c r="A20" s="11">
        <v>2011</v>
      </c>
      <c r="B20" s="12">
        <v>8.5999999999999993E-2</v>
      </c>
      <c r="C20" s="11">
        <v>3</v>
      </c>
      <c r="I20" s="11">
        <v>2011</v>
      </c>
      <c r="J20" s="12">
        <v>4.4999999999999998E-2</v>
      </c>
      <c r="K20" s="11">
        <v>5</v>
      </c>
    </row>
    <row r="21" spans="1:15" x14ac:dyDescent="0.3">
      <c r="A21" s="11">
        <v>2012</v>
      </c>
      <c r="B21" s="12">
        <v>8.5999999999999993E-2</v>
      </c>
      <c r="C21" s="11">
        <v>3</v>
      </c>
      <c r="I21" s="11">
        <v>2012</v>
      </c>
      <c r="J21" s="12">
        <v>4.3999999999999997E-2</v>
      </c>
      <c r="K21" s="11">
        <v>4</v>
      </c>
    </row>
    <row r="22" spans="1:15" x14ac:dyDescent="0.3">
      <c r="A22" s="11">
        <v>2013</v>
      </c>
      <c r="B22" s="12">
        <v>7.8E-2</v>
      </c>
      <c r="C22" s="11">
        <v>3</v>
      </c>
      <c r="I22" s="11">
        <v>2013</v>
      </c>
      <c r="J22" s="12">
        <v>3.5999999999999997E-2</v>
      </c>
      <c r="K22" s="11">
        <v>4</v>
      </c>
      <c r="M22">
        <f>MEDIAN(K17:K26)</f>
        <v>5</v>
      </c>
    </row>
    <row r="23" spans="1:15" x14ac:dyDescent="0.3">
      <c r="A23" s="11">
        <v>2014</v>
      </c>
      <c r="B23" s="12">
        <v>7.4999999999999997E-2</v>
      </c>
      <c r="C23" s="11">
        <v>3</v>
      </c>
      <c r="I23" s="11">
        <v>2014</v>
      </c>
      <c r="J23" s="12">
        <v>3.5999999999999997E-2</v>
      </c>
      <c r="K23" s="11">
        <v>5</v>
      </c>
    </row>
    <row r="24" spans="1:15" x14ac:dyDescent="0.3">
      <c r="A24" s="11">
        <v>2015</v>
      </c>
      <c r="B24" s="12">
        <v>8.5000000000000006E-2</v>
      </c>
      <c r="C24" s="11">
        <v>3</v>
      </c>
      <c r="I24" s="11">
        <v>2015</v>
      </c>
      <c r="J24" s="12">
        <v>4.2999999999999997E-2</v>
      </c>
      <c r="K24" s="11">
        <v>5</v>
      </c>
    </row>
    <row r="25" spans="1:15" x14ac:dyDescent="0.3">
      <c r="A25" s="11">
        <v>2016</v>
      </c>
      <c r="B25" s="12">
        <v>8.8999999999999996E-2</v>
      </c>
      <c r="C25" s="11">
        <v>3</v>
      </c>
      <c r="I25" s="11">
        <v>2016</v>
      </c>
      <c r="J25" s="12">
        <v>4.9000000000000002E-2</v>
      </c>
      <c r="K25" s="11">
        <v>6</v>
      </c>
    </row>
    <row r="26" spans="1:15" x14ac:dyDescent="0.3">
      <c r="A26" s="11">
        <v>2017</v>
      </c>
      <c r="B26" s="12">
        <v>8.1000000000000003E-2</v>
      </c>
      <c r="C26" s="11">
        <v>3</v>
      </c>
      <c r="I26" s="11">
        <v>2017</v>
      </c>
      <c r="J26" s="12">
        <v>0.04</v>
      </c>
      <c r="K26" s="11">
        <v>6</v>
      </c>
    </row>
  </sheetData>
  <mergeCells count="4">
    <mergeCell ref="A1:C1"/>
    <mergeCell ref="I1:K1"/>
    <mergeCell ref="A15:C15"/>
    <mergeCell ref="I15:K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BK25"/>
  <sheetViews>
    <sheetView showGridLines="0" workbookViewId="0"/>
  </sheetViews>
  <sheetFormatPr baseColWidth="10" defaultColWidth="8.88671875" defaultRowHeight="14.4" x14ac:dyDescent="0.3"/>
  <cols>
    <col min="6" max="7" width="25.77734375" customWidth="1"/>
    <col min="8" max="8" width="9.5546875" bestFit="1" customWidth="1"/>
    <col min="10" max="10" width="0" hidden="1" customWidth="1"/>
  </cols>
  <sheetData>
    <row r="2" spans="2:10" x14ac:dyDescent="0.3">
      <c r="B2" s="84" t="s">
        <v>88</v>
      </c>
      <c r="C2" s="84"/>
      <c r="D2" s="84"/>
      <c r="E2" s="84"/>
      <c r="F2" s="84"/>
      <c r="G2" s="84"/>
      <c r="H2" s="84"/>
    </row>
    <row r="5" spans="2:10" x14ac:dyDescent="0.3">
      <c r="E5" s="89"/>
      <c r="F5" s="89"/>
      <c r="G5" s="89"/>
      <c r="H5" s="89"/>
    </row>
    <row r="6" spans="2:10" x14ac:dyDescent="0.3">
      <c r="E6" s="89"/>
      <c r="F6" s="89"/>
      <c r="G6" s="89"/>
      <c r="H6" s="89"/>
    </row>
    <row r="7" spans="2:10" ht="15.6" x14ac:dyDescent="0.3">
      <c r="E7" s="58" t="s">
        <v>39</v>
      </c>
      <c r="F7" s="58" t="s">
        <v>42</v>
      </c>
      <c r="G7" s="58" t="s">
        <v>43</v>
      </c>
      <c r="H7" s="58" t="s">
        <v>44</v>
      </c>
    </row>
    <row r="8" spans="2:10" ht="15.6" x14ac:dyDescent="0.3">
      <c r="E8" s="78">
        <v>1</v>
      </c>
      <c r="F8" s="59">
        <v>2243</v>
      </c>
      <c r="G8" s="59">
        <v>2953</v>
      </c>
      <c r="H8" s="60">
        <f>F8+G8</f>
        <v>5196</v>
      </c>
    </row>
    <row r="9" spans="2:10" ht="15.6" x14ac:dyDescent="0.3">
      <c r="E9" s="78">
        <v>2</v>
      </c>
      <c r="F9" s="59">
        <v>2136</v>
      </c>
      <c r="G9" s="59">
        <v>3480</v>
      </c>
      <c r="H9" s="60">
        <f t="shared" ref="H9:H19" si="0">F9+G9</f>
        <v>5616</v>
      </c>
    </row>
    <row r="10" spans="2:10" ht="15.6" x14ac:dyDescent="0.3">
      <c r="E10" s="78">
        <v>3</v>
      </c>
      <c r="F10" s="59">
        <v>2553</v>
      </c>
      <c r="G10" s="59">
        <v>2822</v>
      </c>
      <c r="H10" s="60">
        <f t="shared" si="0"/>
        <v>5375</v>
      </c>
    </row>
    <row r="11" spans="2:10" ht="15.6" x14ac:dyDescent="0.3">
      <c r="E11" s="78">
        <v>4</v>
      </c>
      <c r="F11" s="59">
        <v>2299</v>
      </c>
      <c r="G11" s="59">
        <v>2940</v>
      </c>
      <c r="H11" s="60">
        <f t="shared" si="0"/>
        <v>5239</v>
      </c>
      <c r="J11">
        <f>160*30</f>
        <v>4800</v>
      </c>
    </row>
    <row r="12" spans="2:10" ht="15.6" x14ac:dyDescent="0.3">
      <c r="E12" s="78">
        <v>5</v>
      </c>
      <c r="F12" s="59">
        <v>2284</v>
      </c>
      <c r="G12" s="59">
        <v>2942</v>
      </c>
      <c r="H12" s="60">
        <f t="shared" si="0"/>
        <v>5226</v>
      </c>
    </row>
    <row r="13" spans="2:10" ht="15.6" x14ac:dyDescent="0.3">
      <c r="E13" s="78">
        <v>6</v>
      </c>
      <c r="F13" s="59">
        <v>2089</v>
      </c>
      <c r="G13" s="59">
        <v>2960</v>
      </c>
      <c r="H13" s="60">
        <f t="shared" si="0"/>
        <v>5049</v>
      </c>
      <c r="J13">
        <f>365/12</f>
        <v>30.416666666666668</v>
      </c>
    </row>
    <row r="14" spans="2:10" ht="15.6" x14ac:dyDescent="0.3">
      <c r="E14" s="78">
        <v>7</v>
      </c>
      <c r="F14" s="59">
        <v>2275</v>
      </c>
      <c r="G14" s="59">
        <v>2756</v>
      </c>
      <c r="H14" s="60">
        <f t="shared" si="0"/>
        <v>5031</v>
      </c>
    </row>
    <row r="15" spans="2:10" ht="15.6" x14ac:dyDescent="0.3">
      <c r="E15" s="78">
        <v>8</v>
      </c>
      <c r="F15" s="59">
        <v>2249</v>
      </c>
      <c r="G15" s="59">
        <v>2821</v>
      </c>
      <c r="H15" s="60">
        <f t="shared" si="0"/>
        <v>5070</v>
      </c>
    </row>
    <row r="16" spans="2:10" ht="15.6" x14ac:dyDescent="0.3">
      <c r="E16" s="78">
        <v>9</v>
      </c>
      <c r="F16" s="59">
        <v>2335</v>
      </c>
      <c r="G16" s="59">
        <v>3033</v>
      </c>
      <c r="H16" s="60">
        <f t="shared" si="0"/>
        <v>5368</v>
      </c>
    </row>
    <row r="17" spans="4:63" ht="15.6" x14ac:dyDescent="0.3">
      <c r="E17" s="78">
        <v>10</v>
      </c>
      <c r="F17" s="59">
        <v>2263</v>
      </c>
      <c r="G17" s="59">
        <v>3300</v>
      </c>
      <c r="H17" s="60">
        <f t="shared" si="0"/>
        <v>5563</v>
      </c>
    </row>
    <row r="18" spans="4:63" ht="15.6" x14ac:dyDescent="0.3">
      <c r="E18" s="78">
        <v>11</v>
      </c>
      <c r="F18" s="59">
        <v>2106</v>
      </c>
      <c r="G18" s="59">
        <v>2940</v>
      </c>
      <c r="H18" s="60">
        <f t="shared" si="0"/>
        <v>5046</v>
      </c>
    </row>
    <row r="19" spans="4:63" ht="15.6" x14ac:dyDescent="0.3">
      <c r="E19" s="79">
        <v>12</v>
      </c>
      <c r="F19" s="61">
        <v>2285</v>
      </c>
      <c r="G19" s="61">
        <v>3167</v>
      </c>
      <c r="H19" s="62">
        <f t="shared" si="0"/>
        <v>5452</v>
      </c>
    </row>
    <row r="20" spans="4:63" ht="15.6" x14ac:dyDescent="0.3">
      <c r="E20" s="63" t="s">
        <v>44</v>
      </c>
      <c r="F20" s="64">
        <f>SUM(F8:F19)</f>
        <v>27117</v>
      </c>
      <c r="G20" s="64">
        <f>SUM(G8:G19)</f>
        <v>36114</v>
      </c>
      <c r="H20" s="64">
        <f>SUM(H8:H19)</f>
        <v>63231</v>
      </c>
    </row>
    <row r="23" spans="4:63" x14ac:dyDescent="0.3">
      <c r="D23" t="s">
        <v>45</v>
      </c>
    </row>
    <row r="25" spans="4:63" x14ac:dyDescent="0.3">
      <c r="BA25">
        <v>2.94</v>
      </c>
      <c r="BB25">
        <v>2.1059999999999999</v>
      </c>
      <c r="BC25">
        <v>5.0460000000000003</v>
      </c>
      <c r="BD25" t="s">
        <v>41</v>
      </c>
      <c r="BE25">
        <v>3.1669999999999998</v>
      </c>
      <c r="BF25">
        <v>2.2850000000000001</v>
      </c>
      <c r="BG25">
        <v>5.452</v>
      </c>
      <c r="BH25" t="s">
        <v>40</v>
      </c>
      <c r="BI25">
        <v>36.113999999999997</v>
      </c>
      <c r="BJ25">
        <v>27.117000000000001</v>
      </c>
      <c r="BK25">
        <v>63.231000000000002</v>
      </c>
    </row>
  </sheetData>
  <mergeCells count="2">
    <mergeCell ref="E5:H6"/>
    <mergeCell ref="B2:H2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ANEXO</vt:lpstr>
      <vt:lpstr>Comercio Bilateral</vt:lpstr>
      <vt:lpstr>DISTRIBUCIÓN MENSUAL ECU-COL</vt:lpstr>
      <vt:lpstr>Socio comercial</vt:lpstr>
      <vt:lpstr>Distribución mensual MT Cargado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 Coronel Egas</dc:creator>
  <cp:lastModifiedBy>MACE</cp:lastModifiedBy>
  <dcterms:created xsi:type="dcterms:W3CDTF">2018-03-26T15:30:50Z</dcterms:created>
  <dcterms:modified xsi:type="dcterms:W3CDTF">2019-02-06T15:37:50Z</dcterms:modified>
</cp:coreProperties>
</file>