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NATO\Desktop\"/>
    </mc:Choice>
  </mc:AlternateContent>
  <bookViews>
    <workbookView xWindow="0" yWindow="0" windowWidth="24000" windowHeight="9735"/>
  </bookViews>
  <sheets>
    <sheet name="SUPUESTOS" sheetId="6" r:id="rId1"/>
    <sheet name="BG" sheetId="1" r:id="rId2"/>
    <sheet name="ER" sheetId="2" r:id="rId3"/>
    <sheet name="BG ESPERADO" sheetId="7" r:id="rId4"/>
    <sheet name="ER ESPERADO" sheetId="8" r:id="rId5"/>
    <sheet name="FLUJO DE CAJA ESPERADO" sheetId="5" r:id="rId6"/>
    <sheet name="RATIOS ESPERADO" sheetId="13" r:id="rId7"/>
    <sheet name="PE ESPERADO" sheetId="19" r:id="rId8"/>
    <sheet name="CÁLCULOS" sheetId="22" r:id="rId9"/>
    <sheet name="BG OPTIMISTA" sheetId="9" r:id="rId10"/>
    <sheet name="ER OPTIMISTA" sheetId="10" r:id="rId11"/>
    <sheet name="FLUJO DE CAJA OPTIMISTA" sheetId="16" r:id="rId12"/>
    <sheet name="RATIOS OPTIMISTA" sheetId="14" r:id="rId13"/>
    <sheet name="PE OPTIMISTA" sheetId="20" r:id="rId14"/>
    <sheet name="CÁLCULOS OPTIMISTA" sheetId="23" r:id="rId15"/>
    <sheet name="BG PESIMISTA" sheetId="11" r:id="rId16"/>
    <sheet name="ER PESIMISTA" sheetId="12" r:id="rId17"/>
    <sheet name="FLUJO DE CAJA PESIMISTA" sheetId="17" r:id="rId18"/>
    <sheet name="RATIOS PESIMISTA" sheetId="15" r:id="rId19"/>
    <sheet name="PE PESIMISTA" sheetId="21" r:id="rId20"/>
    <sheet name="CÁLCULOS PESIMISTA" sheetId="24" r:id="rId21"/>
  </sheets>
  <externalReferences>
    <externalReference r:id="rId22"/>
    <externalReference r:id="rId23"/>
    <externalReference r:id="rId24"/>
    <externalReference r:id="rId25"/>
  </externalReferences>
  <definedNames>
    <definedName name="_1996" localSheetId="11">#REF!</definedName>
    <definedName name="_1996" localSheetId="17">#REF!</definedName>
    <definedName name="_1996" localSheetId="7">#REF!</definedName>
    <definedName name="_1996" localSheetId="13">#REF!</definedName>
    <definedName name="_1996" localSheetId="19">#REF!</definedName>
    <definedName name="_1996" localSheetId="12">#REF!</definedName>
    <definedName name="_1996" localSheetId="18">#REF!</definedName>
    <definedName name="_1996">#REF!</definedName>
    <definedName name="_1997" localSheetId="11">#REF!</definedName>
    <definedName name="_1997" localSheetId="17">#REF!</definedName>
    <definedName name="_1997" localSheetId="7">#REF!</definedName>
    <definedName name="_1997" localSheetId="13">#REF!</definedName>
    <definedName name="_1997" localSheetId="19">#REF!</definedName>
    <definedName name="_1997" localSheetId="12">#REF!</definedName>
    <definedName name="_1997" localSheetId="18">#REF!</definedName>
    <definedName name="_1997">#REF!</definedName>
    <definedName name="_5PEGASOS" localSheetId="11">#REF!</definedName>
    <definedName name="_5PEGASOS" localSheetId="17">#REF!</definedName>
    <definedName name="_5PEGASOS" localSheetId="7">#REF!</definedName>
    <definedName name="_5PEGASOS" localSheetId="13">#REF!</definedName>
    <definedName name="_5PEGASOS" localSheetId="19">#REF!</definedName>
    <definedName name="_5PEGASOS" localSheetId="12">#REF!</definedName>
    <definedName name="_5PEGASOS" localSheetId="18">#REF!</definedName>
    <definedName name="_5PEGASOS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Key1" localSheetId="11" hidden="1">#REF!</definedName>
    <definedName name="_Key1" localSheetId="17" hidden="1">#REF!</definedName>
    <definedName name="_Key1" localSheetId="7" hidden="1">#REF!</definedName>
    <definedName name="_Key1" localSheetId="13" hidden="1">#REF!</definedName>
    <definedName name="_Key1" localSheetId="19" hidden="1">#REF!</definedName>
    <definedName name="_Key1" localSheetId="12" hidden="1">#REF!</definedName>
    <definedName name="_Key1" localSheetId="18" hidden="1">#REF!</definedName>
    <definedName name="_Key1" hidden="1">#REF!</definedName>
    <definedName name="_Order1" hidden="1">255</definedName>
    <definedName name="_Sort" localSheetId="11" hidden="1">#REF!</definedName>
    <definedName name="_Sort" localSheetId="17" hidden="1">#REF!</definedName>
    <definedName name="_Sort" localSheetId="7" hidden="1">#REF!</definedName>
    <definedName name="_Sort" localSheetId="13" hidden="1">#REF!</definedName>
    <definedName name="_Sort" localSheetId="19" hidden="1">#REF!</definedName>
    <definedName name="_Sort" localSheetId="12" hidden="1">#REF!</definedName>
    <definedName name="_Sort" localSheetId="18" hidden="1">#REF!</definedName>
    <definedName name="_Sort" hidden="1">#REF!</definedName>
    <definedName name="Años_préstamo" localSheetId="5">[1]amort_prést!$D$7</definedName>
    <definedName name="Años_préstamo" localSheetId="11">[1]amort_prést!$D$7</definedName>
    <definedName name="Años_préstamo" localSheetId="17">[1]amort_prést!$D$7</definedName>
    <definedName name="Años_préstamo" localSheetId="7">[1]amort_prést!$D$7</definedName>
    <definedName name="Años_préstamo" localSheetId="13">[1]amort_prést!$D$7</definedName>
    <definedName name="Años_préstamo" localSheetId="19">[1]amort_prést!$D$7</definedName>
    <definedName name="Años_préstamo">[1]amort_prést!$D$7</definedName>
    <definedName name="CAPACITACION" localSheetId="11">#REF!</definedName>
    <definedName name="CAPACITACION" localSheetId="17">#REF!</definedName>
    <definedName name="CAPACITACION" localSheetId="7">#REF!</definedName>
    <definedName name="CAPACITACION" localSheetId="13">#REF!</definedName>
    <definedName name="CAPACITACION" localSheetId="19">#REF!</definedName>
    <definedName name="CAPACITACION" localSheetId="12">#REF!</definedName>
    <definedName name="CAPACITACION" localSheetId="18">#REF!</definedName>
    <definedName name="CAPACITACION">#REF!</definedName>
    <definedName name="Capital" localSheetId="5">[1]amort_prést!$G$18:$G$497</definedName>
    <definedName name="Capital" localSheetId="11">[1]amort_prést!$G$18:$G$497</definedName>
    <definedName name="Capital" localSheetId="17">[1]amort_prést!$G$18:$G$497</definedName>
    <definedName name="Capital" localSheetId="7">[1]amort_prést!$G$18:$G$497</definedName>
    <definedName name="Capital" localSheetId="13">[1]amort_prést!$G$18:$G$497</definedName>
    <definedName name="Capital" localSheetId="19">[1]amort_prést!$G$18:$G$497</definedName>
    <definedName name="Capital">[1]amort_prést!$G$18:$G$497</definedName>
    <definedName name="CART_INV" localSheetId="11">#REF!</definedName>
    <definedName name="CART_INV" localSheetId="17">#REF!</definedName>
    <definedName name="CART_INV" localSheetId="7">#REF!</definedName>
    <definedName name="CART_INV" localSheetId="13">#REF!</definedName>
    <definedName name="CART_INV" localSheetId="19">#REF!</definedName>
    <definedName name="CART_INV" localSheetId="12">#REF!</definedName>
    <definedName name="CART_INV" localSheetId="18">#REF!</definedName>
    <definedName name="CART_INV">#REF!</definedName>
    <definedName name="CARTERA" localSheetId="11">#REF!</definedName>
    <definedName name="CARTERA" localSheetId="17">#REF!</definedName>
    <definedName name="CARTERA" localSheetId="7">#REF!</definedName>
    <definedName name="CARTERA" localSheetId="13">#REF!</definedName>
    <definedName name="CARTERA" localSheetId="19">#REF!</definedName>
    <definedName name="CARTERA" localSheetId="12">#REF!</definedName>
    <definedName name="CARTERA" localSheetId="18">#REF!</definedName>
    <definedName name="CARTERA">#REF!</definedName>
    <definedName name="Día_de_pago" localSheetId="5">DATE(YEAR('FLUJO DE CAJA ESPERADO'!Inicio_prestamo),MONTH('FLUJO DE CAJA ESPERADO'!Inicio_prestamo)+Payment_Number,DAY('FLUJO DE CAJA ESPERADO'!Inicio_prestamo))</definedName>
    <definedName name="Día_de_pago" localSheetId="11">DATE(YEAR('FLUJO DE CAJA OPTIMISTA'!Inicio_prestamo),MONTH('FLUJO DE CAJA OPTIMISTA'!Inicio_prestamo)+Payment_Number,DAY('FLUJO DE CAJA OPTIMISTA'!Inicio_prestamo))</definedName>
    <definedName name="Día_de_pago" localSheetId="17">DATE(YEAR('FLUJO DE CAJA PESIMISTA'!Inicio_prestamo),MONTH('FLUJO DE CAJA PESIMISTA'!Inicio_prestamo)+Payment_Number,DAY('FLUJO DE CAJA PESIMISTA'!Inicio_prestamo))</definedName>
    <definedName name="Día_de_pago" localSheetId="7">DATE(YEAR('PE ESPERADO'!Inicio_prestamo),MONTH('PE ESPERADO'!Inicio_prestamo)+Payment_Number,DAY('PE ESPERADO'!Inicio_prestamo))</definedName>
    <definedName name="Día_de_pago" localSheetId="13">DATE(YEAR('PE OPTIMISTA'!Inicio_prestamo),MONTH('PE OPTIMISTA'!Inicio_prestamo)+Payment_Number,DAY('PE OPTIMISTA'!Inicio_prestamo))</definedName>
    <definedName name="Día_de_pago" localSheetId="19">DATE(YEAR('PE PESIMISTA'!Inicio_prestamo),MONTH('PE PESIMISTA'!Inicio_prestamo)+Payment_Number,DAY('PE PESIMISTA'!Inicio_prestamo))</definedName>
    <definedName name="Día_de_pago" localSheetId="12">DATE(YEAR([0]!Inicio_prestamo),MONTH([0]!Inicio_prestamo)+Payment_Number,DAY([0]!Inicio_prestamo))</definedName>
    <definedName name="Día_de_pago" localSheetId="18">DATE(YEAR([0]!Inicio_prestamo),MONTH([0]!Inicio_prestamo)+Payment_Number,DAY([0]!Inicio_prestamo))</definedName>
    <definedName name="Día_de_pago">DATE(YEAR(Inicio_prestamo),MONTH(Inicio_prestamo)+Payment_Number,DAY(Inicio_prestamo))</definedName>
    <definedName name="Distributors" localSheetId="7">'[2]Demand Plng Rpt'!$U$2:$U$256</definedName>
    <definedName name="Distributors" localSheetId="13">'[2]Demand Plng Rpt'!$U$2:$U$256</definedName>
    <definedName name="Distributors" localSheetId="19">'[2]Demand Plng Rpt'!$U$2:$U$256</definedName>
    <definedName name="Distributors">'[2]Demand Plng Rpt'!$U$2:$U$256</definedName>
    <definedName name="EYC" localSheetId="11">#REF!</definedName>
    <definedName name="EYC" localSheetId="17">#REF!</definedName>
    <definedName name="EYC" localSheetId="7">#REF!</definedName>
    <definedName name="EYC" localSheetId="13">#REF!</definedName>
    <definedName name="EYC" localSheetId="19">#REF!</definedName>
    <definedName name="EYC" localSheetId="12">#REF!</definedName>
    <definedName name="EYC" localSheetId="18">#REF!</definedName>
    <definedName name="EYC">#REF!</definedName>
    <definedName name="Fila_de_encabezado" localSheetId="5">ROW([1]amort_prést!$17:$17)</definedName>
    <definedName name="Fila_de_encabezado" localSheetId="11">ROW([1]amort_prést!$17:$17)</definedName>
    <definedName name="Fila_de_encabezado" localSheetId="17">ROW([1]amort_prést!$17:$17)</definedName>
    <definedName name="Fila_de_encabezado" localSheetId="7">ROW([1]amort_prést!$17:$17)</definedName>
    <definedName name="Fila_de_encabezado" localSheetId="13">ROW([1]amort_prést!$17:$17)</definedName>
    <definedName name="Fila_de_encabezado" localSheetId="19">ROW([1]amort_prést!$17:$17)</definedName>
    <definedName name="Fila_de_encabezado">ROW([1]amort_prést!$17:$17)</definedName>
    <definedName name="GRAF" localSheetId="11">#REF!</definedName>
    <definedName name="GRAF" localSheetId="17">#REF!</definedName>
    <definedName name="GRAF" localSheetId="7">#REF!</definedName>
    <definedName name="GRAF" localSheetId="13">#REF!</definedName>
    <definedName name="GRAF" localSheetId="19">#REF!</definedName>
    <definedName name="GRAF" localSheetId="12">#REF!</definedName>
    <definedName name="GRAF" localSheetId="18">#REF!</definedName>
    <definedName name="GRAF">#REF!</definedName>
    <definedName name="HOJA" localSheetId="7">#N/A</definedName>
    <definedName name="HOJA" localSheetId="13">#N/A</definedName>
    <definedName name="HOJA" localSheetId="19">#N/A</definedName>
    <definedName name="HOJA">#N/A</definedName>
    <definedName name="Importe_del_préstamo" localSheetId="5">[1]amort_prést!$D$5</definedName>
    <definedName name="Importe_del_préstamo" localSheetId="11">[1]amort_prést!$D$5</definedName>
    <definedName name="Importe_del_préstamo" localSheetId="17">[1]amort_prést!$D$5</definedName>
    <definedName name="Importe_del_préstamo" localSheetId="7">[1]amort_prést!$D$5</definedName>
    <definedName name="Importe_del_préstamo" localSheetId="13">[1]amort_prést!$D$5</definedName>
    <definedName name="Importe_del_préstamo" localSheetId="19">[1]amort_prést!$D$5</definedName>
    <definedName name="Importe_del_préstamo">[1]amort_prést!$D$5</definedName>
    <definedName name="Impresión_completa" localSheetId="5">[1]amort_prést!$A$1:$J$497</definedName>
    <definedName name="Impresión_completa" localSheetId="11">[1]amort_prést!$A$1:$J$497</definedName>
    <definedName name="Impresión_completa" localSheetId="17">[1]amort_prést!$A$1:$J$497</definedName>
    <definedName name="Impresión_completa" localSheetId="7">[1]amort_prést!$A$1:$J$497</definedName>
    <definedName name="Impresión_completa" localSheetId="13">[1]amort_prést!$A$1:$J$497</definedName>
    <definedName name="Impresión_completa" localSheetId="19">[1]amort_prést!$A$1:$J$497</definedName>
    <definedName name="Impresión_completa">[1]amort_prést!$A$1:$J$497</definedName>
    <definedName name="INF._E_IMAGEN" localSheetId="11">#REF!</definedName>
    <definedName name="INF._E_IMAGEN" localSheetId="17">#REF!</definedName>
    <definedName name="INF._E_IMAGEN" localSheetId="7">#REF!</definedName>
    <definedName name="INF._E_IMAGEN" localSheetId="13">#REF!</definedName>
    <definedName name="INF._E_IMAGEN" localSheetId="19">#REF!</definedName>
    <definedName name="INF._E_IMAGEN" localSheetId="12">#REF!</definedName>
    <definedName name="INF._E_IMAGEN" localSheetId="18">#REF!</definedName>
    <definedName name="INF._E_IMAGEN">#REF!</definedName>
    <definedName name="Inicio_prestamo" localSheetId="5">[1]amort_prést!$D$9</definedName>
    <definedName name="Inicio_prestamo" localSheetId="11">[1]amort_prést!$D$9</definedName>
    <definedName name="Inicio_prestamo" localSheetId="17">[1]amort_prést!$D$9</definedName>
    <definedName name="Inicio_prestamo" localSheetId="7">[1]amort_prést!$D$9</definedName>
    <definedName name="Inicio_prestamo" localSheetId="13">[1]amort_prést!$D$9</definedName>
    <definedName name="Inicio_prestamo" localSheetId="19">[1]amort_prést!$D$9</definedName>
    <definedName name="Inicio_prestamo">[1]amort_prést!$D$9</definedName>
    <definedName name="Int" localSheetId="5">[1]amort_prést!$H$18:$H$497</definedName>
    <definedName name="Int" localSheetId="11">[1]amort_prést!$H$18:$H$497</definedName>
    <definedName name="Int" localSheetId="17">[1]amort_prést!$H$18:$H$497</definedName>
    <definedName name="Int" localSheetId="7">[1]amort_prést!$H$18:$H$497</definedName>
    <definedName name="Int" localSheetId="13">[1]amort_prést!$H$18:$H$497</definedName>
    <definedName name="Int" localSheetId="19">[1]amort_prést!$H$18:$H$497</definedName>
    <definedName name="Int">[1]amort_prést!$H$18:$H$497</definedName>
    <definedName name="MESES" localSheetId="11">'[3]Edo Resul Cont'!#REF!</definedName>
    <definedName name="MESES" localSheetId="17">'[3]Edo Resul Cont'!#REF!</definedName>
    <definedName name="MESES" localSheetId="7">'[3]Edo Resul Cont'!#REF!</definedName>
    <definedName name="MESES" localSheetId="13">'[3]Edo Resul Cont'!#REF!</definedName>
    <definedName name="MESES" localSheetId="19">'[3]Edo Resul Cont'!#REF!</definedName>
    <definedName name="MESES" localSheetId="12">'[3]Edo Resul Cont'!#REF!</definedName>
    <definedName name="MESES" localSheetId="18">'[3]Edo Resul Cont'!#REF!</definedName>
    <definedName name="MESES">'[3]Edo Resul Cont'!#REF!</definedName>
    <definedName name="Núm_de_pago" localSheetId="5">[1]amort_prést!$A$18:$A$497</definedName>
    <definedName name="Núm_de_pago" localSheetId="11">[1]amort_prést!$A$18:$A$497</definedName>
    <definedName name="Núm_de_pago" localSheetId="17">[1]amort_prést!$A$18:$A$497</definedName>
    <definedName name="Núm_de_pago" localSheetId="7">[1]amort_prést!$A$18:$A$497</definedName>
    <definedName name="Núm_de_pago" localSheetId="13">[1]amort_prést!$A$18:$A$497</definedName>
    <definedName name="Núm_de_pago" localSheetId="19">[1]amort_prést!$A$18:$A$497</definedName>
    <definedName name="Núm_de_pago">[1]amort_prést!$A$18:$A$497</definedName>
    <definedName name="Núm_pagos_al_año" localSheetId="5">[1]amort_prést!$D$8</definedName>
    <definedName name="Núm_pagos_al_año" localSheetId="11">[1]amort_prést!$D$8</definedName>
    <definedName name="Núm_pagos_al_año" localSheetId="17">[1]amort_prést!$D$8</definedName>
    <definedName name="Núm_pagos_al_año" localSheetId="7">[1]amort_prést!$D$8</definedName>
    <definedName name="Núm_pagos_al_año" localSheetId="13">[1]amort_prést!$D$8</definedName>
    <definedName name="Núm_pagos_al_año" localSheetId="19">[1]amort_prést!$D$8</definedName>
    <definedName name="Núm_pagos_al_año">[1]amort_prést!$D$8</definedName>
    <definedName name="Número_de_pagos" localSheetId="5">MATCH(0.01,'FLUJO DE CAJA ESPERADO'!Saldo_final,-1)+1</definedName>
    <definedName name="Número_de_pagos" localSheetId="11">MATCH(0.01,'FLUJO DE CAJA OPTIMISTA'!Saldo_final,-1)+1</definedName>
    <definedName name="Número_de_pagos" localSheetId="17">MATCH(0.01,'FLUJO DE CAJA PESIMISTA'!Saldo_final,-1)+1</definedName>
    <definedName name="Número_de_pagos" localSheetId="7">MATCH(0.01,'PE ESPERADO'!Saldo_final,-1)+1</definedName>
    <definedName name="Número_de_pagos" localSheetId="13">MATCH(0.01,'PE OPTIMISTA'!Saldo_final,-1)+1</definedName>
    <definedName name="Número_de_pagos" localSheetId="19">MATCH(0.01,'PE PESIMISTA'!Saldo_final,-1)+1</definedName>
    <definedName name="Número_de_pagos">MATCH(0.01,Saldo_final,-1)+1</definedName>
    <definedName name="OLE_LINK1" localSheetId="11">#REF!</definedName>
    <definedName name="OLE_LINK1" localSheetId="17">#REF!</definedName>
    <definedName name="OLE_LINK1" localSheetId="7">#REF!</definedName>
    <definedName name="OLE_LINK1" localSheetId="13">#REF!</definedName>
    <definedName name="OLE_LINK1" localSheetId="19">#REF!</definedName>
    <definedName name="OLE_LINK1" localSheetId="12">#REF!</definedName>
    <definedName name="OLE_LINK1" localSheetId="18">#REF!</definedName>
    <definedName name="OLE_LINK1">#REF!</definedName>
    <definedName name="OPERACIONES" localSheetId="11">#REF!</definedName>
    <definedName name="OPERACIONES" localSheetId="17">#REF!</definedName>
    <definedName name="OPERACIONES" localSheetId="7">#REF!</definedName>
    <definedName name="OPERACIONES" localSheetId="13">#REF!</definedName>
    <definedName name="OPERACIONES" localSheetId="19">#REF!</definedName>
    <definedName name="OPERACIONES" localSheetId="12">#REF!</definedName>
    <definedName name="OPERACIONES" localSheetId="18">#REF!</definedName>
    <definedName name="OPERACIONES">#REF!</definedName>
    <definedName name="P" localSheetId="11">#REF!</definedName>
    <definedName name="P" localSheetId="17">#REF!</definedName>
    <definedName name="P" localSheetId="7">#REF!</definedName>
    <definedName name="P" localSheetId="13">#REF!</definedName>
    <definedName name="P" localSheetId="19">#REF!</definedName>
    <definedName name="P" localSheetId="12">#REF!</definedName>
    <definedName name="P" localSheetId="18">#REF!</definedName>
    <definedName name="P">#REF!</definedName>
    <definedName name="Pago_adicional" localSheetId="5">[1]amort_prést!$E$18:$E$497</definedName>
    <definedName name="Pago_adicional" localSheetId="11">[1]amort_prést!$E$18:$E$497</definedName>
    <definedName name="Pago_adicional" localSheetId="17">[1]amort_prést!$E$18:$E$497</definedName>
    <definedName name="Pago_adicional" localSheetId="7">[1]amort_prést!$E$18:$E$497</definedName>
    <definedName name="Pago_adicional" localSheetId="13">[1]amort_prést!$E$18:$E$497</definedName>
    <definedName name="Pago_adicional" localSheetId="19">[1]amort_prést!$E$18:$E$497</definedName>
    <definedName name="Pago_adicional">[1]amort_prést!$E$18:$E$497</definedName>
    <definedName name="Pago_mensual_programado" localSheetId="5">[1]amort_prést!$J$5</definedName>
    <definedName name="Pago_mensual_programado" localSheetId="11">[1]amort_prést!$J$5</definedName>
    <definedName name="Pago_mensual_programado" localSheetId="17">[1]amort_prést!$J$5</definedName>
    <definedName name="Pago_mensual_programado" localSheetId="7">[1]amort_prést!$J$5</definedName>
    <definedName name="Pago_mensual_programado" localSheetId="13">[1]amort_prést!$J$5</definedName>
    <definedName name="Pago_mensual_programado" localSheetId="19">[1]amort_prést!$J$5</definedName>
    <definedName name="Pago_mensual_programado">[1]amort_prést!$J$5</definedName>
    <definedName name="Pago_progr" localSheetId="5">[1]amort_prést!$D$18:$D$497</definedName>
    <definedName name="Pago_progr" localSheetId="11">[1]amort_prést!$D$18:$D$497</definedName>
    <definedName name="Pago_progr" localSheetId="17">[1]amort_prést!$D$18:$D$497</definedName>
    <definedName name="Pago_progr" localSheetId="7">[1]amort_prést!$D$18:$D$497</definedName>
    <definedName name="Pago_progr" localSheetId="13">[1]amort_prést!$D$18:$D$497</definedName>
    <definedName name="Pago_progr" localSheetId="19">[1]amort_prést!$D$18:$D$497</definedName>
    <definedName name="Pago_progr">[1]amort_prést!$D$18:$D$497</definedName>
    <definedName name="Pago_total" localSheetId="5">[1]amort_prést!$F$18:$F$497</definedName>
    <definedName name="Pago_total" localSheetId="11">[1]amort_prést!$F$18:$F$497</definedName>
    <definedName name="Pago_total" localSheetId="17">[1]amort_prést!$F$18:$F$497</definedName>
    <definedName name="Pago_total" localSheetId="7">[1]amort_prést!$F$18:$F$497</definedName>
    <definedName name="Pago_total" localSheetId="13">[1]amort_prést!$F$18:$F$497</definedName>
    <definedName name="Pago_total" localSheetId="19">[1]amort_prést!$F$18:$F$497</definedName>
    <definedName name="Pago_total">[1]amort_prést!$F$18:$F$497</definedName>
    <definedName name="pagos" localSheetId="7">MATCH(0.01,'PE ESPERADO'!Saldo_final,-1)+1</definedName>
    <definedName name="pagos" localSheetId="13">MATCH(0.01,'PE OPTIMISTA'!Saldo_final,-1)+1</definedName>
    <definedName name="pagos" localSheetId="19">MATCH(0.01,'PE PESIMISTA'!Saldo_final,-1)+1</definedName>
    <definedName name="pagos">MATCH(0.01,Saldo_final,-1)+1</definedName>
    <definedName name="Pagos_adicionales_programados" localSheetId="5">[1]amort_prést!$D$10</definedName>
    <definedName name="Pagos_adicionales_programados" localSheetId="11">[1]amort_prést!$D$10</definedName>
    <definedName name="Pagos_adicionales_programados" localSheetId="17">[1]amort_prést!$D$10</definedName>
    <definedName name="Pagos_adicionales_programados" localSheetId="7">[1]amort_prést!$D$10</definedName>
    <definedName name="Pagos_adicionales_programados" localSheetId="13">[1]amort_prést!$D$10</definedName>
    <definedName name="Pagos_adicionales_programados" localSheetId="19">[1]amort_prést!$D$10</definedName>
    <definedName name="Pagos_adicionales_programados">[1]amort_prést!$D$10</definedName>
    <definedName name="Pal_Workbook_GUID" hidden="1">"8ZKVTDUSTDVC7V33GUXE5BQ9"</definedName>
    <definedName name="PLAN._Y_SIST." localSheetId="11">#REF!</definedName>
    <definedName name="PLAN._Y_SIST." localSheetId="17">#REF!</definedName>
    <definedName name="PLAN._Y_SIST." localSheetId="7">#REF!</definedName>
    <definedName name="PLAN._Y_SIST." localSheetId="13">#REF!</definedName>
    <definedName name="PLAN._Y_SIST." localSheetId="19">#REF!</definedName>
    <definedName name="PLAN._Y_SIST." localSheetId="12">#REF!</definedName>
    <definedName name="PLAN._Y_SIST." localSheetId="18">#REF!</definedName>
    <definedName name="PLAN._Y_SIST.">#REF!</definedName>
    <definedName name="Plant" localSheetId="7">'[2]Demand Plng Rpt'!$Y$2:$Y$10</definedName>
    <definedName name="Plant" localSheetId="13">'[2]Demand Plng Rpt'!$Y$2:$Y$10</definedName>
    <definedName name="Plant" localSheetId="19">'[2]Demand Plng Rpt'!$Y$2:$Y$10</definedName>
    <definedName name="Plant">'[2]Demand Plng Rpt'!$Y$2:$Y$10</definedName>
    <definedName name="PRINT" localSheetId="11">#REF!</definedName>
    <definedName name="PRINT" localSheetId="17">#REF!</definedName>
    <definedName name="PRINT" localSheetId="7">#REF!</definedName>
    <definedName name="PRINT" localSheetId="13">#REF!</definedName>
    <definedName name="PRINT" localSheetId="19">#REF!</definedName>
    <definedName name="PRINT" localSheetId="12">#REF!</definedName>
    <definedName name="PRINT" localSheetId="18">#REF!</definedName>
    <definedName name="PRINT">#REF!</definedName>
    <definedName name="_xlnm.Print_Area" localSheetId="1">BG!$B$2:$F$61</definedName>
    <definedName name="Products" localSheetId="7">'[2]Demand Plng Rpt'!$AD$2:$AD$100</definedName>
    <definedName name="Products" localSheetId="13">'[2]Demand Plng Rpt'!$AD$2:$AD$100</definedName>
    <definedName name="Products" localSheetId="19">'[2]Demand Plng Rpt'!$AD$2:$AD$100</definedName>
    <definedName name="Products">'[2]Demand Plng Rpt'!$AD$2:$AD$100</definedName>
    <definedName name="REAJ">#N/A</definedName>
    <definedName name="REAJ1">#N/A</definedName>
    <definedName name="Restablecer_área_de_impresión" localSheetId="5">OFFSET('FLUJO DE CAJA ESPERADO'!Impresión_completa,0,0,'FLUJO DE CAJA ESPERADO'!Última_fila)</definedName>
    <definedName name="Restablecer_área_de_impresión" localSheetId="11">OFFSET('FLUJO DE CAJA OPTIMISTA'!Impresión_completa,0,0,'FLUJO DE CAJA OPTIMISTA'!Última_fila)</definedName>
    <definedName name="Restablecer_área_de_impresión" localSheetId="17">OFFSET('FLUJO DE CAJA PESIMISTA'!Impresión_completa,0,0,'FLUJO DE CAJA PESIMISTA'!Última_fila)</definedName>
    <definedName name="Restablecer_área_de_impresión" localSheetId="7">OFFSET('PE ESPERADO'!Impresión_completa,0,0,'PE ESPERADO'!Última_fila)</definedName>
    <definedName name="Restablecer_área_de_impresión" localSheetId="13">OFFSET('PE OPTIMISTA'!Impresión_completa,0,0,'PE OPTIMISTA'!Última_fila)</definedName>
    <definedName name="Restablecer_área_de_impresión" localSheetId="19">OFFSET('PE PESIMISTA'!Impresión_completa,0,0,'PE PESIMISTA'!Última_fila)</definedName>
    <definedName name="Restablecer_área_de_impresión">OFFSET(Impresión_completa,0,0,Última_fila)</definedName>
    <definedName name="RESUMEN" localSheetId="11">#REF!</definedName>
    <definedName name="RESUMEN" localSheetId="17">#REF!</definedName>
    <definedName name="RESUMEN" localSheetId="7">#REF!</definedName>
    <definedName name="RESUMEN" localSheetId="13">#REF!</definedName>
    <definedName name="RESUMEN" localSheetId="19">#REF!</definedName>
    <definedName name="RESUMEN" localSheetId="12">#REF!</definedName>
    <definedName name="RESUMEN" localSheetId="18">#REF!</definedName>
    <definedName name="RESUMEN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ldo_final" localSheetId="5">[1]amort_prést!$I$18:$I$497</definedName>
    <definedName name="Saldo_final" localSheetId="11">[1]amort_prést!$I$18:$I$497</definedName>
    <definedName name="Saldo_final" localSheetId="17">[1]amort_prést!$I$18:$I$497</definedName>
    <definedName name="Saldo_final" localSheetId="7">[1]amort_prést!$I$18:$I$497</definedName>
    <definedName name="Saldo_final" localSheetId="13">[1]amort_prést!$I$18:$I$497</definedName>
    <definedName name="Saldo_final" localSheetId="19">[1]amort_prést!$I$18:$I$497</definedName>
    <definedName name="Saldo_final">[1]amort_prést!$I$18:$I$497</definedName>
    <definedName name="Saldo_inicial" localSheetId="5">[1]amort_prést!$C$18:$C$497</definedName>
    <definedName name="Saldo_inicial" localSheetId="11">[1]amort_prést!$C$18:$C$497</definedName>
    <definedName name="Saldo_inicial" localSheetId="17">[1]amort_prést!$C$18:$C$497</definedName>
    <definedName name="Saldo_inicial" localSheetId="7">[1]amort_prést!$C$18:$C$497</definedName>
    <definedName name="Saldo_inicial" localSheetId="13">[1]amort_prést!$C$18:$C$497</definedName>
    <definedName name="Saldo_inicial" localSheetId="19">[1]amort_prést!$C$18:$C$497</definedName>
    <definedName name="Saldo_inicial">[1]amort_prést!$C$18:$C$497</definedName>
    <definedName name="SPI" localSheetId="11">#REF!</definedName>
    <definedName name="SPI" localSheetId="17">#REF!</definedName>
    <definedName name="SPI" localSheetId="7">#REF!</definedName>
    <definedName name="SPI" localSheetId="13">#REF!</definedName>
    <definedName name="SPI" localSheetId="19">#REF!</definedName>
    <definedName name="SPI" localSheetId="12">#REF!</definedName>
    <definedName name="SPI" localSheetId="18">#REF!</definedName>
    <definedName name="SPI">#REF!</definedName>
    <definedName name="Tasa_de_interés" localSheetId="5">[1]amort_prést!$D$6</definedName>
    <definedName name="Tasa_de_interés" localSheetId="11">[1]amort_prést!$D$6</definedName>
    <definedName name="Tasa_de_interés" localSheetId="17">[1]amort_prést!$D$6</definedName>
    <definedName name="Tasa_de_interés" localSheetId="7">[1]amort_prést!$D$6</definedName>
    <definedName name="Tasa_de_interés" localSheetId="13">[1]amort_prést!$D$6</definedName>
    <definedName name="Tasa_de_interés" localSheetId="19">[1]amort_prést!$D$6</definedName>
    <definedName name="Tasa_de_interés">[1]amort_prést!$D$6</definedName>
    <definedName name="Última_fila" localSheetId="5">IF('FLUJO DE CAJA ESPERADO'!Valores_especificados,'FLUJO DE CAJA ESPERADO'!Fila_de_encabezado+'FLUJO DE CAJA ESPERADO'!Número_de_pagos,'FLUJO DE CAJA ESPERADO'!Fila_de_encabezado)</definedName>
    <definedName name="Última_fila" localSheetId="11">IF('FLUJO DE CAJA OPTIMISTA'!Valores_especificados,'FLUJO DE CAJA OPTIMISTA'!Fila_de_encabezado+'FLUJO DE CAJA OPTIMISTA'!Número_de_pagos,'FLUJO DE CAJA OPTIMISTA'!Fila_de_encabezado)</definedName>
    <definedName name="Última_fila" localSheetId="17">IF('FLUJO DE CAJA PESIMISTA'!Valores_especificados,'FLUJO DE CAJA PESIMISTA'!Fila_de_encabezado+'FLUJO DE CAJA PESIMISTA'!Número_de_pagos,'FLUJO DE CAJA PESIMISTA'!Fila_de_encabezado)</definedName>
    <definedName name="Última_fila" localSheetId="7">IF('PE ESPERADO'!Valores_especificados,'PE ESPERADO'!Fila_de_encabezado+'PE ESPERADO'!Número_de_pagos,'PE ESPERADO'!Fila_de_encabezado)</definedName>
    <definedName name="Última_fila" localSheetId="13">IF('PE OPTIMISTA'!Valores_especificados,'PE OPTIMISTA'!Fila_de_encabezado+'PE OPTIMISTA'!Número_de_pagos,'PE OPTIMISTA'!Fila_de_encabezado)</definedName>
    <definedName name="Última_fila" localSheetId="19">IF('PE PESIMISTA'!Valores_especificados,'PE PESIMISTA'!Fila_de_encabezado+'PE PESIMISTA'!Número_de_pagos,'PE PESIMISTA'!Fila_de_encabezado)</definedName>
    <definedName name="Última_fila">IF(Valores_especificados,Fila_de_encabezado+Número_de_pagos,Fila_de_encabezado)</definedName>
    <definedName name="Valores_especificados" localSheetId="5">IF('FLUJO DE CAJA ESPERADO'!Importe_del_préstamo*'FLUJO DE CAJA ESPERADO'!Tasa_de_interés*'FLUJO DE CAJA ESPERADO'!Años_préstamo*'FLUJO DE CAJA ESPERADO'!Inicio_prestamo&gt;0,1,0)</definedName>
    <definedName name="Valores_especificados" localSheetId="11">IF('FLUJO DE CAJA OPTIMISTA'!Importe_del_préstamo*'FLUJO DE CAJA OPTIMISTA'!Tasa_de_interés*'FLUJO DE CAJA OPTIMISTA'!Años_préstamo*'FLUJO DE CAJA OPTIMISTA'!Inicio_prestamo&gt;0,1,0)</definedName>
    <definedName name="Valores_especificados" localSheetId="17">IF('FLUJO DE CAJA PESIMISTA'!Importe_del_préstamo*'FLUJO DE CAJA PESIMISTA'!Tasa_de_interés*'FLUJO DE CAJA PESIMISTA'!Años_préstamo*'FLUJO DE CAJA PESIMISTA'!Inicio_prestamo&gt;0,1,0)</definedName>
    <definedName name="Valores_especificados" localSheetId="7">IF('PE ESPERADO'!Importe_del_préstamo*'PE ESPERADO'!Tasa_de_interés*'PE ESPERADO'!Años_préstamo*'PE ESPERADO'!Inicio_prestamo&gt;0,1,0)</definedName>
    <definedName name="Valores_especificados" localSheetId="13">IF('PE OPTIMISTA'!Importe_del_préstamo*'PE OPTIMISTA'!Tasa_de_interés*'PE OPTIMISTA'!Años_préstamo*'PE OPTIMISTA'!Inicio_prestamo&gt;0,1,0)</definedName>
    <definedName name="Valores_especificados" localSheetId="19">IF('PE PESIMISTA'!Importe_del_préstamo*'PE PESIMISTA'!Tasa_de_interés*'PE PESIMISTA'!Años_préstamo*'PE PESIMISTA'!Inicio_prestamo&gt;0,1,0)</definedName>
    <definedName name="Valores_especificados">IF(Importe_del_préstamo*Tasa_de_interés*Años_préstamo*Inicio_prestamo&gt;0,1,0)</definedName>
    <definedName name="VENTAS_Y_S.C." localSheetId="11">#REF!</definedName>
    <definedName name="VENTAS_Y_S.C." localSheetId="17">#REF!</definedName>
    <definedName name="VENTAS_Y_S.C." localSheetId="7">#REF!</definedName>
    <definedName name="VENTAS_Y_S.C." localSheetId="13">#REF!</definedName>
    <definedName name="VENTAS_Y_S.C." localSheetId="19">#REF!</definedName>
    <definedName name="VENTAS_Y_S.C." localSheetId="12">#REF!</definedName>
    <definedName name="VENTAS_Y_S.C." localSheetId="18">#REF!</definedName>
    <definedName name="VENTAS_Y_S.C.">#REF!</definedName>
    <definedName name="VENTAS1" localSheetId="11">#REF!</definedName>
    <definedName name="VENTAS1" localSheetId="17">#REF!</definedName>
    <definedName name="VENTAS1" localSheetId="7">#REF!</definedName>
    <definedName name="VENTAS1" localSheetId="13">#REF!</definedName>
    <definedName name="VENTAS1" localSheetId="19">#REF!</definedName>
    <definedName name="VENTAS1" localSheetId="12">#REF!</definedName>
    <definedName name="VENTAS1" localSheetId="18">#REF!</definedName>
    <definedName name="VENTAS1">#REF!</definedName>
    <definedName name="VENTAS2" localSheetId="11">#REF!</definedName>
    <definedName name="VENTAS2" localSheetId="17">#REF!</definedName>
    <definedName name="VENTAS2" localSheetId="7">#REF!</definedName>
    <definedName name="VENTAS2" localSheetId="13">#REF!</definedName>
    <definedName name="VENTAS2" localSheetId="19">#REF!</definedName>
    <definedName name="VENTAS2" localSheetId="12">#REF!</definedName>
    <definedName name="VENTAS2" localSheetId="18">#REF!</definedName>
    <definedName name="VENTAS2">#REF!</definedName>
  </definedNames>
  <calcPr calcId="152511"/>
</workbook>
</file>

<file path=xl/calcChain.xml><?xml version="1.0" encoding="utf-8"?>
<calcChain xmlns="http://schemas.openxmlformats.org/spreadsheetml/2006/main">
  <c r="H28" i="10" l="1"/>
  <c r="I28" i="10" s="1"/>
  <c r="G28" i="10"/>
  <c r="G24" i="9"/>
  <c r="H24" i="9" s="1"/>
  <c r="F24" i="9"/>
  <c r="I42" i="12" l="1"/>
  <c r="H42" i="12"/>
  <c r="I42" i="10"/>
  <c r="H42" i="10"/>
  <c r="C16" i="17" l="1"/>
  <c r="B16" i="17"/>
  <c r="C16" i="16"/>
  <c r="B16" i="16"/>
  <c r="F99" i="24" l="1"/>
  <c r="F98" i="24"/>
  <c r="E99" i="24"/>
  <c r="E98" i="24"/>
  <c r="D99" i="24"/>
  <c r="D98" i="24"/>
  <c r="M83" i="24"/>
  <c r="J83" i="24"/>
  <c r="G83" i="24"/>
  <c r="D83" i="24"/>
  <c r="D76" i="24"/>
  <c r="D74" i="24"/>
  <c r="D72" i="24"/>
  <c r="D70" i="24"/>
  <c r="D7" i="24"/>
  <c r="D6" i="24"/>
  <c r="D5" i="24"/>
  <c r="F99" i="23"/>
  <c r="E99" i="23"/>
  <c r="D99" i="23"/>
  <c r="F98" i="23"/>
  <c r="E98" i="23"/>
  <c r="D98" i="23"/>
  <c r="M83" i="23"/>
  <c r="J83" i="23"/>
  <c r="G83" i="23"/>
  <c r="D83" i="23"/>
  <c r="D76" i="23"/>
  <c r="D74" i="23"/>
  <c r="D72" i="23"/>
  <c r="D70" i="23"/>
  <c r="D7" i="23"/>
  <c r="D6" i="23"/>
  <c r="D5" i="23"/>
  <c r="D58" i="14" l="1"/>
  <c r="C58" i="14"/>
  <c r="E62" i="11"/>
  <c r="E23" i="9"/>
  <c r="D20" i="9"/>
  <c r="C5" i="14" s="1"/>
  <c r="D5" i="14"/>
  <c r="D85" i="14"/>
  <c r="G86" i="24" l="1"/>
  <c r="J86" i="24" s="1"/>
  <c r="M86" i="24" s="1"/>
  <c r="J85" i="24"/>
  <c r="G85" i="24"/>
  <c r="D85" i="24"/>
  <c r="E76" i="24"/>
  <c r="E74" i="24"/>
  <c r="E72" i="24"/>
  <c r="E70" i="24"/>
  <c r="H4" i="24"/>
  <c r="G86" i="23"/>
  <c r="J86" i="23" s="1"/>
  <c r="M86" i="23" s="1"/>
  <c r="J85" i="23"/>
  <c r="G85" i="23"/>
  <c r="D85" i="23"/>
  <c r="E76" i="23"/>
  <c r="E74" i="23"/>
  <c r="E72" i="23"/>
  <c r="E70" i="23"/>
  <c r="H4" i="23"/>
  <c r="E78" i="23" l="1"/>
  <c r="E78" i="24"/>
  <c r="D88" i="23"/>
  <c r="D9" i="24"/>
  <c r="D10" i="24" s="1"/>
  <c r="D12" i="24" s="1"/>
  <c r="D11" i="24" s="1"/>
  <c r="D9" i="23"/>
  <c r="D10" i="23" s="1"/>
  <c r="D12" i="23" s="1"/>
  <c r="D11" i="23" s="1"/>
  <c r="D87" i="23"/>
  <c r="D87" i="24"/>
  <c r="D78" i="23"/>
  <c r="D78" i="24"/>
  <c r="D88" i="24"/>
  <c r="J4" i="24"/>
  <c r="M90" i="24"/>
  <c r="M89" i="24"/>
  <c r="M88" i="24"/>
  <c r="M87" i="24"/>
  <c r="M84" i="24"/>
  <c r="M85" i="24"/>
  <c r="D84" i="24"/>
  <c r="D89" i="24" s="1"/>
  <c r="D90" i="24" s="1"/>
  <c r="G87" i="24"/>
  <c r="G88" i="24"/>
  <c r="G89" i="24"/>
  <c r="G90" i="24"/>
  <c r="G84" i="24"/>
  <c r="J87" i="24"/>
  <c r="J88" i="24"/>
  <c r="J89" i="24"/>
  <c r="J90" i="24"/>
  <c r="J84" i="24"/>
  <c r="J4" i="23"/>
  <c r="M90" i="23"/>
  <c r="M89" i="23"/>
  <c r="M88" i="23"/>
  <c r="M87" i="23"/>
  <c r="M84" i="23"/>
  <c r="M85" i="23"/>
  <c r="D84" i="23"/>
  <c r="D89" i="23" s="1"/>
  <c r="D90" i="23" s="1"/>
  <c r="G87" i="23"/>
  <c r="G88" i="23"/>
  <c r="G89" i="23"/>
  <c r="G90" i="23"/>
  <c r="G84" i="23"/>
  <c r="J87" i="23"/>
  <c r="J88" i="23"/>
  <c r="J89" i="23"/>
  <c r="J90" i="23"/>
  <c r="J84" i="23"/>
  <c r="H13" i="7"/>
  <c r="G13" i="7"/>
  <c r="F13" i="7"/>
  <c r="D92" i="23" l="1"/>
  <c r="I4" i="23"/>
  <c r="K4" i="23" s="1"/>
  <c r="I4" i="24"/>
  <c r="K4" i="24" s="1"/>
  <c r="D92" i="24"/>
  <c r="D93" i="24" s="1"/>
  <c r="D93" i="23"/>
  <c r="I42" i="8"/>
  <c r="H42" i="8"/>
  <c r="G42" i="8"/>
  <c r="G28" i="8"/>
  <c r="G37" i="7"/>
  <c r="H37" i="7" s="1"/>
  <c r="F37" i="7"/>
  <c r="G24" i="7"/>
  <c r="H24" i="7" s="1"/>
  <c r="F24" i="7"/>
  <c r="J20" i="6"/>
  <c r="K20" i="6"/>
  <c r="L20" i="6"/>
  <c r="J21" i="6"/>
  <c r="K21" i="6"/>
  <c r="L21" i="6"/>
  <c r="L19" i="6"/>
  <c r="J19" i="6"/>
  <c r="K19" i="6"/>
  <c r="F20" i="6"/>
  <c r="G20" i="6"/>
  <c r="H20" i="6"/>
  <c r="F21" i="6"/>
  <c r="G21" i="6"/>
  <c r="H21" i="6"/>
  <c r="H19" i="6"/>
  <c r="F19" i="6"/>
  <c r="G19" i="6"/>
  <c r="B20" i="6"/>
  <c r="C20" i="6"/>
  <c r="D20" i="6"/>
  <c r="B21" i="6"/>
  <c r="C21" i="6"/>
  <c r="D21" i="6"/>
  <c r="D19" i="6"/>
  <c r="B19" i="6"/>
  <c r="C19" i="6"/>
  <c r="G26" i="12" s="1"/>
  <c r="H26" i="12" s="1"/>
  <c r="I26" i="12" s="1"/>
  <c r="J13" i="6"/>
  <c r="K13" i="6"/>
  <c r="L13" i="6"/>
  <c r="J14" i="6"/>
  <c r="K14" i="6"/>
  <c r="L14" i="6"/>
  <c r="L12" i="6"/>
  <c r="J12" i="6"/>
  <c r="K12" i="6"/>
  <c r="F13" i="6"/>
  <c r="G13" i="6"/>
  <c r="H13" i="6"/>
  <c r="F14" i="6"/>
  <c r="G14" i="6"/>
  <c r="H14" i="6"/>
  <c r="H12" i="6"/>
  <c r="F12" i="6"/>
  <c r="G12" i="6"/>
  <c r="B13" i="6"/>
  <c r="C13" i="6"/>
  <c r="D13" i="6"/>
  <c r="B14" i="6"/>
  <c r="C14" i="6"/>
  <c r="D14" i="6"/>
  <c r="D12" i="6"/>
  <c r="B12" i="6"/>
  <c r="C12" i="6"/>
  <c r="K7" i="6"/>
  <c r="L7" i="6"/>
  <c r="J7" i="6"/>
  <c r="L6" i="6"/>
  <c r="J6" i="6"/>
  <c r="L5" i="6"/>
  <c r="J5" i="6"/>
  <c r="K5" i="6"/>
  <c r="K6" i="6"/>
  <c r="G7" i="6"/>
  <c r="H7" i="6"/>
  <c r="F7" i="6"/>
  <c r="H6" i="6"/>
  <c r="F5" i="6"/>
  <c r="G5" i="6"/>
  <c r="F6" i="6"/>
  <c r="G6" i="6"/>
  <c r="C7" i="6"/>
  <c r="D7" i="6"/>
  <c r="B7" i="6"/>
  <c r="B6" i="6"/>
  <c r="C6" i="6"/>
  <c r="B5" i="6"/>
  <c r="C5" i="6"/>
  <c r="C64" i="13"/>
  <c r="F99" i="22"/>
  <c r="E99" i="22"/>
  <c r="D99" i="22"/>
  <c r="F98" i="22"/>
  <c r="E98" i="22"/>
  <c r="D98" i="22"/>
  <c r="M83" i="22"/>
  <c r="J83" i="22"/>
  <c r="G83" i="22"/>
  <c r="D83" i="22"/>
  <c r="D76" i="22"/>
  <c r="D74" i="22"/>
  <c r="D72" i="22"/>
  <c r="D70" i="22"/>
  <c r="D7" i="22"/>
  <c r="D6" i="22"/>
  <c r="D5" i="22"/>
  <c r="D6" i="6"/>
  <c r="H5" i="6"/>
  <c r="D5" i="6"/>
  <c r="G18" i="10" l="1"/>
  <c r="H18" i="10" s="1"/>
  <c r="I18" i="10" s="1"/>
  <c r="G26" i="10"/>
  <c r="H26" i="10" s="1"/>
  <c r="I26" i="10" s="1"/>
  <c r="L4" i="24"/>
  <c r="H5" i="24" s="1"/>
  <c r="G26" i="8"/>
  <c r="H26" i="8" s="1"/>
  <c r="I26" i="8" s="1"/>
  <c r="G18" i="8"/>
  <c r="H18" i="8" s="1"/>
  <c r="I18" i="8" s="1"/>
  <c r="G50" i="8"/>
  <c r="G18" i="12"/>
  <c r="H18" i="12" s="1"/>
  <c r="I18" i="12" s="1"/>
  <c r="G50" i="12"/>
  <c r="H50" i="12" s="1"/>
  <c r="I50" i="12" s="1"/>
  <c r="L4" i="23"/>
  <c r="I5" i="23" s="1"/>
  <c r="I5" i="24" l="1"/>
  <c r="H5" i="23"/>
  <c r="J5" i="23" s="1"/>
  <c r="J5" i="24"/>
  <c r="G8" i="8"/>
  <c r="K5" i="24" l="1"/>
  <c r="K5" i="23"/>
  <c r="H8" i="8"/>
  <c r="L5" i="23" l="1"/>
  <c r="L5" i="24"/>
  <c r="H6" i="24" s="1"/>
  <c r="H6" i="23"/>
  <c r="I6" i="23"/>
  <c r="F12" i="7"/>
  <c r="I6" i="24" l="1"/>
  <c r="J6" i="24"/>
  <c r="J6" i="23"/>
  <c r="G36" i="7"/>
  <c r="H36" i="7" s="1"/>
  <c r="F36" i="7"/>
  <c r="D23" i="7"/>
  <c r="K6" i="23" l="1"/>
  <c r="K6" i="24"/>
  <c r="G86" i="22"/>
  <c r="J86" i="22" s="1"/>
  <c r="M86" i="22" s="1"/>
  <c r="G56" i="11"/>
  <c r="H56" i="11" s="1"/>
  <c r="F56" i="11"/>
  <c r="G55" i="11"/>
  <c r="H55" i="11" s="1"/>
  <c r="F55" i="11"/>
  <c r="G54" i="11"/>
  <c r="H54" i="11" s="1"/>
  <c r="F54" i="11"/>
  <c r="G47" i="11"/>
  <c r="H47" i="11"/>
  <c r="F47" i="11"/>
  <c r="G45" i="11"/>
  <c r="H45" i="11" s="1"/>
  <c r="F45" i="11"/>
  <c r="G36" i="11"/>
  <c r="H36" i="11" s="1"/>
  <c r="F36" i="11"/>
  <c r="G33" i="11"/>
  <c r="H33" i="11" s="1"/>
  <c r="F33" i="11"/>
  <c r="G28" i="12"/>
  <c r="F25" i="11" s="1"/>
  <c r="G24" i="11"/>
  <c r="H24" i="11" s="1"/>
  <c r="F24" i="11"/>
  <c r="D16" i="17"/>
  <c r="G42" i="12"/>
  <c r="D16" i="16"/>
  <c r="G42" i="10"/>
  <c r="L6" i="23" l="1"/>
  <c r="L6" i="24"/>
  <c r="H28" i="12"/>
  <c r="I28" i="12" s="1"/>
  <c r="M88" i="22"/>
  <c r="J87" i="22"/>
  <c r="G85" i="22"/>
  <c r="D88" i="22"/>
  <c r="H4" i="22"/>
  <c r="J4" i="22" s="1"/>
  <c r="D78" i="22"/>
  <c r="G88" i="22"/>
  <c r="G87" i="22"/>
  <c r="J84" i="22"/>
  <c r="J88" i="22"/>
  <c r="M84" i="22"/>
  <c r="D87" i="22"/>
  <c r="D85" i="22"/>
  <c r="M87" i="22"/>
  <c r="J85" i="22"/>
  <c r="G84" i="22"/>
  <c r="M85" i="22"/>
  <c r="D84" i="22"/>
  <c r="I7" i="23" l="1"/>
  <c r="H7" i="23"/>
  <c r="J7" i="23" s="1"/>
  <c r="H7" i="24"/>
  <c r="J7" i="24" s="1"/>
  <c r="I7" i="24"/>
  <c r="G89" i="22"/>
  <c r="G90" i="22" s="1"/>
  <c r="D89" i="22"/>
  <c r="D90" i="22" s="1"/>
  <c r="J89" i="22"/>
  <c r="J90" i="22" s="1"/>
  <c r="M89" i="22"/>
  <c r="M90" i="22" s="1"/>
  <c r="E74" i="22"/>
  <c r="E76" i="22"/>
  <c r="E72" i="22"/>
  <c r="E70" i="22"/>
  <c r="D9" i="22"/>
  <c r="I4" i="22" s="1"/>
  <c r="K7" i="23" l="1"/>
  <c r="K7" i="24"/>
  <c r="D92" i="22"/>
  <c r="D10" i="22"/>
  <c r="D12" i="22" s="1"/>
  <c r="D11" i="22" s="1"/>
  <c r="K4" i="22"/>
  <c r="E78" i="22"/>
  <c r="L7" i="23" l="1"/>
  <c r="L7" i="24"/>
  <c r="D93" i="22"/>
  <c r="H28" i="8"/>
  <c r="F25" i="7"/>
  <c r="F23" i="7" s="1"/>
  <c r="L4" i="22"/>
  <c r="I5" i="22" s="1"/>
  <c r="I8" i="23" l="1"/>
  <c r="H8" i="23"/>
  <c r="J8" i="23" s="1"/>
  <c r="I8" i="24"/>
  <c r="H8" i="24"/>
  <c r="J8" i="24" s="1"/>
  <c r="H5" i="22"/>
  <c r="K8" i="23" l="1"/>
  <c r="K8" i="24"/>
  <c r="J5" i="22"/>
  <c r="L8" i="23" l="1"/>
  <c r="L8" i="24"/>
  <c r="K5" i="22"/>
  <c r="G25" i="7"/>
  <c r="G23" i="7" s="1"/>
  <c r="I9" i="23" l="1"/>
  <c r="H9" i="23"/>
  <c r="J9" i="23" s="1"/>
  <c r="I9" i="24"/>
  <c r="H9" i="24"/>
  <c r="J9" i="24" s="1"/>
  <c r="I28" i="8"/>
  <c r="H25" i="7" s="1"/>
  <c r="L5" i="22"/>
  <c r="G39" i="19"/>
  <c r="K39" i="19" s="1"/>
  <c r="G38" i="19"/>
  <c r="G8" i="19"/>
  <c r="G16" i="19" s="1"/>
  <c r="G7" i="19"/>
  <c r="G6" i="19"/>
  <c r="E46" i="19"/>
  <c r="E50" i="19" s="1"/>
  <c r="E53" i="19" s="1"/>
  <c r="K38" i="19"/>
  <c r="G47" i="19"/>
  <c r="K36" i="19"/>
  <c r="M36" i="19" s="1"/>
  <c r="N36" i="19" s="1"/>
  <c r="G15" i="19"/>
  <c r="K6" i="19"/>
  <c r="G40" i="21"/>
  <c r="G48" i="21" s="1"/>
  <c r="G39" i="21"/>
  <c r="K39" i="21" s="1"/>
  <c r="G38" i="21"/>
  <c r="G47" i="21" s="1"/>
  <c r="G8" i="21"/>
  <c r="G7" i="21"/>
  <c r="K7" i="21" s="1"/>
  <c r="G6" i="21"/>
  <c r="K37" i="21"/>
  <c r="K36" i="21"/>
  <c r="M36" i="21" s="1"/>
  <c r="N36" i="21" s="1"/>
  <c r="G16" i="21"/>
  <c r="G15" i="21"/>
  <c r="K9" i="23" l="1"/>
  <c r="L9" i="23" s="1"/>
  <c r="K9" i="24"/>
  <c r="L9" i="24" s="1"/>
  <c r="H23" i="7"/>
  <c r="I6" i="22"/>
  <c r="H6" i="22"/>
  <c r="J6" i="22" s="1"/>
  <c r="K37" i="19"/>
  <c r="G19" i="19"/>
  <c r="E22" i="19" s="1"/>
  <c r="K8" i="19"/>
  <c r="E14" i="19"/>
  <c r="E18" i="19" s="1"/>
  <c r="E21" i="19" s="1"/>
  <c r="E24" i="19" s="1"/>
  <c r="J6" i="19" s="1"/>
  <c r="K4" i="19"/>
  <c r="M4" i="19" s="1"/>
  <c r="N4" i="19" s="1"/>
  <c r="K5" i="19"/>
  <c r="K7" i="19"/>
  <c r="K40" i="19"/>
  <c r="E46" i="21"/>
  <c r="E50" i="21" s="1"/>
  <c r="E53" i="21" s="1"/>
  <c r="G19" i="21"/>
  <c r="E22" i="21" s="1"/>
  <c r="G51" i="21"/>
  <c r="E54" i="21" s="1"/>
  <c r="K6" i="21"/>
  <c r="K8" i="21"/>
  <c r="E14" i="21"/>
  <c r="E18" i="21" s="1"/>
  <c r="E21" i="21" s="1"/>
  <c r="K5" i="21"/>
  <c r="K38" i="21"/>
  <c r="K4" i="21"/>
  <c r="M4" i="21" s="1"/>
  <c r="N4" i="21" s="1"/>
  <c r="K40" i="21"/>
  <c r="H10" i="23" l="1"/>
  <c r="J10" i="23" s="1"/>
  <c r="I10" i="23"/>
  <c r="I10" i="24"/>
  <c r="H10" i="24"/>
  <c r="J10" i="24" s="1"/>
  <c r="K10" i="24" s="1"/>
  <c r="L10" i="24" s="1"/>
  <c r="K6" i="22"/>
  <c r="E56" i="21"/>
  <c r="J38" i="21" s="1"/>
  <c r="E24" i="21"/>
  <c r="J6" i="21" s="1"/>
  <c r="J8" i="19"/>
  <c r="L6" i="19"/>
  <c r="J5" i="19"/>
  <c r="J7" i="19"/>
  <c r="J39" i="21"/>
  <c r="L38" i="21"/>
  <c r="J37" i="21"/>
  <c r="J40" i="21"/>
  <c r="K10" i="23" l="1"/>
  <c r="L10" i="23" s="1"/>
  <c r="I11" i="24"/>
  <c r="H11" i="24"/>
  <c r="J11" i="24" s="1"/>
  <c r="L6" i="22"/>
  <c r="J5" i="21"/>
  <c r="J8" i="21"/>
  <c r="L6" i="21"/>
  <c r="J7" i="21"/>
  <c r="L7" i="19"/>
  <c r="M7" i="19" s="1"/>
  <c r="L5" i="19"/>
  <c r="M5" i="19" s="1"/>
  <c r="N5" i="19" s="1"/>
  <c r="L8" i="19"/>
  <c r="M8" i="19" s="1"/>
  <c r="M6" i="19"/>
  <c r="N6" i="19" s="1"/>
  <c r="N7" i="19"/>
  <c r="N8" i="19"/>
  <c r="L40" i="21"/>
  <c r="M40" i="21" s="1"/>
  <c r="N40" i="21" s="1"/>
  <c r="L39" i="21"/>
  <c r="M39" i="21" s="1"/>
  <c r="L37" i="21"/>
  <c r="M37" i="21" s="1"/>
  <c r="N37" i="21" s="1"/>
  <c r="M38" i="21"/>
  <c r="N38" i="21" s="1"/>
  <c r="L7" i="21"/>
  <c r="M7" i="21" s="1"/>
  <c r="N7" i="21" s="1"/>
  <c r="L5" i="21"/>
  <c r="M5" i="21" s="1"/>
  <c r="N5" i="21" s="1"/>
  <c r="M6" i="21"/>
  <c r="N6" i="21" s="1"/>
  <c r="L8" i="21"/>
  <c r="M8" i="21" s="1"/>
  <c r="N8" i="21" s="1"/>
  <c r="N39" i="21"/>
  <c r="K11" i="24" l="1"/>
  <c r="L11" i="24" s="1"/>
  <c r="I11" i="23"/>
  <c r="H11" i="23"/>
  <c r="J11" i="23" s="1"/>
  <c r="I12" i="24"/>
  <c r="H12" i="24"/>
  <c r="J12" i="24" s="1"/>
  <c r="I7" i="22"/>
  <c r="H7" i="22"/>
  <c r="J7" i="22" s="1"/>
  <c r="G7" i="20"/>
  <c r="K11" i="23" l="1"/>
  <c r="L11" i="23" s="1"/>
  <c r="K12" i="24"/>
  <c r="L12" i="24" s="1"/>
  <c r="H13" i="24" s="1"/>
  <c r="J13" i="24" s="1"/>
  <c r="K7" i="22"/>
  <c r="K5" i="20"/>
  <c r="K7" i="20"/>
  <c r="K8" i="20"/>
  <c r="K4" i="20"/>
  <c r="K6" i="20"/>
  <c r="I13" i="24" l="1"/>
  <c r="K13" i="24" s="1"/>
  <c r="L13" i="24" s="1"/>
  <c r="I12" i="23"/>
  <c r="H12" i="23"/>
  <c r="J12" i="23" s="1"/>
  <c r="L7" i="22"/>
  <c r="D38" i="14"/>
  <c r="E38" i="14"/>
  <c r="F38" i="14"/>
  <c r="G38" i="14"/>
  <c r="C38" i="14"/>
  <c r="C32" i="13"/>
  <c r="D32" i="15"/>
  <c r="C32" i="15"/>
  <c r="D32" i="14"/>
  <c r="C32" i="14"/>
  <c r="C11" i="14"/>
  <c r="H49" i="11"/>
  <c r="D49" i="11"/>
  <c r="D49" i="7"/>
  <c r="B28" i="17"/>
  <c r="D58" i="11"/>
  <c r="D60" i="11" s="1"/>
  <c r="G49" i="11"/>
  <c r="F49" i="11"/>
  <c r="E49" i="11"/>
  <c r="F38" i="11"/>
  <c r="G38" i="11" s="1"/>
  <c r="H38" i="11" s="1"/>
  <c r="F37" i="11"/>
  <c r="G37" i="11" s="1"/>
  <c r="H37" i="11" s="1"/>
  <c r="J36" i="11"/>
  <c r="D34" i="11"/>
  <c r="D42" i="11" s="1"/>
  <c r="F23" i="11"/>
  <c r="F27" i="11" s="1"/>
  <c r="E23" i="11"/>
  <c r="E27" i="11" s="1"/>
  <c r="E29" i="11" s="1"/>
  <c r="D23" i="11"/>
  <c r="D27" i="11" s="1"/>
  <c r="F18" i="11"/>
  <c r="G18" i="11" s="1"/>
  <c r="H18" i="11" s="1"/>
  <c r="F16" i="11"/>
  <c r="G16" i="11" s="1"/>
  <c r="H16" i="11" s="1"/>
  <c r="F15" i="11"/>
  <c r="G15" i="11" s="1"/>
  <c r="H15" i="11" s="1"/>
  <c r="H14" i="11"/>
  <c r="G14" i="11"/>
  <c r="F14" i="11"/>
  <c r="G13" i="11"/>
  <c r="H13" i="11" s="1"/>
  <c r="H12" i="11" s="1"/>
  <c r="F13" i="11"/>
  <c r="F12" i="11"/>
  <c r="E12" i="11"/>
  <c r="E20" i="11" s="1"/>
  <c r="D12" i="11"/>
  <c r="D20" i="11" s="1"/>
  <c r="E10" i="11"/>
  <c r="D10" i="11"/>
  <c r="F25" i="9"/>
  <c r="F23" i="9" s="1"/>
  <c r="F27" i="9" s="1"/>
  <c r="D58" i="9"/>
  <c r="D60" i="9" s="1"/>
  <c r="C85" i="14" s="1"/>
  <c r="H49" i="9"/>
  <c r="G49" i="9"/>
  <c r="F49" i="9"/>
  <c r="E49" i="9"/>
  <c r="D49" i="9"/>
  <c r="F38" i="9"/>
  <c r="G38" i="9" s="1"/>
  <c r="H38" i="9" s="1"/>
  <c r="F37" i="9"/>
  <c r="G37" i="9" s="1"/>
  <c r="H37" i="9" s="1"/>
  <c r="J36" i="9"/>
  <c r="D34" i="9"/>
  <c r="D42" i="9" s="1"/>
  <c r="C8" i="14" s="1"/>
  <c r="E27" i="9"/>
  <c r="E29" i="9" s="1"/>
  <c r="D23" i="9"/>
  <c r="D27" i="9" s="1"/>
  <c r="H18" i="9"/>
  <c r="G18" i="9"/>
  <c r="F18" i="9"/>
  <c r="F16" i="9"/>
  <c r="G16" i="9" s="1"/>
  <c r="H16" i="9" s="1"/>
  <c r="F15" i="9"/>
  <c r="G15" i="9" s="1"/>
  <c r="H15" i="9" s="1"/>
  <c r="H14" i="9"/>
  <c r="G14" i="9"/>
  <c r="F14" i="9"/>
  <c r="G13" i="9"/>
  <c r="H13" i="9" s="1"/>
  <c r="H12" i="9" s="1"/>
  <c r="F13" i="9"/>
  <c r="F12" i="9"/>
  <c r="E12" i="9"/>
  <c r="E20" i="9" s="1"/>
  <c r="D12" i="9"/>
  <c r="E10" i="9"/>
  <c r="D10" i="9"/>
  <c r="B28" i="16"/>
  <c r="K12" i="23" l="1"/>
  <c r="L12" i="23" s="1"/>
  <c r="I14" i="24"/>
  <c r="H14" i="24"/>
  <c r="J14" i="24" s="1"/>
  <c r="H13" i="23"/>
  <c r="J13" i="23" s="1"/>
  <c r="I13" i="23"/>
  <c r="I8" i="22"/>
  <c r="H8" i="22"/>
  <c r="J8" i="22" s="1"/>
  <c r="C64" i="14"/>
  <c r="D51" i="11"/>
  <c r="D62" i="11" s="1"/>
  <c r="D29" i="11"/>
  <c r="G12" i="11"/>
  <c r="G25" i="9"/>
  <c r="H25" i="9" s="1"/>
  <c r="H23" i="9" s="1"/>
  <c r="H27" i="9" s="1"/>
  <c r="D51" i="9"/>
  <c r="D29" i="9"/>
  <c r="G12" i="9"/>
  <c r="J36" i="7"/>
  <c r="D34" i="7"/>
  <c r="B28" i="5"/>
  <c r="F18" i="7"/>
  <c r="G18" i="7" s="1"/>
  <c r="H18" i="7" s="1"/>
  <c r="F16" i="7"/>
  <c r="G16" i="7" s="1"/>
  <c r="H16" i="7" s="1"/>
  <c r="F15" i="7"/>
  <c r="G15" i="7" s="1"/>
  <c r="H15" i="7" s="1"/>
  <c r="F14" i="7"/>
  <c r="G14" i="7" s="1"/>
  <c r="H14" i="7" s="1"/>
  <c r="G38" i="7"/>
  <c r="H38" i="7" s="1"/>
  <c r="F38" i="7"/>
  <c r="G40" i="20"/>
  <c r="G48" i="20" s="1"/>
  <c r="G39" i="20"/>
  <c r="G38" i="20"/>
  <c r="G47" i="20" s="1"/>
  <c r="G8" i="20"/>
  <c r="G16" i="20" s="1"/>
  <c r="E14" i="20"/>
  <c r="E18" i="20" s="1"/>
  <c r="E21" i="20" s="1"/>
  <c r="G6" i="20"/>
  <c r="K14" i="24" l="1"/>
  <c r="L14" i="24" s="1"/>
  <c r="K13" i="23"/>
  <c r="L13" i="23" s="1"/>
  <c r="C61" i="14"/>
  <c r="I15" i="24"/>
  <c r="H15" i="24"/>
  <c r="H12" i="7"/>
  <c r="G12" i="7"/>
  <c r="K8" i="22"/>
  <c r="L8" i="22" s="1"/>
  <c r="C55" i="14"/>
  <c r="C52" i="14"/>
  <c r="D62" i="9"/>
  <c r="E46" i="20"/>
  <c r="E50" i="20" s="1"/>
  <c r="E53" i="20" s="1"/>
  <c r="K39" i="20"/>
  <c r="K40" i="20"/>
  <c r="K36" i="20"/>
  <c r="M36" i="20" s="1"/>
  <c r="N36" i="20" s="1"/>
  <c r="K38" i="20"/>
  <c r="K37" i="20"/>
  <c r="G15" i="20"/>
  <c r="G19" i="20" s="1"/>
  <c r="E22" i="20" s="1"/>
  <c r="E24" i="20" s="1"/>
  <c r="J6" i="20" s="1"/>
  <c r="L6" i="20" s="1"/>
  <c r="M6" i="20" s="1"/>
  <c r="M4" i="20"/>
  <c r="N4" i="20" s="1"/>
  <c r="G23" i="9"/>
  <c r="G27" i="9" s="1"/>
  <c r="G51" i="20"/>
  <c r="E54" i="20" s="1"/>
  <c r="E56" i="20" s="1"/>
  <c r="J38" i="20" s="1"/>
  <c r="H14" i="23" l="1"/>
  <c r="J14" i="23" s="1"/>
  <c r="I14" i="23"/>
  <c r="J15" i="24"/>
  <c r="I9" i="22"/>
  <c r="H9" i="22"/>
  <c r="J9" i="22" s="1"/>
  <c r="J37" i="20"/>
  <c r="J40" i="20"/>
  <c r="J39" i="20"/>
  <c r="L38" i="20"/>
  <c r="J5" i="20"/>
  <c r="J7" i="20"/>
  <c r="J8" i="20"/>
  <c r="K14" i="23" l="1"/>
  <c r="L14" i="23" s="1"/>
  <c r="K15" i="24"/>
  <c r="C16" i="24"/>
  <c r="K9" i="22"/>
  <c r="L9" i="22" s="1"/>
  <c r="I10" i="22" s="1"/>
  <c r="L39" i="20"/>
  <c r="M39" i="20" s="1"/>
  <c r="N39" i="20" s="1"/>
  <c r="M38" i="20"/>
  <c r="N38" i="20" s="1"/>
  <c r="L40" i="20"/>
  <c r="M40" i="20" s="1"/>
  <c r="N40" i="20" s="1"/>
  <c r="L37" i="20"/>
  <c r="M37" i="20" s="1"/>
  <c r="N37" i="20" s="1"/>
  <c r="I15" i="23" l="1"/>
  <c r="H15" i="23"/>
  <c r="J15" i="23" s="1"/>
  <c r="L15" i="24"/>
  <c r="C17" i="24"/>
  <c r="C18" i="24" s="1"/>
  <c r="H10" i="22"/>
  <c r="J10" i="22" s="1"/>
  <c r="K10" i="22" s="1"/>
  <c r="L10" i="22" s="1"/>
  <c r="H105" i="15"/>
  <c r="H99" i="15"/>
  <c r="I96" i="15"/>
  <c r="H96" i="15"/>
  <c r="C85" i="15"/>
  <c r="C82" i="15"/>
  <c r="C79" i="15"/>
  <c r="C76" i="15"/>
  <c r="D73" i="15"/>
  <c r="C73" i="15"/>
  <c r="C64" i="15"/>
  <c r="H102" i="15" s="1"/>
  <c r="C61" i="15"/>
  <c r="C58" i="15"/>
  <c r="C55" i="15"/>
  <c r="C52" i="15"/>
  <c r="D44" i="15"/>
  <c r="C44" i="15"/>
  <c r="D41" i="15"/>
  <c r="C41" i="15"/>
  <c r="D38" i="15"/>
  <c r="C38" i="15"/>
  <c r="D35" i="15"/>
  <c r="C35" i="15"/>
  <c r="D29" i="15"/>
  <c r="C29" i="15"/>
  <c r="D26" i="15"/>
  <c r="C26" i="15"/>
  <c r="D20" i="15"/>
  <c r="D23" i="15" s="1"/>
  <c r="C20" i="15"/>
  <c r="C23" i="15" s="1"/>
  <c r="C11" i="15"/>
  <c r="C8" i="15"/>
  <c r="C5" i="15"/>
  <c r="I96" i="14"/>
  <c r="H105" i="14"/>
  <c r="H99" i="14"/>
  <c r="H96" i="14"/>
  <c r="C82" i="14"/>
  <c r="C79" i="14"/>
  <c r="C76" i="14"/>
  <c r="D73" i="14"/>
  <c r="C73" i="14"/>
  <c r="H102" i="14"/>
  <c r="D44" i="14"/>
  <c r="C44" i="14"/>
  <c r="D41" i="14"/>
  <c r="C41" i="14"/>
  <c r="D35" i="14"/>
  <c r="C35" i="14"/>
  <c r="D29" i="14"/>
  <c r="C29" i="14"/>
  <c r="D26" i="14"/>
  <c r="C26" i="14"/>
  <c r="D20" i="14"/>
  <c r="D23" i="14" s="1"/>
  <c r="C20" i="14"/>
  <c r="C23" i="14" s="1"/>
  <c r="K15" i="23" l="1"/>
  <c r="C16" i="23"/>
  <c r="H16" i="24"/>
  <c r="J16" i="24" s="1"/>
  <c r="I16" i="24"/>
  <c r="K16" i="24" s="1"/>
  <c r="I11" i="22"/>
  <c r="H11" i="22"/>
  <c r="J11" i="22" s="1"/>
  <c r="H108" i="15"/>
  <c r="H111" i="15" s="1"/>
  <c r="H108" i="14"/>
  <c r="H111" i="14" s="1"/>
  <c r="L15" i="23" l="1"/>
  <c r="C17" i="23"/>
  <c r="C18" i="23" s="1"/>
  <c r="L16" i="24"/>
  <c r="K11" i="22"/>
  <c r="L11" i="22" s="1"/>
  <c r="I12" i="22" s="1"/>
  <c r="D38" i="13"/>
  <c r="C38" i="13"/>
  <c r="D20" i="13"/>
  <c r="D23" i="13" s="1"/>
  <c r="C20" i="13"/>
  <c r="C23" i="13" s="1"/>
  <c r="H16" i="23" l="1"/>
  <c r="I16" i="23"/>
  <c r="I17" i="24"/>
  <c r="H17" i="24"/>
  <c r="H12" i="22"/>
  <c r="J12" i="22" s="1"/>
  <c r="K12" i="22" s="1"/>
  <c r="L12" i="22" s="1"/>
  <c r="E56" i="12"/>
  <c r="E13" i="12"/>
  <c r="F13" i="12"/>
  <c r="E56" i="10"/>
  <c r="E54" i="10"/>
  <c r="E52" i="10"/>
  <c r="E48" i="10"/>
  <c r="E46" i="10"/>
  <c r="E44" i="10"/>
  <c r="E20" i="10"/>
  <c r="F20" i="10"/>
  <c r="F13" i="10"/>
  <c r="F22" i="10" s="1"/>
  <c r="E13" i="10"/>
  <c r="E49" i="7"/>
  <c r="D42" i="7"/>
  <c r="E23" i="7"/>
  <c r="E27" i="7" s="1"/>
  <c r="D27" i="7"/>
  <c r="E12" i="7"/>
  <c r="D12" i="7"/>
  <c r="D20" i="7" s="1"/>
  <c r="E10" i="7"/>
  <c r="D10" i="7"/>
  <c r="E59" i="1"/>
  <c r="E61" i="1" s="1"/>
  <c r="F59" i="1"/>
  <c r="F48" i="1"/>
  <c r="F42" i="1"/>
  <c r="F24" i="1"/>
  <c r="F28" i="1" s="1"/>
  <c r="F13" i="1"/>
  <c r="F21" i="1" s="1"/>
  <c r="F11" i="1"/>
  <c r="E48" i="1"/>
  <c r="E42" i="1"/>
  <c r="E24" i="1"/>
  <c r="E28" i="1" s="1"/>
  <c r="E13" i="1"/>
  <c r="E21" i="1" s="1"/>
  <c r="E11" i="1"/>
  <c r="G33" i="2"/>
  <c r="F33" i="2"/>
  <c r="G21" i="2"/>
  <c r="F21" i="2"/>
  <c r="G14" i="2"/>
  <c r="G23" i="2" s="1"/>
  <c r="G37" i="2" s="1"/>
  <c r="G43" i="2" s="1"/>
  <c r="F14" i="2"/>
  <c r="F23" i="2" s="1"/>
  <c r="F37" i="2" s="1"/>
  <c r="F43" i="2" s="1"/>
  <c r="J16" i="23" l="1"/>
  <c r="J17" i="24"/>
  <c r="I13" i="22"/>
  <c r="H13" i="22"/>
  <c r="J13" i="22" s="1"/>
  <c r="E20" i="7"/>
  <c r="D51" i="7"/>
  <c r="C11" i="13"/>
  <c r="C8" i="13"/>
  <c r="C5" i="13"/>
  <c r="E22" i="10"/>
  <c r="E29" i="7"/>
  <c r="D29" i="7"/>
  <c r="H96" i="13" s="1"/>
  <c r="E50" i="1"/>
  <c r="F50" i="1"/>
  <c r="F61" i="1" s="1"/>
  <c r="F30" i="1"/>
  <c r="E30" i="1"/>
  <c r="F45" i="2"/>
  <c r="F47" i="2" s="1"/>
  <c r="G45" i="2"/>
  <c r="G47" i="2"/>
  <c r="K16" i="23" l="1"/>
  <c r="K17" i="24"/>
  <c r="K13" i="22"/>
  <c r="L13" i="22" s="1"/>
  <c r="C52" i="13"/>
  <c r="F51" i="2"/>
  <c r="F53" i="2" s="1"/>
  <c r="F55" i="2" s="1"/>
  <c r="G51" i="2"/>
  <c r="G53" i="2" s="1"/>
  <c r="G55" i="2" s="1"/>
  <c r="L16" i="23" l="1"/>
  <c r="L17" i="24"/>
  <c r="I14" i="22"/>
  <c r="H14" i="22"/>
  <c r="J14" i="22" s="1"/>
  <c r="E32" i="8"/>
  <c r="F32" i="8"/>
  <c r="F20" i="8"/>
  <c r="E20" i="8"/>
  <c r="F13" i="8"/>
  <c r="E13" i="8"/>
  <c r="I17" i="23" l="1"/>
  <c r="H17" i="23"/>
  <c r="J17" i="23" s="1"/>
  <c r="I18" i="24"/>
  <c r="H18" i="24"/>
  <c r="J18" i="24" s="1"/>
  <c r="K14" i="22"/>
  <c r="L14" i="22" s="1"/>
  <c r="G40" i="19"/>
  <c r="G48" i="19" s="1"/>
  <c r="G51" i="19" s="1"/>
  <c r="E54" i="19" s="1"/>
  <c r="E56" i="19" s="1"/>
  <c r="D32" i="13"/>
  <c r="I96" i="13"/>
  <c r="C44" i="13"/>
  <c r="C41" i="13"/>
  <c r="C29" i="13"/>
  <c r="C26" i="13"/>
  <c r="C35" i="13"/>
  <c r="D44" i="13"/>
  <c r="D41" i="13"/>
  <c r="D29" i="13"/>
  <c r="D35" i="13"/>
  <c r="D26" i="13"/>
  <c r="E22" i="8"/>
  <c r="F22" i="8"/>
  <c r="G38" i="12"/>
  <c r="B7" i="17" s="1"/>
  <c r="G40" i="12"/>
  <c r="H40" i="12" s="1"/>
  <c r="I40" i="12" s="1"/>
  <c r="G38" i="10"/>
  <c r="K17" i="23" l="1"/>
  <c r="K18" i="24"/>
  <c r="J38" i="19"/>
  <c r="I15" i="22"/>
  <c r="H15" i="22"/>
  <c r="J15" i="22" s="1"/>
  <c r="C16" i="22" s="1"/>
  <c r="F36" i="8"/>
  <c r="D76" i="13" s="1"/>
  <c r="D73" i="13"/>
  <c r="J40" i="19"/>
  <c r="J39" i="19"/>
  <c r="L38" i="19"/>
  <c r="J37" i="19"/>
  <c r="H38" i="10"/>
  <c r="B7" i="16"/>
  <c r="E36" i="8"/>
  <c r="C73" i="13"/>
  <c r="G50" i="10"/>
  <c r="H50" i="10" s="1"/>
  <c r="I50" i="10" s="1"/>
  <c r="G40" i="10"/>
  <c r="H40" i="10" s="1"/>
  <c r="I40" i="10" s="1"/>
  <c r="H38" i="12"/>
  <c r="G30" i="8"/>
  <c r="H30" i="8" s="1"/>
  <c r="I30" i="8" s="1"/>
  <c r="G40" i="8"/>
  <c r="H40" i="8" s="1"/>
  <c r="I40" i="8" s="1"/>
  <c r="G34" i="8"/>
  <c r="G27" i="8"/>
  <c r="H27" i="8" s="1"/>
  <c r="I27" i="8" s="1"/>
  <c r="H50" i="8"/>
  <c r="G29" i="8"/>
  <c r="H29" i="8" s="1"/>
  <c r="I29" i="8" s="1"/>
  <c r="G38" i="8"/>
  <c r="G11" i="8"/>
  <c r="H11" i="8" s="1"/>
  <c r="I11" i="8" s="1"/>
  <c r="G10" i="8"/>
  <c r="H10" i="8" s="1"/>
  <c r="I10" i="8" s="1"/>
  <c r="G9" i="8"/>
  <c r="H9" i="8" s="1"/>
  <c r="I9" i="8" s="1"/>
  <c r="L17" i="23" l="1"/>
  <c r="L18" i="24"/>
  <c r="I50" i="8"/>
  <c r="F44" i="8"/>
  <c r="F46" i="8" s="1"/>
  <c r="K15" i="22"/>
  <c r="C17" i="22" s="1"/>
  <c r="L40" i="19"/>
  <c r="M40" i="19" s="1"/>
  <c r="N40" i="19" s="1"/>
  <c r="L37" i="19"/>
  <c r="M37" i="19" s="1"/>
  <c r="N37" i="19" s="1"/>
  <c r="L39" i="19"/>
  <c r="M39" i="19" s="1"/>
  <c r="N39" i="19" s="1"/>
  <c r="M38" i="19"/>
  <c r="N38" i="19" s="1"/>
  <c r="B13" i="5"/>
  <c r="H38" i="8"/>
  <c r="B7" i="5"/>
  <c r="H34" i="8"/>
  <c r="B15" i="5"/>
  <c r="I38" i="12"/>
  <c r="D7" i="17" s="1"/>
  <c r="C7" i="17"/>
  <c r="G13" i="8"/>
  <c r="G17" i="8" s="1"/>
  <c r="I38" i="10"/>
  <c r="C7" i="16"/>
  <c r="C76" i="13"/>
  <c r="E44" i="8"/>
  <c r="G32" i="8"/>
  <c r="H18" i="23" l="1"/>
  <c r="J18" i="23" s="1"/>
  <c r="I18" i="23"/>
  <c r="H19" i="24"/>
  <c r="J19" i="24" s="1"/>
  <c r="I19" i="24"/>
  <c r="D7" i="16"/>
  <c r="I99" i="13"/>
  <c r="B5" i="5"/>
  <c r="B16" i="5"/>
  <c r="C18" i="22"/>
  <c r="L15" i="22"/>
  <c r="F48" i="8"/>
  <c r="E34" i="11"/>
  <c r="E42" i="11" s="1"/>
  <c r="E34" i="7"/>
  <c r="E42" i="7" s="1"/>
  <c r="B18" i="5"/>
  <c r="G72" i="19"/>
  <c r="G80" i="19" s="1"/>
  <c r="B14" i="5"/>
  <c r="G71" i="19"/>
  <c r="I38" i="8"/>
  <c r="C7" i="5"/>
  <c r="E32" i="13"/>
  <c r="I34" i="8"/>
  <c r="C15" i="5"/>
  <c r="C13" i="5"/>
  <c r="E41" i="13"/>
  <c r="H99" i="13"/>
  <c r="E46" i="8"/>
  <c r="E48" i="8"/>
  <c r="E52" i="8" s="1"/>
  <c r="E54" i="8" s="1"/>
  <c r="E44" i="13"/>
  <c r="H32" i="8"/>
  <c r="I8" i="8"/>
  <c r="H13" i="8"/>
  <c r="H17" i="8" s="1"/>
  <c r="K18" i="23" l="1"/>
  <c r="K19" i="24"/>
  <c r="B12" i="5"/>
  <c r="G20" i="8"/>
  <c r="G70" i="19"/>
  <c r="G79" i="19" s="1"/>
  <c r="G83" i="19" s="1"/>
  <c r="E86" i="19" s="1"/>
  <c r="D15" i="5"/>
  <c r="D7" i="5"/>
  <c r="G104" i="19"/>
  <c r="G112" i="19" s="1"/>
  <c r="B9" i="5"/>
  <c r="F49" i="7"/>
  <c r="I16" i="22"/>
  <c r="H16" i="22"/>
  <c r="J16" i="22" s="1"/>
  <c r="D5" i="13"/>
  <c r="D8" i="13"/>
  <c r="D11" i="13"/>
  <c r="E51" i="7"/>
  <c r="D52" i="13" s="1"/>
  <c r="D5" i="15"/>
  <c r="E51" i="11"/>
  <c r="D11" i="15"/>
  <c r="D8" i="15"/>
  <c r="F52" i="8"/>
  <c r="F54" i="8" s="1"/>
  <c r="C14" i="5"/>
  <c r="D13" i="5"/>
  <c r="E78" i="19"/>
  <c r="E82" i="19" s="1"/>
  <c r="E85" i="19" s="1"/>
  <c r="K72" i="19"/>
  <c r="K68" i="19"/>
  <c r="M68" i="19" s="1"/>
  <c r="N68" i="19" s="1"/>
  <c r="K70" i="19"/>
  <c r="K69" i="19"/>
  <c r="K71" i="19"/>
  <c r="F32" i="13"/>
  <c r="C5" i="5"/>
  <c r="E56" i="8"/>
  <c r="F41" i="13"/>
  <c r="C79" i="13"/>
  <c r="C82" i="13"/>
  <c r="I13" i="8"/>
  <c r="I17" i="8" s="1"/>
  <c r="I32" i="8"/>
  <c r="L18" i="23" l="1"/>
  <c r="L19" i="24"/>
  <c r="E88" i="19"/>
  <c r="H20" i="8"/>
  <c r="G102" i="19"/>
  <c r="G111" i="19" s="1"/>
  <c r="G115" i="19" s="1"/>
  <c r="E118" i="19" s="1"/>
  <c r="C12" i="5"/>
  <c r="G22" i="8"/>
  <c r="G136" i="19"/>
  <c r="G144" i="19" s="1"/>
  <c r="C9" i="5"/>
  <c r="K16" i="22"/>
  <c r="L16" i="22" s="1"/>
  <c r="I17" i="22" s="1"/>
  <c r="F56" i="8"/>
  <c r="B17" i="5"/>
  <c r="D52" i="15"/>
  <c r="G41" i="13"/>
  <c r="D14" i="5"/>
  <c r="G32" i="13"/>
  <c r="D5" i="5"/>
  <c r="H105" i="13"/>
  <c r="D58" i="7"/>
  <c r="D60" i="7" s="1"/>
  <c r="I19" i="23" l="1"/>
  <c r="H19" i="23"/>
  <c r="J19" i="23" s="1"/>
  <c r="H20" i="24"/>
  <c r="J20" i="24" s="1"/>
  <c r="I20" i="24"/>
  <c r="J70" i="19"/>
  <c r="J72" i="19" s="1"/>
  <c r="H22" i="8"/>
  <c r="E73" i="13"/>
  <c r="G36" i="8"/>
  <c r="G134" i="19"/>
  <c r="G143" i="19" s="1"/>
  <c r="G147" i="19" s="1"/>
  <c r="E150" i="19" s="1"/>
  <c r="I20" i="8"/>
  <c r="D12" i="5"/>
  <c r="J71" i="19"/>
  <c r="D9" i="5"/>
  <c r="B24" i="5"/>
  <c r="H17" i="22"/>
  <c r="J17" i="22" s="1"/>
  <c r="K17" i="22" s="1"/>
  <c r="E58" i="11"/>
  <c r="E58" i="9"/>
  <c r="E58" i="7"/>
  <c r="F57" i="7" s="1"/>
  <c r="D79" i="13"/>
  <c r="I105" i="13"/>
  <c r="D82" i="13"/>
  <c r="C55" i="13"/>
  <c r="C58" i="13"/>
  <c r="C61" i="13"/>
  <c r="D62" i="7"/>
  <c r="H102" i="13"/>
  <c r="H108" i="13" s="1"/>
  <c r="H111" i="13" s="1"/>
  <c r="C85" i="13"/>
  <c r="K19" i="23" l="1"/>
  <c r="K20" i="24"/>
  <c r="L70" i="19"/>
  <c r="M70" i="19" s="1"/>
  <c r="N70" i="19" s="1"/>
  <c r="J69" i="19"/>
  <c r="F73" i="13"/>
  <c r="H36" i="8"/>
  <c r="F76" i="13" s="1"/>
  <c r="I22" i="8"/>
  <c r="G44" i="8"/>
  <c r="E76" i="13"/>
  <c r="B26" i="5"/>
  <c r="B29" i="5" s="1"/>
  <c r="B31" i="5" s="1"/>
  <c r="L17" i="22"/>
  <c r="I18" i="22" s="1"/>
  <c r="E60" i="7"/>
  <c r="E60" i="9"/>
  <c r="F57" i="9"/>
  <c r="E60" i="11"/>
  <c r="F57" i="11"/>
  <c r="L71" i="19" l="1"/>
  <c r="M71" i="19" s="1"/>
  <c r="N71" i="19" s="1"/>
  <c r="L72" i="19"/>
  <c r="M72" i="19" s="1"/>
  <c r="N72" i="19" s="1"/>
  <c r="L69" i="19"/>
  <c r="M69" i="19" s="1"/>
  <c r="L19" i="23"/>
  <c r="L20" i="24"/>
  <c r="N69" i="19"/>
  <c r="D64" i="13"/>
  <c r="I36" i="8"/>
  <c r="G76" i="13" s="1"/>
  <c r="G73" i="13"/>
  <c r="G46" i="8"/>
  <c r="J99" i="13"/>
  <c r="F8" i="7"/>
  <c r="C28" i="5" s="1"/>
  <c r="H18" i="22"/>
  <c r="J18" i="22" s="1"/>
  <c r="K18" i="22" s="1"/>
  <c r="D61" i="14"/>
  <c r="E62" i="7"/>
  <c r="D55" i="13"/>
  <c r="I102" i="13"/>
  <c r="I108" i="13" s="1"/>
  <c r="D61" i="13"/>
  <c r="D58" i="13"/>
  <c r="D85" i="13"/>
  <c r="D58" i="15"/>
  <c r="D61" i="15"/>
  <c r="D55" i="15"/>
  <c r="I20" i="23" l="1"/>
  <c r="H20" i="23"/>
  <c r="J20" i="23" s="1"/>
  <c r="I21" i="24"/>
  <c r="H21" i="24"/>
  <c r="J21" i="24" s="1"/>
  <c r="K21" i="24" s="1"/>
  <c r="C18" i="5"/>
  <c r="G48" i="8"/>
  <c r="G52" i="8" s="1"/>
  <c r="G54" i="8" s="1"/>
  <c r="F34" i="7"/>
  <c r="L18" i="22"/>
  <c r="K20" i="23" l="1"/>
  <c r="L21" i="24"/>
  <c r="F35" i="7"/>
  <c r="F42" i="7" s="1"/>
  <c r="C17" i="5"/>
  <c r="G56" i="8"/>
  <c r="F58" i="7" s="1"/>
  <c r="F60" i="7" s="1"/>
  <c r="I19" i="22"/>
  <c r="H19" i="22"/>
  <c r="J19" i="22" s="1"/>
  <c r="L20" i="23" l="1"/>
  <c r="I22" i="24"/>
  <c r="H22" i="24"/>
  <c r="J22" i="24" s="1"/>
  <c r="K22" i="24" s="1"/>
  <c r="L22" i="24" s="1"/>
  <c r="F51" i="7"/>
  <c r="F62" i="7" s="1"/>
  <c r="J105" i="13"/>
  <c r="G57" i="7"/>
  <c r="E79" i="13"/>
  <c r="K19" i="22"/>
  <c r="L19" i="22" s="1"/>
  <c r="H21" i="23" l="1"/>
  <c r="J21" i="23" s="1"/>
  <c r="I21" i="23"/>
  <c r="H23" i="24"/>
  <c r="J23" i="24" s="1"/>
  <c r="I23" i="24"/>
  <c r="I20" i="22"/>
  <c r="H20" i="22"/>
  <c r="J20" i="22" s="1"/>
  <c r="G34" i="12"/>
  <c r="G27" i="12"/>
  <c r="H27" i="12" s="1"/>
  <c r="I27" i="12" s="1"/>
  <c r="G29" i="12"/>
  <c r="H29" i="12" s="1"/>
  <c r="I29" i="12" s="1"/>
  <c r="G30" i="12"/>
  <c r="H30" i="12" s="1"/>
  <c r="I30" i="12" s="1"/>
  <c r="G9" i="12"/>
  <c r="H9" i="12" s="1"/>
  <c r="I9" i="12" s="1"/>
  <c r="G10" i="12"/>
  <c r="H10" i="12" s="1"/>
  <c r="I10" i="12" s="1"/>
  <c r="G11" i="12"/>
  <c r="H11" i="12" s="1"/>
  <c r="I11" i="12" s="1"/>
  <c r="G8" i="12"/>
  <c r="H8" i="12" s="1"/>
  <c r="I8" i="12" s="1"/>
  <c r="G34" i="10"/>
  <c r="G27" i="10"/>
  <c r="H27" i="10" s="1"/>
  <c r="G29" i="10"/>
  <c r="H29" i="10" s="1"/>
  <c r="G30" i="10"/>
  <c r="H30" i="10" s="1"/>
  <c r="G9" i="10"/>
  <c r="H9" i="10" s="1"/>
  <c r="I9" i="10" s="1"/>
  <c r="G10" i="10"/>
  <c r="H10" i="10" s="1"/>
  <c r="I10" i="10" s="1"/>
  <c r="G11" i="10"/>
  <c r="H11" i="10" s="1"/>
  <c r="I11" i="10" s="1"/>
  <c r="G8" i="10"/>
  <c r="F17" i="7"/>
  <c r="E20" i="13"/>
  <c r="E23" i="13" s="1"/>
  <c r="F27" i="7"/>
  <c r="F32" i="12"/>
  <c r="E32" i="12"/>
  <c r="F20" i="12"/>
  <c r="F22" i="12" s="1"/>
  <c r="E20" i="12"/>
  <c r="E22" i="12" s="1"/>
  <c r="F32" i="10"/>
  <c r="F36" i="10" s="1"/>
  <c r="E32" i="10"/>
  <c r="E36" i="10" s="1"/>
  <c r="K21" i="23" l="1"/>
  <c r="L21" i="23" s="1"/>
  <c r="K23" i="24"/>
  <c r="L23" i="24" s="1"/>
  <c r="K20" i="22"/>
  <c r="L20" i="22" s="1"/>
  <c r="F44" i="10"/>
  <c r="D76" i="14"/>
  <c r="G25" i="11"/>
  <c r="B13" i="17"/>
  <c r="H34" i="10"/>
  <c r="B15" i="16"/>
  <c r="B13" i="16"/>
  <c r="H34" i="12"/>
  <c r="B15" i="17"/>
  <c r="E38" i="15"/>
  <c r="E38" i="13"/>
  <c r="F46" i="10"/>
  <c r="E36" i="12"/>
  <c r="E44" i="12" s="1"/>
  <c r="F36" i="12"/>
  <c r="H8" i="10"/>
  <c r="H13" i="10" s="1"/>
  <c r="G13" i="10"/>
  <c r="G17" i="7"/>
  <c r="E26" i="13"/>
  <c r="H13" i="12"/>
  <c r="H17" i="12" s="1"/>
  <c r="H32" i="12"/>
  <c r="C14" i="17" s="1"/>
  <c r="G32" i="10"/>
  <c r="G13" i="12"/>
  <c r="G17" i="12" s="1"/>
  <c r="G32" i="12"/>
  <c r="B14" i="17" s="1"/>
  <c r="E35" i="13"/>
  <c r="I22" i="23" l="1"/>
  <c r="H22" i="23"/>
  <c r="J22" i="23" s="1"/>
  <c r="K22" i="23" s="1"/>
  <c r="L22" i="23" s="1"/>
  <c r="I24" i="24"/>
  <c r="H24" i="24"/>
  <c r="J24" i="24" s="1"/>
  <c r="K24" i="24" s="1"/>
  <c r="L24" i="24" s="1"/>
  <c r="C15" i="16"/>
  <c r="G17" i="10"/>
  <c r="G70" i="20" s="1"/>
  <c r="G79" i="20" s="1"/>
  <c r="F35" i="14"/>
  <c r="H17" i="10"/>
  <c r="H20" i="10" s="1"/>
  <c r="H17" i="7"/>
  <c r="I21" i="22"/>
  <c r="H21" i="22"/>
  <c r="J21" i="22" s="1"/>
  <c r="E34" i="9"/>
  <c r="E42" i="9" s="1"/>
  <c r="B18" i="16"/>
  <c r="F44" i="12"/>
  <c r="D76" i="15"/>
  <c r="F48" i="10"/>
  <c r="D64" i="14"/>
  <c r="I102" i="14" s="1"/>
  <c r="I99" i="14"/>
  <c r="H25" i="11"/>
  <c r="H23" i="11" s="1"/>
  <c r="H27" i="11" s="1"/>
  <c r="G23" i="11"/>
  <c r="G27" i="11" s="1"/>
  <c r="F26" i="15" s="1"/>
  <c r="G104" i="21"/>
  <c r="G112" i="21" s="1"/>
  <c r="G71" i="21"/>
  <c r="G72" i="21"/>
  <c r="G80" i="21" s="1"/>
  <c r="I8" i="10"/>
  <c r="G103" i="21"/>
  <c r="E44" i="15"/>
  <c r="E32" i="15"/>
  <c r="B5" i="17"/>
  <c r="B9" i="17" s="1"/>
  <c r="C5" i="17"/>
  <c r="C9" i="17" s="1"/>
  <c r="F32" i="15"/>
  <c r="E32" i="14"/>
  <c r="G72" i="20"/>
  <c r="G80" i="20" s="1"/>
  <c r="B5" i="16"/>
  <c r="I34" i="12"/>
  <c r="D15" i="17" s="1"/>
  <c r="C15" i="17"/>
  <c r="C13" i="16"/>
  <c r="C5" i="16"/>
  <c r="F32" i="14"/>
  <c r="G104" i="20"/>
  <c r="G112" i="20" s="1"/>
  <c r="F35" i="15"/>
  <c r="C12" i="17"/>
  <c r="C13" i="17"/>
  <c r="E41" i="14"/>
  <c r="B14" i="16"/>
  <c r="G71" i="20"/>
  <c r="E85" i="13"/>
  <c r="E35" i="14"/>
  <c r="E35" i="15"/>
  <c r="E26" i="14"/>
  <c r="E41" i="15"/>
  <c r="F26" i="14"/>
  <c r="F44" i="15"/>
  <c r="G38" i="15"/>
  <c r="F38" i="15"/>
  <c r="F41" i="15"/>
  <c r="E44" i="14"/>
  <c r="E26" i="15"/>
  <c r="F44" i="14"/>
  <c r="E58" i="13"/>
  <c r="F52" i="10"/>
  <c r="F54" i="10" s="1"/>
  <c r="G20" i="13"/>
  <c r="G23" i="13" s="1"/>
  <c r="F20" i="13"/>
  <c r="F23" i="13" s="1"/>
  <c r="F38" i="13"/>
  <c r="E55" i="13"/>
  <c r="F46" i="12"/>
  <c r="E46" i="12"/>
  <c r="E48" i="12"/>
  <c r="E52" i="12" s="1"/>
  <c r="E54" i="12" s="1"/>
  <c r="I111" i="13"/>
  <c r="G27" i="7"/>
  <c r="G35" i="13"/>
  <c r="H27" i="7"/>
  <c r="H32" i="10"/>
  <c r="I13" i="12"/>
  <c r="I17" i="12" s="1"/>
  <c r="I32" i="12"/>
  <c r="D14" i="17" s="1"/>
  <c r="H23" i="23" l="1"/>
  <c r="J23" i="23" s="1"/>
  <c r="I23" i="23"/>
  <c r="I25" i="24"/>
  <c r="H25" i="24"/>
  <c r="J25" i="24" s="1"/>
  <c r="K25" i="24" s="1"/>
  <c r="L25" i="24" s="1"/>
  <c r="F20" i="14"/>
  <c r="F23" i="14" s="1"/>
  <c r="C9" i="16"/>
  <c r="B9" i="16"/>
  <c r="B12" i="16"/>
  <c r="G20" i="10"/>
  <c r="C12" i="16"/>
  <c r="G83" i="20"/>
  <c r="E86" i="20" s="1"/>
  <c r="F26" i="13"/>
  <c r="G26" i="13"/>
  <c r="K21" i="22"/>
  <c r="L21" i="22" s="1"/>
  <c r="F48" i="12"/>
  <c r="B18" i="17"/>
  <c r="F56" i="10"/>
  <c r="B17" i="16"/>
  <c r="D64" i="15"/>
  <c r="I102" i="15" s="1"/>
  <c r="I99" i="15"/>
  <c r="D8" i="14"/>
  <c r="D11" i="14"/>
  <c r="E51" i="9"/>
  <c r="I13" i="10"/>
  <c r="H22" i="10"/>
  <c r="F73" i="14" s="1"/>
  <c r="G102" i="20"/>
  <c r="G111" i="20" s="1"/>
  <c r="G115" i="20" s="1"/>
  <c r="E118" i="20" s="1"/>
  <c r="K72" i="21"/>
  <c r="K69" i="21"/>
  <c r="K71" i="21"/>
  <c r="K70" i="21"/>
  <c r="E78" i="21"/>
  <c r="E82" i="21" s="1"/>
  <c r="E85" i="21" s="1"/>
  <c r="K68" i="21"/>
  <c r="M68" i="21" s="1"/>
  <c r="N68" i="21" s="1"/>
  <c r="G102" i="21"/>
  <c r="G111" i="21" s="1"/>
  <c r="G115" i="21" s="1"/>
  <c r="E118" i="21" s="1"/>
  <c r="H20" i="12"/>
  <c r="D13" i="17"/>
  <c r="G135" i="21"/>
  <c r="K103" i="21"/>
  <c r="K102" i="21"/>
  <c r="K101" i="21"/>
  <c r="E110" i="21"/>
  <c r="E114" i="21" s="1"/>
  <c r="E117" i="21" s="1"/>
  <c r="K100" i="21"/>
  <c r="M100" i="21" s="1"/>
  <c r="N100" i="21" s="1"/>
  <c r="K104" i="21"/>
  <c r="G35" i="15"/>
  <c r="G136" i="21"/>
  <c r="G144" i="21" s="1"/>
  <c r="G134" i="21"/>
  <c r="G143" i="21" s="1"/>
  <c r="D13" i="16"/>
  <c r="G70" i="21"/>
  <c r="G79" i="21" s="1"/>
  <c r="G83" i="21" s="1"/>
  <c r="E86" i="21" s="1"/>
  <c r="G20" i="12"/>
  <c r="B12" i="17"/>
  <c r="E78" i="20"/>
  <c r="E82" i="20" s="1"/>
  <c r="E85" i="20" s="1"/>
  <c r="E88" i="20" s="1"/>
  <c r="K72" i="20"/>
  <c r="K68" i="20"/>
  <c r="M68" i="20" s="1"/>
  <c r="N68" i="20" s="1"/>
  <c r="K69" i="20"/>
  <c r="K71" i="20"/>
  <c r="K70" i="20"/>
  <c r="G136" i="20"/>
  <c r="G144" i="20" s="1"/>
  <c r="G44" i="15"/>
  <c r="G32" i="15"/>
  <c r="D5" i="17"/>
  <c r="D9" i="17" s="1"/>
  <c r="F41" i="14"/>
  <c r="C14" i="16"/>
  <c r="G103" i="20"/>
  <c r="G26" i="15"/>
  <c r="G41" i="15"/>
  <c r="G38" i="13"/>
  <c r="F52" i="12"/>
  <c r="F54" i="12" s="1"/>
  <c r="B17" i="17" s="1"/>
  <c r="F35" i="13"/>
  <c r="K23" i="23" l="1"/>
  <c r="L23" i="23" s="1"/>
  <c r="H26" i="24"/>
  <c r="J26" i="24" s="1"/>
  <c r="I26" i="24"/>
  <c r="B24" i="16"/>
  <c r="J70" i="20"/>
  <c r="J69" i="20" s="1"/>
  <c r="E20" i="14"/>
  <c r="E23" i="14" s="1"/>
  <c r="G22" i="10"/>
  <c r="G26" i="14"/>
  <c r="I17" i="10"/>
  <c r="F56" i="12"/>
  <c r="D82" i="15" s="1"/>
  <c r="G44" i="14"/>
  <c r="I22" i="22"/>
  <c r="H22" i="22"/>
  <c r="J22" i="22" s="1"/>
  <c r="D5" i="16"/>
  <c r="G32" i="14"/>
  <c r="G35" i="14"/>
  <c r="B24" i="17"/>
  <c r="B26" i="17" s="1"/>
  <c r="B29" i="17" s="1"/>
  <c r="I105" i="15"/>
  <c r="I108" i="15" s="1"/>
  <c r="I111" i="15" s="1"/>
  <c r="D85" i="15"/>
  <c r="D79" i="15"/>
  <c r="D55" i="14"/>
  <c r="D52" i="14"/>
  <c r="E62" i="9"/>
  <c r="D79" i="14"/>
  <c r="D82" i="14"/>
  <c r="I105" i="14"/>
  <c r="I108" i="14" s="1"/>
  <c r="I111" i="14" s="1"/>
  <c r="H36" i="10"/>
  <c r="H44" i="10" s="1"/>
  <c r="G147" i="21"/>
  <c r="E150" i="21" s="1"/>
  <c r="I20" i="12"/>
  <c r="G20" i="15" s="1"/>
  <c r="G23" i="15" s="1"/>
  <c r="D12" i="17"/>
  <c r="E120" i="21"/>
  <c r="J102" i="21" s="1"/>
  <c r="J104" i="21" s="1"/>
  <c r="E110" i="20"/>
  <c r="E114" i="20" s="1"/>
  <c r="E117" i="20" s="1"/>
  <c r="E120" i="20" s="1"/>
  <c r="K104" i="20"/>
  <c r="K103" i="20"/>
  <c r="K102" i="20"/>
  <c r="K100" i="20"/>
  <c r="M100" i="20" s="1"/>
  <c r="N100" i="20" s="1"/>
  <c r="K101" i="20"/>
  <c r="G22" i="12"/>
  <c r="E20" i="15"/>
  <c r="E23" i="15" s="1"/>
  <c r="K134" i="21"/>
  <c r="E142" i="21"/>
  <c r="E146" i="21" s="1"/>
  <c r="E149" i="21" s="1"/>
  <c r="K133" i="21"/>
  <c r="K136" i="21"/>
  <c r="K132" i="21"/>
  <c r="M132" i="21" s="1"/>
  <c r="N132" i="21" s="1"/>
  <c r="K135" i="21"/>
  <c r="H22" i="12"/>
  <c r="F20" i="15"/>
  <c r="F23" i="15" s="1"/>
  <c r="E88" i="21"/>
  <c r="J70" i="21" s="1"/>
  <c r="J72" i="20"/>
  <c r="I22" i="12"/>
  <c r="F10" i="7"/>
  <c r="I24" i="23" l="1"/>
  <c r="H24" i="23"/>
  <c r="J24" i="23" s="1"/>
  <c r="K24" i="23" s="1"/>
  <c r="L24" i="23" s="1"/>
  <c r="L70" i="20"/>
  <c r="J71" i="20"/>
  <c r="K26" i="24"/>
  <c r="L26" i="24" s="1"/>
  <c r="H46" i="10"/>
  <c r="H48" i="10" s="1"/>
  <c r="G36" i="10"/>
  <c r="E73" i="14"/>
  <c r="J102" i="20"/>
  <c r="L102" i="20" s="1"/>
  <c r="D9" i="16"/>
  <c r="B26" i="16"/>
  <c r="D12" i="16"/>
  <c r="I20" i="10"/>
  <c r="F20" i="7"/>
  <c r="F29" i="7" s="1"/>
  <c r="K22" i="22"/>
  <c r="L22" i="22" s="1"/>
  <c r="F76" i="14"/>
  <c r="E152" i="21"/>
  <c r="J134" i="21" s="1"/>
  <c r="J136" i="21" s="1"/>
  <c r="F8" i="11"/>
  <c r="B31" i="17"/>
  <c r="L102" i="21"/>
  <c r="L104" i="21" s="1"/>
  <c r="M104" i="21" s="1"/>
  <c r="N104" i="21" s="1"/>
  <c r="J103" i="21"/>
  <c r="J101" i="21"/>
  <c r="H36" i="12"/>
  <c r="F73" i="15"/>
  <c r="E73" i="15"/>
  <c r="G36" i="12"/>
  <c r="J72" i="21"/>
  <c r="L70" i="21"/>
  <c r="J69" i="21"/>
  <c r="J71" i="21"/>
  <c r="J103" i="20"/>
  <c r="L71" i="20"/>
  <c r="M71" i="20" s="1"/>
  <c r="M70" i="20"/>
  <c r="N70" i="20" s="1"/>
  <c r="L69" i="20"/>
  <c r="M69" i="20" s="1"/>
  <c r="N69" i="20" s="1"/>
  <c r="L72" i="20"/>
  <c r="M72" i="20" s="1"/>
  <c r="N72" i="20" s="1"/>
  <c r="G73" i="15"/>
  <c r="I36" i="12"/>
  <c r="K99" i="14"/>
  <c r="I25" i="23" l="1"/>
  <c r="H25" i="23"/>
  <c r="J25" i="23" s="1"/>
  <c r="K25" i="23" s="1"/>
  <c r="L25" i="23" s="1"/>
  <c r="N71" i="20"/>
  <c r="D18" i="16"/>
  <c r="I27" i="24"/>
  <c r="H27" i="24"/>
  <c r="J27" i="24" s="1"/>
  <c r="G34" i="9"/>
  <c r="J101" i="20"/>
  <c r="J104" i="20"/>
  <c r="G44" i="10"/>
  <c r="E76" i="14"/>
  <c r="B29" i="16"/>
  <c r="G20" i="14"/>
  <c r="G23" i="14" s="1"/>
  <c r="I22" i="10"/>
  <c r="G73" i="14" s="1"/>
  <c r="F66" i="7"/>
  <c r="F68" i="7" s="1"/>
  <c r="E64" i="13"/>
  <c r="J102" i="13" s="1"/>
  <c r="L134" i="21"/>
  <c r="L136" i="21" s="1"/>
  <c r="M136" i="21" s="1"/>
  <c r="N136" i="21" s="1"/>
  <c r="J135" i="21"/>
  <c r="I23" i="22"/>
  <c r="H23" i="22"/>
  <c r="J23" i="22" s="1"/>
  <c r="J133" i="21"/>
  <c r="H52" i="10"/>
  <c r="H54" i="10" s="1"/>
  <c r="C28" i="17"/>
  <c r="F10" i="11"/>
  <c r="F20" i="11" s="1"/>
  <c r="M102" i="21"/>
  <c r="N102" i="21" s="1"/>
  <c r="L101" i="21"/>
  <c r="M101" i="21" s="1"/>
  <c r="N101" i="21" s="1"/>
  <c r="L103" i="21"/>
  <c r="M103" i="21" s="1"/>
  <c r="N103" i="21" s="1"/>
  <c r="E76" i="15"/>
  <c r="G44" i="12"/>
  <c r="G46" i="12" s="1"/>
  <c r="F34" i="11" s="1"/>
  <c r="L71" i="21"/>
  <c r="M71" i="21" s="1"/>
  <c r="N71" i="21" s="1"/>
  <c r="L72" i="21"/>
  <c r="M72" i="21" s="1"/>
  <c r="N72" i="21" s="1"/>
  <c r="L69" i="21"/>
  <c r="M69" i="21" s="1"/>
  <c r="N69" i="21" s="1"/>
  <c r="M70" i="21"/>
  <c r="N70" i="21" s="1"/>
  <c r="H44" i="12"/>
  <c r="H46" i="12" s="1"/>
  <c r="G34" i="11" s="1"/>
  <c r="F76" i="15"/>
  <c r="L101" i="20"/>
  <c r="M101" i="20" s="1"/>
  <c r="L104" i="20"/>
  <c r="M104" i="20" s="1"/>
  <c r="N104" i="20" s="1"/>
  <c r="M102" i="20"/>
  <c r="N102" i="20" s="1"/>
  <c r="L103" i="20"/>
  <c r="M103" i="20" s="1"/>
  <c r="N103" i="20" s="1"/>
  <c r="G76" i="15"/>
  <c r="I44" i="12"/>
  <c r="I46" i="12" s="1"/>
  <c r="H34" i="11" s="1"/>
  <c r="E5" i="13"/>
  <c r="E8" i="13"/>
  <c r="E11" i="13"/>
  <c r="E61" i="13"/>
  <c r="J96" i="13"/>
  <c r="E29" i="13"/>
  <c r="E82" i="13"/>
  <c r="E52" i="13"/>
  <c r="I26" i="23" l="1"/>
  <c r="H26" i="23"/>
  <c r="J26" i="23" s="1"/>
  <c r="K26" i="23" s="1"/>
  <c r="L26" i="23" s="1"/>
  <c r="N101" i="20"/>
  <c r="K27" i="24"/>
  <c r="D16" i="24"/>
  <c r="B31" i="16"/>
  <c r="F8" i="9"/>
  <c r="H56" i="10"/>
  <c r="G58" i="9" s="1"/>
  <c r="G46" i="10"/>
  <c r="J99" i="14"/>
  <c r="L135" i="21"/>
  <c r="M135" i="21" s="1"/>
  <c r="N135" i="21" s="1"/>
  <c r="J108" i="13"/>
  <c r="J111" i="13" s="1"/>
  <c r="L133" i="21"/>
  <c r="M133" i="21" s="1"/>
  <c r="N133" i="21" s="1"/>
  <c r="M134" i="21"/>
  <c r="N134" i="21" s="1"/>
  <c r="K23" i="22"/>
  <c r="L23" i="22" s="1"/>
  <c r="I24" i="22" s="1"/>
  <c r="G35" i="9"/>
  <c r="G42" i="9" s="1"/>
  <c r="D17" i="16"/>
  <c r="F29" i="11"/>
  <c r="C18" i="17"/>
  <c r="J99" i="15"/>
  <c r="K99" i="15"/>
  <c r="I48" i="12"/>
  <c r="L99" i="15"/>
  <c r="I27" i="23" l="1"/>
  <c r="H27" i="23"/>
  <c r="J27" i="23" s="1"/>
  <c r="L27" i="24"/>
  <c r="D17" i="24"/>
  <c r="D18" i="24" s="1"/>
  <c r="F79" i="14"/>
  <c r="K105" i="14"/>
  <c r="G51" i="9"/>
  <c r="F34" i="9"/>
  <c r="C18" i="16"/>
  <c r="G48" i="10"/>
  <c r="H24" i="22"/>
  <c r="J24" i="22" s="1"/>
  <c r="K24" i="22" s="1"/>
  <c r="L24" i="22" s="1"/>
  <c r="I25" i="22" s="1"/>
  <c r="I52" i="12"/>
  <c r="I54" i="12" s="1"/>
  <c r="H35" i="11" s="1"/>
  <c r="H42" i="11" s="1"/>
  <c r="H51" i="11" s="1"/>
  <c r="J96" i="15"/>
  <c r="E29" i="15"/>
  <c r="G48" i="12"/>
  <c r="G52" i="12" s="1"/>
  <c r="G54" i="12" s="1"/>
  <c r="G56" i="12" s="1"/>
  <c r="H48" i="12"/>
  <c r="D18" i="17"/>
  <c r="K27" i="23" l="1"/>
  <c r="D16" i="23"/>
  <c r="I28" i="24"/>
  <c r="H28" i="24"/>
  <c r="J28" i="24" s="1"/>
  <c r="G52" i="10"/>
  <c r="G54" i="10" s="1"/>
  <c r="G56" i="10" s="1"/>
  <c r="H25" i="22"/>
  <c r="J25" i="22" s="1"/>
  <c r="K25" i="22" s="1"/>
  <c r="L25" i="22" s="1"/>
  <c r="I26" i="22" s="1"/>
  <c r="I56" i="12"/>
  <c r="H58" i="11" s="1"/>
  <c r="H52" i="12"/>
  <c r="H54" i="12" s="1"/>
  <c r="H56" i="12" s="1"/>
  <c r="L27" i="23" l="1"/>
  <c r="D17" i="23"/>
  <c r="D18" i="23" s="1"/>
  <c r="K28" i="24"/>
  <c r="L28" i="24" s="1"/>
  <c r="I29" i="24" s="1"/>
  <c r="F58" i="9"/>
  <c r="J105" i="14"/>
  <c r="E79" i="14"/>
  <c r="C17" i="16"/>
  <c r="F35" i="9"/>
  <c r="F42" i="9" s="1"/>
  <c r="H26" i="22"/>
  <c r="J26" i="22" s="1"/>
  <c r="K26" i="22" s="1"/>
  <c r="L26" i="22" s="1"/>
  <c r="I27" i="22" s="1"/>
  <c r="G79" i="15"/>
  <c r="G35" i="11"/>
  <c r="G42" i="11" s="1"/>
  <c r="G51" i="11" s="1"/>
  <c r="G58" i="11"/>
  <c r="C17" i="17"/>
  <c r="F35" i="11"/>
  <c r="F42" i="11" s="1"/>
  <c r="F58" i="11"/>
  <c r="L105" i="15"/>
  <c r="D17" i="17"/>
  <c r="E82" i="15"/>
  <c r="I29" i="10"/>
  <c r="I27" i="10"/>
  <c r="I30" i="10"/>
  <c r="I34" i="10"/>
  <c r="H29" i="24" l="1"/>
  <c r="H28" i="23"/>
  <c r="I28" i="23"/>
  <c r="F51" i="9"/>
  <c r="C24" i="16"/>
  <c r="F60" i="9"/>
  <c r="G57" i="9"/>
  <c r="D24" i="17"/>
  <c r="D26" i="17" s="1"/>
  <c r="C24" i="17"/>
  <c r="C26" i="17" s="1"/>
  <c r="C29" i="17" s="1"/>
  <c r="J29" i="24"/>
  <c r="J105" i="15"/>
  <c r="H27" i="22"/>
  <c r="F79" i="15"/>
  <c r="E79" i="15"/>
  <c r="K105" i="15"/>
  <c r="F51" i="11"/>
  <c r="E5" i="15"/>
  <c r="E8" i="15"/>
  <c r="E11" i="15"/>
  <c r="F60" i="11"/>
  <c r="G57" i="11"/>
  <c r="D15" i="16"/>
  <c r="G134" i="20"/>
  <c r="G143" i="20" s="1"/>
  <c r="G147" i="20" s="1"/>
  <c r="E150" i="20" s="1"/>
  <c r="I32" i="10"/>
  <c r="J28" i="23" l="1"/>
  <c r="K29" i="24"/>
  <c r="C26" i="16"/>
  <c r="G60" i="9"/>
  <c r="H57" i="9"/>
  <c r="E58" i="14"/>
  <c r="F62" i="9"/>
  <c r="E85" i="14"/>
  <c r="E55" i="14"/>
  <c r="G8" i="11"/>
  <c r="D28" i="17" s="1"/>
  <c r="D29" i="17" s="1"/>
  <c r="C31" i="17"/>
  <c r="J27" i="22"/>
  <c r="D16" i="22" s="1"/>
  <c r="F62" i="11"/>
  <c r="F66" i="11" s="1"/>
  <c r="F68" i="11" s="1"/>
  <c r="E58" i="15"/>
  <c r="E64" i="15"/>
  <c r="J102" i="15" s="1"/>
  <c r="J108" i="15" s="1"/>
  <c r="J111" i="15" s="1"/>
  <c r="E61" i="15"/>
  <c r="E85" i="15"/>
  <c r="G60" i="11"/>
  <c r="H57" i="11"/>
  <c r="H60" i="11" s="1"/>
  <c r="E55" i="15"/>
  <c r="E52" i="15"/>
  <c r="D14" i="16"/>
  <c r="G135" i="20"/>
  <c r="I36" i="10"/>
  <c r="G41" i="14"/>
  <c r="G10" i="11" l="1"/>
  <c r="G20" i="11" s="1"/>
  <c r="K28" i="23"/>
  <c r="L29" i="24"/>
  <c r="D24" i="16"/>
  <c r="D26" i="16" s="1"/>
  <c r="F58" i="14"/>
  <c r="G62" i="9"/>
  <c r="F55" i="14"/>
  <c r="F85" i="14"/>
  <c r="K27" i="22"/>
  <c r="G62" i="11"/>
  <c r="F58" i="15"/>
  <c r="F85" i="15"/>
  <c r="F55" i="15"/>
  <c r="H62" i="11"/>
  <c r="G58" i="15"/>
  <c r="G55" i="15"/>
  <c r="G85" i="15"/>
  <c r="D31" i="17"/>
  <c r="H8" i="11"/>
  <c r="H10" i="11" s="1"/>
  <c r="H20" i="11" s="1"/>
  <c r="G29" i="11"/>
  <c r="F5" i="15"/>
  <c r="F11" i="15"/>
  <c r="F8" i="15"/>
  <c r="K133" i="20"/>
  <c r="K136" i="20"/>
  <c r="K132" i="20"/>
  <c r="M132" i="20" s="1"/>
  <c r="N132" i="20" s="1"/>
  <c r="K135" i="20"/>
  <c r="K134" i="20"/>
  <c r="E142" i="20"/>
  <c r="E146" i="20" s="1"/>
  <c r="E149" i="20" s="1"/>
  <c r="E152" i="20" s="1"/>
  <c r="I44" i="10"/>
  <c r="G76" i="14"/>
  <c r="L28" i="23" l="1"/>
  <c r="H30" i="24"/>
  <c r="J30" i="24" s="1"/>
  <c r="I30" i="24"/>
  <c r="J134" i="20"/>
  <c r="J135" i="20" s="1"/>
  <c r="I46" i="10"/>
  <c r="H34" i="9" s="1"/>
  <c r="H44" i="8"/>
  <c r="G66" i="11"/>
  <c r="G68" i="11" s="1"/>
  <c r="C16" i="5"/>
  <c r="G103" i="19"/>
  <c r="F44" i="13"/>
  <c r="D17" i="22"/>
  <c r="L27" i="22"/>
  <c r="K96" i="15"/>
  <c r="F61" i="15"/>
  <c r="F29" i="15"/>
  <c r="F52" i="15"/>
  <c r="F64" i="15"/>
  <c r="K102" i="15" s="1"/>
  <c r="F82" i="15"/>
  <c r="G8" i="15"/>
  <c r="G11" i="15"/>
  <c r="G5" i="15"/>
  <c r="H29" i="11"/>
  <c r="H66" i="11" s="1"/>
  <c r="L99" i="14"/>
  <c r="J136" i="20" l="1"/>
  <c r="H29" i="23"/>
  <c r="J29" i="23" s="1"/>
  <c r="I29" i="23"/>
  <c r="L134" i="20"/>
  <c r="L135" i="20" s="1"/>
  <c r="M135" i="20" s="1"/>
  <c r="N135" i="20" s="1"/>
  <c r="K30" i="24"/>
  <c r="J133" i="20"/>
  <c r="C24" i="5"/>
  <c r="H46" i="8"/>
  <c r="K99" i="13"/>
  <c r="G49" i="7"/>
  <c r="I28" i="22"/>
  <c r="H28" i="22"/>
  <c r="J28" i="22" s="1"/>
  <c r="K100" i="19"/>
  <c r="M100" i="19" s="1"/>
  <c r="N100" i="19" s="1"/>
  <c r="K101" i="19"/>
  <c r="K103" i="19"/>
  <c r="E110" i="19"/>
  <c r="E114" i="19" s="1"/>
  <c r="E117" i="19" s="1"/>
  <c r="E120" i="19" s="1"/>
  <c r="K102" i="19"/>
  <c r="K104" i="19"/>
  <c r="D18" i="22"/>
  <c r="H68" i="11"/>
  <c r="L96" i="15"/>
  <c r="G29" i="15"/>
  <c r="G64" i="15"/>
  <c r="L102" i="15" s="1"/>
  <c r="G61" i="15"/>
  <c r="G52" i="15"/>
  <c r="G82" i="15"/>
  <c r="K108" i="15"/>
  <c r="K111" i="15" s="1"/>
  <c r="M134" i="20"/>
  <c r="N134" i="20" s="1"/>
  <c r="I48" i="10"/>
  <c r="L136" i="20" l="1"/>
  <c r="M136" i="20" s="1"/>
  <c r="N136" i="20" s="1"/>
  <c r="L133" i="20"/>
  <c r="M133" i="20" s="1"/>
  <c r="N133" i="20" s="1"/>
  <c r="K29" i="23"/>
  <c r="L30" i="24"/>
  <c r="J102" i="19"/>
  <c r="J103" i="19" s="1"/>
  <c r="C26" i="5"/>
  <c r="C29" i="5" s="1"/>
  <c r="C31" i="5" s="1"/>
  <c r="H48" i="8"/>
  <c r="K28" i="22"/>
  <c r="L28" i="22" s="1"/>
  <c r="H29" i="22" s="1"/>
  <c r="J29" i="22" s="1"/>
  <c r="G34" i="7"/>
  <c r="D18" i="5"/>
  <c r="I52" i="10"/>
  <c r="I54" i="10" s="1"/>
  <c r="L108" i="15"/>
  <c r="L111" i="15" s="1"/>
  <c r="L29" i="23" l="1"/>
  <c r="I31" i="24"/>
  <c r="H31" i="24"/>
  <c r="J31" i="24" s="1"/>
  <c r="H35" i="9"/>
  <c r="H42" i="9" s="1"/>
  <c r="H52" i="8"/>
  <c r="H54" i="8" s="1"/>
  <c r="H56" i="8" s="1"/>
  <c r="L102" i="19"/>
  <c r="L101" i="19" s="1"/>
  <c r="M101" i="19" s="1"/>
  <c r="J104" i="19"/>
  <c r="J101" i="19"/>
  <c r="G8" i="7"/>
  <c r="D28" i="5" s="1"/>
  <c r="I29" i="22"/>
  <c r="K29" i="22" s="1"/>
  <c r="I56" i="10"/>
  <c r="I30" i="23" l="1"/>
  <c r="H30" i="23"/>
  <c r="J30" i="23" s="1"/>
  <c r="K31" i="24"/>
  <c r="H51" i="9"/>
  <c r="G79" i="14"/>
  <c r="M102" i="19"/>
  <c r="N102" i="19" s="1"/>
  <c r="L103" i="19"/>
  <c r="M103" i="19" s="1"/>
  <c r="N103" i="19" s="1"/>
  <c r="L104" i="19"/>
  <c r="M104" i="19" s="1"/>
  <c r="N104" i="19" s="1"/>
  <c r="N101" i="19"/>
  <c r="G10" i="7"/>
  <c r="D17" i="5"/>
  <c r="G58" i="7"/>
  <c r="G60" i="7" s="1"/>
  <c r="G35" i="7"/>
  <c r="G42" i="7" s="1"/>
  <c r="L105" i="14"/>
  <c r="H58" i="9"/>
  <c r="H60" i="9" s="1"/>
  <c r="L29" i="22"/>
  <c r="K30" i="23" l="1"/>
  <c r="L31" i="24"/>
  <c r="G55" i="14"/>
  <c r="G58" i="14"/>
  <c r="G85" i="14"/>
  <c r="G20" i="7"/>
  <c r="G29" i="7" s="1"/>
  <c r="F61" i="13" s="1"/>
  <c r="G51" i="7"/>
  <c r="G62" i="7" s="1"/>
  <c r="H57" i="7"/>
  <c r="K105" i="13"/>
  <c r="F79" i="13"/>
  <c r="H62" i="9"/>
  <c r="F58" i="13"/>
  <c r="F85" i="13"/>
  <c r="I30" i="22"/>
  <c r="H30" i="22"/>
  <c r="J30" i="22" s="1"/>
  <c r="L30" i="23" l="1"/>
  <c r="H32" i="24"/>
  <c r="J32" i="24" s="1"/>
  <c r="I32" i="24"/>
  <c r="F64" i="13"/>
  <c r="K102" i="13" s="1"/>
  <c r="F82" i="13"/>
  <c r="F11" i="13"/>
  <c r="F29" i="13"/>
  <c r="F8" i="13"/>
  <c r="F5" i="13"/>
  <c r="K96" i="13"/>
  <c r="G66" i="7"/>
  <c r="G68" i="7" s="1"/>
  <c r="F55" i="13"/>
  <c r="F52" i="13"/>
  <c r="K30" i="22"/>
  <c r="C28" i="16"/>
  <c r="F10" i="9"/>
  <c r="I31" i="23" l="1"/>
  <c r="H31" i="23"/>
  <c r="J31" i="23" s="1"/>
  <c r="K32" i="24"/>
  <c r="L32" i="24" s="1"/>
  <c r="C29" i="16"/>
  <c r="C31" i="16" s="1"/>
  <c r="F20" i="9"/>
  <c r="E5" i="14" s="1"/>
  <c r="K108" i="13"/>
  <c r="K111" i="13" s="1"/>
  <c r="L30" i="22"/>
  <c r="G8" i="9"/>
  <c r="D28" i="16" s="1"/>
  <c r="K31" i="23" l="1"/>
  <c r="I33" i="24"/>
  <c r="H33" i="24"/>
  <c r="J33" i="24" s="1"/>
  <c r="K33" i="24" s="1"/>
  <c r="L33" i="24" s="1"/>
  <c r="E8" i="14"/>
  <c r="E11" i="14"/>
  <c r="F29" i="9"/>
  <c r="E52" i="14" s="1"/>
  <c r="D29" i="16"/>
  <c r="D31" i="16" s="1"/>
  <c r="G10" i="9"/>
  <c r="I31" i="22"/>
  <c r="H31" i="22"/>
  <c r="J31" i="22" s="1"/>
  <c r="F66" i="9"/>
  <c r="F68" i="9" s="1"/>
  <c r="L31" i="23" l="1"/>
  <c r="I34" i="24"/>
  <c r="H34" i="24"/>
  <c r="J34" i="24" s="1"/>
  <c r="K34" i="24" s="1"/>
  <c r="L34" i="24" s="1"/>
  <c r="J96" i="14"/>
  <c r="E29" i="14"/>
  <c r="E64" i="14"/>
  <c r="J102" i="14" s="1"/>
  <c r="J108" i="14" s="1"/>
  <c r="J111" i="14" s="1"/>
  <c r="E82" i="14"/>
  <c r="E61" i="14"/>
  <c r="H8" i="9"/>
  <c r="H10" i="9" s="1"/>
  <c r="H20" i="9" s="1"/>
  <c r="G5" i="14" s="1"/>
  <c r="G20" i="9"/>
  <c r="F8" i="14" s="1"/>
  <c r="K31" i="22"/>
  <c r="I32" i="23" l="1"/>
  <c r="H32" i="23"/>
  <c r="J32" i="23" s="1"/>
  <c r="I35" i="24"/>
  <c r="H35" i="24"/>
  <c r="J35" i="24" s="1"/>
  <c r="G29" i="9"/>
  <c r="G66" i="9" s="1"/>
  <c r="G68" i="9" s="1"/>
  <c r="F11" i="14"/>
  <c r="G8" i="14"/>
  <c r="G11" i="14"/>
  <c r="H29" i="9"/>
  <c r="G61" i="14" s="1"/>
  <c r="F5" i="14"/>
  <c r="F64" i="14"/>
  <c r="K102" i="14" s="1"/>
  <c r="F82" i="14"/>
  <c r="F52" i="14"/>
  <c r="L31" i="22"/>
  <c r="K96" i="14" l="1"/>
  <c r="K35" i="24"/>
  <c r="L35" i="24" s="1"/>
  <c r="H36" i="24" s="1"/>
  <c r="F29" i="14"/>
  <c r="F61" i="14"/>
  <c r="I36" i="24"/>
  <c r="K32" i="23"/>
  <c r="L96" i="14"/>
  <c r="G82" i="14"/>
  <c r="H66" i="9"/>
  <c r="H68" i="9" s="1"/>
  <c r="G29" i="14"/>
  <c r="G52" i="14"/>
  <c r="G64" i="14"/>
  <c r="L102" i="14" s="1"/>
  <c r="J36" i="24"/>
  <c r="K36" i="24" s="1"/>
  <c r="L36" i="24" s="1"/>
  <c r="K108" i="14"/>
  <c r="K111" i="14" s="1"/>
  <c r="I32" i="22"/>
  <c r="H32" i="22"/>
  <c r="J32" i="22" s="1"/>
  <c r="N6" i="20"/>
  <c r="L5" i="20"/>
  <c r="M5" i="20" s="1"/>
  <c r="N5" i="20" s="1"/>
  <c r="L108" i="14" l="1"/>
  <c r="L111" i="14" s="1"/>
  <c r="L32" i="23"/>
  <c r="I37" i="24"/>
  <c r="H37" i="24"/>
  <c r="K32" i="22"/>
  <c r="L32" i="22" s="1"/>
  <c r="L8" i="20"/>
  <c r="L7" i="20"/>
  <c r="I33" i="23" l="1"/>
  <c r="H33" i="23"/>
  <c r="J33" i="23" s="1"/>
  <c r="K33" i="23" s="1"/>
  <c r="L33" i="23" s="1"/>
  <c r="J37" i="24"/>
  <c r="K37" i="24" s="1"/>
  <c r="L37" i="24" s="1"/>
  <c r="I33" i="22"/>
  <c r="H33" i="22"/>
  <c r="J33" i="22" s="1"/>
  <c r="M7" i="20"/>
  <c r="N7" i="20" s="1"/>
  <c r="M8" i="20"/>
  <c r="N8" i="20" s="1"/>
  <c r="I34" i="23" l="1"/>
  <c r="H34" i="23"/>
  <c r="J34" i="23" s="1"/>
  <c r="I38" i="24"/>
  <c r="H38" i="24"/>
  <c r="K33" i="22"/>
  <c r="L33" i="22" s="1"/>
  <c r="K34" i="23" l="1"/>
  <c r="L34" i="23" s="1"/>
  <c r="I35" i="23" s="1"/>
  <c r="J38" i="24"/>
  <c r="K38" i="24" s="1"/>
  <c r="L38" i="24" s="1"/>
  <c r="I34" i="22"/>
  <c r="H34" i="22"/>
  <c r="J34" i="22" s="1"/>
  <c r="H35" i="23" l="1"/>
  <c r="J35" i="23" s="1"/>
  <c r="K35" i="23" s="1"/>
  <c r="L35" i="23" s="1"/>
  <c r="I36" i="23" s="1"/>
  <c r="I39" i="24"/>
  <c r="H39" i="24"/>
  <c r="K34" i="22"/>
  <c r="L34" i="22" s="1"/>
  <c r="I35" i="22" s="1"/>
  <c r="H36" i="23" l="1"/>
  <c r="J36" i="23" s="1"/>
  <c r="K36" i="23" s="1"/>
  <c r="L36" i="23" s="1"/>
  <c r="I37" i="23" s="1"/>
  <c r="J39" i="24"/>
  <c r="H35" i="22"/>
  <c r="J35" i="22" s="1"/>
  <c r="K35" i="22" s="1"/>
  <c r="L35" i="22" s="1"/>
  <c r="I36" i="22" s="1"/>
  <c r="H37" i="23" l="1"/>
  <c r="J37" i="23" s="1"/>
  <c r="K37" i="23" s="1"/>
  <c r="L37" i="23" s="1"/>
  <c r="I38" i="23" s="1"/>
  <c r="K39" i="24"/>
  <c r="E16" i="24"/>
  <c r="H36" i="22"/>
  <c r="J36" i="22" s="1"/>
  <c r="K36" i="22" s="1"/>
  <c r="L36" i="22" s="1"/>
  <c r="I37" i="22" s="1"/>
  <c r="H38" i="23" l="1"/>
  <c r="J38" i="23" s="1"/>
  <c r="K38" i="23" s="1"/>
  <c r="L38" i="23" s="1"/>
  <c r="I39" i="23" s="1"/>
  <c r="L39" i="24"/>
  <c r="E17" i="24"/>
  <c r="E18" i="24" s="1"/>
  <c r="H37" i="22"/>
  <c r="J37" i="22" s="1"/>
  <c r="K37" i="22" s="1"/>
  <c r="L37" i="22" s="1"/>
  <c r="I38" i="22" s="1"/>
  <c r="H39" i="23" l="1"/>
  <c r="J39" i="23" s="1"/>
  <c r="K39" i="23" s="1"/>
  <c r="E16" i="23"/>
  <c r="I40" i="24"/>
  <c r="H40" i="24"/>
  <c r="J40" i="24" s="1"/>
  <c r="K40" i="24" s="1"/>
  <c r="L40" i="24" s="1"/>
  <c r="H41" i="24" s="1"/>
  <c r="H38" i="22"/>
  <c r="J38" i="22" s="1"/>
  <c r="K38" i="22" s="1"/>
  <c r="L38" i="22" s="1"/>
  <c r="I39" i="22" s="1"/>
  <c r="L39" i="23" l="1"/>
  <c r="E17" i="23"/>
  <c r="E18" i="23" s="1"/>
  <c r="I41" i="24"/>
  <c r="J41" i="24"/>
  <c r="H39" i="22"/>
  <c r="J39" i="22" s="1"/>
  <c r="K39" i="22" s="1"/>
  <c r="H40" i="23" l="1"/>
  <c r="J40" i="23" s="1"/>
  <c r="I40" i="23"/>
  <c r="K41" i="24"/>
  <c r="L41" i="24" s="1"/>
  <c r="H42" i="24" s="1"/>
  <c r="E16" i="22"/>
  <c r="L39" i="22"/>
  <c r="E17" i="22"/>
  <c r="I42" i="24" l="1"/>
  <c r="K40" i="23"/>
  <c r="L40" i="23" s="1"/>
  <c r="J42" i="24"/>
  <c r="K42" i="24" s="1"/>
  <c r="L42" i="24" s="1"/>
  <c r="H49" i="7"/>
  <c r="E18" i="22"/>
  <c r="I40" i="22"/>
  <c r="H40" i="22"/>
  <c r="J40" i="22" s="1"/>
  <c r="I41" i="23" l="1"/>
  <c r="H41" i="23"/>
  <c r="J41" i="23" s="1"/>
  <c r="K41" i="23" s="1"/>
  <c r="L41" i="23" s="1"/>
  <c r="I43" i="24"/>
  <c r="H43" i="24"/>
  <c r="I44" i="8"/>
  <c r="G44" i="13"/>
  <c r="D16" i="5"/>
  <c r="G135" i="19"/>
  <c r="K136" i="19" s="1"/>
  <c r="K40" i="22"/>
  <c r="L40" i="22" s="1"/>
  <c r="I42" i="23" l="1"/>
  <c r="H42" i="23"/>
  <c r="J42" i="23" s="1"/>
  <c r="K42" i="23" s="1"/>
  <c r="L42" i="23" s="1"/>
  <c r="J43" i="24"/>
  <c r="K43" i="24" s="1"/>
  <c r="L43" i="24" s="1"/>
  <c r="I46" i="8"/>
  <c r="D24" i="5"/>
  <c r="K132" i="19"/>
  <c r="M132" i="19" s="1"/>
  <c r="N132" i="19" s="1"/>
  <c r="L99" i="13"/>
  <c r="K133" i="19"/>
  <c r="K134" i="19"/>
  <c r="K135" i="19"/>
  <c r="E142" i="19"/>
  <c r="E146" i="19" s="1"/>
  <c r="E149" i="19" s="1"/>
  <c r="E152" i="19" s="1"/>
  <c r="I41" i="22"/>
  <c r="H41" i="22"/>
  <c r="J41" i="22" s="1"/>
  <c r="I43" i="23" l="1"/>
  <c r="H43" i="23"/>
  <c r="J43" i="23" s="1"/>
  <c r="K43" i="23" s="1"/>
  <c r="L43" i="23" s="1"/>
  <c r="H44" i="23" s="1"/>
  <c r="H44" i="24"/>
  <c r="I44" i="24"/>
  <c r="H34" i="7"/>
  <c r="I48" i="8"/>
  <c r="I52" i="8" s="1"/>
  <c r="I54" i="8" s="1"/>
  <c r="J134" i="19"/>
  <c r="J135" i="19" s="1"/>
  <c r="D26" i="5"/>
  <c r="D29" i="5" s="1"/>
  <c r="D31" i="5" s="1"/>
  <c r="K41" i="22"/>
  <c r="L41" i="22" s="1"/>
  <c r="I44" i="23" l="1"/>
  <c r="J44" i="24"/>
  <c r="K44" i="24" s="1"/>
  <c r="L44" i="24" s="1"/>
  <c r="J44" i="23"/>
  <c r="K44" i="23" s="1"/>
  <c r="L44" i="23" s="1"/>
  <c r="J133" i="19"/>
  <c r="J136" i="19"/>
  <c r="L134" i="19"/>
  <c r="L136" i="19" s="1"/>
  <c r="M136" i="19" s="1"/>
  <c r="H8" i="7"/>
  <c r="H10" i="7" s="1"/>
  <c r="I56" i="8"/>
  <c r="H35" i="7"/>
  <c r="H42" i="7" s="1"/>
  <c r="I42" i="22"/>
  <c r="H42" i="22"/>
  <c r="J42" i="22" s="1"/>
  <c r="I45" i="24" l="1"/>
  <c r="H45" i="24"/>
  <c r="I45" i="23"/>
  <c r="H45" i="23"/>
  <c r="L133" i="19"/>
  <c r="M133" i="19" s="1"/>
  <c r="N133" i="19" s="1"/>
  <c r="L135" i="19"/>
  <c r="M135" i="19" s="1"/>
  <c r="N135" i="19" s="1"/>
  <c r="H20" i="7"/>
  <c r="H29" i="7" s="1"/>
  <c r="G82" i="13" s="1"/>
  <c r="N136" i="19"/>
  <c r="M134" i="19"/>
  <c r="N134" i="19" s="1"/>
  <c r="L105" i="13"/>
  <c r="H58" i="7"/>
  <c r="H60" i="7" s="1"/>
  <c r="G79" i="13"/>
  <c r="H51" i="7"/>
  <c r="K42" i="22"/>
  <c r="L42" i="22" s="1"/>
  <c r="I43" i="22" s="1"/>
  <c r="J45" i="24" l="1"/>
  <c r="K45" i="24" s="1"/>
  <c r="L45" i="24" s="1"/>
  <c r="J45" i="23"/>
  <c r="K45" i="23" s="1"/>
  <c r="L45" i="23" s="1"/>
  <c r="G64" i="13"/>
  <c r="L102" i="13" s="1"/>
  <c r="G11" i="13"/>
  <c r="G5" i="13"/>
  <c r="G29" i="13"/>
  <c r="G8" i="13"/>
  <c r="G52" i="13"/>
  <c r="L96" i="13"/>
  <c r="G58" i="13"/>
  <c r="G85" i="13"/>
  <c r="G61" i="13"/>
  <c r="G55" i="13"/>
  <c r="H62" i="7"/>
  <c r="H66" i="7" s="1"/>
  <c r="H68" i="7" s="1"/>
  <c r="H43" i="22"/>
  <c r="J43" i="22" s="1"/>
  <c r="K43" i="22" s="1"/>
  <c r="L43" i="22" s="1"/>
  <c r="I44" i="22" s="1"/>
  <c r="I46" i="24" l="1"/>
  <c r="H46" i="24"/>
  <c r="I46" i="23"/>
  <c r="H46" i="23"/>
  <c r="L108" i="13"/>
  <c r="L111" i="13" s="1"/>
  <c r="H44" i="22"/>
  <c r="J44" i="22" s="1"/>
  <c r="K44" i="22" s="1"/>
  <c r="L44" i="22" s="1"/>
  <c r="I45" i="22" s="1"/>
  <c r="J46" i="24" l="1"/>
  <c r="K46" i="24" s="1"/>
  <c r="L46" i="24" s="1"/>
  <c r="J46" i="23"/>
  <c r="K46" i="23" s="1"/>
  <c r="L46" i="23" s="1"/>
  <c r="H45" i="22"/>
  <c r="J45" i="22" s="1"/>
  <c r="K45" i="22" s="1"/>
  <c r="L45" i="22" s="1"/>
  <c r="I46" i="22" s="1"/>
  <c r="I47" i="24" l="1"/>
  <c r="H47" i="24"/>
  <c r="I47" i="23"/>
  <c r="H47" i="23"/>
  <c r="H46" i="22"/>
  <c r="J46" i="22" s="1"/>
  <c r="K46" i="22" s="1"/>
  <c r="L46" i="22" s="1"/>
  <c r="I47" i="22" s="1"/>
  <c r="J47" i="24" l="1"/>
  <c r="K47" i="24" s="1"/>
  <c r="L47" i="24" s="1"/>
  <c r="J47" i="23"/>
  <c r="K47" i="23" s="1"/>
  <c r="L47" i="23" s="1"/>
  <c r="H47" i="22"/>
  <c r="J47" i="22" s="1"/>
  <c r="K47" i="22" s="1"/>
  <c r="L47" i="22" s="1"/>
  <c r="I48" i="22" s="1"/>
  <c r="H48" i="24" l="1"/>
  <c r="I48" i="24"/>
  <c r="H48" i="23"/>
  <c r="I48" i="23"/>
  <c r="H48" i="22"/>
  <c r="J48" i="22" s="1"/>
  <c r="K48" i="22" s="1"/>
  <c r="L48" i="22" s="1"/>
  <c r="I49" i="22" s="1"/>
  <c r="J48" i="24" l="1"/>
  <c r="K48" i="24" s="1"/>
  <c r="L48" i="24" s="1"/>
  <c r="J48" i="23"/>
  <c r="K48" i="23" s="1"/>
  <c r="L48" i="23" s="1"/>
  <c r="H49" i="22"/>
  <c r="J49" i="22" s="1"/>
  <c r="K49" i="22" s="1"/>
  <c r="L49" i="22" s="1"/>
  <c r="I49" i="24" l="1"/>
  <c r="H49" i="24"/>
  <c r="I49" i="23"/>
  <c r="H49" i="23"/>
  <c r="I50" i="22"/>
  <c r="H50" i="22"/>
  <c r="J50" i="22" s="1"/>
  <c r="J49" i="24" l="1"/>
  <c r="K49" i="24" s="1"/>
  <c r="L49" i="24" s="1"/>
  <c r="J49" i="23"/>
  <c r="K49" i="23" s="1"/>
  <c r="L49" i="23" s="1"/>
  <c r="K50" i="22"/>
  <c r="L50" i="22" s="1"/>
  <c r="I51" i="22" s="1"/>
  <c r="I50" i="24" l="1"/>
  <c r="H50" i="24"/>
  <c r="I50" i="23"/>
  <c r="H50" i="23"/>
  <c r="H51" i="22"/>
  <c r="J51" i="22" s="1"/>
  <c r="K51" i="22" s="1"/>
  <c r="L51" i="22" s="1"/>
  <c r="J50" i="24" l="1"/>
  <c r="K50" i="24" s="1"/>
  <c r="L50" i="24" s="1"/>
  <c r="J50" i="23"/>
  <c r="K50" i="23" s="1"/>
  <c r="L50" i="23" s="1"/>
  <c r="H52" i="22"/>
  <c r="J52" i="22" s="1"/>
  <c r="I52" i="22"/>
  <c r="I51" i="24" l="1"/>
  <c r="H51" i="24"/>
  <c r="I51" i="23"/>
  <c r="H51" i="23"/>
  <c r="K52" i="22"/>
  <c r="L52" i="22" s="1"/>
  <c r="I53" i="22" s="1"/>
  <c r="J51" i="24" l="1"/>
  <c r="K51" i="24" s="1"/>
  <c r="L51" i="24" s="1"/>
  <c r="J51" i="23"/>
  <c r="K51" i="23" s="1"/>
  <c r="L51" i="23" s="1"/>
  <c r="H53" i="22"/>
  <c r="J53" i="22" s="1"/>
  <c r="K53" i="22" s="1"/>
  <c r="L53" i="22" s="1"/>
  <c r="H52" i="24" l="1"/>
  <c r="I52" i="24"/>
  <c r="H52" i="23"/>
  <c r="I52" i="23"/>
  <c r="I54" i="22"/>
  <c r="H54" i="22"/>
  <c r="J54" i="22" s="1"/>
  <c r="J52" i="24" l="1"/>
  <c r="K52" i="24" s="1"/>
  <c r="L52" i="24" s="1"/>
  <c r="J52" i="23"/>
  <c r="K52" i="23" s="1"/>
  <c r="L52" i="23" s="1"/>
  <c r="K54" i="22"/>
  <c r="L54" i="22" s="1"/>
  <c r="I53" i="24" l="1"/>
  <c r="H53" i="24"/>
  <c r="I53" i="23"/>
  <c r="H53" i="23"/>
  <c r="H55" i="22"/>
  <c r="J55" i="22" s="1"/>
  <c r="I55" i="22"/>
  <c r="J53" i="24" l="1"/>
  <c r="K53" i="24" s="1"/>
  <c r="L53" i="24" s="1"/>
  <c r="J53" i="23"/>
  <c r="K53" i="23" s="1"/>
  <c r="L53" i="23" s="1"/>
  <c r="K55" i="22"/>
  <c r="L55" i="22" s="1"/>
  <c r="I56" i="22" s="1"/>
  <c r="I54" i="24" l="1"/>
  <c r="H54" i="24"/>
  <c r="I54" i="23"/>
  <c r="H54" i="23"/>
  <c r="H56" i="22"/>
  <c r="J56" i="22" s="1"/>
  <c r="K56" i="22" s="1"/>
  <c r="L56" i="22" s="1"/>
  <c r="I57" i="22" s="1"/>
  <c r="J54" i="24" l="1"/>
  <c r="K54" i="24" s="1"/>
  <c r="L54" i="24" s="1"/>
  <c r="J54" i="23"/>
  <c r="K54" i="23" s="1"/>
  <c r="L54" i="23" s="1"/>
  <c r="H57" i="22"/>
  <c r="J57" i="22" s="1"/>
  <c r="K57" i="22" s="1"/>
  <c r="L57" i="22" s="1"/>
  <c r="H58" i="22" s="1"/>
  <c r="J58" i="22" s="1"/>
  <c r="I55" i="24" l="1"/>
  <c r="H55" i="24"/>
  <c r="I55" i="23"/>
  <c r="H55" i="23"/>
  <c r="I58" i="22"/>
  <c r="K58" i="22" s="1"/>
  <c r="L58" i="22" s="1"/>
  <c r="H59" i="22" s="1"/>
  <c r="J59" i="22" s="1"/>
  <c r="J55" i="24" l="1"/>
  <c r="K55" i="24" s="1"/>
  <c r="L55" i="24" s="1"/>
  <c r="J55" i="23"/>
  <c r="K55" i="23" s="1"/>
  <c r="L55" i="23" s="1"/>
  <c r="I59" i="22"/>
  <c r="K59" i="22" s="1"/>
  <c r="L59" i="22" s="1"/>
  <c r="H56" i="24" l="1"/>
  <c r="I56" i="24"/>
  <c r="H56" i="23"/>
  <c r="I56" i="23"/>
  <c r="H60" i="22"/>
  <c r="J60" i="22" s="1"/>
  <c r="I60" i="22"/>
  <c r="J56" i="24" l="1"/>
  <c r="K56" i="24" s="1"/>
  <c r="L56" i="24" s="1"/>
  <c r="J56" i="23"/>
  <c r="K56" i="23" s="1"/>
  <c r="L56" i="23" s="1"/>
  <c r="K60" i="22"/>
  <c r="L60" i="22" s="1"/>
  <c r="I61" i="22" s="1"/>
  <c r="I57" i="24" l="1"/>
  <c r="H57" i="24"/>
  <c r="I57" i="23"/>
  <c r="H57" i="23"/>
  <c r="H61" i="22"/>
  <c r="J61" i="22" s="1"/>
  <c r="K61" i="22" s="1"/>
  <c r="L61" i="22" s="1"/>
  <c r="I62" i="22" s="1"/>
  <c r="J57" i="24" l="1"/>
  <c r="K57" i="24" s="1"/>
  <c r="L57" i="24" s="1"/>
  <c r="J57" i="23"/>
  <c r="K57" i="23" s="1"/>
  <c r="L57" i="23" s="1"/>
  <c r="H62" i="22"/>
  <c r="J62" i="22" s="1"/>
  <c r="K62" i="22" s="1"/>
  <c r="L62" i="22" s="1"/>
  <c r="I58" i="24" l="1"/>
  <c r="H58" i="24"/>
  <c r="I58" i="23"/>
  <c r="H58" i="23"/>
  <c r="I63" i="22"/>
  <c r="H63" i="22"/>
  <c r="J63" i="22" s="1"/>
  <c r="J58" i="24" l="1"/>
  <c r="K58" i="24" s="1"/>
  <c r="L58" i="24" s="1"/>
  <c r="J58" i="23"/>
  <c r="K58" i="23" s="1"/>
  <c r="L58" i="23" s="1"/>
  <c r="K63" i="22"/>
  <c r="L63" i="22" s="1"/>
  <c r="I59" i="24" l="1"/>
  <c r="H59" i="24"/>
  <c r="I59" i="23"/>
  <c r="H59" i="23"/>
  <c r="J59" i="24" l="1"/>
  <c r="K59" i="24" s="1"/>
  <c r="L59" i="24" s="1"/>
  <c r="J59" i="23"/>
  <c r="K59" i="23" s="1"/>
  <c r="L59" i="23" s="1"/>
  <c r="H60" i="24" l="1"/>
  <c r="I60" i="24"/>
  <c r="H60" i="23"/>
  <c r="I60" i="23"/>
  <c r="J60" i="24" l="1"/>
  <c r="K60" i="24" s="1"/>
  <c r="L60" i="24" s="1"/>
  <c r="J60" i="23"/>
  <c r="K60" i="23" s="1"/>
  <c r="L60" i="23" s="1"/>
  <c r="I61" i="24" l="1"/>
  <c r="H61" i="24"/>
  <c r="I61" i="23"/>
  <c r="H61" i="23"/>
  <c r="J61" i="24" l="1"/>
  <c r="K61" i="24" s="1"/>
  <c r="L61" i="24" s="1"/>
  <c r="J61" i="23"/>
  <c r="K61" i="23" s="1"/>
  <c r="L61" i="23" s="1"/>
  <c r="I62" i="24" l="1"/>
  <c r="H62" i="24"/>
  <c r="I62" i="23"/>
  <c r="H62" i="23"/>
  <c r="J62" i="24" l="1"/>
  <c r="K62" i="24" s="1"/>
  <c r="L62" i="24" s="1"/>
  <c r="J62" i="23"/>
  <c r="K62" i="23" s="1"/>
  <c r="L62" i="23" s="1"/>
  <c r="I63" i="24" l="1"/>
  <c r="H63" i="24"/>
  <c r="I63" i="23"/>
  <c r="H63" i="23"/>
  <c r="J63" i="24" l="1"/>
  <c r="K63" i="24" s="1"/>
  <c r="L63" i="24" s="1"/>
  <c r="J63" i="23"/>
  <c r="K63" i="23" s="1"/>
  <c r="L63" i="23" s="1"/>
</calcChain>
</file>

<file path=xl/comments1.xml><?xml version="1.0" encoding="utf-8"?>
<comments xmlns="http://schemas.openxmlformats.org/spreadsheetml/2006/main">
  <authors>
    <author>RENATO</author>
  </authors>
  <commentList>
    <comment ref="B2" authorId="0" shapeId="0">
      <text>
        <r>
          <rPr>
            <b/>
            <sz val="9"/>
            <color indexed="81"/>
            <rFont val="Tahoma"/>
            <charset val="1"/>
          </rPr>
          <t>NO MODIFICAR</t>
        </r>
      </text>
    </comment>
    <comment ref="F2" authorId="0" shapeId="0">
      <text>
        <r>
          <rPr>
            <b/>
            <sz val="9"/>
            <color indexed="81"/>
            <rFont val="Tahoma"/>
            <charset val="1"/>
          </rPr>
          <t>NO MODIFICAR</t>
        </r>
      </text>
    </comment>
    <comment ref="J2" authorId="0" shapeId="0">
      <text>
        <r>
          <rPr>
            <b/>
            <sz val="9"/>
            <color indexed="81"/>
            <rFont val="Tahoma"/>
            <charset val="1"/>
          </rPr>
          <t>NO MODIFICAR</t>
        </r>
      </text>
    </comment>
  </commentList>
</comments>
</file>

<file path=xl/comments2.xml><?xml version="1.0" encoding="utf-8"?>
<comments xmlns="http://schemas.openxmlformats.org/spreadsheetml/2006/main">
  <authors>
    <author>ARP</author>
  </authors>
  <commentList>
    <comment ref="E93" authorId="0" shapeId="0">
      <text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12"/>
            <rFont val="Tahoma"/>
            <family val="2"/>
          </rPr>
          <t>ROE =</t>
        </r>
        <r>
          <rPr>
            <sz val="8"/>
            <color indexed="81"/>
            <rFont val="Tahoma"/>
            <family val="2"/>
          </rPr>
          <t xml:space="preserve"> ROTACIÓN </t>
        </r>
        <r>
          <rPr>
            <sz val="8"/>
            <color indexed="12"/>
            <rFont val="Tahoma"/>
            <family val="2"/>
          </rPr>
          <t xml:space="preserve"> x</t>
        </r>
        <r>
          <rPr>
            <sz val="8"/>
            <color indexed="81"/>
            <rFont val="Tahoma"/>
            <family val="2"/>
          </rPr>
          <t xml:space="preserve">  MARGEN</t>
        </r>
        <r>
          <rPr>
            <sz val="8"/>
            <color indexed="12"/>
            <rFont val="Tahoma"/>
            <family val="2"/>
          </rPr>
          <t xml:space="preserve"> x</t>
        </r>
        <r>
          <rPr>
            <sz val="8"/>
            <color indexed="81"/>
            <rFont val="Tahoma"/>
            <family val="2"/>
          </rPr>
          <t xml:space="preserve"> APALANCAMIENTO </t>
        </r>
        <r>
          <rPr>
            <sz val="8"/>
            <color indexed="12"/>
            <rFont val="Tahoma"/>
            <family val="2"/>
          </rPr>
          <t>x</t>
        </r>
        <r>
          <rPr>
            <sz val="8"/>
            <color indexed="81"/>
            <rFont val="Tahoma"/>
            <family val="2"/>
          </rPr>
          <t xml:space="preserve"> EFECTO FISCAL</t>
        </r>
      </text>
    </comment>
  </commentList>
</comments>
</file>

<file path=xl/comments3.xml><?xml version="1.0" encoding="utf-8"?>
<comments xmlns="http://schemas.openxmlformats.org/spreadsheetml/2006/main">
  <authors>
    <author>ARP</author>
  </authors>
  <commentList>
    <comment ref="E93" authorId="0" shapeId="0">
      <text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12"/>
            <rFont val="Tahoma"/>
            <family val="2"/>
          </rPr>
          <t>ROE =</t>
        </r>
        <r>
          <rPr>
            <sz val="8"/>
            <color indexed="81"/>
            <rFont val="Tahoma"/>
            <family val="2"/>
          </rPr>
          <t xml:space="preserve"> ROTACIÓN </t>
        </r>
        <r>
          <rPr>
            <sz val="8"/>
            <color indexed="12"/>
            <rFont val="Tahoma"/>
            <family val="2"/>
          </rPr>
          <t xml:space="preserve"> x</t>
        </r>
        <r>
          <rPr>
            <sz val="8"/>
            <color indexed="81"/>
            <rFont val="Tahoma"/>
            <family val="2"/>
          </rPr>
          <t xml:space="preserve">  MARGEN</t>
        </r>
        <r>
          <rPr>
            <sz val="8"/>
            <color indexed="12"/>
            <rFont val="Tahoma"/>
            <family val="2"/>
          </rPr>
          <t xml:space="preserve"> x</t>
        </r>
        <r>
          <rPr>
            <sz val="8"/>
            <color indexed="81"/>
            <rFont val="Tahoma"/>
            <family val="2"/>
          </rPr>
          <t xml:space="preserve"> APALANCAMIENTO </t>
        </r>
        <r>
          <rPr>
            <sz val="8"/>
            <color indexed="12"/>
            <rFont val="Tahoma"/>
            <family val="2"/>
          </rPr>
          <t>x</t>
        </r>
        <r>
          <rPr>
            <sz val="8"/>
            <color indexed="81"/>
            <rFont val="Tahoma"/>
            <family val="2"/>
          </rPr>
          <t xml:space="preserve"> EFECTO FISCAL</t>
        </r>
      </text>
    </comment>
  </commentList>
</comments>
</file>

<file path=xl/comments4.xml><?xml version="1.0" encoding="utf-8"?>
<comments xmlns="http://schemas.openxmlformats.org/spreadsheetml/2006/main">
  <authors>
    <author>ARP</author>
  </authors>
  <commentList>
    <comment ref="E93" authorId="0" shapeId="0">
      <text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12"/>
            <rFont val="Tahoma"/>
            <family val="2"/>
          </rPr>
          <t>ROE =</t>
        </r>
        <r>
          <rPr>
            <sz val="8"/>
            <color indexed="81"/>
            <rFont val="Tahoma"/>
            <family val="2"/>
          </rPr>
          <t xml:space="preserve"> ROTACIÓN </t>
        </r>
        <r>
          <rPr>
            <sz val="8"/>
            <color indexed="12"/>
            <rFont val="Tahoma"/>
            <family val="2"/>
          </rPr>
          <t xml:space="preserve"> x</t>
        </r>
        <r>
          <rPr>
            <sz val="8"/>
            <color indexed="81"/>
            <rFont val="Tahoma"/>
            <family val="2"/>
          </rPr>
          <t xml:space="preserve">  MARGEN</t>
        </r>
        <r>
          <rPr>
            <sz val="8"/>
            <color indexed="12"/>
            <rFont val="Tahoma"/>
            <family val="2"/>
          </rPr>
          <t xml:space="preserve"> x</t>
        </r>
        <r>
          <rPr>
            <sz val="8"/>
            <color indexed="81"/>
            <rFont val="Tahoma"/>
            <family val="2"/>
          </rPr>
          <t xml:space="preserve"> APALANCAMIENTO </t>
        </r>
        <r>
          <rPr>
            <sz val="8"/>
            <color indexed="12"/>
            <rFont val="Tahoma"/>
            <family val="2"/>
          </rPr>
          <t>x</t>
        </r>
        <r>
          <rPr>
            <sz val="8"/>
            <color indexed="81"/>
            <rFont val="Tahoma"/>
            <family val="2"/>
          </rPr>
          <t xml:space="preserve"> EFECTO FISCAL</t>
        </r>
      </text>
    </comment>
  </commentList>
</comments>
</file>

<file path=xl/sharedStrings.xml><?xml version="1.0" encoding="utf-8"?>
<sst xmlns="http://schemas.openxmlformats.org/spreadsheetml/2006/main" count="1583" uniqueCount="285">
  <si>
    <t>DITECNIA CIA. LTDA</t>
  </si>
  <si>
    <t>ESTADO DE SITUACIÓN FINANCIERA</t>
  </si>
  <si>
    <t>VALOR US$</t>
  </si>
  <si>
    <t>ACTIVO</t>
  </si>
  <si>
    <t>ACTIVO CORRIENTE</t>
  </si>
  <si>
    <t>BANCOS</t>
  </si>
  <si>
    <t xml:space="preserve">     TOTAL EFECTIVO</t>
  </si>
  <si>
    <t>CUENTAS POR COBRAR</t>
  </si>
  <si>
    <t xml:space="preserve">     CUENTAS POR COBRAR</t>
  </si>
  <si>
    <t xml:space="preserve">    (-) PROVISION INCOBRABLES</t>
  </si>
  <si>
    <t>OTRAS CUENTAS POR COBRAR</t>
  </si>
  <si>
    <t>IMPUESTO A LA RENTA PREPAGADO</t>
  </si>
  <si>
    <t>IMPUESTO VALOR AGREGADO PREPAGADO</t>
  </si>
  <si>
    <t>INVENTARIOS</t>
  </si>
  <si>
    <t xml:space="preserve">     TOTAL ACTIVO CORRIENTE</t>
  </si>
  <si>
    <t>ACTIVO NO CORRIENTE</t>
  </si>
  <si>
    <t>PROPIEDAD PLANTA Y EQUIPO</t>
  </si>
  <si>
    <t xml:space="preserve">     PROPIEDAD PLANTA Y EQUIPO</t>
  </si>
  <si>
    <t xml:space="preserve">    (-) DEPRECIACIÓN ACUMULADA</t>
  </si>
  <si>
    <t xml:space="preserve">     TOTAL ACTIVO NO CORRIENTE</t>
  </si>
  <si>
    <t xml:space="preserve">     TOTAL ACTIVO</t>
  </si>
  <si>
    <t>PASIVO</t>
  </si>
  <si>
    <t>PASIVO CORRIENTE</t>
  </si>
  <si>
    <t>SUELDOS PRESTACIONES SOCIALES</t>
  </si>
  <si>
    <t>IMPUESTOS POR PAGAR</t>
  </si>
  <si>
    <t>PASIVOS FINANCIEROS</t>
  </si>
  <si>
    <t>ACREEDORES COMERCIALES</t>
  </si>
  <si>
    <t>PRESTAMOS SOCIOS O ACCIONISTAS</t>
  </si>
  <si>
    <t>INGRESOS DIFERIDOS</t>
  </si>
  <si>
    <t>ACREEDORES VARIOS</t>
  </si>
  <si>
    <t xml:space="preserve">     TOTAL PASIVO CORRIENTE</t>
  </si>
  <si>
    <t>PASIVO NO CORRIENTE</t>
  </si>
  <si>
    <t>SOCIOS POR PAGAR</t>
  </si>
  <si>
    <t xml:space="preserve">     TOTAL PASIVO NO CORRIENTE </t>
  </si>
  <si>
    <t xml:space="preserve">     TOTAL PASIVO</t>
  </si>
  <si>
    <t>PATRIMONIO</t>
  </si>
  <si>
    <t>CAPITAL SOCIAL</t>
  </si>
  <si>
    <t>APORTE FUTURAS CAPITALIZACIONES</t>
  </si>
  <si>
    <t>RESERVAS</t>
  </si>
  <si>
    <t>RESULTADOS ACUMULADOS</t>
  </si>
  <si>
    <t>RESULTADO DEL EJERCICIO</t>
  </si>
  <si>
    <t xml:space="preserve">     TOTAL PATRIMONIO</t>
  </si>
  <si>
    <t xml:space="preserve">     TOTAL PASIVO Y PATRIMONIO</t>
  </si>
  <si>
    <t>DITECNIA CIA. LTDA.</t>
  </si>
  <si>
    <t>INGRESOS</t>
  </si>
  <si>
    <t>INGRESOS ORDINARIOS</t>
  </si>
  <si>
    <t>VENTAS GRAVADAS</t>
  </si>
  <si>
    <t>VENTAS EXENTAS</t>
  </si>
  <si>
    <t>(-)DESCUENTO EN VENTAS</t>
  </si>
  <si>
    <t>(-)DEVOLUCION EN VENTAS</t>
  </si>
  <si>
    <t xml:space="preserve">     INGRESOS ORDINARIOS</t>
  </si>
  <si>
    <t>INGRESOS EXTRAORDINARIOS</t>
  </si>
  <si>
    <t xml:space="preserve">     INGRESOS EXTRA ORDINARIOS</t>
  </si>
  <si>
    <t>EGRESOS</t>
  </si>
  <si>
    <t>EGRESOS ORDINARIOS</t>
  </si>
  <si>
    <t>COSTOS DIRECTOS</t>
  </si>
  <si>
    <t>COSTOS INDIRECTOS</t>
  </si>
  <si>
    <t xml:space="preserve">     COSTOS</t>
  </si>
  <si>
    <t>GASTOS</t>
  </si>
  <si>
    <t>GASTO DE ADMINISTRACIÓN</t>
  </si>
  <si>
    <t>SUELDOS Y PRESTACIONES SOCIALES</t>
  </si>
  <si>
    <t>HONORARIOS SERVICIOS COMPRADOS</t>
  </si>
  <si>
    <t>DEPRECIACIONES Y AMORTIZACIONES</t>
  </si>
  <si>
    <t>IMPUESTOS TASAS Y CONTRIBUCIONES</t>
  </si>
  <si>
    <t>OTROS DE ADMINISTRACION</t>
  </si>
  <si>
    <t xml:space="preserve">     GASTO DE ADMINISTRACIÓN</t>
  </si>
  <si>
    <t xml:space="preserve">     GASTO DE VENTA</t>
  </si>
  <si>
    <t>GASTO FINANCIERO</t>
  </si>
  <si>
    <t xml:space="preserve">     GASTO FINANCIERO</t>
  </si>
  <si>
    <t>VENTAS</t>
  </si>
  <si>
    <t>ACTIVO FIJO</t>
  </si>
  <si>
    <t>ACTIVO CIRCULANTE</t>
  </si>
  <si>
    <t>X</t>
  </si>
  <si>
    <t>RENTABILIDAD</t>
  </si>
  <si>
    <t xml:space="preserve"> =</t>
  </si>
  <si>
    <t>RUBRO</t>
  </si>
  <si>
    <t>AÑOS</t>
  </si>
  <si>
    <t xml:space="preserve">INGRESOS  </t>
  </si>
  <si>
    <t>Ingresos por ventas</t>
  </si>
  <si>
    <t>TOTAL</t>
  </si>
  <si>
    <t>ESPERADO</t>
  </si>
  <si>
    <t>OPTIMISTA</t>
  </si>
  <si>
    <t>PESIMISTA</t>
  </si>
  <si>
    <t>RATIOS</t>
  </si>
  <si>
    <t>FÓRMULA</t>
  </si>
  <si>
    <t>EXPLICACIÓN</t>
  </si>
  <si>
    <t>LIQUIDEZ</t>
  </si>
  <si>
    <t>PASIVO CIRCULANTE</t>
  </si>
  <si>
    <t>ENDEUDAMIENTO</t>
  </si>
  <si>
    <t>FINANCIERA</t>
  </si>
  <si>
    <t>FÓRMULAS</t>
  </si>
  <si>
    <t>PERIODOS</t>
  </si>
  <si>
    <t>ECONÓMICA</t>
  </si>
  <si>
    <t>ROTACIÓN</t>
  </si>
  <si>
    <t>MARGEN</t>
  </si>
  <si>
    <t>APALANCAMIENTO</t>
  </si>
  <si>
    <t xml:space="preserve">   ACTIVO   </t>
  </si>
  <si>
    <t>C.PROPIOS</t>
  </si>
  <si>
    <t>EFECTO FISCAL</t>
  </si>
  <si>
    <t>RENTABILIDAD (ROE)</t>
  </si>
  <si>
    <t>C. PROPIOS</t>
  </si>
  <si>
    <t xml:space="preserve"> = </t>
  </si>
  <si>
    <t>RENTABILIDAD EN %</t>
  </si>
  <si>
    <t>DESCOMPOSICIÓN DE RENTABILIDAD</t>
  </si>
  <si>
    <t>FINANCIEROS</t>
  </si>
  <si>
    <t>Datos proyectados de acuerdo a la inflación</t>
  </si>
  <si>
    <t>SUPUESTO</t>
  </si>
  <si>
    <t>%</t>
  </si>
  <si>
    <t>DATOS DEL PUNTO DE EQUILIBRIO</t>
  </si>
  <si>
    <t>PE=</t>
  </si>
  <si>
    <t>Costo fijo</t>
  </si>
  <si>
    <t>DETALLE</t>
  </si>
  <si>
    <t>USD</t>
  </si>
  <si>
    <t>-</t>
  </si>
  <si>
    <t>Costos variables totales</t>
  </si>
  <si>
    <t>Costos de variable</t>
  </si>
  <si>
    <t>Ventas totales</t>
  </si>
  <si>
    <t>Costos fijos</t>
  </si>
  <si>
    <t>UTILIDAD BRUTA</t>
  </si>
  <si>
    <t>UTILIDAD DE OPERACION</t>
  </si>
  <si>
    <t>UTILIDAD ANTES DE REPARTO</t>
  </si>
  <si>
    <t>15% PARTICIPACIÓN TRABAJADORES</t>
  </si>
  <si>
    <t>UTILIDAD ANTES DE IMPUESTOS</t>
  </si>
  <si>
    <t>GASTOS NO DEDUCIBLES</t>
  </si>
  <si>
    <t>UTILIDAD GRAVABLE</t>
  </si>
  <si>
    <t xml:space="preserve">IMPUESTO A LA RENTA </t>
  </si>
  <si>
    <t>(-) DESCUENTO EN VENTAS</t>
  </si>
  <si>
    <t>(-) DEVOLUCION EN VENTAS</t>
  </si>
  <si>
    <t>UTILIDAD DE OPERACIÓN</t>
  </si>
  <si>
    <t>PARTICIPACIÓN TRABAJADORES</t>
  </si>
  <si>
    <t>UTILIDAD NETA</t>
  </si>
  <si>
    <t xml:space="preserve">     EGRESOS EXTRA ORDINARIOS</t>
  </si>
  <si>
    <t xml:space="preserve">      EGRESOS EXTRA ORDINARIOS</t>
  </si>
  <si>
    <t>CAPITAL DE TRABAJO</t>
  </si>
  <si>
    <t>ACTIVO CIRCULATE  - PASIVO CIRCULANTE</t>
  </si>
  <si>
    <t>RAZÓN DE LA PRUEBA DEL ACIDO</t>
  </si>
  <si>
    <t>ACTIVO CIRCULANTE - INVENTARIOS</t>
  </si>
  <si>
    <t>ROTACIÓN DE INVENTARIOS</t>
  </si>
  <si>
    <t xml:space="preserve">COSTO DE VENTAS </t>
  </si>
  <si>
    <t>PROM. DE INVENTARIOS</t>
  </si>
  <si>
    <t>ROTACIÓN DE INVENTARIOS EN DÍAS</t>
  </si>
  <si>
    <t>DÍAS DEL PERIODO</t>
  </si>
  <si>
    <t>ROTACIÓN DE ACTIVOS FIJOS</t>
  </si>
  <si>
    <t xml:space="preserve">VENTAS </t>
  </si>
  <si>
    <t>ROTACIÓN DE VENTAS</t>
  </si>
  <si>
    <t>ACTIVO TOTAL</t>
  </si>
  <si>
    <t>ROTACIÓN DE CARTERA</t>
  </si>
  <si>
    <t>PERIODO MEDIO DE COBRANZA</t>
  </si>
  <si>
    <t>(CUENTAS POR COBRAR x 365)</t>
  </si>
  <si>
    <t>PERIODO MEDIO DE PAGO</t>
  </si>
  <si>
    <t>(CUENTAS POR PAGAR x 365)</t>
  </si>
  <si>
    <t>Indica el número de días que la empresa tarda en cubrir sus obligaciones de inventarios</t>
  </si>
  <si>
    <t>IMPACTO DE LOS GASTOS ADMINITRATIVOS Y DE VENTAS</t>
  </si>
  <si>
    <t>IMPACTO DE LA CARGA FINANCIERA</t>
  </si>
  <si>
    <t>(GASTOS ADMINISTRATIVOS Y DE VENTAS )</t>
  </si>
  <si>
    <t>(GASTOS FINANCIEROS)</t>
  </si>
  <si>
    <t>ACTIVIDAD</t>
  </si>
  <si>
    <t>ENDEUDAMIENTO DEL ACTIVO</t>
  </si>
  <si>
    <t>ENDEUDAMIENTO PATRIMONIAL</t>
  </si>
  <si>
    <t>ENDEUDAMIENTO DEL ACTIVO FIJO</t>
  </si>
  <si>
    <t>APALANCAMIENTO FINANCIERO</t>
  </si>
  <si>
    <t>PASIVO TOTAL</t>
  </si>
  <si>
    <t xml:space="preserve">PASIVO TOTAL </t>
  </si>
  <si>
    <t>ACTIVO FIJO NETO</t>
  </si>
  <si>
    <t>(UAII / ACTIVOS TOTALES)</t>
  </si>
  <si>
    <t>(UAI / PATRIMONIO)</t>
  </si>
  <si>
    <t>MARGEN DE UTILIDAD BRUTA</t>
  </si>
  <si>
    <t>MARGEN DE UTILIDAD OPERATIVA</t>
  </si>
  <si>
    <t>MARGEN DE UTILIDAD NETA</t>
  </si>
  <si>
    <t>RENDIMIENTOS SOBRE LOS ACTIVOS (ROA)</t>
  </si>
  <si>
    <t>RENDIMIENTOS SOBRE EL CAPITAL (ROE)</t>
  </si>
  <si>
    <t>TOTAL DE ACTIVOS</t>
  </si>
  <si>
    <t>CAPITAL CONTABLE</t>
  </si>
  <si>
    <t>Indica el porcentaje de los gastos administrativos y de ventas en relación a las ventas</t>
  </si>
  <si>
    <t>Indica el porcentaje de los gastos financieros en relación a las ventas</t>
  </si>
  <si>
    <t>Indica la cantidad de unidades monetarias que se tiene de patrimonio por cada unidad invertida en activos fijos</t>
  </si>
  <si>
    <t xml:space="preserve">   UAII   </t>
  </si>
  <si>
    <t xml:space="preserve"> UAI </t>
  </si>
  <si>
    <t>UAII</t>
  </si>
  <si>
    <t>UAI</t>
  </si>
  <si>
    <t xml:space="preserve">   UTILIDAD NETA   </t>
  </si>
  <si>
    <t>UTILIDAD NETA X100</t>
  </si>
  <si>
    <t>Costo directos</t>
  </si>
  <si>
    <t xml:space="preserve">Costos indirectos </t>
  </si>
  <si>
    <t>Otros ingresos</t>
  </si>
  <si>
    <t>Gastos de venta</t>
  </si>
  <si>
    <t>Gastos financieros</t>
  </si>
  <si>
    <t>Recuperación cuentas por cobrar</t>
  </si>
  <si>
    <t>Pago a proveedores</t>
  </si>
  <si>
    <t>Compra de activos fijos</t>
  </si>
  <si>
    <t>Prestamo bancario</t>
  </si>
  <si>
    <t xml:space="preserve">     Pago de intereses</t>
  </si>
  <si>
    <t xml:space="preserve">     Abono a capital</t>
  </si>
  <si>
    <t>FLUJO DE EFECTIVO</t>
  </si>
  <si>
    <t>Total ingresos</t>
  </si>
  <si>
    <t>Total egresos</t>
  </si>
  <si>
    <t>Saldo inicial</t>
  </si>
  <si>
    <t>Saldo final</t>
  </si>
  <si>
    <t xml:space="preserve">PARTICIPACIÓN TRABAJADORES </t>
  </si>
  <si>
    <t>Impuesto a la renta</t>
  </si>
  <si>
    <t>Participación trabajadores</t>
  </si>
  <si>
    <t>Gastos de administración ( - Depreciación)</t>
  </si>
  <si>
    <t>COSTOS FIJOS</t>
  </si>
  <si>
    <t>COSTOS VARIABLES</t>
  </si>
  <si>
    <t>COSTO TOTAL</t>
  </si>
  <si>
    <t>BENEFICIO</t>
  </si>
  <si>
    <t xml:space="preserve">CUOTA FIJA </t>
  </si>
  <si>
    <t>IMPORTE DEL PRESTAMO</t>
  </si>
  <si>
    <t>INTERÉS NOMINAL ANUAL</t>
  </si>
  <si>
    <t xml:space="preserve">PAGO MENSUAL </t>
  </si>
  <si>
    <t>PAGO ANUAL</t>
  </si>
  <si>
    <t>INTERÉS TOTAL</t>
  </si>
  <si>
    <t>ADQUISICIÓN ACTIVOS FIJOS</t>
  </si>
  <si>
    <t>NOMBRE DEL BIEN</t>
  </si>
  <si>
    <t>VIDA UTIL</t>
  </si>
  <si>
    <t xml:space="preserve">COSTO </t>
  </si>
  <si>
    <t>DEPRECIACIÓN ANUAL</t>
  </si>
  <si>
    <t>INMUEBLES EXCEPTO TERRENOS</t>
  </si>
  <si>
    <t>20 AÑOS</t>
  </si>
  <si>
    <t>MUEBLES Y ENSERES</t>
  </si>
  <si>
    <t>10 AÑOS</t>
  </si>
  <si>
    <t>VEHÍCULOS</t>
  </si>
  <si>
    <t>5 AÑOS</t>
  </si>
  <si>
    <t>EQUIPO DE COMPUTACIÓN</t>
  </si>
  <si>
    <t>3 AÑOS</t>
  </si>
  <si>
    <t>SUELDO MENSUAL</t>
  </si>
  <si>
    <t>APORTE IESS</t>
  </si>
  <si>
    <t>DÉCIMO TERCER SUELDO</t>
  </si>
  <si>
    <t>DÉCIMO CUARTO SUELDO</t>
  </si>
  <si>
    <r>
      <t>FONDOS DE RESERVA (2</t>
    </r>
    <r>
      <rPr>
        <sz val="8"/>
        <color theme="1"/>
        <rFont val="Calibri"/>
        <family val="2"/>
        <scheme val="minor"/>
      </rPr>
      <t>DO</t>
    </r>
    <r>
      <rPr>
        <sz val="11"/>
        <color theme="1"/>
        <rFont val="Calibri"/>
        <family val="2"/>
        <scheme val="minor"/>
      </rPr>
      <t xml:space="preserve"> AÑO)</t>
    </r>
  </si>
  <si>
    <t>NUEVO EMPLEADO 1</t>
  </si>
  <si>
    <t>NUEVO EMPLEADO 2</t>
  </si>
  <si>
    <t>NUEVO EMPLEADO 3</t>
  </si>
  <si>
    <t>NUEVO EMPLEADO 4</t>
  </si>
  <si>
    <t>Control de Calidad</t>
  </si>
  <si>
    <t>Activo = Pasivo+PN</t>
  </si>
  <si>
    <t>1ER AÑO</t>
  </si>
  <si>
    <t>DESPUES DEL 1ER AÑO</t>
  </si>
  <si>
    <t>IECE Y SECAP</t>
  </si>
  <si>
    <t>PAGOS Y COBROS</t>
  </si>
  <si>
    <t>RECUPERAR CUENTAS POR COBRAR</t>
  </si>
  <si>
    <t>PAGO ACREEDORES COMERCIALES</t>
  </si>
  <si>
    <t>N</t>
  </si>
  <si>
    <t>SALDO INICIAL</t>
  </si>
  <si>
    <t>CUOTAS</t>
  </si>
  <si>
    <t>INTERES</t>
  </si>
  <si>
    <t>CAPITAL</t>
  </si>
  <si>
    <t>SALDO FINAL</t>
  </si>
  <si>
    <t>TABLA DE AMORTIZACIÓN</t>
  </si>
  <si>
    <t>GASTO INTERES</t>
  </si>
  <si>
    <t>PRÉSTAMO FINANCIERO</t>
  </si>
  <si>
    <t>PERIODO DEL PRÉSTAMO EN AÑOS</t>
  </si>
  <si>
    <t>COSTO TOTAL DEL PRÉSTAMO</t>
  </si>
  <si>
    <t>ABONO PRÉSTAMO</t>
  </si>
  <si>
    <t>Activo = Pasivo+Patrimonio</t>
  </si>
  <si>
    <t>TOTAL PRIMER AÑO</t>
  </si>
  <si>
    <t>ADICIONAR DESPUES DEL PRIMER AÑO</t>
  </si>
  <si>
    <t>OBSERVACIÓN</t>
  </si>
  <si>
    <t>Datos proyectados de acuerdo al índice de crecimieto</t>
  </si>
  <si>
    <t>Datos proyectados de acuerdo al índice de crecimiento</t>
  </si>
  <si>
    <t>Datos proyectados en proporción a las ventas</t>
  </si>
  <si>
    <t>ESTADO DE SITUACIÓN FINANCIERA PROYECTADO</t>
  </si>
  <si>
    <t>FLUJO DE CAJA PROYECTADO</t>
  </si>
  <si>
    <t>RESULTADO DE OPERACIÓN</t>
  </si>
  <si>
    <t>RESULTADO ANTES DE REPARTO</t>
  </si>
  <si>
    <t>RESULTADO ANTES DE IMPUESTOS</t>
  </si>
  <si>
    <t>Número de veces que se adquirio y vendio inventarios en el periodo</t>
  </si>
  <si>
    <t>Número de días que permanecio el inventario antes de ser vendido</t>
  </si>
  <si>
    <t>Indica la cantidad de unidades monetarias vendidas por cada unidad monetaria invertida en activos fijos</t>
  </si>
  <si>
    <t>Indica la cantidad de unidades monetarias vendidas por cada unidad monetaria que se tiene en el activo</t>
  </si>
  <si>
    <t>Muestra el número de veces que las cuentas por cobrar se convirtieron en efectivo</t>
  </si>
  <si>
    <t>Muestra el número de dias que la empresa tarda en recupera la cartera</t>
  </si>
  <si>
    <t>Indica que cantidad de una unidad monetaria del acivo esta comprometida con el pasivo</t>
  </si>
  <si>
    <t>Por cada unidad monetaria invertida en Patrimonio de la empresa, cuanto ha invertido el acreedor en la misma</t>
  </si>
  <si>
    <t xml:space="preserve">Este índice permite conocer la rentabilidad de las ventas frente al costo de ventas </t>
  </si>
  <si>
    <t>Este índice permite conocer la rentabilidad de las ventas despues de gastos de adminitración y ventas</t>
  </si>
  <si>
    <t>Este índice permite conocer la rentabilidad del negocio en su totalidad</t>
  </si>
  <si>
    <t>Este índice permite conocer la rentabilidad en relación a los activos que posee la empresa</t>
  </si>
  <si>
    <t>Este índice permite conocer la rentabilidad en relación al patrimonio</t>
  </si>
  <si>
    <t>Capacidad del recurso financiero con el que cuenta la empresa para realizar sus operaciones en el corto plazo.</t>
  </si>
  <si>
    <t>Indica cuanto se dispone en el activo corriente para cubrir una unidad en el pasivo corriente.</t>
  </si>
  <si>
    <t>Indica cuanto se dispone en el activo corriente sin realizar inventarios para cubrir una unidad en el pasivo corriente.</t>
  </si>
  <si>
    <t>Indica la cantidad de unidades monetarias de activos que se han conseguido por cada unidad del patrimonio</t>
  </si>
  <si>
    <t>ESTADO DE RESULTADO INTEGRAL</t>
  </si>
  <si>
    <t>ESTADO DE RESULTADO INTEGRAL PROYECTADO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</si>
</sst>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* #,##0.00_);_(&quot;$&quot;\ * \(#,##0.00\);_(&quot;$&quot;\ * &quot;-&quot;??_);_(@_)"/>
    <numFmt numFmtId="165" formatCode="#,##0.00\ &quot;€&quot;;[Red]\-#,##0.00\ &quot;€&quot;"/>
    <numFmt numFmtId="166" formatCode="_-* #,##0.00\ _€_-;\-* #,##0.00\ _€_-;_-* &quot;-&quot;??\ _€_-;_-@_-"/>
    <numFmt numFmtId="167" formatCode="\$#.00"/>
    <numFmt numFmtId="168" formatCode="m\o\n\th\ d\,\ \y\y\y\y"/>
    <numFmt numFmtId="169" formatCode="_ [$€-2]\ * #,##0.00_ ;_ [$€-2]\ * \-#,##0.00_ ;_ [$€-2]\ * &quot;-&quot;??_ "/>
    <numFmt numFmtId="170" formatCode="#.00"/>
    <numFmt numFmtId="171" formatCode="#."/>
    <numFmt numFmtId="172" formatCode="_ * #,##0.00_ ;_ * \-#,##0.00_ ;_ * &quot;-&quot;??_ ;_ @_ "/>
    <numFmt numFmtId="173" formatCode="0.000"/>
    <numFmt numFmtId="174" formatCode="#,##0.00000000000"/>
    <numFmt numFmtId="175" formatCode="&quot;$&quot;#,##0.0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0"/>
      <name val="Courier"/>
      <family val="3"/>
    </font>
    <font>
      <sz val="1"/>
      <color indexed="8"/>
      <name val="Courier"/>
      <family val="3"/>
    </font>
    <font>
      <sz val="11"/>
      <color rgb="FF3F3F76"/>
      <name val="Agency FB"/>
      <family val="2"/>
    </font>
    <font>
      <b/>
      <sz val="1"/>
      <color indexed="8"/>
      <name val="Courier"/>
      <family val="3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b/>
      <sz val="8"/>
      <color indexed="12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color rgb="FF0000FF"/>
      <name val="Arial"/>
      <family val="2"/>
    </font>
    <font>
      <b/>
      <sz val="10"/>
      <color indexed="12"/>
      <name val="Arial"/>
      <family val="2"/>
    </font>
    <font>
      <u/>
      <sz val="10"/>
      <name val="Arial"/>
      <family val="2"/>
    </font>
    <font>
      <b/>
      <sz val="11"/>
      <color indexed="12"/>
      <name val="Arial"/>
      <family val="2"/>
    </font>
    <font>
      <sz val="8"/>
      <color indexed="12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charset val="1"/>
    </font>
  </fonts>
  <fills count="4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rgb="FF000000"/>
      </patternFill>
    </fill>
  </fills>
  <borders count="6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7" borderId="0" applyNumberFormat="0" applyBorder="0" applyAlignment="0" applyProtection="0"/>
    <xf numFmtId="0" fontId="8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8" borderId="18"/>
    <xf numFmtId="167" fontId="15" fillId="0" borderId="0">
      <protection locked="0"/>
    </xf>
    <xf numFmtId="44" fontId="10" fillId="0" borderId="0" applyFont="0" applyFill="0" applyBorder="0" applyAlignment="0" applyProtection="0"/>
    <xf numFmtId="168" fontId="15" fillId="0" borderId="0">
      <protection locked="0"/>
    </xf>
    <xf numFmtId="0" fontId="16" fillId="2" borderId="1" applyNumberFormat="0" applyAlignment="0" applyProtection="0"/>
    <xf numFmtId="169" fontId="8" fillId="0" borderId="0" applyFont="0" applyFill="0" applyBorder="0" applyAlignment="0" applyProtection="0"/>
    <xf numFmtId="170" fontId="15" fillId="0" borderId="0">
      <protection locked="0"/>
    </xf>
    <xf numFmtId="171" fontId="17" fillId="0" borderId="0">
      <protection locked="0"/>
    </xf>
    <xf numFmtId="171" fontId="17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9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Alignment="0" applyProtection="0"/>
    <xf numFmtId="4" fontId="20" fillId="9" borderId="19" applyNumberFormat="0" applyProtection="0">
      <alignment vertical="center"/>
    </xf>
    <xf numFmtId="4" fontId="21" fillId="4" borderId="19" applyNumberFormat="0" applyProtection="0">
      <alignment vertical="center"/>
    </xf>
    <xf numFmtId="4" fontId="20" fillId="4" borderId="19" applyNumberFormat="0" applyProtection="0">
      <alignment horizontal="left" vertical="center" indent="1"/>
    </xf>
    <xf numFmtId="0" fontId="20" fillId="4" borderId="19" applyNumberFormat="0" applyProtection="0">
      <alignment horizontal="left" vertical="top" indent="1"/>
    </xf>
    <xf numFmtId="4" fontId="20" fillId="10" borderId="0" applyNumberFormat="0" applyProtection="0">
      <alignment horizontal="left" vertical="center" indent="1"/>
    </xf>
    <xf numFmtId="4" fontId="10" fillId="11" borderId="19" applyNumberFormat="0" applyProtection="0">
      <alignment horizontal="right" vertical="center"/>
    </xf>
    <xf numFmtId="4" fontId="10" fillId="12" borderId="19" applyNumberFormat="0" applyProtection="0">
      <alignment horizontal="right" vertical="center"/>
    </xf>
    <xf numFmtId="4" fontId="10" fillId="13" borderId="19" applyNumberFormat="0" applyProtection="0">
      <alignment horizontal="right" vertical="center"/>
    </xf>
    <xf numFmtId="4" fontId="10" fillId="14" borderId="19" applyNumberFormat="0" applyProtection="0">
      <alignment horizontal="right" vertical="center"/>
    </xf>
    <xf numFmtId="4" fontId="10" fillId="15" borderId="19" applyNumberFormat="0" applyProtection="0">
      <alignment horizontal="right" vertical="center"/>
    </xf>
    <xf numFmtId="4" fontId="10" fillId="16" borderId="19" applyNumberFormat="0" applyProtection="0">
      <alignment horizontal="right" vertical="center"/>
    </xf>
    <xf numFmtId="4" fontId="10" fillId="17" borderId="19" applyNumberFormat="0" applyProtection="0">
      <alignment horizontal="right" vertical="center"/>
    </xf>
    <xf numFmtId="4" fontId="10" fillId="18" borderId="19" applyNumberFormat="0" applyProtection="0">
      <alignment horizontal="right" vertical="center"/>
    </xf>
    <xf numFmtId="4" fontId="10" fillId="19" borderId="19" applyNumberFormat="0" applyProtection="0">
      <alignment horizontal="right" vertical="center"/>
    </xf>
    <xf numFmtId="4" fontId="20" fillId="20" borderId="20" applyNumberFormat="0" applyProtection="0">
      <alignment horizontal="left" vertical="center" indent="1"/>
    </xf>
    <xf numFmtId="4" fontId="10" fillId="21" borderId="0" applyNumberFormat="0" applyProtection="0">
      <alignment horizontal="left" vertical="center" indent="1"/>
    </xf>
    <xf numFmtId="4" fontId="22" fillId="22" borderId="0" applyNumberFormat="0" applyProtection="0">
      <alignment horizontal="left" vertical="center" indent="1"/>
    </xf>
    <xf numFmtId="4" fontId="10" fillId="23" borderId="19" applyNumberFormat="0" applyProtection="0">
      <alignment horizontal="right" vertical="center"/>
    </xf>
    <xf numFmtId="4" fontId="10" fillId="21" borderId="0" applyNumberFormat="0" applyProtection="0">
      <alignment horizontal="left" vertical="center" indent="1"/>
    </xf>
    <xf numFmtId="4" fontId="10" fillId="10" borderId="0" applyNumberFormat="0" applyProtection="0">
      <alignment horizontal="left" vertical="center" indent="1"/>
    </xf>
    <xf numFmtId="0" fontId="8" fillId="22" borderId="19" applyNumberFormat="0" applyProtection="0">
      <alignment horizontal="left" vertical="center" indent="1"/>
    </xf>
    <xf numFmtId="0" fontId="8" fillId="22" borderId="19" applyNumberFormat="0" applyProtection="0">
      <alignment horizontal="left" vertical="top" indent="1"/>
    </xf>
    <xf numFmtId="0" fontId="8" fillId="10" borderId="19" applyNumberFormat="0" applyProtection="0">
      <alignment horizontal="left" vertical="center" indent="1"/>
    </xf>
    <xf numFmtId="0" fontId="8" fillId="10" borderId="19" applyNumberFormat="0" applyProtection="0">
      <alignment horizontal="left" vertical="top" indent="1"/>
    </xf>
    <xf numFmtId="0" fontId="8" fillId="5" borderId="19" applyNumberFormat="0" applyProtection="0">
      <alignment horizontal="left" vertical="center" indent="1"/>
    </xf>
    <xf numFmtId="0" fontId="8" fillId="5" borderId="19" applyNumberFormat="0" applyProtection="0">
      <alignment horizontal="left" vertical="top" indent="1"/>
    </xf>
    <xf numFmtId="0" fontId="8" fillId="24" borderId="19" applyNumberFormat="0" applyProtection="0">
      <alignment horizontal="left" vertical="center" indent="1"/>
    </xf>
    <xf numFmtId="0" fontId="8" fillId="24" borderId="19" applyNumberFormat="0" applyProtection="0">
      <alignment horizontal="left" vertical="top" indent="1"/>
    </xf>
    <xf numFmtId="4" fontId="10" fillId="25" borderId="19" applyNumberFormat="0" applyProtection="0">
      <alignment vertical="center"/>
    </xf>
    <xf numFmtId="4" fontId="23" fillId="25" borderId="19" applyNumberFormat="0" applyProtection="0">
      <alignment vertical="center"/>
    </xf>
    <xf numFmtId="4" fontId="10" fillId="25" borderId="19" applyNumberFormat="0" applyProtection="0">
      <alignment horizontal="left" vertical="center" indent="1"/>
    </xf>
    <xf numFmtId="0" fontId="10" fillId="25" borderId="19" applyNumberFormat="0" applyProtection="0">
      <alignment horizontal="left" vertical="top" indent="1"/>
    </xf>
    <xf numFmtId="4" fontId="10" fillId="21" borderId="19" applyNumberFormat="0" applyProtection="0">
      <alignment horizontal="right" vertical="center"/>
    </xf>
    <xf numFmtId="4" fontId="23" fillId="21" borderId="19" applyNumberFormat="0" applyProtection="0">
      <alignment horizontal="right" vertical="center"/>
    </xf>
    <xf numFmtId="4" fontId="10" fillId="23" borderId="19" applyNumberFormat="0" applyProtection="0">
      <alignment horizontal="left" vertical="center" indent="1"/>
    </xf>
    <xf numFmtId="0" fontId="10" fillId="10" borderId="19" applyNumberFormat="0" applyProtection="0">
      <alignment horizontal="left" vertical="top" indent="1"/>
    </xf>
    <xf numFmtId="4" fontId="24" fillId="26" borderId="0" applyNumberFormat="0" applyProtection="0">
      <alignment horizontal="left" vertical="center" indent="1"/>
    </xf>
    <xf numFmtId="4" fontId="25" fillId="21" borderId="19" applyNumberFormat="0" applyProtection="0">
      <alignment horizontal="right" vertical="center"/>
    </xf>
    <xf numFmtId="0" fontId="26" fillId="0" borderId="0"/>
    <xf numFmtId="0" fontId="37" fillId="27" borderId="0" applyNumberFormat="0" applyBorder="0" applyAlignment="0" applyProtection="0"/>
    <xf numFmtId="0" fontId="37" fillId="11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9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14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9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36" borderId="21" applyNumberFormat="0" applyAlignment="0" applyProtection="0"/>
    <xf numFmtId="0" fontId="41" fillId="37" borderId="22" applyNumberFormat="0" applyAlignment="0" applyProtection="0"/>
    <xf numFmtId="0" fontId="42" fillId="0" borderId="23" applyNumberFormat="0" applyFill="0" applyAlignment="0" applyProtection="0"/>
    <xf numFmtId="0" fontId="43" fillId="0" borderId="0" applyNumberFormat="0" applyFill="0" applyBorder="0" applyAlignment="0" applyProtection="0"/>
    <xf numFmtId="0" fontId="38" fillId="38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16" borderId="0" applyNumberFormat="0" applyBorder="0" applyAlignment="0" applyProtection="0"/>
    <xf numFmtId="0" fontId="44" fillId="31" borderId="21" applyNumberFormat="0" applyAlignment="0" applyProtection="0"/>
    <xf numFmtId="0" fontId="45" fillId="11" borderId="0" applyNumberFormat="0" applyBorder="0" applyAlignment="0" applyProtection="0"/>
    <xf numFmtId="0" fontId="46" fillId="9" borderId="0" applyNumberFormat="0" applyBorder="0" applyAlignment="0" applyProtection="0"/>
    <xf numFmtId="0" fontId="8" fillId="39" borderId="24" applyNumberFormat="0" applyFont="0" applyAlignment="0" applyProtection="0"/>
    <xf numFmtId="0" fontId="47" fillId="36" borderId="25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3" fillId="0" borderId="27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28" applyNumberFormat="0" applyFill="0" applyAlignment="0" applyProtection="0"/>
  </cellStyleXfs>
  <cellXfs count="503">
    <xf numFmtId="0" fontId="0" fillId="0" borderId="0" xfId="0"/>
    <xf numFmtId="0" fontId="0" fillId="0" borderId="4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4" xfId="0" applyFont="1" applyBorder="1"/>
    <xf numFmtId="43" fontId="0" fillId="0" borderId="0" xfId="1" applyFont="1" applyBorder="1" applyAlignment="1">
      <alignment horizontal="right"/>
    </xf>
    <xf numFmtId="0" fontId="2" fillId="0" borderId="0" xfId="0" applyFont="1" applyBorder="1"/>
    <xf numFmtId="43" fontId="0" fillId="0" borderId="5" xfId="1" applyFont="1" applyBorder="1" applyAlignment="1">
      <alignment horizontal="right"/>
    </xf>
    <xf numFmtId="43" fontId="0" fillId="0" borderId="0" xfId="1" applyFont="1" applyFill="1" applyBorder="1" applyAlignment="1">
      <alignment horizontal="right"/>
    </xf>
    <xf numFmtId="43" fontId="0" fillId="0" borderId="6" xfId="1" applyFont="1" applyBorder="1" applyAlignment="1">
      <alignment horizontal="right"/>
    </xf>
    <xf numFmtId="0" fontId="0" fillId="0" borderId="5" xfId="0" applyBorder="1"/>
    <xf numFmtId="0" fontId="2" fillId="0" borderId="4" xfId="0" applyFont="1" applyBorder="1" applyAlignment="1">
      <alignment horizontal="center"/>
    </xf>
    <xf numFmtId="2" fontId="0" fillId="0" borderId="0" xfId="0" applyNumberFormat="1"/>
    <xf numFmtId="0" fontId="6" fillId="0" borderId="0" xfId="3" applyFont="1"/>
    <xf numFmtId="3" fontId="3" fillId="0" borderId="0" xfId="3" applyNumberFormat="1" applyFont="1" applyFill="1" applyBorder="1" applyAlignment="1">
      <alignment horizontal="center"/>
    </xf>
    <xf numFmtId="4" fontId="3" fillId="0" borderId="13" xfId="3" applyNumberFormat="1" applyFont="1" applyFill="1" applyBorder="1" applyAlignment="1">
      <alignment horizontal="center"/>
    </xf>
    <xf numFmtId="4" fontId="9" fillId="0" borderId="13" xfId="3" applyNumberFormat="1" applyFont="1" applyBorder="1" applyAlignment="1">
      <alignment horizontal="right"/>
    </xf>
    <xf numFmtId="4" fontId="3" fillId="0" borderId="13" xfId="3" applyNumberFormat="1" applyFont="1" applyBorder="1"/>
    <xf numFmtId="4" fontId="8" fillId="0" borderId="13" xfId="3" applyNumberFormat="1" applyFont="1" applyBorder="1"/>
    <xf numFmtId="4" fontId="8" fillId="6" borderId="13" xfId="3" applyNumberFormat="1" applyFont="1" applyFill="1" applyBorder="1"/>
    <xf numFmtId="4" fontId="3" fillId="6" borderId="13" xfId="3" applyNumberFormat="1" applyFont="1" applyFill="1" applyBorder="1"/>
    <xf numFmtId="4" fontId="6" fillId="0" borderId="0" xfId="3" applyNumberFormat="1" applyFont="1"/>
    <xf numFmtId="0" fontId="6" fillId="0" borderId="0" xfId="3" applyFont="1" applyFill="1"/>
    <xf numFmtId="0" fontId="6" fillId="0" borderId="0" xfId="3" applyFont="1" applyBorder="1"/>
    <xf numFmtId="10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43" fontId="0" fillId="0" borderId="0" xfId="0" applyNumberFormat="1"/>
    <xf numFmtId="43" fontId="0" fillId="0" borderId="5" xfId="0" applyNumberFormat="1" applyBorder="1"/>
    <xf numFmtId="43" fontId="0" fillId="0" borderId="0" xfId="0" applyNumberFormat="1" applyBorder="1"/>
    <xf numFmtId="0" fontId="27" fillId="0" borderId="13" xfId="0" applyFont="1" applyFill="1" applyBorder="1" applyAlignment="1"/>
    <xf numFmtId="0" fontId="28" fillId="0" borderId="13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center" vertical="justify"/>
    </xf>
    <xf numFmtId="0" fontId="27" fillId="0" borderId="13" xfId="0" applyFont="1" applyFill="1" applyBorder="1" applyAlignment="1">
      <alignment horizontal="center"/>
    </xf>
    <xf numFmtId="0" fontId="28" fillId="0" borderId="13" xfId="0" applyFont="1" applyFill="1" applyBorder="1" applyAlignment="1"/>
    <xf numFmtId="0" fontId="7" fillId="0" borderId="13" xfId="3" applyFont="1" applyFill="1" applyBorder="1" applyAlignment="1">
      <alignment horizontal="center"/>
    </xf>
    <xf numFmtId="9" fontId="6" fillId="0" borderId="0" xfId="3" applyNumberFormat="1" applyFont="1" applyFill="1"/>
    <xf numFmtId="0" fontId="6" fillId="0" borderId="0" xfId="3" applyFont="1" applyFill="1" applyBorder="1"/>
    <xf numFmtId="10" fontId="11" fillId="0" borderId="0" xfId="3" applyNumberFormat="1" applyFont="1" applyBorder="1" applyAlignment="1">
      <alignment horizontal="center"/>
    </xf>
    <xf numFmtId="0" fontId="6" fillId="0" borderId="0" xfId="45" applyFont="1"/>
    <xf numFmtId="4" fontId="6" fillId="0" borderId="0" xfId="45" applyNumberFormat="1" applyFont="1" applyBorder="1"/>
    <xf numFmtId="0" fontId="6" fillId="0" borderId="0" xfId="45" applyFont="1" applyBorder="1"/>
    <xf numFmtId="0" fontId="6" fillId="0" borderId="0" xfId="45" applyFont="1" applyBorder="1" applyAlignment="1">
      <alignment horizontal="center"/>
    </xf>
    <xf numFmtId="4" fontId="6" fillId="0" borderId="13" xfId="45" applyNumberFormat="1" applyFont="1" applyBorder="1"/>
    <xf numFmtId="43" fontId="6" fillId="0" borderId="0" xfId="36" applyNumberFormat="1" applyFont="1" applyBorder="1"/>
    <xf numFmtId="0" fontId="6" fillId="0" borderId="3" xfId="45" applyFont="1" applyBorder="1" applyAlignment="1">
      <alignment horizontal="center"/>
    </xf>
    <xf numFmtId="166" fontId="6" fillId="0" borderId="0" xfId="36" applyNumberFormat="1" applyFont="1" applyBorder="1"/>
    <xf numFmtId="4" fontId="6" fillId="0" borderId="0" xfId="45" applyNumberFormat="1" applyFont="1" applyBorder="1" applyAlignment="1">
      <alignment horizontal="center"/>
    </xf>
    <xf numFmtId="0" fontId="6" fillId="0" borderId="29" xfId="45" applyFont="1" applyBorder="1"/>
    <xf numFmtId="0" fontId="6" fillId="0" borderId="31" xfId="45" applyFont="1" applyBorder="1"/>
    <xf numFmtId="0" fontId="6" fillId="0" borderId="32" xfId="45" applyFont="1" applyBorder="1"/>
    <xf numFmtId="0" fontId="6" fillId="0" borderId="33" xfId="45" applyFont="1" applyBorder="1"/>
    <xf numFmtId="0" fontId="6" fillId="0" borderId="34" xfId="45" applyFont="1" applyBorder="1"/>
    <xf numFmtId="0" fontId="6" fillId="0" borderId="35" xfId="45" applyFont="1" applyBorder="1"/>
    <xf numFmtId="0" fontId="6" fillId="0" borderId="36" xfId="45" applyFont="1" applyBorder="1"/>
    <xf numFmtId="0" fontId="6" fillId="0" borderId="0" xfId="0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6" fillId="0" borderId="0" xfId="0" applyFont="1" applyBorder="1" applyAlignment="1">
      <alignment horizontal="center" vertical="center"/>
    </xf>
    <xf numFmtId="0" fontId="55" fillId="0" borderId="0" xfId="0" applyFont="1" applyBorder="1"/>
    <xf numFmtId="0" fontId="57" fillId="0" borderId="0" xfId="0" applyFont="1" applyBorder="1" applyAlignment="1">
      <alignment vertical="center"/>
    </xf>
    <xf numFmtId="0" fontId="56" fillId="0" borderId="0" xfId="0" applyFont="1" applyBorder="1" applyAlignment="1">
      <alignment horizontal="center" vertical="center" wrapText="1"/>
    </xf>
    <xf numFmtId="4" fontId="57" fillId="0" borderId="0" xfId="0" applyNumberFormat="1" applyFont="1" applyBorder="1" applyAlignment="1">
      <alignment horizontal="right" vertical="center"/>
    </xf>
    <xf numFmtId="10" fontId="57" fillId="0" borderId="0" xfId="0" applyNumberFormat="1" applyFont="1" applyBorder="1" applyAlignment="1">
      <alignment horizontal="right" vertical="center"/>
    </xf>
    <xf numFmtId="0" fontId="57" fillId="0" borderId="0" xfId="0" applyFont="1" applyBorder="1" applyAlignment="1">
      <alignment horizontal="right" vertical="center"/>
    </xf>
    <xf numFmtId="0" fontId="56" fillId="0" borderId="0" xfId="0" applyFont="1" applyBorder="1" applyAlignment="1">
      <alignment vertical="center"/>
    </xf>
    <xf numFmtId="43" fontId="0" fillId="0" borderId="5" xfId="1" applyFont="1" applyFill="1" applyBorder="1" applyAlignment="1">
      <alignment horizontal="right"/>
    </xf>
    <xf numFmtId="2" fontId="0" fillId="0" borderId="0" xfId="0" applyNumberFormat="1" applyBorder="1"/>
    <xf numFmtId="43" fontId="0" fillId="0" borderId="6" xfId="1" applyFont="1" applyFill="1" applyBorder="1" applyAlignment="1">
      <alignment horizontal="right"/>
    </xf>
    <xf numFmtId="0" fontId="55" fillId="0" borderId="0" xfId="0" applyFont="1" applyBorder="1" applyAlignment="1">
      <alignment wrapText="1"/>
    </xf>
    <xf numFmtId="0" fontId="57" fillId="0" borderId="0" xfId="0" applyFont="1" applyBorder="1" applyAlignment="1">
      <alignment horizontal="center" vertical="center"/>
    </xf>
    <xf numFmtId="10" fontId="0" fillId="0" borderId="0" xfId="0" applyNumberFormat="1" applyBorder="1"/>
    <xf numFmtId="10" fontId="0" fillId="0" borderId="0" xfId="0" applyNumberFormat="1" applyFill="1" applyBorder="1"/>
    <xf numFmtId="0" fontId="2" fillId="0" borderId="0" xfId="0" applyFont="1" applyBorder="1" applyAlignment="1"/>
    <xf numFmtId="43" fontId="0" fillId="0" borderId="0" xfId="0" applyNumberFormat="1" applyFill="1" applyBorder="1"/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4" fillId="0" borderId="8" xfId="0" applyFont="1" applyFill="1" applyBorder="1" applyAlignment="1">
      <alignment horizontal="center"/>
    </xf>
    <xf numFmtId="0" fontId="27" fillId="0" borderId="0" xfId="0" applyFont="1" applyFill="1" applyBorder="1"/>
    <xf numFmtId="0" fontId="0" fillId="0" borderId="0" xfId="0" applyFill="1"/>
    <xf numFmtId="0" fontId="4" fillId="0" borderId="0" xfId="0" applyFont="1" applyFill="1" applyBorder="1" applyAlignment="1"/>
    <xf numFmtId="173" fontId="27" fillId="0" borderId="0" xfId="0" applyNumberFormat="1" applyFont="1" applyFill="1" applyBorder="1"/>
    <xf numFmtId="2" fontId="32" fillId="0" borderId="0" xfId="0" applyNumberFormat="1" applyFont="1" applyFill="1" applyBorder="1"/>
    <xf numFmtId="0" fontId="31" fillId="0" borderId="0" xfId="0" applyFont="1" applyFill="1" applyBorder="1"/>
    <xf numFmtId="173" fontId="32" fillId="0" borderId="0" xfId="0" applyNumberFormat="1" applyFont="1" applyFill="1" applyBorder="1"/>
    <xf numFmtId="0" fontId="31" fillId="0" borderId="0" xfId="0" applyFont="1" applyFill="1"/>
    <xf numFmtId="0" fontId="0" fillId="0" borderId="3" xfId="0" applyFill="1" applyBorder="1"/>
    <xf numFmtId="0" fontId="0" fillId="0" borderId="0" xfId="0" applyFill="1" applyAlignment="1"/>
    <xf numFmtId="0" fontId="0" fillId="0" borderId="0" xfId="0" applyFill="1" applyBorder="1"/>
    <xf numFmtId="0" fontId="0" fillId="0" borderId="16" xfId="0" applyFill="1" applyBorder="1"/>
    <xf numFmtId="0" fontId="0" fillId="0" borderId="0" xfId="0" applyFill="1" applyAlignment="1">
      <alignment horizontal="left" vertical="center" indent="1"/>
    </xf>
    <xf numFmtId="0" fontId="0" fillId="0" borderId="0" xfId="0" applyFill="1" applyAlignment="1">
      <alignment horizontal="center"/>
    </xf>
    <xf numFmtId="2" fontId="33" fillId="0" borderId="0" xfId="2" applyNumberFormat="1" applyFont="1" applyFill="1" applyAlignment="1">
      <alignment horizontal="right" indent="1"/>
    </xf>
    <xf numFmtId="0" fontId="0" fillId="0" borderId="0" xfId="0" applyFill="1" applyAlignment="1">
      <alignment horizontal="left" indent="1"/>
    </xf>
    <xf numFmtId="2" fontId="35" fillId="0" borderId="0" xfId="2" applyNumberFormat="1" applyFont="1" applyFill="1" applyAlignment="1">
      <alignment horizontal="right" indent="1"/>
    </xf>
    <xf numFmtId="0" fontId="31" fillId="0" borderId="14" xfId="0" applyFont="1" applyFill="1" applyBorder="1" applyAlignment="1">
      <alignment horizontal="center" vertical="top"/>
    </xf>
    <xf numFmtId="0" fontId="31" fillId="0" borderId="14" xfId="0" applyFont="1" applyFill="1" applyBorder="1" applyAlignment="1">
      <alignment horizontal="center" vertical="top" wrapText="1"/>
    </xf>
    <xf numFmtId="0" fontId="30" fillId="0" borderId="9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0" fontId="28" fillId="0" borderId="4" xfId="0" applyFont="1" applyFill="1" applyBorder="1"/>
    <xf numFmtId="0" fontId="28" fillId="0" borderId="12" xfId="0" applyFont="1" applyFill="1" applyBorder="1"/>
    <xf numFmtId="0" fontId="31" fillId="0" borderId="12" xfId="0" applyFont="1" applyFill="1" applyBorder="1"/>
    <xf numFmtId="0" fontId="0" fillId="0" borderId="4" xfId="0" applyFill="1" applyBorder="1"/>
    <xf numFmtId="0" fontId="0" fillId="0" borderId="12" xfId="0" applyFill="1" applyBorder="1"/>
    <xf numFmtId="0" fontId="27" fillId="0" borderId="4" xfId="0" applyFont="1" applyFill="1" applyBorder="1"/>
    <xf numFmtId="0" fontId="27" fillId="0" borderId="12" xfId="0" applyFont="1" applyFill="1" applyBorder="1"/>
    <xf numFmtId="0" fontId="28" fillId="0" borderId="11" xfId="0" applyFont="1" applyFill="1" applyBorder="1" applyAlignment="1"/>
    <xf numFmtId="173" fontId="0" fillId="0" borderId="0" xfId="0" applyNumberFormat="1" applyFill="1" applyBorder="1"/>
    <xf numFmtId="0" fontId="28" fillId="0" borderId="4" xfId="0" applyFont="1" applyFill="1" applyBorder="1" applyAlignment="1">
      <alignment wrapText="1"/>
    </xf>
    <xf numFmtId="173" fontId="29" fillId="0" borderId="0" xfId="0" applyNumberFormat="1" applyFont="1" applyFill="1" applyBorder="1"/>
    <xf numFmtId="43" fontId="0" fillId="0" borderId="0" xfId="0" applyNumberFormat="1" applyFill="1"/>
    <xf numFmtId="0" fontId="0" fillId="0" borderId="0" xfId="0" applyFill="1" applyBorder="1" applyAlignment="1"/>
    <xf numFmtId="0" fontId="2" fillId="0" borderId="0" xfId="0" applyFont="1" applyBorder="1" applyAlignment="1">
      <alignment horizontal="center"/>
    </xf>
    <xf numFmtId="4" fontId="0" fillId="0" borderId="5" xfId="0" applyNumberFormat="1" applyBorder="1"/>
    <xf numFmtId="43" fontId="6" fillId="0" borderId="0" xfId="3" applyNumberFormat="1" applyFont="1"/>
    <xf numFmtId="4" fontId="11" fillId="0" borderId="13" xfId="3" applyNumberFormat="1" applyFont="1" applyBorder="1" applyAlignment="1">
      <alignment horizontal="right"/>
    </xf>
    <xf numFmtId="174" fontId="6" fillId="0" borderId="0" xfId="3" applyNumberFormat="1" applyFont="1"/>
    <xf numFmtId="0" fontId="3" fillId="0" borderId="0" xfId="3" applyFont="1" applyFill="1" applyBorder="1" applyAlignment="1"/>
    <xf numFmtId="0" fontId="2" fillId="0" borderId="0" xfId="0" applyFont="1" applyFill="1" applyBorder="1" applyAlignment="1"/>
    <xf numFmtId="0" fontId="7" fillId="0" borderId="0" xfId="3" applyFont="1" applyFill="1" applyBorder="1" applyAlignment="1">
      <alignment horizontal="center"/>
    </xf>
    <xf numFmtId="4" fontId="6" fillId="0" borderId="3" xfId="45" applyNumberFormat="1" applyFont="1" applyBorder="1" applyAlignment="1">
      <alignment horizontal="center"/>
    </xf>
    <xf numFmtId="43" fontId="0" fillId="0" borderId="14" xfId="1" applyFont="1" applyBorder="1"/>
    <xf numFmtId="0" fontId="0" fillId="6" borderId="3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43" fontId="0" fillId="0" borderId="0" xfId="1" applyFont="1" applyBorder="1"/>
    <xf numFmtId="43" fontId="0" fillId="0" borderId="5" xfId="1" applyFont="1" applyBorder="1"/>
    <xf numFmtId="0" fontId="0" fillId="6" borderId="9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43" fontId="0" fillId="0" borderId="11" xfId="1" applyFont="1" applyBorder="1"/>
    <xf numFmtId="0" fontId="0" fillId="0" borderId="32" xfId="0" applyBorder="1" applyAlignment="1">
      <alignment horizontal="left"/>
    </xf>
    <xf numFmtId="44" fontId="0" fillId="0" borderId="33" xfId="0" applyNumberFormat="1" applyBorder="1"/>
    <xf numFmtId="0" fontId="0" fillId="0" borderId="34" xfId="0" applyBorder="1" applyAlignment="1">
      <alignment horizontal="left"/>
    </xf>
    <xf numFmtId="0" fontId="0" fillId="0" borderId="33" xfId="0" applyBorder="1"/>
    <xf numFmtId="44" fontId="0" fillId="0" borderId="36" xfId="0" applyNumberFormat="1" applyBorder="1"/>
    <xf numFmtId="0" fontId="0" fillId="0" borderId="0" xfId="0" applyBorder="1" applyAlignment="1">
      <alignment horizontal="left"/>
    </xf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8" fillId="0" borderId="0" xfId="0" applyFont="1"/>
    <xf numFmtId="43" fontId="0" fillId="0" borderId="0" xfId="0" applyNumberFormat="1" applyAlignment="1">
      <alignment horizontal="center" vertical="center"/>
    </xf>
    <xf numFmtId="0" fontId="11" fillId="0" borderId="0" xfId="3" applyFont="1" applyFill="1" applyBorder="1" applyAlignment="1">
      <alignment horizontal="center"/>
    </xf>
    <xf numFmtId="4" fontId="6" fillId="0" borderId="0" xfId="3" applyNumberFormat="1" applyFont="1" applyBorder="1"/>
    <xf numFmtId="4" fontId="6" fillId="0" borderId="0" xfId="3" applyNumberFormat="1" applyFont="1" applyFill="1" applyBorder="1"/>
    <xf numFmtId="0" fontId="9" fillId="0" borderId="0" xfId="3" applyFont="1" applyBorder="1" applyAlignment="1">
      <alignment horizontal="right"/>
    </xf>
    <xf numFmtId="4" fontId="9" fillId="0" borderId="0" xfId="3" applyNumberFormat="1" applyFont="1" applyBorder="1" applyAlignment="1">
      <alignment horizontal="right"/>
    </xf>
    <xf numFmtId="43" fontId="6" fillId="0" borderId="0" xfId="3" applyNumberFormat="1" applyFont="1" applyBorder="1"/>
    <xf numFmtId="0" fontId="11" fillId="0" borderId="0" xfId="3" applyFont="1" applyBorder="1" applyAlignment="1">
      <alignment horizontal="left"/>
    </xf>
    <xf numFmtId="4" fontId="7" fillId="0" borderId="0" xfId="3" applyNumberFormat="1" applyFont="1" applyFill="1" applyBorder="1"/>
    <xf numFmtId="165" fontId="6" fillId="0" borderId="0" xfId="3" applyNumberFormat="1" applyFont="1" applyBorder="1"/>
    <xf numFmtId="0" fontId="11" fillId="0" borderId="0" xfId="3" applyFont="1" applyFill="1" applyBorder="1" applyAlignment="1"/>
    <xf numFmtId="43" fontId="0" fillId="0" borderId="6" xfId="1" applyNumberFormat="1" applyFont="1" applyBorder="1" applyAlignment="1">
      <alignment horizontal="right"/>
    </xf>
    <xf numFmtId="0" fontId="0" fillId="0" borderId="32" xfId="0" applyBorder="1" applyAlignment="1">
      <alignment horizontal="center"/>
    </xf>
    <xf numFmtId="9" fontId="0" fillId="0" borderId="33" xfId="0" applyNumberFormat="1" applyBorder="1"/>
    <xf numFmtId="44" fontId="0" fillId="0" borderId="31" xfId="0" applyNumberFormat="1" applyBorder="1"/>
    <xf numFmtId="0" fontId="2" fillId="41" borderId="50" xfId="0" applyFont="1" applyFill="1" applyBorder="1" applyAlignment="1">
      <alignment horizontal="center"/>
    </xf>
    <xf numFmtId="0" fontId="2" fillId="41" borderId="31" xfId="0" applyFont="1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37" xfId="0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0" xfId="0" applyNumberFormat="1" applyBorder="1"/>
    <xf numFmtId="44" fontId="0" fillId="0" borderId="0" xfId="0" applyNumberFormat="1"/>
    <xf numFmtId="44" fontId="0" fillId="0" borderId="35" xfId="0" applyNumberFormat="1" applyBorder="1"/>
    <xf numFmtId="0" fontId="0" fillId="0" borderId="3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9" fontId="0" fillId="0" borderId="0" xfId="0" applyNumberFormat="1" applyBorder="1"/>
    <xf numFmtId="0" fontId="2" fillId="0" borderId="0" xfId="0" applyFont="1" applyFill="1" applyBorder="1" applyAlignment="1">
      <alignment horizontal="center"/>
    </xf>
    <xf numFmtId="44" fontId="0" fillId="0" borderId="0" xfId="0" applyNumberFormat="1" applyBorder="1" applyAlignment="1">
      <alignment horizontal="left"/>
    </xf>
    <xf numFmtId="44" fontId="0" fillId="0" borderId="35" xfId="0" applyNumberFormat="1" applyBorder="1" applyAlignment="1">
      <alignment horizontal="left"/>
    </xf>
    <xf numFmtId="0" fontId="0" fillId="0" borderId="37" xfId="0" applyBorder="1" applyAlignment="1">
      <alignment horizontal="left"/>
    </xf>
    <xf numFmtId="0" fontId="0" fillId="41" borderId="37" xfId="0" applyFill="1" applyBorder="1" applyAlignment="1">
      <alignment horizontal="left"/>
    </xf>
    <xf numFmtId="0" fontId="59" fillId="41" borderId="38" xfId="0" applyFont="1" applyFill="1" applyBorder="1" applyAlignment="1">
      <alignment horizontal="center"/>
    </xf>
    <xf numFmtId="0" fontId="59" fillId="41" borderId="38" xfId="0" applyNumberFormat="1" applyFont="1" applyFill="1" applyBorder="1" applyAlignment="1">
      <alignment horizontal="center"/>
    </xf>
    <xf numFmtId="0" fontId="59" fillId="41" borderId="39" xfId="0" applyNumberFormat="1" applyFont="1" applyFill="1" applyBorder="1" applyAlignment="1">
      <alignment horizontal="center"/>
    </xf>
    <xf numFmtId="44" fontId="0" fillId="0" borderId="38" xfId="0" applyNumberFormat="1" applyBorder="1" applyAlignment="1">
      <alignment horizontal="left"/>
    </xf>
    <xf numFmtId="44" fontId="0" fillId="0" borderId="39" xfId="0" applyNumberFormat="1" applyBorder="1" applyAlignment="1">
      <alignment horizontal="left"/>
    </xf>
    <xf numFmtId="0" fontId="0" fillId="0" borderId="0" xfId="0" applyBorder="1" applyAlignment="1">
      <alignment horizontal="right"/>
    </xf>
    <xf numFmtId="44" fontId="0" fillId="0" borderId="52" xfId="0" applyNumberFormat="1" applyBorder="1"/>
    <xf numFmtId="44" fontId="0" fillId="0" borderId="53" xfId="0" applyNumberFormat="1" applyBorder="1"/>
    <xf numFmtId="0" fontId="7" fillId="0" borderId="42" xfId="3" applyFont="1" applyFill="1" applyBorder="1" applyAlignment="1">
      <alignment horizontal="center"/>
    </xf>
    <xf numFmtId="0" fontId="7" fillId="0" borderId="41" xfId="3" applyFont="1" applyBorder="1" applyAlignment="1">
      <alignment horizontal="left"/>
    </xf>
    <xf numFmtId="4" fontId="3" fillId="0" borderId="42" xfId="3" applyNumberFormat="1" applyFont="1" applyFill="1" applyBorder="1" applyAlignment="1">
      <alignment horizontal="center"/>
    </xf>
    <xf numFmtId="0" fontId="6" fillId="0" borderId="41" xfId="3" applyFont="1" applyBorder="1" applyAlignment="1">
      <alignment horizontal="left"/>
    </xf>
    <xf numFmtId="4" fontId="9" fillId="0" borderId="42" xfId="3" applyNumberFormat="1" applyFont="1" applyBorder="1" applyAlignment="1">
      <alignment horizontal="right"/>
    </xf>
    <xf numFmtId="0" fontId="7" fillId="0" borderId="41" xfId="3" applyFont="1" applyBorder="1" applyAlignment="1">
      <alignment horizontal="right"/>
    </xf>
    <xf numFmtId="4" fontId="11" fillId="0" borderId="42" xfId="3" applyNumberFormat="1" applyFont="1" applyBorder="1" applyAlignment="1">
      <alignment horizontal="right"/>
    </xf>
    <xf numFmtId="4" fontId="3" fillId="0" borderId="42" xfId="3" applyNumberFormat="1" applyFont="1" applyBorder="1"/>
    <xf numFmtId="0" fontId="10" fillId="0" borderId="41" xfId="3" applyFont="1" applyFill="1" applyBorder="1"/>
    <xf numFmtId="4" fontId="8" fillId="0" borderId="42" xfId="3" applyNumberFormat="1" applyFont="1" applyBorder="1"/>
    <xf numFmtId="0" fontId="7" fillId="6" borderId="41" xfId="3" applyFont="1" applyFill="1" applyBorder="1" applyAlignment="1">
      <alignment horizontal="right"/>
    </xf>
    <xf numFmtId="4" fontId="3" fillId="6" borderId="42" xfId="3" applyNumberFormat="1" applyFont="1" applyFill="1" applyBorder="1"/>
    <xf numFmtId="0" fontId="7" fillId="6" borderId="41" xfId="3" applyFont="1" applyFill="1" applyBorder="1" applyAlignment="1">
      <alignment horizontal="center"/>
    </xf>
    <xf numFmtId="0" fontId="7" fillId="6" borderId="41" xfId="3" applyFont="1" applyFill="1" applyBorder="1" applyAlignment="1">
      <alignment horizontal="left"/>
    </xf>
    <xf numFmtId="0" fontId="6" fillId="6" borderId="41" xfId="3" applyFont="1" applyFill="1" applyBorder="1" applyAlignment="1">
      <alignment horizontal="left"/>
    </xf>
    <xf numFmtId="4" fontId="8" fillId="6" borderId="42" xfId="3" applyNumberFormat="1" applyFont="1" applyFill="1" applyBorder="1"/>
    <xf numFmtId="0" fontId="7" fillId="0" borderId="44" xfId="3" applyFont="1" applyFill="1" applyBorder="1" applyAlignment="1">
      <alignment horizontal="right"/>
    </xf>
    <xf numFmtId="4" fontId="3" fillId="0" borderId="45" xfId="3" applyNumberFormat="1" applyFont="1" applyFill="1" applyBorder="1"/>
    <xf numFmtId="4" fontId="3" fillId="0" borderId="46" xfId="3" applyNumberFormat="1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41" borderId="41" xfId="0" applyFont="1" applyFill="1" applyBorder="1" applyAlignment="1">
      <alignment horizontal="center"/>
    </xf>
    <xf numFmtId="0" fontId="7" fillId="41" borderId="13" xfId="0" applyFont="1" applyFill="1" applyBorder="1" applyAlignment="1">
      <alignment horizontal="center"/>
    </xf>
    <xf numFmtId="0" fontId="7" fillId="42" borderId="41" xfId="0" applyFont="1" applyFill="1" applyBorder="1" applyAlignment="1">
      <alignment horizontal="center"/>
    </xf>
    <xf numFmtId="0" fontId="7" fillId="42" borderId="13" xfId="0" applyFont="1" applyFill="1" applyBorder="1" applyAlignment="1">
      <alignment horizontal="center"/>
    </xf>
    <xf numFmtId="0" fontId="7" fillId="42" borderId="42" xfId="0" applyFont="1" applyFill="1" applyBorder="1" applyAlignment="1">
      <alignment horizontal="center"/>
    </xf>
    <xf numFmtId="0" fontId="7" fillId="43" borderId="43" xfId="0" applyFont="1" applyFill="1" applyBorder="1" applyAlignment="1">
      <alignment horizontal="center"/>
    </xf>
    <xf numFmtId="0" fontId="7" fillId="43" borderId="15" xfId="0" applyFont="1" applyFill="1" applyBorder="1" applyAlignment="1">
      <alignment horizontal="center"/>
    </xf>
    <xf numFmtId="0" fontId="7" fillId="43" borderId="42" xfId="0" applyFont="1" applyFill="1" applyBorder="1" applyAlignment="1">
      <alignment horizontal="center"/>
    </xf>
    <xf numFmtId="0" fontId="11" fillId="44" borderId="42" xfId="0" applyFont="1" applyFill="1" applyBorder="1" applyAlignment="1">
      <alignment horizontal="center"/>
    </xf>
    <xf numFmtId="0" fontId="2" fillId="0" borderId="0" xfId="0" applyFont="1"/>
    <xf numFmtId="0" fontId="0" fillId="0" borderId="15" xfId="0" applyFill="1" applyBorder="1" applyAlignment="1">
      <alignment horizontal="center"/>
    </xf>
    <xf numFmtId="10" fontId="9" fillId="0" borderId="13" xfId="3" applyNumberFormat="1" applyFont="1" applyBorder="1" applyAlignment="1">
      <alignment horizontal="center" vertical="center"/>
    </xf>
    <xf numFmtId="10" fontId="9" fillId="0" borderId="45" xfId="3" applyNumberFormat="1" applyFont="1" applyBorder="1" applyAlignment="1">
      <alignment horizontal="center" vertical="center"/>
    </xf>
    <xf numFmtId="10" fontId="9" fillId="0" borderId="13" xfId="3" applyNumberFormat="1" applyFont="1" applyFill="1" applyBorder="1" applyAlignment="1">
      <alignment horizontal="center" vertical="center"/>
    </xf>
    <xf numFmtId="10" fontId="9" fillId="0" borderId="45" xfId="3" applyNumberFormat="1" applyFont="1" applyFill="1" applyBorder="1" applyAlignment="1">
      <alignment horizontal="center" vertical="center"/>
    </xf>
    <xf numFmtId="0" fontId="3" fillId="41" borderId="13" xfId="45" applyFont="1" applyFill="1" applyBorder="1" applyAlignment="1">
      <alignment horizontal="center"/>
    </xf>
    <xf numFmtId="0" fontId="2" fillId="0" borderId="32" xfId="0" applyFont="1" applyBorder="1"/>
    <xf numFmtId="0" fontId="2" fillId="0" borderId="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3" fontId="0" fillId="0" borderId="33" xfId="1" applyFont="1" applyBorder="1" applyAlignment="1">
      <alignment horizontal="right"/>
    </xf>
    <xf numFmtId="43" fontId="0" fillId="0" borderId="48" xfId="1" applyFont="1" applyBorder="1" applyAlignment="1">
      <alignment horizontal="right"/>
    </xf>
    <xf numFmtId="43" fontId="0" fillId="0" borderId="62" xfId="1" applyFont="1" applyBorder="1" applyAlignment="1">
      <alignment horizontal="right"/>
    </xf>
    <xf numFmtId="0" fontId="2" fillId="0" borderId="34" xfId="0" applyFont="1" applyBorder="1"/>
    <xf numFmtId="43" fontId="0" fillId="0" borderId="63" xfId="1" applyFont="1" applyBorder="1" applyAlignment="1">
      <alignment horizontal="right"/>
    </xf>
    <xf numFmtId="43" fontId="0" fillId="0" borderId="64" xfId="1" applyFont="1" applyBorder="1" applyAlignment="1">
      <alignment horizontal="right"/>
    </xf>
    <xf numFmtId="43" fontId="0" fillId="0" borderId="48" xfId="1" applyFont="1" applyFill="1" applyBorder="1" applyAlignment="1">
      <alignment horizontal="right"/>
    </xf>
    <xf numFmtId="43" fontId="0" fillId="0" borderId="33" xfId="1" applyFont="1" applyFill="1" applyBorder="1" applyAlignment="1">
      <alignment horizontal="right"/>
    </xf>
    <xf numFmtId="43" fontId="0" fillId="0" borderId="62" xfId="1" applyFont="1" applyFill="1" applyBorder="1" applyAlignment="1">
      <alignment horizontal="right"/>
    </xf>
    <xf numFmtId="0" fontId="2" fillId="0" borderId="35" xfId="0" applyFont="1" applyBorder="1"/>
    <xf numFmtId="43" fontId="0" fillId="0" borderId="63" xfId="1" applyFont="1" applyFill="1" applyBorder="1" applyAlignment="1">
      <alignment horizontal="right"/>
    </xf>
    <xf numFmtId="10" fontId="32" fillId="0" borderId="0" xfId="2" applyNumberFormat="1" applyFont="1" applyFill="1" applyBorder="1"/>
    <xf numFmtId="10" fontId="33" fillId="0" borderId="0" xfId="2" applyNumberFormat="1" applyFont="1" applyFill="1" applyBorder="1"/>
    <xf numFmtId="10" fontId="9" fillId="0" borderId="41" xfId="3" applyNumberFormat="1" applyFont="1" applyBorder="1" applyAlignment="1">
      <alignment horizontal="center" vertical="center"/>
    </xf>
    <xf numFmtId="0" fontId="9" fillId="0" borderId="42" xfId="3" applyNumberFormat="1" applyFont="1" applyBorder="1" applyAlignment="1">
      <alignment horizontal="center" vertical="center"/>
    </xf>
    <xf numFmtId="10" fontId="9" fillId="0" borderId="44" xfId="3" applyNumberFormat="1" applyFont="1" applyBorder="1" applyAlignment="1">
      <alignment horizontal="center" vertical="center"/>
    </xf>
    <xf numFmtId="10" fontId="9" fillId="0" borderId="46" xfId="3" applyNumberFormat="1" applyFont="1" applyBorder="1" applyAlignment="1">
      <alignment horizontal="center" vertical="center"/>
    </xf>
    <xf numFmtId="10" fontId="9" fillId="0" borderId="42" xfId="3" applyNumberFormat="1" applyFont="1" applyBorder="1" applyAlignment="1">
      <alignment horizontal="center" vertical="center"/>
    </xf>
    <xf numFmtId="10" fontId="9" fillId="0" borderId="41" xfId="3" applyNumberFormat="1" applyFont="1" applyFill="1" applyBorder="1" applyAlignment="1">
      <alignment horizontal="center" vertical="center"/>
    </xf>
    <xf numFmtId="10" fontId="9" fillId="0" borderId="42" xfId="3" applyNumberFormat="1" applyFont="1" applyFill="1" applyBorder="1" applyAlignment="1">
      <alignment horizontal="center" vertical="center"/>
    </xf>
    <xf numFmtId="10" fontId="9" fillId="0" borderId="44" xfId="3" applyNumberFormat="1" applyFont="1" applyFill="1" applyBorder="1" applyAlignment="1">
      <alignment horizontal="center" vertical="center"/>
    </xf>
    <xf numFmtId="10" fontId="9" fillId="0" borderId="46" xfId="3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0" xfId="0" applyBorder="1" applyAlignment="1">
      <alignment horizontal="left"/>
    </xf>
    <xf numFmtId="1" fontId="3" fillId="0" borderId="14" xfId="3" applyNumberFormat="1" applyFont="1" applyFill="1" applyBorder="1" applyAlignment="1">
      <alignment horizontal="center" vertical="center"/>
    </xf>
    <xf numFmtId="0" fontId="4" fillId="42" borderId="0" xfId="0" applyFont="1" applyFill="1" applyBorder="1" applyAlignment="1"/>
    <xf numFmtId="0" fontId="8" fillId="0" borderId="13" xfId="0" applyFont="1" applyFill="1" applyBorder="1" applyAlignment="1"/>
    <xf numFmtId="0" fontId="0" fillId="42" borderId="37" xfId="0" applyFill="1" applyBorder="1" applyAlignment="1">
      <alignment horizontal="left"/>
    </xf>
    <xf numFmtId="0" fontId="59" fillId="42" borderId="38" xfId="0" applyFont="1" applyFill="1" applyBorder="1" applyAlignment="1">
      <alignment horizontal="center"/>
    </xf>
    <xf numFmtId="0" fontId="59" fillId="42" borderId="38" xfId="0" applyNumberFormat="1" applyFont="1" applyFill="1" applyBorder="1" applyAlignment="1">
      <alignment horizontal="center"/>
    </xf>
    <xf numFmtId="0" fontId="59" fillId="42" borderId="39" xfId="0" applyNumberFormat="1" applyFont="1" applyFill="1" applyBorder="1" applyAlignment="1">
      <alignment horizontal="center"/>
    </xf>
    <xf numFmtId="0" fontId="2" fillId="42" borderId="50" xfId="0" applyFont="1" applyFill="1" applyBorder="1" applyAlignment="1">
      <alignment horizontal="center"/>
    </xf>
    <xf numFmtId="0" fontId="2" fillId="42" borderId="31" xfId="0" applyFont="1" applyFill="1" applyBorder="1" applyAlignment="1">
      <alignment horizontal="center"/>
    </xf>
    <xf numFmtId="0" fontId="0" fillId="43" borderId="37" xfId="0" applyFill="1" applyBorder="1" applyAlignment="1">
      <alignment horizontal="left"/>
    </xf>
    <xf numFmtId="0" fontId="59" fillId="43" borderId="38" xfId="0" applyFont="1" applyFill="1" applyBorder="1" applyAlignment="1">
      <alignment horizontal="center"/>
    </xf>
    <xf numFmtId="0" fontId="59" fillId="43" borderId="38" xfId="0" applyNumberFormat="1" applyFont="1" applyFill="1" applyBorder="1" applyAlignment="1">
      <alignment horizontal="center"/>
    </xf>
    <xf numFmtId="0" fontId="59" fillId="43" borderId="39" xfId="0" applyNumberFormat="1" applyFont="1" applyFill="1" applyBorder="1" applyAlignment="1">
      <alignment horizontal="center"/>
    </xf>
    <xf numFmtId="0" fontId="2" fillId="43" borderId="50" xfId="0" applyFont="1" applyFill="1" applyBorder="1" applyAlignment="1">
      <alignment horizontal="center"/>
    </xf>
    <xf numFmtId="0" fontId="2" fillId="43" borderId="31" xfId="0" applyFont="1" applyFill="1" applyBorder="1" applyAlignment="1">
      <alignment horizontal="center"/>
    </xf>
    <xf numFmtId="0" fontId="3" fillId="42" borderId="13" xfId="45" applyFont="1" applyFill="1" applyBorder="1" applyAlignment="1">
      <alignment horizontal="center"/>
    </xf>
    <xf numFmtId="0" fontId="3" fillId="43" borderId="13" xfId="45" applyFont="1" applyFill="1" applyBorder="1" applyAlignment="1">
      <alignment horizontal="center"/>
    </xf>
    <xf numFmtId="0" fontId="54" fillId="40" borderId="37" xfId="0" applyFont="1" applyFill="1" applyBorder="1" applyAlignment="1">
      <alignment horizontal="center"/>
    </xf>
    <xf numFmtId="0" fontId="54" fillId="40" borderId="38" xfId="0" applyFont="1" applyFill="1" applyBorder="1" applyAlignment="1">
      <alignment horizontal="center"/>
    </xf>
    <xf numFmtId="0" fontId="54" fillId="40" borderId="39" xfId="0" applyFont="1" applyFill="1" applyBorder="1" applyAlignment="1">
      <alignment horizontal="center"/>
    </xf>
    <xf numFmtId="0" fontId="7" fillId="41" borderId="59" xfId="0" applyFont="1" applyFill="1" applyBorder="1" applyAlignment="1">
      <alignment horizontal="center"/>
    </xf>
    <xf numFmtId="0" fontId="7" fillId="41" borderId="60" xfId="0" applyFont="1" applyFill="1" applyBorder="1" applyAlignment="1">
      <alignment horizontal="center"/>
    </xf>
    <xf numFmtId="0" fontId="7" fillId="41" borderId="61" xfId="0" applyFont="1" applyFill="1" applyBorder="1" applyAlignment="1">
      <alignment horizontal="center"/>
    </xf>
    <xf numFmtId="0" fontId="7" fillId="42" borderId="59" xfId="0" applyFont="1" applyFill="1" applyBorder="1" applyAlignment="1">
      <alignment horizontal="center"/>
    </xf>
    <xf numFmtId="0" fontId="7" fillId="42" borderId="60" xfId="0" applyFont="1" applyFill="1" applyBorder="1" applyAlignment="1">
      <alignment horizontal="center"/>
    </xf>
    <xf numFmtId="0" fontId="7" fillId="42" borderId="61" xfId="0" applyFont="1" applyFill="1" applyBorder="1" applyAlignment="1">
      <alignment horizontal="center"/>
    </xf>
    <xf numFmtId="0" fontId="7" fillId="43" borderId="59" xfId="0" applyFont="1" applyFill="1" applyBorder="1" applyAlignment="1">
      <alignment horizontal="center"/>
    </xf>
    <xf numFmtId="0" fontId="7" fillId="43" borderId="60" xfId="0" applyFont="1" applyFill="1" applyBorder="1" applyAlignment="1">
      <alignment horizontal="center"/>
    </xf>
    <xf numFmtId="0" fontId="7" fillId="43" borderId="61" xfId="0" applyFont="1" applyFill="1" applyBorder="1" applyAlignment="1">
      <alignment horizontal="center"/>
    </xf>
    <xf numFmtId="0" fontId="54" fillId="40" borderId="29" xfId="0" applyFont="1" applyFill="1" applyBorder="1" applyAlignment="1">
      <alignment horizontal="center"/>
    </xf>
    <xf numFmtId="0" fontId="54" fillId="40" borderId="30" xfId="0" applyFont="1" applyFill="1" applyBorder="1" applyAlignment="1">
      <alignment horizontal="center"/>
    </xf>
    <xf numFmtId="0" fontId="54" fillId="40" borderId="31" xfId="0" applyFont="1" applyFill="1" applyBorder="1" applyAlignment="1">
      <alignment horizontal="center"/>
    </xf>
    <xf numFmtId="0" fontId="56" fillId="0" borderId="0" xfId="0" applyFont="1" applyBorder="1" applyAlignment="1">
      <alignment vertical="center"/>
    </xf>
    <xf numFmtId="0" fontId="57" fillId="0" borderId="0" xfId="0" applyFont="1" applyBorder="1" applyAlignment="1">
      <alignment vertical="center"/>
    </xf>
    <xf numFmtId="0" fontId="2" fillId="40" borderId="29" xfId="0" applyFont="1" applyFill="1" applyBorder="1" applyAlignment="1">
      <alignment horizontal="center"/>
    </xf>
    <xf numFmtId="0" fontId="2" fillId="40" borderId="30" xfId="0" applyFont="1" applyFill="1" applyBorder="1" applyAlignment="1">
      <alignment horizontal="center"/>
    </xf>
    <xf numFmtId="0" fontId="2" fillId="40" borderId="31" xfId="0" applyFont="1" applyFill="1" applyBorder="1" applyAlignment="1">
      <alignment horizontal="center"/>
    </xf>
    <xf numFmtId="0" fontId="2" fillId="40" borderId="47" xfId="0" applyFont="1" applyFill="1" applyBorder="1" applyAlignment="1">
      <alignment horizontal="center"/>
    </xf>
    <xf numFmtId="0" fontId="2" fillId="40" borderId="5" xfId="0" applyFont="1" applyFill="1" applyBorder="1" applyAlignment="1">
      <alignment horizontal="center"/>
    </xf>
    <xf numFmtId="0" fontId="2" fillId="40" borderId="48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41" borderId="4" xfId="0" applyFont="1" applyFill="1" applyBorder="1" applyAlignment="1">
      <alignment horizontal="center"/>
    </xf>
    <xf numFmtId="0" fontId="2" fillId="41" borderId="0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/>
    </xf>
    <xf numFmtId="1" fontId="3" fillId="0" borderId="57" xfId="3" applyNumberFormat="1" applyFont="1" applyFill="1" applyBorder="1" applyAlignment="1">
      <alignment horizontal="center" vertical="center"/>
    </xf>
    <xf numFmtId="1" fontId="3" fillId="0" borderId="40" xfId="3" applyNumberFormat="1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center"/>
    </xf>
    <xf numFmtId="0" fontId="3" fillId="0" borderId="16" xfId="3" applyFont="1" applyFill="1" applyBorder="1" applyAlignment="1">
      <alignment horizontal="center"/>
    </xf>
    <xf numFmtId="0" fontId="3" fillId="0" borderId="58" xfId="3" applyFont="1" applyFill="1" applyBorder="1" applyAlignment="1">
      <alignment horizontal="center"/>
    </xf>
    <xf numFmtId="0" fontId="3" fillId="41" borderId="54" xfId="3" applyFont="1" applyFill="1" applyBorder="1" applyAlignment="1">
      <alignment horizontal="center"/>
    </xf>
    <xf numFmtId="0" fontId="3" fillId="41" borderId="55" xfId="3" applyFont="1" applyFill="1" applyBorder="1" applyAlignment="1">
      <alignment horizontal="center"/>
    </xf>
    <xf numFmtId="0" fontId="3" fillId="41" borderId="56" xfId="3" applyFont="1" applyFill="1" applyBorder="1" applyAlignment="1">
      <alignment horizontal="center"/>
    </xf>
    <xf numFmtId="0" fontId="6" fillId="0" borderId="13" xfId="3" applyFont="1" applyBorder="1" applyAlignment="1">
      <alignment horizontal="center" vertical="center" wrapText="1"/>
    </xf>
    <xf numFmtId="0" fontId="4" fillId="41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center" wrapText="1"/>
    </xf>
    <xf numFmtId="2" fontId="32" fillId="0" borderId="9" xfId="0" applyNumberFormat="1" applyFont="1" applyFill="1" applyBorder="1" applyAlignment="1">
      <alignment horizontal="center" vertical="center"/>
    </xf>
    <xf numFmtId="2" fontId="32" fillId="0" borderId="14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175" fontId="32" fillId="0" borderId="9" xfId="0" applyNumberFormat="1" applyFont="1" applyFill="1" applyBorder="1" applyAlignment="1">
      <alignment horizontal="center" vertical="center"/>
    </xf>
    <xf numFmtId="175" fontId="32" fillId="0" borderId="14" xfId="0" applyNumberFormat="1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left" vertical="top" wrapText="1"/>
    </xf>
    <xf numFmtId="0" fontId="31" fillId="0" borderId="14" xfId="0" applyFont="1" applyFill="1" applyBorder="1" applyAlignment="1">
      <alignment horizontal="left" vertical="top" wrapText="1"/>
    </xf>
    <xf numFmtId="0" fontId="31" fillId="0" borderId="9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vertical="center" wrapText="1"/>
    </xf>
    <xf numFmtId="0" fontId="31" fillId="0" borderId="14" xfId="0" applyFont="1" applyFill="1" applyBorder="1" applyAlignment="1">
      <alignment vertical="center" wrapText="1"/>
    </xf>
    <xf numFmtId="0" fontId="4" fillId="41" borderId="2" xfId="0" applyFont="1" applyFill="1" applyBorder="1" applyAlignment="1">
      <alignment horizontal="center"/>
    </xf>
    <xf numFmtId="0" fontId="4" fillId="41" borderId="3" xfId="0" applyFont="1" applyFill="1" applyBorder="1" applyAlignment="1">
      <alignment horizontal="center"/>
    </xf>
    <xf numFmtId="0" fontId="4" fillId="41" borderId="8" xfId="0" applyFont="1" applyFill="1" applyBorder="1" applyAlignment="1">
      <alignment horizontal="center"/>
    </xf>
    <xf numFmtId="0" fontId="28" fillId="0" borderId="9" xfId="0" applyFont="1" applyFill="1" applyBorder="1" applyAlignment="1">
      <alignment vertical="center" wrapText="1"/>
    </xf>
    <xf numFmtId="0" fontId="27" fillId="0" borderId="14" xfId="0" applyFont="1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0" fontId="32" fillId="0" borderId="9" xfId="2" applyNumberFormat="1" applyFont="1" applyFill="1" applyBorder="1" applyAlignment="1">
      <alignment horizontal="center" vertical="center"/>
    </xf>
    <xf numFmtId="10" fontId="32" fillId="0" borderId="14" xfId="2" applyNumberFormat="1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textRotation="90"/>
    </xf>
    <xf numFmtId="0" fontId="28" fillId="0" borderId="11" xfId="0" applyFont="1" applyFill="1" applyBorder="1" applyAlignment="1">
      <alignment textRotation="90"/>
    </xf>
    <xf numFmtId="0" fontId="28" fillId="0" borderId="14" xfId="0" applyFont="1" applyFill="1" applyBorder="1" applyAlignment="1">
      <alignment textRotation="90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2" fontId="0" fillId="0" borderId="9" xfId="2" applyNumberFormat="1" applyFont="1" applyFill="1" applyBorder="1" applyAlignment="1">
      <alignment horizontal="right" vertical="center" indent="1"/>
    </xf>
    <xf numFmtId="2" fontId="0" fillId="0" borderId="14" xfId="2" applyNumberFormat="1" applyFont="1" applyFill="1" applyBorder="1" applyAlignment="1">
      <alignment horizontal="right" vertical="center" indent="1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  <xf numFmtId="0" fontId="34" fillId="0" borderId="8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4" fillId="0" borderId="9" xfId="0" applyFont="1" applyFill="1" applyBorder="1" applyAlignment="1">
      <alignment horizontal="center"/>
    </xf>
    <xf numFmtId="2" fontId="0" fillId="0" borderId="13" xfId="2" applyNumberFormat="1" applyFont="1" applyFill="1" applyBorder="1" applyAlignment="1">
      <alignment horizontal="right" vertical="center" indent="1"/>
    </xf>
    <xf numFmtId="0" fontId="0" fillId="0" borderId="14" xfId="0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10" fontId="0" fillId="0" borderId="9" xfId="2" applyNumberFormat="1" applyFont="1" applyFill="1" applyBorder="1" applyAlignment="1">
      <alignment horizontal="right" vertical="center"/>
    </xf>
    <xf numFmtId="0" fontId="0" fillId="0" borderId="14" xfId="0" applyFill="1" applyBorder="1" applyAlignment="1">
      <alignment vertical="center"/>
    </xf>
    <xf numFmtId="0" fontId="0" fillId="0" borderId="2" xfId="0" applyFill="1" applyBorder="1" applyAlignment="1">
      <alignment horizontal="center" vertical="justify"/>
    </xf>
    <xf numFmtId="0" fontId="0" fillId="0" borderId="3" xfId="0" applyFill="1" applyBorder="1" applyAlignment="1">
      <alignment horizontal="center" vertical="justify"/>
    </xf>
    <xf numFmtId="0" fontId="0" fillId="0" borderId="8" xfId="0" applyFill="1" applyBorder="1" applyAlignment="1">
      <alignment horizontal="center" vertical="justify"/>
    </xf>
    <xf numFmtId="0" fontId="0" fillId="0" borderId="7" xfId="0" applyFill="1" applyBorder="1" applyAlignment="1">
      <alignment horizontal="center" vertical="justify"/>
    </xf>
    <xf numFmtId="0" fontId="0" fillId="0" borderId="5" xfId="0" applyFill="1" applyBorder="1" applyAlignment="1">
      <alignment horizontal="center" vertical="justify"/>
    </xf>
    <xf numFmtId="0" fontId="0" fillId="0" borderId="10" xfId="0" applyFill="1" applyBorder="1" applyAlignment="1">
      <alignment horizontal="center" vertical="justify"/>
    </xf>
    <xf numFmtId="0" fontId="4" fillId="41" borderId="2" xfId="0" applyFont="1" applyFill="1" applyBorder="1" applyAlignment="1">
      <alignment horizontal="center" vertical="center"/>
    </xf>
    <xf numFmtId="0" fontId="4" fillId="41" borderId="3" xfId="0" applyFont="1" applyFill="1" applyBorder="1" applyAlignment="1">
      <alignment horizontal="center" vertical="center"/>
    </xf>
    <xf numFmtId="0" fontId="4" fillId="41" borderId="8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4" xfId="2" applyNumberFormat="1" applyFont="1" applyFill="1" applyBorder="1" applyAlignment="1">
      <alignment horizontal="right" vertical="center" indent="1"/>
    </xf>
    <xf numFmtId="2" fontId="0" fillId="0" borderId="14" xfId="0" applyNumberFormat="1" applyFill="1" applyBorder="1" applyAlignment="1">
      <alignment horizontal="right" vertical="center" indent="1"/>
    </xf>
    <xf numFmtId="0" fontId="0" fillId="0" borderId="14" xfId="0" applyFill="1" applyBorder="1" applyAlignment="1">
      <alignment horizontal="right" vertical="center" indent="1"/>
    </xf>
    <xf numFmtId="164" fontId="6" fillId="0" borderId="0" xfId="29" applyFont="1" applyBorder="1" applyAlignment="1">
      <alignment horizontal="center"/>
    </xf>
    <xf numFmtId="4" fontId="6" fillId="0" borderId="3" xfId="45" applyNumberFormat="1" applyFont="1" applyBorder="1" applyAlignment="1">
      <alignment horizontal="center"/>
    </xf>
    <xf numFmtId="4" fontId="6" fillId="0" borderId="5" xfId="45" applyNumberFormat="1" applyFont="1" applyBorder="1" applyAlignment="1">
      <alignment horizontal="center"/>
    </xf>
    <xf numFmtId="0" fontId="6" fillId="0" borderId="5" xfId="45" applyFont="1" applyBorder="1" applyAlignment="1">
      <alignment horizontal="center"/>
    </xf>
    <xf numFmtId="0" fontId="6" fillId="0" borderId="13" xfId="45" applyFont="1" applyBorder="1" applyAlignment="1">
      <alignment horizontal="center"/>
    </xf>
    <xf numFmtId="0" fontId="53" fillId="0" borderId="30" xfId="45" applyFont="1" applyBorder="1" applyAlignment="1">
      <alignment horizontal="center" vertical="center"/>
    </xf>
    <xf numFmtId="0" fontId="53" fillId="0" borderId="5" xfId="45" applyFont="1" applyBorder="1" applyAlignment="1">
      <alignment horizontal="center" vertical="center"/>
    </xf>
    <xf numFmtId="0" fontId="3" fillId="41" borderId="13" xfId="45" applyFont="1" applyFill="1" applyBorder="1" applyAlignment="1">
      <alignment horizontal="center"/>
    </xf>
    <xf numFmtId="1" fontId="3" fillId="41" borderId="13" xfId="45" applyNumberFormat="1" applyFont="1" applyFill="1" applyBorder="1" applyAlignment="1">
      <alignment horizontal="center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/>
    </xf>
    <xf numFmtId="0" fontId="2" fillId="41" borderId="29" xfId="0" applyFont="1" applyFill="1" applyBorder="1" applyAlignment="1">
      <alignment horizontal="center"/>
    </xf>
    <xf numFmtId="0" fontId="2" fillId="41" borderId="49" xfId="0" applyFont="1" applyFill="1" applyBorder="1" applyAlignment="1">
      <alignment horizontal="center"/>
    </xf>
    <xf numFmtId="0" fontId="0" fillId="0" borderId="32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34" xfId="0" applyFill="1" applyBorder="1" applyAlignment="1">
      <alignment horizontal="left"/>
    </xf>
    <xf numFmtId="0" fontId="0" fillId="0" borderId="51" xfId="0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2" fillId="41" borderId="29" xfId="0" applyFont="1" applyFill="1" applyBorder="1" applyAlignment="1">
      <alignment horizontal="center" vertical="center"/>
    </xf>
    <xf numFmtId="0" fontId="2" fillId="41" borderId="30" xfId="0" applyFont="1" applyFill="1" applyBorder="1" applyAlignment="1">
      <alignment horizontal="center" vertical="center"/>
    </xf>
    <xf numFmtId="0" fontId="2" fillId="41" borderId="31" xfId="0" applyFont="1" applyFill="1" applyBorder="1" applyAlignment="1">
      <alignment horizontal="center" vertical="center"/>
    </xf>
    <xf numFmtId="0" fontId="2" fillId="41" borderId="32" xfId="0" applyFont="1" applyFill="1" applyBorder="1" applyAlignment="1">
      <alignment horizontal="center" vertical="center"/>
    </xf>
    <xf numFmtId="0" fontId="2" fillId="41" borderId="0" xfId="0" applyFont="1" applyFill="1" applyBorder="1" applyAlignment="1">
      <alignment horizontal="center" vertical="center"/>
    </xf>
    <xf numFmtId="0" fontId="2" fillId="41" borderId="33" xfId="0" applyFont="1" applyFill="1" applyBorder="1" applyAlignment="1">
      <alignment horizontal="center" vertical="center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167" fontId="0" fillId="0" borderId="33" xfId="9" applyFont="1" applyBorder="1" applyAlignment="1" applyProtection="1">
      <alignment horizontal="center" vertical="center"/>
    </xf>
    <xf numFmtId="0" fontId="0" fillId="0" borderId="32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35" xfId="0" applyBorder="1" applyAlignment="1">
      <alignment horizontal="center" vertical="center"/>
    </xf>
    <xf numFmtId="167" fontId="0" fillId="0" borderId="36" xfId="9" applyFont="1" applyBorder="1" applyAlignment="1" applyProtection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41" borderId="37" xfId="0" applyFill="1" applyBorder="1" applyAlignment="1">
      <alignment horizontal="center"/>
    </xf>
    <xf numFmtId="0" fontId="0" fillId="41" borderId="38" xfId="0" applyFill="1" applyBorder="1" applyAlignment="1">
      <alignment horizontal="center"/>
    </xf>
    <xf numFmtId="0" fontId="0" fillId="41" borderId="39" xfId="0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41" borderId="30" xfId="0" applyFont="1" applyFill="1" applyBorder="1" applyAlignment="1">
      <alignment horizontal="center"/>
    </xf>
    <xf numFmtId="0" fontId="2" fillId="41" borderId="31" xfId="0" applyFont="1" applyFill="1" applyBorder="1" applyAlignment="1">
      <alignment horizontal="center"/>
    </xf>
    <xf numFmtId="0" fontId="2" fillId="41" borderId="47" xfId="0" applyFont="1" applyFill="1" applyBorder="1" applyAlignment="1">
      <alignment horizontal="center"/>
    </xf>
    <xf numFmtId="0" fontId="2" fillId="41" borderId="5" xfId="0" applyFont="1" applyFill="1" applyBorder="1" applyAlignment="1">
      <alignment horizontal="center"/>
    </xf>
    <xf numFmtId="0" fontId="2" fillId="41" borderId="48" xfId="0" applyFont="1" applyFill="1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0" xfId="0" applyBorder="1" applyAlignment="1">
      <alignment horizontal="left"/>
    </xf>
    <xf numFmtId="44" fontId="0" fillId="0" borderId="3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41" borderId="34" xfId="0" applyFont="1" applyFill="1" applyBorder="1" applyAlignment="1">
      <alignment horizontal="center" vertical="center"/>
    </xf>
    <xf numFmtId="0" fontId="2" fillId="41" borderId="35" xfId="0" applyFont="1" applyFill="1" applyBorder="1" applyAlignment="1">
      <alignment horizontal="center" vertical="center"/>
    </xf>
    <xf numFmtId="0" fontId="2" fillId="41" borderId="36" xfId="0" applyFont="1" applyFill="1" applyBorder="1" applyAlignment="1">
      <alignment horizontal="center" vertical="center"/>
    </xf>
    <xf numFmtId="0" fontId="2" fillId="42" borderId="4" xfId="0" applyFont="1" applyFill="1" applyBorder="1" applyAlignment="1">
      <alignment horizontal="center"/>
    </xf>
    <xf numFmtId="0" fontId="2" fillId="42" borderId="0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42" borderId="54" xfId="3" applyFont="1" applyFill="1" applyBorder="1" applyAlignment="1">
      <alignment horizontal="center"/>
    </xf>
    <xf numFmtId="0" fontId="3" fillId="42" borderId="55" xfId="3" applyFont="1" applyFill="1" applyBorder="1" applyAlignment="1">
      <alignment horizontal="center"/>
    </xf>
    <xf numFmtId="0" fontId="3" fillId="42" borderId="56" xfId="3" applyFont="1" applyFill="1" applyBorder="1" applyAlignment="1">
      <alignment horizontal="center"/>
    </xf>
    <xf numFmtId="0" fontId="4" fillId="42" borderId="2" xfId="0" applyFont="1" applyFill="1" applyBorder="1" applyAlignment="1">
      <alignment horizontal="center"/>
    </xf>
    <xf numFmtId="0" fontId="4" fillId="42" borderId="3" xfId="0" applyFont="1" applyFill="1" applyBorder="1" applyAlignment="1">
      <alignment horizontal="center"/>
    </xf>
    <xf numFmtId="0" fontId="4" fillId="42" borderId="8" xfId="0" applyFont="1" applyFill="1" applyBorder="1" applyAlignment="1">
      <alignment horizontal="center"/>
    </xf>
    <xf numFmtId="0" fontId="4" fillId="42" borderId="0" xfId="0" applyFont="1" applyFill="1" applyBorder="1" applyAlignment="1">
      <alignment horizontal="center"/>
    </xf>
    <xf numFmtId="0" fontId="4" fillId="42" borderId="4" xfId="0" applyFont="1" applyFill="1" applyBorder="1" applyAlignment="1">
      <alignment horizontal="center" vertical="center"/>
    </xf>
    <xf numFmtId="0" fontId="4" fillId="42" borderId="0" xfId="0" applyFont="1" applyFill="1" applyBorder="1" applyAlignment="1">
      <alignment horizontal="center" vertical="center"/>
    </xf>
    <xf numFmtId="0" fontId="4" fillId="42" borderId="12" xfId="0" applyFont="1" applyFill="1" applyBorder="1" applyAlignment="1">
      <alignment horizontal="center" vertical="center"/>
    </xf>
    <xf numFmtId="0" fontId="3" fillId="42" borderId="13" xfId="45" applyFont="1" applyFill="1" applyBorder="1" applyAlignment="1">
      <alignment horizontal="center"/>
    </xf>
    <xf numFmtId="1" fontId="3" fillId="42" borderId="13" xfId="45" applyNumberFormat="1" applyFont="1" applyFill="1" applyBorder="1" applyAlignment="1">
      <alignment horizontal="center"/>
    </xf>
    <xf numFmtId="0" fontId="2" fillId="42" borderId="29" xfId="0" applyFont="1" applyFill="1" applyBorder="1" applyAlignment="1">
      <alignment horizontal="center"/>
    </xf>
    <xf numFmtId="0" fontId="2" fillId="42" borderId="49" xfId="0" applyFont="1" applyFill="1" applyBorder="1" applyAlignment="1">
      <alignment horizontal="center"/>
    </xf>
    <xf numFmtId="0" fontId="2" fillId="42" borderId="29" xfId="0" applyFont="1" applyFill="1" applyBorder="1" applyAlignment="1">
      <alignment horizontal="center" vertical="center"/>
    </xf>
    <xf numFmtId="0" fontId="2" fillId="42" borderId="30" xfId="0" applyFont="1" applyFill="1" applyBorder="1" applyAlignment="1">
      <alignment horizontal="center" vertical="center"/>
    </xf>
    <xf numFmtId="0" fontId="2" fillId="42" borderId="31" xfId="0" applyFont="1" applyFill="1" applyBorder="1" applyAlignment="1">
      <alignment horizontal="center" vertical="center"/>
    </xf>
    <xf numFmtId="0" fontId="2" fillId="42" borderId="32" xfId="0" applyFont="1" applyFill="1" applyBorder="1" applyAlignment="1">
      <alignment horizontal="center" vertical="center"/>
    </xf>
    <xf numFmtId="0" fontId="2" fillId="42" borderId="0" xfId="0" applyFont="1" applyFill="1" applyBorder="1" applyAlignment="1">
      <alignment horizontal="center" vertical="center"/>
    </xf>
    <xf numFmtId="0" fontId="2" fillId="42" borderId="33" xfId="0" applyFont="1" applyFill="1" applyBorder="1" applyAlignment="1">
      <alignment horizontal="center" vertical="center"/>
    </xf>
    <xf numFmtId="0" fontId="2" fillId="42" borderId="34" xfId="0" applyFont="1" applyFill="1" applyBorder="1" applyAlignment="1">
      <alignment horizontal="center" vertical="center"/>
    </xf>
    <xf numFmtId="0" fontId="2" fillId="42" borderId="35" xfId="0" applyFont="1" applyFill="1" applyBorder="1" applyAlignment="1">
      <alignment horizontal="center" vertical="center"/>
    </xf>
    <xf numFmtId="0" fontId="2" fillId="42" borderId="36" xfId="0" applyFont="1" applyFill="1" applyBorder="1" applyAlignment="1">
      <alignment horizontal="center" vertical="center"/>
    </xf>
    <xf numFmtId="0" fontId="0" fillId="42" borderId="37" xfId="0" applyFill="1" applyBorder="1" applyAlignment="1">
      <alignment horizontal="center"/>
    </xf>
    <xf numFmtId="0" fontId="0" fillId="42" borderId="38" xfId="0" applyFill="1" applyBorder="1" applyAlignment="1">
      <alignment horizontal="center"/>
    </xf>
    <xf numFmtId="0" fontId="0" fillId="42" borderId="39" xfId="0" applyFill="1" applyBorder="1" applyAlignment="1">
      <alignment horizontal="center"/>
    </xf>
    <xf numFmtId="0" fontId="2" fillId="42" borderId="30" xfId="0" applyFont="1" applyFill="1" applyBorder="1" applyAlignment="1">
      <alignment horizontal="center"/>
    </xf>
    <xf numFmtId="0" fontId="2" fillId="42" borderId="31" xfId="0" applyFont="1" applyFill="1" applyBorder="1" applyAlignment="1">
      <alignment horizontal="center"/>
    </xf>
    <xf numFmtId="0" fontId="2" fillId="42" borderId="47" xfId="0" applyFont="1" applyFill="1" applyBorder="1" applyAlignment="1">
      <alignment horizontal="center"/>
    </xf>
    <xf numFmtId="0" fontId="2" fillId="42" borderId="5" xfId="0" applyFont="1" applyFill="1" applyBorder="1" applyAlignment="1">
      <alignment horizontal="center"/>
    </xf>
    <xf numFmtId="0" fontId="2" fillId="42" borderId="48" xfId="0" applyFont="1" applyFill="1" applyBorder="1" applyAlignment="1">
      <alignment horizontal="center"/>
    </xf>
    <xf numFmtId="0" fontId="2" fillId="43" borderId="4" xfId="0" applyFont="1" applyFill="1" applyBorder="1" applyAlignment="1">
      <alignment horizontal="center"/>
    </xf>
    <xf numFmtId="0" fontId="2" fillId="43" borderId="0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43" borderId="54" xfId="3" applyFont="1" applyFill="1" applyBorder="1" applyAlignment="1">
      <alignment horizontal="center"/>
    </xf>
    <xf numFmtId="0" fontId="3" fillId="43" borderId="55" xfId="3" applyFont="1" applyFill="1" applyBorder="1" applyAlignment="1">
      <alignment horizontal="center"/>
    </xf>
    <xf numFmtId="0" fontId="3" fillId="43" borderId="56" xfId="3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3" borderId="3" xfId="0" applyFont="1" applyFill="1" applyBorder="1" applyAlignment="1">
      <alignment horizontal="center"/>
    </xf>
    <xf numFmtId="0" fontId="4" fillId="43" borderId="8" xfId="0" applyFont="1" applyFill="1" applyBorder="1" applyAlignment="1">
      <alignment horizontal="center"/>
    </xf>
    <xf numFmtId="0" fontId="4" fillId="43" borderId="0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 vertical="center"/>
    </xf>
    <xf numFmtId="0" fontId="4" fillId="43" borderId="3" xfId="0" applyFont="1" applyFill="1" applyBorder="1" applyAlignment="1">
      <alignment horizontal="center" vertical="center"/>
    </xf>
    <xf numFmtId="0" fontId="4" fillId="43" borderId="8" xfId="0" applyFont="1" applyFill="1" applyBorder="1" applyAlignment="1">
      <alignment horizontal="center" vertical="center"/>
    </xf>
    <xf numFmtId="0" fontId="3" fillId="43" borderId="13" xfId="45" applyFont="1" applyFill="1" applyBorder="1" applyAlignment="1">
      <alignment horizontal="center"/>
    </xf>
    <xf numFmtId="1" fontId="3" fillId="43" borderId="13" xfId="45" applyNumberFormat="1" applyFont="1" applyFill="1" applyBorder="1" applyAlignment="1">
      <alignment horizontal="center"/>
    </xf>
    <xf numFmtId="0" fontId="2" fillId="43" borderId="29" xfId="0" applyFont="1" applyFill="1" applyBorder="1" applyAlignment="1">
      <alignment horizontal="center"/>
    </xf>
    <xf numFmtId="0" fontId="2" fillId="43" borderId="49" xfId="0" applyFont="1" applyFill="1" applyBorder="1" applyAlignment="1">
      <alignment horizontal="center"/>
    </xf>
    <xf numFmtId="0" fontId="2" fillId="43" borderId="29" xfId="0" applyFont="1" applyFill="1" applyBorder="1" applyAlignment="1">
      <alignment horizontal="center" vertical="center"/>
    </xf>
    <xf numFmtId="0" fontId="2" fillId="43" borderId="30" xfId="0" applyFont="1" applyFill="1" applyBorder="1" applyAlignment="1">
      <alignment horizontal="center" vertical="center"/>
    </xf>
    <xf numFmtId="0" fontId="2" fillId="43" borderId="31" xfId="0" applyFont="1" applyFill="1" applyBorder="1" applyAlignment="1">
      <alignment horizontal="center" vertical="center"/>
    </xf>
    <xf numFmtId="0" fontId="2" fillId="43" borderId="32" xfId="0" applyFont="1" applyFill="1" applyBorder="1" applyAlignment="1">
      <alignment horizontal="center" vertical="center"/>
    </xf>
    <xf numFmtId="0" fontId="2" fillId="43" borderId="0" xfId="0" applyFont="1" applyFill="1" applyBorder="1" applyAlignment="1">
      <alignment horizontal="center" vertical="center"/>
    </xf>
    <xf numFmtId="0" fontId="2" fillId="43" borderId="33" xfId="0" applyFont="1" applyFill="1" applyBorder="1" applyAlignment="1">
      <alignment horizontal="center" vertical="center"/>
    </xf>
    <xf numFmtId="0" fontId="2" fillId="43" borderId="34" xfId="0" applyFont="1" applyFill="1" applyBorder="1" applyAlignment="1">
      <alignment horizontal="center" vertical="center"/>
    </xf>
    <xf numFmtId="0" fontId="2" fillId="43" borderId="35" xfId="0" applyFont="1" applyFill="1" applyBorder="1" applyAlignment="1">
      <alignment horizontal="center" vertical="center"/>
    </xf>
    <xf numFmtId="0" fontId="2" fillId="43" borderId="36" xfId="0" applyFont="1" applyFill="1" applyBorder="1" applyAlignment="1">
      <alignment horizontal="center" vertical="center"/>
    </xf>
    <xf numFmtId="0" fontId="0" fillId="43" borderId="37" xfId="0" applyFill="1" applyBorder="1" applyAlignment="1">
      <alignment horizontal="center"/>
    </xf>
    <xf numFmtId="0" fontId="0" fillId="43" borderId="38" xfId="0" applyFill="1" applyBorder="1" applyAlignment="1">
      <alignment horizontal="center"/>
    </xf>
    <xf numFmtId="0" fontId="0" fillId="43" borderId="39" xfId="0" applyFill="1" applyBorder="1" applyAlignment="1">
      <alignment horizontal="center"/>
    </xf>
    <xf numFmtId="0" fontId="2" fillId="43" borderId="30" xfId="0" applyFont="1" applyFill="1" applyBorder="1" applyAlignment="1">
      <alignment horizontal="center"/>
    </xf>
    <xf numFmtId="0" fontId="2" fillId="43" borderId="31" xfId="0" applyFont="1" applyFill="1" applyBorder="1" applyAlignment="1">
      <alignment horizontal="center"/>
    </xf>
    <xf numFmtId="0" fontId="2" fillId="43" borderId="47" xfId="0" applyFont="1" applyFill="1" applyBorder="1" applyAlignment="1">
      <alignment horizontal="center"/>
    </xf>
    <xf numFmtId="0" fontId="2" fillId="43" borderId="5" xfId="0" applyFont="1" applyFill="1" applyBorder="1" applyAlignment="1">
      <alignment horizontal="center"/>
    </xf>
    <xf numFmtId="0" fontId="2" fillId="43" borderId="48" xfId="0" applyFont="1" applyFill="1" applyBorder="1" applyAlignment="1">
      <alignment horizontal="center"/>
    </xf>
  </cellXfs>
  <cellStyles count="133">
    <cellStyle name="20% - Énfasis1 2" xfId="93"/>
    <cellStyle name="20% - Énfasis2 2" xfId="94"/>
    <cellStyle name="20% - Énfasis3 2" xfId="5"/>
    <cellStyle name="20% - Énfasis3 3" xfId="95"/>
    <cellStyle name="20% - Énfasis4 2" xfId="96"/>
    <cellStyle name="20% - Énfasis5 2" xfId="97"/>
    <cellStyle name="20% - Énfasis6 2" xfId="98"/>
    <cellStyle name="40% - Énfasis1 2" xfId="99"/>
    <cellStyle name="40% - Énfasis2 2" xfId="100"/>
    <cellStyle name="40% - Énfasis3 2" xfId="101"/>
    <cellStyle name="40% - Énfasis4 2" xfId="102"/>
    <cellStyle name="40% - Énfasis5 2" xfId="103"/>
    <cellStyle name="40% - Énfasis6 2" xfId="104"/>
    <cellStyle name="60% - Énfasis1 2" xfId="105"/>
    <cellStyle name="60% - Énfasis2 2" xfId="106"/>
    <cellStyle name="60% - Énfasis3 2" xfId="107"/>
    <cellStyle name="60% - Énfasis4 2" xfId="108"/>
    <cellStyle name="60% - Énfasis5 2" xfId="109"/>
    <cellStyle name="60% - Énfasis6 2" xfId="110"/>
    <cellStyle name="ANCLAS,REZONES Y SUS PARTES,DE FUNDICION,DE HIERRO O DE ACERO" xfId="6"/>
    <cellStyle name="Buena 2" xfId="111"/>
    <cellStyle name="Cálculo 2" xfId="7"/>
    <cellStyle name="Cálculo 3" xfId="112"/>
    <cellStyle name="capacitacion" xfId="8"/>
    <cellStyle name="Celda de comprobación 2" xfId="113"/>
    <cellStyle name="Celda vinculada 2" xfId="114"/>
    <cellStyle name="Comma" xfId="1"/>
    <cellStyle name="Currency" xfId="9"/>
    <cellStyle name="Currency 2" xfId="10"/>
    <cellStyle name="Date" xfId="11"/>
    <cellStyle name="Encabezado 4 2" xfId="115"/>
    <cellStyle name="Énfasis1 2" xfId="116"/>
    <cellStyle name="Énfasis2 2" xfId="117"/>
    <cellStyle name="Énfasis3 2" xfId="118"/>
    <cellStyle name="Énfasis4 2" xfId="119"/>
    <cellStyle name="Énfasis5 2" xfId="120"/>
    <cellStyle name="Énfasis6 2" xfId="121"/>
    <cellStyle name="Entrada 2" xfId="12"/>
    <cellStyle name="Entrada 3" xfId="122"/>
    <cellStyle name="Euro" xfId="13"/>
    <cellStyle name="Fixed" xfId="14"/>
    <cellStyle name="Heading1" xfId="15"/>
    <cellStyle name="Heading2" xfId="16"/>
    <cellStyle name="Hipervínculo 2" xfId="17"/>
    <cellStyle name="Incorrecto 2" xfId="123"/>
    <cellStyle name="Millares 2" xfId="18"/>
    <cellStyle name="Millares 2 2" xfId="19"/>
    <cellStyle name="Millares 2 3" xfId="20"/>
    <cellStyle name="Millares 2 4" xfId="21"/>
    <cellStyle name="Millares 3" xfId="22"/>
    <cellStyle name="Millares 3 2" xfId="23"/>
    <cellStyle name="Millares 3 3" xfId="24"/>
    <cellStyle name="Millares 4" xfId="25"/>
    <cellStyle name="Millares 4 2" xfId="26"/>
    <cellStyle name="Millares 5" xfId="27"/>
    <cellStyle name="Millares 6" xfId="28"/>
    <cellStyle name="Moneda 2" xfId="29"/>
    <cellStyle name="Moneda 3" xfId="30"/>
    <cellStyle name="Neutral 2" xfId="124"/>
    <cellStyle name="Normal" xfId="0" builtinId="0"/>
    <cellStyle name="Normal 2" xfId="31"/>
    <cellStyle name="Normal 2 2" xfId="32"/>
    <cellStyle name="Normal 2 2 2" xfId="33"/>
    <cellStyle name="Normal 2 3" xfId="34"/>
    <cellStyle name="Normal 2 4" xfId="35"/>
    <cellStyle name="Normal 2 5" xfId="36"/>
    <cellStyle name="Normal 3" xfId="37"/>
    <cellStyle name="Normal 3 2" xfId="38"/>
    <cellStyle name="Normal 3 2 2" xfId="39"/>
    <cellStyle name="Normal 36" xfId="40"/>
    <cellStyle name="Normal 36 2" xfId="41"/>
    <cellStyle name="Normal 4" xfId="3"/>
    <cellStyle name="Normal 4 2" xfId="42"/>
    <cellStyle name="Normal 5" xfId="43"/>
    <cellStyle name="Normal 5 2" xfId="44"/>
    <cellStyle name="Normal 5 3" xfId="45"/>
    <cellStyle name="Normal 6" xfId="46"/>
    <cellStyle name="Normal 7" xfId="47"/>
    <cellStyle name="Notas 2" xfId="125"/>
    <cellStyle name="Percent" xfId="2"/>
    <cellStyle name="Percent 2" xfId="48"/>
    <cellStyle name="Porcentaje 2" xfId="49"/>
    <cellStyle name="Porcentaje 2 2" xfId="4"/>
    <cellStyle name="Porcentaje 3" xfId="50"/>
    <cellStyle name="Porcentaje 4" xfId="51"/>
    <cellStyle name="Porcentual 2" xfId="52"/>
    <cellStyle name="Porcentual_b-Formularios 2" xfId="53"/>
    <cellStyle name="Salida 2" xfId="126"/>
    <cellStyle name="SAPBEXaggData" xfId="54"/>
    <cellStyle name="SAPBEXaggDataEmph" xfId="55"/>
    <cellStyle name="SAPBEXaggItem" xfId="56"/>
    <cellStyle name="SAPBEXaggItemX" xfId="57"/>
    <cellStyle name="SAPBEXchaText" xfId="58"/>
    <cellStyle name="SAPBEXexcBad7" xfId="59"/>
    <cellStyle name="SAPBEXexcBad8" xfId="60"/>
    <cellStyle name="SAPBEXexcBad9" xfId="61"/>
    <cellStyle name="SAPBEXexcCritical4" xfId="62"/>
    <cellStyle name="SAPBEXexcCritical5" xfId="63"/>
    <cellStyle name="SAPBEXexcCritical6" xfId="64"/>
    <cellStyle name="SAPBEXexcGood1" xfId="65"/>
    <cellStyle name="SAPBEXexcGood2" xfId="66"/>
    <cellStyle name="SAPBEXexcGood3" xfId="67"/>
    <cellStyle name="SAPBEXfilterDrill" xfId="68"/>
    <cellStyle name="SAPBEXfilterItem" xfId="69"/>
    <cellStyle name="SAPBEXfilterText" xfId="70"/>
    <cellStyle name="SAPBEXformats" xfId="71"/>
    <cellStyle name="SAPBEXheaderItem" xfId="72"/>
    <cellStyle name="SAPBEXheaderText" xfId="73"/>
    <cellStyle name="SAPBEXHLevel0" xfId="74"/>
    <cellStyle name="SAPBEXHLevel0X" xfId="75"/>
    <cellStyle name="SAPBEXHLevel1" xfId="76"/>
    <cellStyle name="SAPBEXHLevel1X" xfId="77"/>
    <cellStyle name="SAPBEXHLevel2" xfId="78"/>
    <cellStyle name="SAPBEXHLevel2X" xfId="79"/>
    <cellStyle name="SAPBEXHLevel3" xfId="80"/>
    <cellStyle name="SAPBEXHLevel3X" xfId="81"/>
    <cellStyle name="SAPBEXresData" xfId="82"/>
    <cellStyle name="SAPBEXresDataEmph" xfId="83"/>
    <cellStyle name="SAPBEXresItem" xfId="84"/>
    <cellStyle name="SAPBEXresItemX" xfId="85"/>
    <cellStyle name="SAPBEXstdData" xfId="86"/>
    <cellStyle name="SAPBEXstdDataEmph" xfId="87"/>
    <cellStyle name="SAPBEXstdItem" xfId="88"/>
    <cellStyle name="SAPBEXstdItemX" xfId="89"/>
    <cellStyle name="SAPBEXtitle" xfId="90"/>
    <cellStyle name="SAPBEXundefined" xfId="91"/>
    <cellStyle name="TableStyleLight1" xfId="92"/>
    <cellStyle name="Texto de advertencia 2" xfId="127"/>
    <cellStyle name="Texto explicativo 2" xfId="128"/>
    <cellStyle name="Título 2 2" xfId="129"/>
    <cellStyle name="Título 3 2" xfId="130"/>
    <cellStyle name="Título 4" xfId="131"/>
    <cellStyle name="Total 2" xfId="132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2014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ESPERADO'!$J$2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ESPERADO'!$J$4:$J$8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ESPERADO'!$J$4:$J$8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ESPERADO'!$M$2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ESPERADO'!$J$4:$J$8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ESPERADO'!$M$4:$M$8</c:f>
              <c:numCache>
                <c:formatCode>_(* #,##0.00_);_(* \(#,##0.00\);_(* "-"??_);_(@_)</c:formatCode>
                <c:ptCount val="5"/>
                <c:pt idx="0">
                  <c:v>162324.10999999999</c:v>
                </c:pt>
                <c:pt idx="1">
                  <c:v>777922.97068035847</c:v>
                </c:pt>
                <c:pt idx="2">
                  <c:v>1701321.2617008961</c:v>
                </c:pt>
                <c:pt idx="3">
                  <c:v>2009120.6920410753</c:v>
                </c:pt>
                <c:pt idx="4">
                  <c:v>3009468.8406466581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ESPERADO'!$L$2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ESPERADO'!$J$4:$J$8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ESPERADO'!$L$4:$L$8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615598.86068035848</c:v>
                </c:pt>
                <c:pt idx="2">
                  <c:v>1538997.1517008962</c:v>
                </c:pt>
                <c:pt idx="3">
                  <c:v>1846796.5820410755</c:v>
                </c:pt>
                <c:pt idx="4">
                  <c:v>2847144.7306466582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ESPERADO'!$K$2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ESPERADO'!$J$4:$J$8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ESPERADO'!$K$4:$K$8</c:f>
              <c:numCache>
                <c:formatCode>_(* #,##0.00_);_(* \(#,##0.00\);_(* "-"??_);_(@_)</c:formatCode>
                <c:ptCount val="5"/>
                <c:pt idx="0">
                  <c:v>162324.10999999999</c:v>
                </c:pt>
                <c:pt idx="1">
                  <c:v>162324.10999999999</c:v>
                </c:pt>
                <c:pt idx="2">
                  <c:v>162324.10999999999</c:v>
                </c:pt>
                <c:pt idx="3">
                  <c:v>162324.10999999999</c:v>
                </c:pt>
                <c:pt idx="4">
                  <c:v>162324.10999999999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7908768"/>
        <c:axId val="1567896800"/>
      </c:scatterChart>
      <c:valAx>
        <c:axId val="1567908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67896800"/>
        <c:crosses val="autoZero"/>
        <c:crossBetween val="midCat"/>
      </c:valAx>
      <c:valAx>
        <c:axId val="156789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67908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2018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OPTIMISTA'!$J$130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OPTIMISTA'!$J$132:$J$136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446172.75137233309</c:v>
                </c:pt>
                <c:pt idx="2">
                  <c:v>1115431.8784308326</c:v>
                </c:pt>
                <c:pt idx="3">
                  <c:v>1338518.2541169992</c:v>
                </c:pt>
                <c:pt idx="4">
                  <c:v>2063548.9750970404</c:v>
                </c:pt>
              </c:numCache>
            </c:numRef>
          </c:xVal>
          <c:yVal>
            <c:numRef>
              <c:f>'PE OPTIMISTA'!$J$132:$J$136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446172.75137233309</c:v>
                </c:pt>
                <c:pt idx="2">
                  <c:v>1115431.8784308326</c:v>
                </c:pt>
                <c:pt idx="3">
                  <c:v>1338518.2541169992</c:v>
                </c:pt>
                <c:pt idx="4">
                  <c:v>2063548.9750970404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OPTIMISTA'!$M$130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OPTIMISTA'!$J$132:$J$136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446172.75137233309</c:v>
                </c:pt>
                <c:pt idx="2">
                  <c:v>1115431.8784308326</c:v>
                </c:pt>
                <c:pt idx="3">
                  <c:v>1338518.2541169992</c:v>
                </c:pt>
                <c:pt idx="4">
                  <c:v>2063548.9750970404</c:v>
                </c:pt>
              </c:numCache>
            </c:numRef>
          </c:xVal>
          <c:yVal>
            <c:numRef>
              <c:f>'PE OPTIMISTA'!$M$132:$M$136</c:f>
              <c:numCache>
                <c:formatCode>_(* #,##0.00_);_(* \(#,##0.00\);_(* "-"??_);_(@_)</c:formatCode>
                <c:ptCount val="5"/>
                <c:pt idx="0">
                  <c:v>153907.09397616159</c:v>
                </c:pt>
                <c:pt idx="1">
                  <c:v>538517.00775803009</c:v>
                </c:pt>
                <c:pt idx="2">
                  <c:v>1115431.8784308326</c:v>
                </c:pt>
                <c:pt idx="3">
                  <c:v>1307736.835321767</c:v>
                </c:pt>
                <c:pt idx="4">
                  <c:v>1932727.9452173032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OPTIMISTA'!$L$130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OPTIMISTA'!$J$132:$J$136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446172.75137233309</c:v>
                </c:pt>
                <c:pt idx="2">
                  <c:v>1115431.8784308326</c:v>
                </c:pt>
                <c:pt idx="3">
                  <c:v>1338518.2541169992</c:v>
                </c:pt>
                <c:pt idx="4">
                  <c:v>2063548.9750970404</c:v>
                </c:pt>
              </c:numCache>
            </c:numRef>
          </c:xVal>
          <c:yVal>
            <c:numRef>
              <c:f>'PE OPTIMISTA'!$L$132:$L$136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384609.91378186847</c:v>
                </c:pt>
                <c:pt idx="2">
                  <c:v>961524.78445467108</c:v>
                </c:pt>
                <c:pt idx="3">
                  <c:v>1153829.7413456053</c:v>
                </c:pt>
                <c:pt idx="4">
                  <c:v>1778820.8512411416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OPTIMISTA'!$K$130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OPTIMISTA'!$J$132:$J$136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446172.75137233309</c:v>
                </c:pt>
                <c:pt idx="2">
                  <c:v>1115431.8784308326</c:v>
                </c:pt>
                <c:pt idx="3">
                  <c:v>1338518.2541169992</c:v>
                </c:pt>
                <c:pt idx="4">
                  <c:v>2063548.9750970404</c:v>
                </c:pt>
              </c:numCache>
            </c:numRef>
          </c:xVal>
          <c:yVal>
            <c:numRef>
              <c:f>'PE OPTIMISTA'!$K$132:$K$136</c:f>
              <c:numCache>
                <c:formatCode>_(* #,##0.00_);_(* \(#,##0.00\);_(* "-"??_);_(@_)</c:formatCode>
                <c:ptCount val="5"/>
                <c:pt idx="0">
                  <c:v>153907.09397616159</c:v>
                </c:pt>
                <c:pt idx="1">
                  <c:v>153907.09397616159</c:v>
                </c:pt>
                <c:pt idx="2">
                  <c:v>153907.09397616159</c:v>
                </c:pt>
                <c:pt idx="3">
                  <c:v>153907.09397616159</c:v>
                </c:pt>
                <c:pt idx="4">
                  <c:v>153907.09397616159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38192"/>
        <c:axId val="1768956688"/>
      </c:scatterChart>
      <c:valAx>
        <c:axId val="1768938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6688"/>
        <c:crosses val="autoZero"/>
        <c:crossBetween val="midCat"/>
      </c:valAx>
      <c:valAx>
        <c:axId val="176895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38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2014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PESIMISTA'!$J$2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PESIMISTA'!$J$4:$J$8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PESIMISTA'!$J$4:$J$8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PESIMISTA'!$M$2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PESIMISTA'!$J$4:$J$8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PESIMISTA'!$M$4:$M$8</c:f>
              <c:numCache>
                <c:formatCode>_(* #,##0.00_);_(* \(#,##0.00\);_(* "-"??_);_(@_)</c:formatCode>
                <c:ptCount val="5"/>
                <c:pt idx="0">
                  <c:v>162324.10999999999</c:v>
                </c:pt>
                <c:pt idx="1">
                  <c:v>777922.97068035847</c:v>
                </c:pt>
                <c:pt idx="2">
                  <c:v>1701321.2617008961</c:v>
                </c:pt>
                <c:pt idx="3">
                  <c:v>2009120.6920410753</c:v>
                </c:pt>
                <c:pt idx="4">
                  <c:v>3009468.8406466581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PESIMISTA'!$L$2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PESIMISTA'!$J$4:$J$8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PESIMISTA'!$L$4:$L$8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615598.86068035848</c:v>
                </c:pt>
                <c:pt idx="2">
                  <c:v>1538997.1517008962</c:v>
                </c:pt>
                <c:pt idx="3">
                  <c:v>1846796.5820410755</c:v>
                </c:pt>
                <c:pt idx="4">
                  <c:v>2847144.7306466582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PESIMISTA'!$K$2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PESIMISTA'!$J$4:$J$8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PESIMISTA'!$K$4:$K$8</c:f>
              <c:numCache>
                <c:formatCode>_(* #,##0.00_);_(* \(#,##0.00\);_(* "-"??_);_(@_)</c:formatCode>
                <c:ptCount val="5"/>
                <c:pt idx="0">
                  <c:v>162324.10999999999</c:v>
                </c:pt>
                <c:pt idx="1">
                  <c:v>162324.10999999999</c:v>
                </c:pt>
                <c:pt idx="2">
                  <c:v>162324.10999999999</c:v>
                </c:pt>
                <c:pt idx="3">
                  <c:v>162324.10999999999</c:v>
                </c:pt>
                <c:pt idx="4">
                  <c:v>162324.10999999999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57232"/>
        <c:axId val="1768958864"/>
      </c:scatterChart>
      <c:valAx>
        <c:axId val="1768957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8864"/>
        <c:crosses val="autoZero"/>
        <c:crossBetween val="midCat"/>
      </c:valAx>
      <c:valAx>
        <c:axId val="176895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7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2015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PESIMISTA'!$J$34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PESIMISTA'!$J$36:$J$40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PESIMISTA'!$J$36:$J$40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PESIMISTA'!$M$34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PESIMISTA'!$J$36:$J$40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PESIMISTA'!$M$36:$M$40</c:f>
              <c:numCache>
                <c:formatCode>_(* #,##0.00_);_(* \(#,##0.00\);_(* "-"??_);_(@_)</c:formatCode>
                <c:ptCount val="5"/>
                <c:pt idx="0">
                  <c:v>143572.68</c:v>
                </c:pt>
                <c:pt idx="1">
                  <c:v>424639.31584723742</c:v>
                </c:pt>
                <c:pt idx="2">
                  <c:v>846239.2696180935</c:v>
                </c:pt>
                <c:pt idx="3">
                  <c:v>986772.58754171222</c:v>
                </c:pt>
                <c:pt idx="4">
                  <c:v>1443505.8707934732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PESIMISTA'!$L$34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PESIMISTA'!$J$36:$J$40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PESIMISTA'!$L$36:$L$40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281066.63584723743</c:v>
                </c:pt>
                <c:pt idx="2">
                  <c:v>702666.58961809357</c:v>
                </c:pt>
                <c:pt idx="3">
                  <c:v>843199.90754171228</c:v>
                </c:pt>
                <c:pt idx="4">
                  <c:v>1299933.1907934733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PESIMISTA'!$K$34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PESIMISTA'!$J$36:$J$40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PESIMISTA'!$K$36:$K$40</c:f>
              <c:numCache>
                <c:formatCode>_(* #,##0.00_);_(* \(#,##0.00\);_(* "-"??_);_(@_)</c:formatCode>
                <c:ptCount val="5"/>
                <c:pt idx="0">
                  <c:v>143572.68</c:v>
                </c:pt>
                <c:pt idx="1">
                  <c:v>143572.68</c:v>
                </c:pt>
                <c:pt idx="2">
                  <c:v>143572.68</c:v>
                </c:pt>
                <c:pt idx="3">
                  <c:v>143572.68</c:v>
                </c:pt>
                <c:pt idx="4">
                  <c:v>143572.68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59408"/>
        <c:axId val="1768952336"/>
      </c:scatterChart>
      <c:valAx>
        <c:axId val="176895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2336"/>
        <c:crosses val="autoZero"/>
        <c:crossBetween val="midCat"/>
      </c:valAx>
      <c:valAx>
        <c:axId val="176895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2016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PESIMISTA'!$J$66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PESIMISTA'!$J$68:$J$72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444772.03789141844</c:v>
                </c:pt>
                <c:pt idx="2">
                  <c:v>1111930.094728546</c:v>
                </c:pt>
                <c:pt idx="3">
                  <c:v>1334316.1136742551</c:v>
                </c:pt>
                <c:pt idx="4">
                  <c:v>2057070.6752478101</c:v>
                </c:pt>
              </c:numCache>
            </c:numRef>
          </c:xVal>
          <c:yVal>
            <c:numRef>
              <c:f>'PE PESIMISTA'!$J$68:$J$73</c:f>
              <c:numCache>
                <c:formatCode>_(* #,##0.00_);_(* \(#,##0.00\);_(* "-"??_);_(@_)</c:formatCode>
                <c:ptCount val="6"/>
                <c:pt idx="0">
                  <c:v>0</c:v>
                </c:pt>
                <c:pt idx="1">
                  <c:v>444772.03789141844</c:v>
                </c:pt>
                <c:pt idx="2">
                  <c:v>1111930.094728546</c:v>
                </c:pt>
                <c:pt idx="3">
                  <c:v>1334316.1136742551</c:v>
                </c:pt>
                <c:pt idx="4">
                  <c:v>2057070.6752478101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PESIMISTA'!$M$66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PESIMISTA'!$J$68:$J$72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444772.03789141844</c:v>
                </c:pt>
                <c:pt idx="2">
                  <c:v>1111930.094728546</c:v>
                </c:pt>
                <c:pt idx="3">
                  <c:v>1334316.1136742551</c:v>
                </c:pt>
                <c:pt idx="4">
                  <c:v>2057070.6752478101</c:v>
                </c:pt>
              </c:numCache>
            </c:numRef>
          </c:xVal>
          <c:yVal>
            <c:numRef>
              <c:f>'PE PESIMISTA'!$M$68:$M$72</c:f>
              <c:numCache>
                <c:formatCode>_(* #,##0.00_);_(* \(#,##0.00\);_(* "-"??_);_(@_)</c:formatCode>
                <c:ptCount val="5"/>
                <c:pt idx="0">
                  <c:v>150291.99359300002</c:v>
                </c:pt>
                <c:pt idx="1">
                  <c:v>534947.23404721846</c:v>
                </c:pt>
                <c:pt idx="2">
                  <c:v>1111930.094728546</c:v>
                </c:pt>
                <c:pt idx="3">
                  <c:v>1304257.7149556552</c:v>
                </c:pt>
                <c:pt idx="4">
                  <c:v>1929322.4806937603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PESIMISTA'!$L$66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PESIMISTA'!$J$68:$J$72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444772.03789141844</c:v>
                </c:pt>
                <c:pt idx="2">
                  <c:v>1111930.094728546</c:v>
                </c:pt>
                <c:pt idx="3">
                  <c:v>1334316.1136742551</c:v>
                </c:pt>
                <c:pt idx="4">
                  <c:v>2057070.6752478101</c:v>
                </c:pt>
              </c:numCache>
            </c:numRef>
          </c:xVal>
          <c:yVal>
            <c:numRef>
              <c:f>'PE PESIMISTA'!$L$68:$L$72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384655.24045421841</c:v>
                </c:pt>
                <c:pt idx="2">
                  <c:v>961638.10113554599</c:v>
                </c:pt>
                <c:pt idx="3">
                  <c:v>1153965.7213626551</c:v>
                </c:pt>
                <c:pt idx="4">
                  <c:v>1779030.4871007602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PESIMISTA'!$K$66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PESIMISTA'!$J$68:$J$72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444772.03789141844</c:v>
                </c:pt>
                <c:pt idx="2">
                  <c:v>1111930.094728546</c:v>
                </c:pt>
                <c:pt idx="3">
                  <c:v>1334316.1136742551</c:v>
                </c:pt>
                <c:pt idx="4">
                  <c:v>2057070.6752478101</c:v>
                </c:pt>
              </c:numCache>
            </c:numRef>
          </c:xVal>
          <c:yVal>
            <c:numRef>
              <c:f>'PE PESIMISTA'!$K$68:$K$72</c:f>
              <c:numCache>
                <c:formatCode>_(* #,##0.00_);_(* \(#,##0.00\);_(* "-"??_);_(@_)</c:formatCode>
                <c:ptCount val="5"/>
                <c:pt idx="0">
                  <c:v>150291.99359300002</c:v>
                </c:pt>
                <c:pt idx="1">
                  <c:v>150291.99359300002</c:v>
                </c:pt>
                <c:pt idx="2">
                  <c:v>150291.99359300002</c:v>
                </c:pt>
                <c:pt idx="3">
                  <c:v>150291.99359300002</c:v>
                </c:pt>
                <c:pt idx="4">
                  <c:v>150291.99359300002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54512"/>
        <c:axId val="1768961040"/>
      </c:scatterChart>
      <c:valAx>
        <c:axId val="1768954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61040"/>
        <c:crosses val="autoZero"/>
        <c:crossBetween val="midCat"/>
      </c:valAx>
      <c:valAx>
        <c:axId val="176896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4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2017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PESIMISTA'!$J$98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PESIMISTA'!$J$100:$J$104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466636.25860320294</c:v>
                </c:pt>
                <c:pt idx="2">
                  <c:v>1166590.6465080073</c:v>
                </c:pt>
                <c:pt idx="3">
                  <c:v>1399908.7758096086</c:v>
                </c:pt>
                <c:pt idx="4">
                  <c:v>2158192.6960398136</c:v>
                </c:pt>
              </c:numCache>
            </c:numRef>
          </c:xVal>
          <c:yVal>
            <c:numRef>
              <c:f>'PE PESIMISTA'!$J$100:$J$104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466636.25860320294</c:v>
                </c:pt>
                <c:pt idx="2">
                  <c:v>1166590.6465080073</c:v>
                </c:pt>
                <c:pt idx="3">
                  <c:v>1399908.7758096086</c:v>
                </c:pt>
                <c:pt idx="4">
                  <c:v>2158192.6960398136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PESIMISTA'!$M$98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PESIMISTA'!$J$100:$J$104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466636.25860320294</c:v>
                </c:pt>
                <c:pt idx="2">
                  <c:v>1166590.6465080073</c:v>
                </c:pt>
                <c:pt idx="3">
                  <c:v>1399908.7758096086</c:v>
                </c:pt>
                <c:pt idx="4">
                  <c:v>2158192.6960398136</c:v>
                </c:pt>
              </c:numCache>
            </c:numRef>
          </c:xVal>
          <c:yVal>
            <c:numRef>
              <c:f>'PE PESIMISTA'!$M$100:$M$104</c:f>
              <c:numCache>
                <c:formatCode>_(* #,##0.00_);_(* \(#,##0.00\);_(* "-"??_);_(@_)</c:formatCode>
                <c:ptCount val="5"/>
                <c:pt idx="0">
                  <c:v>157374.82205138131</c:v>
                </c:pt>
                <c:pt idx="1">
                  <c:v>561061.15183403168</c:v>
                </c:pt>
                <c:pt idx="2">
                  <c:v>1166590.6465080073</c:v>
                </c:pt>
                <c:pt idx="3">
                  <c:v>1368433.8113993322</c:v>
                </c:pt>
                <c:pt idx="4">
                  <c:v>2024424.0972961395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PESIMISTA'!$L$98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PESIMISTA'!$J$100:$J$104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466636.25860320294</c:v>
                </c:pt>
                <c:pt idx="2">
                  <c:v>1166590.6465080073</c:v>
                </c:pt>
                <c:pt idx="3">
                  <c:v>1399908.7758096086</c:v>
                </c:pt>
                <c:pt idx="4">
                  <c:v>2158192.6960398136</c:v>
                </c:pt>
              </c:numCache>
            </c:numRef>
          </c:xVal>
          <c:yVal>
            <c:numRef>
              <c:f>'PE PESIMISTA'!$L$100:$L$104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403686.3297826504</c:v>
                </c:pt>
                <c:pt idx="2">
                  <c:v>1009215.824456626</c:v>
                </c:pt>
                <c:pt idx="3">
                  <c:v>1211058.989347951</c:v>
                </c:pt>
                <c:pt idx="4">
                  <c:v>1867049.2752447582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PESIMISTA'!$K$98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PESIMISTA'!$J$100:$J$104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466636.25860320294</c:v>
                </c:pt>
                <c:pt idx="2">
                  <c:v>1166590.6465080073</c:v>
                </c:pt>
                <c:pt idx="3">
                  <c:v>1399908.7758096086</c:v>
                </c:pt>
                <c:pt idx="4">
                  <c:v>2158192.6960398136</c:v>
                </c:pt>
              </c:numCache>
            </c:numRef>
          </c:xVal>
          <c:yVal>
            <c:numRef>
              <c:f>'PE PESIMISTA'!$K$100:$K$104</c:f>
              <c:numCache>
                <c:formatCode>_(* #,##0.00_);_(* \(#,##0.00\);_(* "-"??_);_(@_)</c:formatCode>
                <c:ptCount val="5"/>
                <c:pt idx="0">
                  <c:v>157374.82205138131</c:v>
                </c:pt>
                <c:pt idx="1">
                  <c:v>157374.82205138131</c:v>
                </c:pt>
                <c:pt idx="2">
                  <c:v>157374.82205138131</c:v>
                </c:pt>
                <c:pt idx="3">
                  <c:v>157374.82205138131</c:v>
                </c:pt>
                <c:pt idx="4">
                  <c:v>157374.82205138131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42000"/>
        <c:axId val="1768942544"/>
      </c:scatterChart>
      <c:valAx>
        <c:axId val="1768942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42544"/>
        <c:crosses val="autoZero"/>
        <c:crossBetween val="midCat"/>
      </c:valAx>
      <c:valAx>
        <c:axId val="176894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4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2018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PESIMISTA'!$J$130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PESIMISTA'!$J$132:$J$136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489775.35060929874</c:v>
                </c:pt>
                <c:pt idx="2">
                  <c:v>1224438.3765232468</c:v>
                </c:pt>
                <c:pt idx="3">
                  <c:v>1469326.0518278962</c:v>
                </c:pt>
                <c:pt idx="4">
                  <c:v>2265210.9965680065</c:v>
                </c:pt>
              </c:numCache>
            </c:numRef>
          </c:xVal>
          <c:yVal>
            <c:numRef>
              <c:f>'PE PESIMISTA'!$J$132:$J$136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489775.35060929874</c:v>
                </c:pt>
                <c:pt idx="2">
                  <c:v>1224438.3765232468</c:v>
                </c:pt>
                <c:pt idx="3">
                  <c:v>1469326.0518278962</c:v>
                </c:pt>
                <c:pt idx="4">
                  <c:v>2265210.9965680065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PESIMISTA'!$M$130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PESIMISTA'!$J$132:$J$136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489775.35060929874</c:v>
                </c:pt>
                <c:pt idx="2">
                  <c:v>1224438.3765232468</c:v>
                </c:pt>
                <c:pt idx="3">
                  <c:v>1469326.0518278962</c:v>
                </c:pt>
                <c:pt idx="4">
                  <c:v>2265210.9965680065</c:v>
                </c:pt>
              </c:numCache>
            </c:numRef>
          </c:xVal>
          <c:yVal>
            <c:numRef>
              <c:f>'PE PESIMISTA'!$M$132:$M$136</c:f>
              <c:numCache>
                <c:formatCode>_(* #,##0.00_);_(* \(#,##0.00\);_(* "-"??_);_(@_)</c:formatCode>
                <c:ptCount val="5"/>
                <c:pt idx="0">
                  <c:v>164840.83152936102</c:v>
                </c:pt>
                <c:pt idx="1">
                  <c:v>588679.84952691535</c:v>
                </c:pt>
                <c:pt idx="2">
                  <c:v>1224438.3765232468</c:v>
                </c:pt>
                <c:pt idx="3">
                  <c:v>1436357.8855220238</c:v>
                </c:pt>
                <c:pt idx="4">
                  <c:v>2125096.28976805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PESIMISTA'!$L$130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PESIMISTA'!$J$132:$J$136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489775.35060929874</c:v>
                </c:pt>
                <c:pt idx="2">
                  <c:v>1224438.3765232468</c:v>
                </c:pt>
                <c:pt idx="3">
                  <c:v>1469326.0518278962</c:v>
                </c:pt>
                <c:pt idx="4">
                  <c:v>2265210.9965680065</c:v>
                </c:pt>
              </c:numCache>
            </c:numRef>
          </c:xVal>
          <c:yVal>
            <c:numRef>
              <c:f>'PE PESIMISTA'!$L$132:$L$136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423839.01799755433</c:v>
                </c:pt>
                <c:pt idx="2">
                  <c:v>1059597.5449938858</c:v>
                </c:pt>
                <c:pt idx="3">
                  <c:v>1271517.0539926628</c:v>
                </c:pt>
                <c:pt idx="4">
                  <c:v>1960255.4582386888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PESIMISTA'!$K$130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PESIMISTA'!$J$132:$J$136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489775.35060929874</c:v>
                </c:pt>
                <c:pt idx="2">
                  <c:v>1224438.3765232468</c:v>
                </c:pt>
                <c:pt idx="3">
                  <c:v>1469326.0518278962</c:v>
                </c:pt>
                <c:pt idx="4">
                  <c:v>2265210.9965680065</c:v>
                </c:pt>
              </c:numCache>
            </c:numRef>
          </c:xVal>
          <c:yVal>
            <c:numRef>
              <c:f>'PE PESIMISTA'!$K$132:$K$136</c:f>
              <c:numCache>
                <c:formatCode>_(* #,##0.00_);_(* \(#,##0.00\);_(* "-"??_);_(@_)</c:formatCode>
                <c:ptCount val="5"/>
                <c:pt idx="0">
                  <c:v>164840.83152936102</c:v>
                </c:pt>
                <c:pt idx="1">
                  <c:v>164840.83152936102</c:v>
                </c:pt>
                <c:pt idx="2">
                  <c:v>164840.83152936102</c:v>
                </c:pt>
                <c:pt idx="3">
                  <c:v>164840.83152936102</c:v>
                </c:pt>
                <c:pt idx="4">
                  <c:v>164840.83152936102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61584"/>
        <c:axId val="1768962128"/>
      </c:scatterChart>
      <c:valAx>
        <c:axId val="1768961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62128"/>
        <c:crosses val="autoZero"/>
        <c:crossBetween val="midCat"/>
      </c:valAx>
      <c:valAx>
        <c:axId val="176896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6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2015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ESPERADO'!$J$34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ESPERADO'!$J$36:$J$40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ESPERADO'!$J$36:$J$40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ESPERADO'!$M$34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ESPERADO'!$J$36:$J$40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ESPERADO'!$M$36:$M$40</c:f>
              <c:numCache>
                <c:formatCode>_(* #,##0.00_);_(* \(#,##0.00\);_(* "-"??_);_(@_)</c:formatCode>
                <c:ptCount val="5"/>
                <c:pt idx="0">
                  <c:v>143572.68</c:v>
                </c:pt>
                <c:pt idx="1">
                  <c:v>424639.31584723742</c:v>
                </c:pt>
                <c:pt idx="2">
                  <c:v>846239.2696180935</c:v>
                </c:pt>
                <c:pt idx="3">
                  <c:v>986772.58754171222</c:v>
                </c:pt>
                <c:pt idx="4">
                  <c:v>1443505.8707934732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ESPERADO'!$L$34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ESPERADO'!$J$36:$J$40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ESPERADO'!$L$36:$L$40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281066.63584723743</c:v>
                </c:pt>
                <c:pt idx="2">
                  <c:v>702666.58961809357</c:v>
                </c:pt>
                <c:pt idx="3">
                  <c:v>843199.90754171228</c:v>
                </c:pt>
                <c:pt idx="4">
                  <c:v>1299933.1907934733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ESPERADO'!$K$34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ESPERADO'!$J$36:$J$40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ESPERADO'!$K$36:$K$40</c:f>
              <c:numCache>
                <c:formatCode>_(* #,##0.00_);_(* \(#,##0.00\);_(* "-"??_);_(@_)</c:formatCode>
                <c:ptCount val="5"/>
                <c:pt idx="0">
                  <c:v>143572.68</c:v>
                </c:pt>
                <c:pt idx="1">
                  <c:v>143572.68</c:v>
                </c:pt>
                <c:pt idx="2">
                  <c:v>143572.68</c:v>
                </c:pt>
                <c:pt idx="3">
                  <c:v>143572.68</c:v>
                </c:pt>
                <c:pt idx="4">
                  <c:v>143572.68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090016"/>
        <c:axId val="1764115040"/>
      </c:scatterChart>
      <c:valAx>
        <c:axId val="176409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4115040"/>
        <c:crosses val="autoZero"/>
        <c:crossBetween val="midCat"/>
      </c:valAx>
      <c:valAx>
        <c:axId val="176411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4090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2016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ESPERADO'!$J$66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ESPERADO'!$J$68:$J$72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434062.92552963685</c:v>
                </c:pt>
                <c:pt idx="2">
                  <c:v>1085157.313824092</c:v>
                </c:pt>
                <c:pt idx="3">
                  <c:v>1302188.7765889105</c:v>
                </c:pt>
                <c:pt idx="4">
                  <c:v>2007541.0305745704</c:v>
                </c:pt>
              </c:numCache>
            </c:numRef>
          </c:xVal>
          <c:yVal>
            <c:numRef>
              <c:f>'PE ESPERADO'!$J$68:$J$72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434062.92552963685</c:v>
                </c:pt>
                <c:pt idx="2">
                  <c:v>1085157.313824092</c:v>
                </c:pt>
                <c:pt idx="3">
                  <c:v>1302188.7765889105</c:v>
                </c:pt>
                <c:pt idx="4">
                  <c:v>2007541.0305745704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ESPERADO'!$M$66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ESPERADO'!$J$68:$J$72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434062.92552963685</c:v>
                </c:pt>
                <c:pt idx="2">
                  <c:v>1085157.313824092</c:v>
                </c:pt>
                <c:pt idx="3">
                  <c:v>1302188.7765889105</c:v>
                </c:pt>
                <c:pt idx="4">
                  <c:v>2007541.0305745704</c:v>
                </c:pt>
              </c:numCache>
            </c:numRef>
          </c:xVal>
          <c:yVal>
            <c:numRef>
              <c:f>'PE ESPERADO'!$M$68:$M$72</c:f>
              <c:numCache>
                <c:formatCode>_(* #,##0.00_);_(* \(#,##0.00\);_(* "-"??_);_(@_)</c:formatCode>
                <c:ptCount val="5"/>
                <c:pt idx="0">
                  <c:v>147770.69847400003</c:v>
                </c:pt>
                <c:pt idx="1">
                  <c:v>522725.34461403691</c:v>
                </c:pt>
                <c:pt idx="2">
                  <c:v>1085157.313824092</c:v>
                </c:pt>
                <c:pt idx="3">
                  <c:v>1272634.6368941104</c:v>
                </c:pt>
                <c:pt idx="4">
                  <c:v>1881935.9368716704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ESPERADO'!$L$66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ESPERADO'!$J$68:$J$72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434062.92552963685</c:v>
                </c:pt>
                <c:pt idx="2">
                  <c:v>1085157.313824092</c:v>
                </c:pt>
                <c:pt idx="3">
                  <c:v>1302188.7765889105</c:v>
                </c:pt>
                <c:pt idx="4">
                  <c:v>2007541.0305745704</c:v>
                </c:pt>
              </c:numCache>
            </c:numRef>
          </c:xVal>
          <c:yVal>
            <c:numRef>
              <c:f>'PE ESPERADO'!$L$68:$L$72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374954.64614003687</c:v>
                </c:pt>
                <c:pt idx="2">
                  <c:v>937386.61535009206</c:v>
                </c:pt>
                <c:pt idx="3">
                  <c:v>1124863.9384201104</c:v>
                </c:pt>
                <c:pt idx="4">
                  <c:v>1734165.2383976704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ESPERADO'!$K$66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ESPERADO'!$J$68:$J$72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434062.92552963685</c:v>
                </c:pt>
                <c:pt idx="2">
                  <c:v>1085157.313824092</c:v>
                </c:pt>
                <c:pt idx="3">
                  <c:v>1302188.7765889105</c:v>
                </c:pt>
                <c:pt idx="4">
                  <c:v>2007541.0305745704</c:v>
                </c:pt>
              </c:numCache>
            </c:numRef>
          </c:xVal>
          <c:yVal>
            <c:numRef>
              <c:f>'PE ESPERADO'!$K$68:$K$72</c:f>
              <c:numCache>
                <c:formatCode>_(* #,##0.00_);_(* \(#,##0.00\);_(* "-"??_);_(@_)</c:formatCode>
                <c:ptCount val="5"/>
                <c:pt idx="0">
                  <c:v>147770.69847400003</c:v>
                </c:pt>
                <c:pt idx="1">
                  <c:v>147770.69847400003</c:v>
                </c:pt>
                <c:pt idx="2">
                  <c:v>147770.69847400003</c:v>
                </c:pt>
                <c:pt idx="3">
                  <c:v>147770.69847400003</c:v>
                </c:pt>
                <c:pt idx="4">
                  <c:v>147770.69847400003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446592"/>
        <c:axId val="1371447136"/>
      </c:scatterChart>
      <c:valAx>
        <c:axId val="1371446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371447136"/>
        <c:crosses val="autoZero"/>
        <c:crossBetween val="midCat"/>
      </c:valAx>
      <c:valAx>
        <c:axId val="137144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371446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2017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ESPERADO'!$J$98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ESPERADO'!$J$100:$J$104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444733.40350545192</c:v>
                </c:pt>
                <c:pt idx="2">
                  <c:v>1111833.5087636297</c:v>
                </c:pt>
                <c:pt idx="3">
                  <c:v>1334200.2105163557</c:v>
                </c:pt>
                <c:pt idx="4">
                  <c:v>2056891.9912127152</c:v>
                </c:pt>
              </c:numCache>
            </c:numRef>
          </c:xVal>
          <c:yVal>
            <c:numRef>
              <c:f>'PE ESPERADO'!$J$100:$J$104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444733.40350545192</c:v>
                </c:pt>
                <c:pt idx="2">
                  <c:v>1111833.5087636297</c:v>
                </c:pt>
                <c:pt idx="3">
                  <c:v>1334200.2105163557</c:v>
                </c:pt>
                <c:pt idx="4">
                  <c:v>2056891.9912127152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ESPERADO'!$M$98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ESPERADO'!$J$100:$J$104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444733.40350545192</c:v>
                </c:pt>
                <c:pt idx="2">
                  <c:v>1111833.5087636297</c:v>
                </c:pt>
                <c:pt idx="3">
                  <c:v>1334200.2105163557</c:v>
                </c:pt>
                <c:pt idx="4">
                  <c:v>2056891.9912127152</c:v>
                </c:pt>
              </c:numCache>
            </c:numRef>
          </c:xVal>
          <c:yVal>
            <c:numRef>
              <c:f>'PE ESPERADO'!$M$100:$M$104</c:f>
              <c:numCache>
                <c:formatCode>_(* #,##0.00_);_(* \(#,##0.00\);_(* "-"??_);_(@_)</c:formatCode>
                <c:ptCount val="5"/>
                <c:pt idx="0">
                  <c:v>152110.6099724212</c:v>
                </c:pt>
                <c:pt idx="1">
                  <c:v>535999.76948890463</c:v>
                </c:pt>
                <c:pt idx="2">
                  <c:v>1111833.5087636297</c:v>
                </c:pt>
                <c:pt idx="3">
                  <c:v>1303778.0885218713</c:v>
                </c:pt>
                <c:pt idx="4">
                  <c:v>1927597.972736157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ESPERADO'!$L$98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ESPERADO'!$J$100:$J$104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444733.40350545192</c:v>
                </c:pt>
                <c:pt idx="2">
                  <c:v>1111833.5087636297</c:v>
                </c:pt>
                <c:pt idx="3">
                  <c:v>1334200.2105163557</c:v>
                </c:pt>
                <c:pt idx="4">
                  <c:v>2056891.9912127152</c:v>
                </c:pt>
              </c:numCache>
            </c:numRef>
          </c:xVal>
          <c:yVal>
            <c:numRef>
              <c:f>'PE ESPERADO'!$L$100:$L$104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383889.15951648343</c:v>
                </c:pt>
                <c:pt idx="2">
                  <c:v>959722.89879120851</c:v>
                </c:pt>
                <c:pt idx="3">
                  <c:v>1151667.4785494502</c:v>
                </c:pt>
                <c:pt idx="4">
                  <c:v>1775487.3627637359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ESPERADO'!$K$98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ESPERADO'!$J$100:$J$103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444733.40350545192</c:v>
                </c:pt>
                <c:pt idx="2">
                  <c:v>1111833.5087636297</c:v>
                </c:pt>
                <c:pt idx="3">
                  <c:v>1334200.2105163557</c:v>
                </c:pt>
              </c:numCache>
            </c:numRef>
          </c:xVal>
          <c:yVal>
            <c:numRef>
              <c:f>'PE ESPERADO'!$K$100:$K$104</c:f>
              <c:numCache>
                <c:formatCode>_(* #,##0.00_);_(* \(#,##0.00\);_(* "-"??_);_(@_)</c:formatCode>
                <c:ptCount val="5"/>
                <c:pt idx="0">
                  <c:v>152110.6099724212</c:v>
                </c:pt>
                <c:pt idx="1">
                  <c:v>152110.6099724212</c:v>
                </c:pt>
                <c:pt idx="2">
                  <c:v>152110.6099724212</c:v>
                </c:pt>
                <c:pt idx="3">
                  <c:v>152110.6099724212</c:v>
                </c:pt>
                <c:pt idx="4">
                  <c:v>152110.6099724212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60496"/>
        <c:axId val="1768955600"/>
      </c:scatterChart>
      <c:valAx>
        <c:axId val="1768960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5600"/>
        <c:crosses val="autoZero"/>
        <c:crossBetween val="midCat"/>
      </c:valAx>
      <c:valAx>
        <c:axId val="176895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60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2018</a:t>
            </a:r>
            <a:endParaRPr lang="es-EC"/>
          </a:p>
        </c:rich>
      </c:tx>
      <c:layout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ESPERADO'!$J$130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ESPERADO'!$J$132:$J$136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456083.02948620846</c:v>
                </c:pt>
                <c:pt idx="2">
                  <c:v>1140207.573715521</c:v>
                </c:pt>
                <c:pt idx="3">
                  <c:v>1368249.0884586251</c:v>
                </c:pt>
                <c:pt idx="4">
                  <c:v>2109384.0113737141</c:v>
                </c:pt>
              </c:numCache>
            </c:numRef>
          </c:xVal>
          <c:yVal>
            <c:numRef>
              <c:f>'PE ESPERADO'!$J$132:$J$136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456083.02948620846</c:v>
                </c:pt>
                <c:pt idx="2">
                  <c:v>1140207.573715521</c:v>
                </c:pt>
                <c:pt idx="3">
                  <c:v>1368249.0884586251</c:v>
                </c:pt>
                <c:pt idx="4">
                  <c:v>2109384.0113737141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ESPERADO'!$M$130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ESPERADO'!$J$132:$J$136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456083.02948620846</c:v>
                </c:pt>
                <c:pt idx="2">
                  <c:v>1140207.573715521</c:v>
                </c:pt>
                <c:pt idx="3">
                  <c:v>1368249.0884586251</c:v>
                </c:pt>
                <c:pt idx="4">
                  <c:v>2109384.0113737141</c:v>
                </c:pt>
              </c:numCache>
            </c:numRef>
          </c:xVal>
          <c:yVal>
            <c:numRef>
              <c:f>'PE ESPERADO'!$M$132:$M$136</c:f>
              <c:numCache>
                <c:formatCode>_(* #,##0.00_);_(* \(#,##0.00\);_(* "-"??_);_(@_)</c:formatCode>
                <c:ptCount val="5"/>
                <c:pt idx="0">
                  <c:v>156597.21047948906</c:v>
                </c:pt>
                <c:pt idx="1">
                  <c:v>550041.3557739018</c:v>
                </c:pt>
                <c:pt idx="2">
                  <c:v>1140207.573715521</c:v>
                </c:pt>
                <c:pt idx="3">
                  <c:v>1336929.6463627273</c:v>
                </c:pt>
                <c:pt idx="4">
                  <c:v>1976276.3824661484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ESPERADO'!$L$130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ESPERADO'!$J$132:$J$136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456083.02948620846</c:v>
                </c:pt>
                <c:pt idx="2">
                  <c:v>1140207.573715521</c:v>
                </c:pt>
                <c:pt idx="3">
                  <c:v>1368249.0884586251</c:v>
                </c:pt>
                <c:pt idx="4">
                  <c:v>2109384.0113737141</c:v>
                </c:pt>
              </c:numCache>
            </c:numRef>
          </c:xVal>
          <c:yVal>
            <c:numRef>
              <c:f>'PE ESPERADO'!$L$132:$L$136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393444.1452944128</c:v>
                </c:pt>
                <c:pt idx="2">
                  <c:v>983610.36323603196</c:v>
                </c:pt>
                <c:pt idx="3">
                  <c:v>1180332.4358832382</c:v>
                </c:pt>
                <c:pt idx="4">
                  <c:v>1819679.1719866593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ESPERADO'!$K$130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ESPERADO'!$J$132:$J$136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456083.02948620846</c:v>
                </c:pt>
                <c:pt idx="2">
                  <c:v>1140207.573715521</c:v>
                </c:pt>
                <c:pt idx="3">
                  <c:v>1368249.0884586251</c:v>
                </c:pt>
                <c:pt idx="4">
                  <c:v>2109384.0113737141</c:v>
                </c:pt>
              </c:numCache>
            </c:numRef>
          </c:xVal>
          <c:yVal>
            <c:numRef>
              <c:f>'PE ESPERADO'!$K$132:$K$136</c:f>
              <c:numCache>
                <c:formatCode>_(* #,##0.00_);_(* \(#,##0.00\);_(* "-"??_);_(@_)</c:formatCode>
                <c:ptCount val="5"/>
                <c:pt idx="0">
                  <c:v>156597.21047948906</c:v>
                </c:pt>
                <c:pt idx="1">
                  <c:v>156597.21047948906</c:v>
                </c:pt>
                <c:pt idx="2">
                  <c:v>156597.21047948906</c:v>
                </c:pt>
                <c:pt idx="3">
                  <c:v>156597.21047948906</c:v>
                </c:pt>
                <c:pt idx="4">
                  <c:v>156597.21047948906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46352"/>
        <c:axId val="1768952880"/>
      </c:scatterChart>
      <c:valAx>
        <c:axId val="176894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2880"/>
        <c:crosses val="autoZero"/>
        <c:crossBetween val="midCat"/>
      </c:valAx>
      <c:valAx>
        <c:axId val="176895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46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2014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OPTIMISTA'!$J$2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OPTIMISTA'!$J$4:$J$8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OPTIMISTA'!$J$4:$J$8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OPTIMISTA'!$M$2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OPTIMISTA'!$J$4:$J$8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OPTIMISTA'!$M$4:$M$8</c:f>
              <c:numCache>
                <c:formatCode>_(* #,##0.00_);_(* \(#,##0.00\);_(* "-"??_);_(@_)</c:formatCode>
                <c:ptCount val="5"/>
                <c:pt idx="0">
                  <c:v>162324.10999999999</c:v>
                </c:pt>
                <c:pt idx="1">
                  <c:v>777922.97068035847</c:v>
                </c:pt>
                <c:pt idx="2">
                  <c:v>1701321.2617008961</c:v>
                </c:pt>
                <c:pt idx="3">
                  <c:v>2009120.6920410753</c:v>
                </c:pt>
                <c:pt idx="4">
                  <c:v>3009468.8406466581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OPTIMISTA'!$L$2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OPTIMISTA'!$J$4:$J$8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OPTIMISTA'!$L$4:$L$8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615598.86068035848</c:v>
                </c:pt>
                <c:pt idx="2">
                  <c:v>1538997.1517008962</c:v>
                </c:pt>
                <c:pt idx="3">
                  <c:v>1846796.5820410755</c:v>
                </c:pt>
                <c:pt idx="4">
                  <c:v>2847144.7306466582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OPTIMISTA'!$K$2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OPTIMISTA'!$J$4:$J$8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680528.50468035846</c:v>
                </c:pt>
                <c:pt idx="2">
                  <c:v>1701321.2617008961</c:v>
                </c:pt>
                <c:pt idx="3">
                  <c:v>2041585.5140410753</c:v>
                </c:pt>
                <c:pt idx="4">
                  <c:v>3147444.334146658</c:v>
                </c:pt>
              </c:numCache>
            </c:numRef>
          </c:xVal>
          <c:yVal>
            <c:numRef>
              <c:f>'PE OPTIMISTA'!$K$4:$K$8</c:f>
              <c:numCache>
                <c:formatCode>_(* #,##0.00_);_(* \(#,##0.00\);_(* "-"??_);_(@_)</c:formatCode>
                <c:ptCount val="5"/>
                <c:pt idx="0">
                  <c:v>162324.10999999999</c:v>
                </c:pt>
                <c:pt idx="1">
                  <c:v>162324.10999999999</c:v>
                </c:pt>
                <c:pt idx="2">
                  <c:v>162324.10999999999</c:v>
                </c:pt>
                <c:pt idx="3">
                  <c:v>162324.10999999999</c:v>
                </c:pt>
                <c:pt idx="4">
                  <c:v>162324.10999999999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33296"/>
        <c:axId val="1768958320"/>
      </c:scatterChart>
      <c:valAx>
        <c:axId val="1768933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8320"/>
        <c:crosses val="autoZero"/>
        <c:crossBetween val="midCat"/>
      </c:valAx>
      <c:valAx>
        <c:axId val="176895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33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2015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OPTIMISTA'!$J$34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OPTIMISTA'!$J$36:$J$40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OPTIMISTA'!$J$36:$J$40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OPTIMISTA'!$M$34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OPTIMISTA'!$J$36:$J$40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OPTIMISTA'!$M$36:$M$40</c:f>
              <c:numCache>
                <c:formatCode>_(* #,##0.00_);_(* \(#,##0.00\);_(* "-"??_);_(@_)</c:formatCode>
                <c:ptCount val="5"/>
                <c:pt idx="0">
                  <c:v>143572.68</c:v>
                </c:pt>
                <c:pt idx="1">
                  <c:v>424639.31584723742</c:v>
                </c:pt>
                <c:pt idx="2">
                  <c:v>846239.2696180935</c:v>
                </c:pt>
                <c:pt idx="3">
                  <c:v>986772.58754171222</c:v>
                </c:pt>
                <c:pt idx="4">
                  <c:v>1443505.8707934732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OPTIMISTA'!$L$34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OPTIMISTA'!$J$36:$J$40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OPTIMISTA'!$L$36:$L$40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281066.63584723743</c:v>
                </c:pt>
                <c:pt idx="2">
                  <c:v>702666.58961809357</c:v>
                </c:pt>
                <c:pt idx="3">
                  <c:v>843199.90754171228</c:v>
                </c:pt>
                <c:pt idx="4">
                  <c:v>1299933.1907934733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OPTIMISTA'!$K$34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OPTIMISTA'!$J$36:$J$40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338495.70784723747</c:v>
                </c:pt>
                <c:pt idx="2">
                  <c:v>846239.26961809362</c:v>
                </c:pt>
                <c:pt idx="3">
                  <c:v>1015487.1235417123</c:v>
                </c:pt>
                <c:pt idx="4">
                  <c:v>1565542.6487934734</c:v>
                </c:pt>
              </c:numCache>
            </c:numRef>
          </c:xVal>
          <c:yVal>
            <c:numRef>
              <c:f>'PE OPTIMISTA'!$K$36:$K$40</c:f>
              <c:numCache>
                <c:formatCode>_(* #,##0.00_);_(* \(#,##0.00\);_(* "-"??_);_(@_)</c:formatCode>
                <c:ptCount val="5"/>
                <c:pt idx="0">
                  <c:v>143572.68</c:v>
                </c:pt>
                <c:pt idx="1">
                  <c:v>143572.68</c:v>
                </c:pt>
                <c:pt idx="2">
                  <c:v>143572.68</c:v>
                </c:pt>
                <c:pt idx="3">
                  <c:v>143572.68</c:v>
                </c:pt>
                <c:pt idx="4">
                  <c:v>143572.68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39280"/>
        <c:axId val="1768956144"/>
      </c:scatterChart>
      <c:valAx>
        <c:axId val="1768939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6144"/>
        <c:crosses val="autoZero"/>
        <c:crossBetween val="midCat"/>
      </c:valAx>
      <c:valAx>
        <c:axId val="17689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39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2016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OPTIMISTA'!$J$66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OPTIMISTA'!$J$68:$J$72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430523.50577492267</c:v>
                </c:pt>
                <c:pt idx="2">
                  <c:v>1076308.7644373067</c:v>
                </c:pt>
                <c:pt idx="3">
                  <c:v>1291570.517324768</c:v>
                </c:pt>
                <c:pt idx="4">
                  <c:v>1991171.2142090173</c:v>
                </c:pt>
              </c:numCache>
            </c:numRef>
          </c:xVal>
          <c:yVal>
            <c:numRef>
              <c:f>'PE OPTIMISTA'!$J$68:$J$72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430523.50577492267</c:v>
                </c:pt>
                <c:pt idx="2">
                  <c:v>1076308.7644373067</c:v>
                </c:pt>
                <c:pt idx="3">
                  <c:v>1291570.517324768</c:v>
                </c:pt>
                <c:pt idx="4">
                  <c:v>1991171.2142090173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OPTIMISTA'!$M$66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OPTIMISTA'!$J$68:$J$72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430523.50577492267</c:v>
                </c:pt>
                <c:pt idx="2">
                  <c:v>1076308.7644373067</c:v>
                </c:pt>
                <c:pt idx="3">
                  <c:v>1291570.517324768</c:v>
                </c:pt>
                <c:pt idx="4">
                  <c:v>1991171.2142090173</c:v>
                </c:pt>
              </c:numCache>
            </c:numRef>
          </c:xVal>
          <c:yVal>
            <c:numRef>
              <c:f>'PE OPTIMISTA'!$M$68:$M$72</c:f>
              <c:numCache>
                <c:formatCode>_(* #,##0.00_);_(* \(#,##0.00\);_(* "-"??_);_(@_)</c:formatCode>
                <c:ptCount val="5"/>
                <c:pt idx="0">
                  <c:v>146926.12671000001</c:v>
                </c:pt>
                <c:pt idx="1">
                  <c:v>518679.18180092273</c:v>
                </c:pt>
                <c:pt idx="2">
                  <c:v>1076308.7644373067</c:v>
                </c:pt>
                <c:pt idx="3">
                  <c:v>1262185.2919827679</c:v>
                </c:pt>
                <c:pt idx="4">
                  <c:v>1866284.0065055175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OPTIMISTA'!$L$66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OPTIMISTA'!$J$68:$J$72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430523.50577492267</c:v>
                </c:pt>
                <c:pt idx="2">
                  <c:v>1076308.7644373067</c:v>
                </c:pt>
                <c:pt idx="3">
                  <c:v>1291570.517324768</c:v>
                </c:pt>
                <c:pt idx="4">
                  <c:v>1991171.2142090173</c:v>
                </c:pt>
              </c:numCache>
            </c:numRef>
          </c:xVal>
          <c:yVal>
            <c:numRef>
              <c:f>'PE OPTIMISTA'!$L$68:$L$72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371753.05509092269</c:v>
                </c:pt>
                <c:pt idx="2">
                  <c:v>929382.63772730669</c:v>
                </c:pt>
                <c:pt idx="3">
                  <c:v>1115259.1652727679</c:v>
                </c:pt>
                <c:pt idx="4">
                  <c:v>1719357.8797955175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OPTIMISTA'!$K$66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OPTIMISTA'!$J$68:$J$72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430523.50577492267</c:v>
                </c:pt>
                <c:pt idx="2">
                  <c:v>1076308.7644373067</c:v>
                </c:pt>
                <c:pt idx="3">
                  <c:v>1291570.517324768</c:v>
                </c:pt>
                <c:pt idx="4">
                  <c:v>1991171.2142090173</c:v>
                </c:pt>
              </c:numCache>
            </c:numRef>
          </c:xVal>
          <c:yVal>
            <c:numRef>
              <c:f>'PE OPTIMISTA'!$K$68:$K$72</c:f>
              <c:numCache>
                <c:formatCode>_(* #,##0.00_);_(* \(#,##0.00\);_(* "-"??_);_(@_)</c:formatCode>
                <c:ptCount val="5"/>
                <c:pt idx="0">
                  <c:v>146926.12671000001</c:v>
                </c:pt>
                <c:pt idx="1">
                  <c:v>146926.12671000001</c:v>
                </c:pt>
                <c:pt idx="2">
                  <c:v>146926.12671000001</c:v>
                </c:pt>
                <c:pt idx="3">
                  <c:v>146926.12671000001</c:v>
                </c:pt>
                <c:pt idx="4">
                  <c:v>146926.12671000001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63216"/>
        <c:axId val="1768951792"/>
      </c:scatterChart>
      <c:valAx>
        <c:axId val="1768963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51792"/>
        <c:crosses val="autoZero"/>
        <c:crossBetween val="midCat"/>
      </c:valAx>
      <c:valAx>
        <c:axId val="176895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6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PUNTO</a:t>
            </a:r>
            <a:r>
              <a:rPr lang="es-EC" baseline="0"/>
              <a:t> DE EQUILIBRIO 2017</a:t>
            </a:r>
            <a:endParaRPr lang="es-EC"/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2021468051238303"/>
          <c:y val="0.12504001711644225"/>
          <c:w val="0.65140774588730577"/>
          <c:h val="0.725264909329044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 OPTIMISTA'!$J$98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 OPTIMISTA'!$J$100:$J$104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437935.72671032045</c:v>
                </c:pt>
                <c:pt idx="2">
                  <c:v>1094839.3167758011</c:v>
                </c:pt>
                <c:pt idx="3">
                  <c:v>1313807.1801309614</c:v>
                </c:pt>
                <c:pt idx="4">
                  <c:v>2025452.7360352322</c:v>
                </c:pt>
              </c:numCache>
            </c:numRef>
          </c:xVal>
          <c:yVal>
            <c:numRef>
              <c:f>'PE OPTIMISTA'!$J$100:$J$104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437935.72671032045</c:v>
                </c:pt>
                <c:pt idx="2">
                  <c:v>1094839.3167758011</c:v>
                </c:pt>
                <c:pt idx="3">
                  <c:v>1313807.1801309614</c:v>
                </c:pt>
                <c:pt idx="4">
                  <c:v>2025452.7360352322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'PE OPTIMISTA'!$M$98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 OPTIMISTA'!$J$100:$J$104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437935.72671032045</c:v>
                </c:pt>
                <c:pt idx="2">
                  <c:v>1094839.3167758011</c:v>
                </c:pt>
                <c:pt idx="3">
                  <c:v>1313807.1801309614</c:v>
                </c:pt>
                <c:pt idx="4">
                  <c:v>2025452.7360352322</c:v>
                </c:pt>
              </c:numCache>
            </c:numRef>
          </c:xVal>
          <c:yVal>
            <c:numRef>
              <c:f>'PE OPTIMISTA'!$M$100:$M$104</c:f>
              <c:numCache>
                <c:formatCode>_(* #,##0.00_);_(* \(#,##0.00\);_(* "-"??_);_(@_)</c:formatCode>
                <c:ptCount val="5"/>
                <c:pt idx="0">
                  <c:v>150370.11648117</c:v>
                </c:pt>
                <c:pt idx="1">
                  <c:v>528157.79659902246</c:v>
                </c:pt>
                <c:pt idx="2">
                  <c:v>1094839.3167758011</c:v>
                </c:pt>
                <c:pt idx="3">
                  <c:v>1283733.1568347274</c:v>
                </c:pt>
                <c:pt idx="4">
                  <c:v>1897638.1370262376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'PE OPTIMISTA'!$L$98</c:f>
              <c:strCache>
                <c:ptCount val="1"/>
                <c:pt idx="0">
                  <c:v>COSTOS VARIABLES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'PE OPTIMISTA'!$J$100:$J$104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437935.72671032045</c:v>
                </c:pt>
                <c:pt idx="2">
                  <c:v>1094839.3167758011</c:v>
                </c:pt>
                <c:pt idx="3">
                  <c:v>1313807.1801309614</c:v>
                </c:pt>
                <c:pt idx="4">
                  <c:v>2025452.7360352322</c:v>
                </c:pt>
              </c:numCache>
            </c:numRef>
          </c:xVal>
          <c:yVal>
            <c:numRef>
              <c:f>'PE OPTIMISTA'!$L$100:$L$104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377787.68011785246</c:v>
                </c:pt>
                <c:pt idx="2">
                  <c:v>944469.20029463107</c:v>
                </c:pt>
                <c:pt idx="3">
                  <c:v>1133363.0403535573</c:v>
                </c:pt>
                <c:pt idx="4">
                  <c:v>1747268.0205450675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'PE OPTIMISTA'!$K$98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'PE OPTIMISTA'!$J$100:$J$104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437935.72671032045</c:v>
                </c:pt>
                <c:pt idx="2">
                  <c:v>1094839.3167758011</c:v>
                </c:pt>
                <c:pt idx="3">
                  <c:v>1313807.1801309614</c:v>
                </c:pt>
                <c:pt idx="4">
                  <c:v>2025452.7360352322</c:v>
                </c:pt>
              </c:numCache>
            </c:numRef>
          </c:xVal>
          <c:yVal>
            <c:numRef>
              <c:f>'PE OPTIMISTA'!$K$100:$K$104</c:f>
              <c:numCache>
                <c:formatCode>_(* #,##0.00_);_(* \(#,##0.00\);_(* "-"??_);_(@_)</c:formatCode>
                <c:ptCount val="5"/>
                <c:pt idx="0">
                  <c:v>150370.11648117</c:v>
                </c:pt>
                <c:pt idx="1">
                  <c:v>150370.11648117</c:v>
                </c:pt>
                <c:pt idx="2">
                  <c:v>150370.11648117</c:v>
                </c:pt>
                <c:pt idx="3">
                  <c:v>150370.11648117</c:v>
                </c:pt>
                <c:pt idx="4">
                  <c:v>150370.11648117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939824"/>
        <c:axId val="1768940912"/>
      </c:scatterChart>
      <c:valAx>
        <c:axId val="1768939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0.72308191950738165"/>
              <c:y val="0.89817097223409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40912"/>
        <c:crosses val="autoZero"/>
        <c:crossBetween val="midCat"/>
      </c:valAx>
      <c:valAx>
        <c:axId val="176894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$</a:t>
                </a:r>
              </a:p>
            </c:rich>
          </c:tx>
          <c:layout>
            <c:manualLayout>
              <c:xMode val="edge"/>
              <c:yMode val="edge"/>
              <c:x val="1.8376722817764167E-2"/>
              <c:y val="0.10502296438304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768939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28574</xdr:rowOff>
    </xdr:from>
    <xdr:to>
      <xdr:col>15</xdr:col>
      <xdr:colOff>857250</xdr:colOff>
      <xdr:row>29</xdr:row>
      <xdr:rowOff>152399</xdr:rowOff>
    </xdr:to>
    <xdr:graphicFrame macro="">
      <xdr:nvGraphicFramePr>
        <xdr:cNvPr id="2" name="Chart 1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40</xdr:row>
      <xdr:rowOff>47624</xdr:rowOff>
    </xdr:from>
    <xdr:to>
      <xdr:col>16</xdr:col>
      <xdr:colOff>9525</xdr:colOff>
      <xdr:row>62</xdr:row>
      <xdr:rowOff>19049</xdr:rowOff>
    </xdr:to>
    <xdr:graphicFrame macro="">
      <xdr:nvGraphicFramePr>
        <xdr:cNvPr id="3" name="Chart 2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72</xdr:row>
      <xdr:rowOff>47625</xdr:rowOff>
    </xdr:from>
    <xdr:to>
      <xdr:col>15</xdr:col>
      <xdr:colOff>742950</xdr:colOff>
      <xdr:row>93</xdr:row>
      <xdr:rowOff>152400</xdr:rowOff>
    </xdr:to>
    <xdr:graphicFrame macro="">
      <xdr:nvGraphicFramePr>
        <xdr:cNvPr id="4" name="Chart 3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104</xdr:row>
      <xdr:rowOff>47625</xdr:rowOff>
    </xdr:from>
    <xdr:to>
      <xdr:col>15</xdr:col>
      <xdr:colOff>742950</xdr:colOff>
      <xdr:row>125</xdr:row>
      <xdr:rowOff>152400</xdr:rowOff>
    </xdr:to>
    <xdr:graphicFrame macro="">
      <xdr:nvGraphicFramePr>
        <xdr:cNvPr id="5" name="Chart 4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209550</xdr:colOff>
      <xdr:row>136</xdr:row>
      <xdr:rowOff>47625</xdr:rowOff>
    </xdr:from>
    <xdr:to>
      <xdr:col>15</xdr:col>
      <xdr:colOff>733425</xdr:colOff>
      <xdr:row>157</xdr:row>
      <xdr:rowOff>152400</xdr:rowOff>
    </xdr:to>
    <xdr:graphicFrame macro="">
      <xdr:nvGraphicFramePr>
        <xdr:cNvPr id="6" name="Chart 5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28574</xdr:rowOff>
    </xdr:from>
    <xdr:to>
      <xdr:col>15</xdr:col>
      <xdr:colOff>857250</xdr:colOff>
      <xdr:row>29</xdr:row>
      <xdr:rowOff>152399</xdr:rowOff>
    </xdr:to>
    <xdr:graphicFrame macro="">
      <xdr:nvGraphicFramePr>
        <xdr:cNvPr id="4" name="Chart 3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40</xdr:row>
      <xdr:rowOff>47624</xdr:rowOff>
    </xdr:from>
    <xdr:to>
      <xdr:col>16</xdr:col>
      <xdr:colOff>9525</xdr:colOff>
      <xdr:row>62</xdr:row>
      <xdr:rowOff>19049</xdr:rowOff>
    </xdr:to>
    <xdr:graphicFrame macro="">
      <xdr:nvGraphicFramePr>
        <xdr:cNvPr id="5" name="Chart 4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72</xdr:row>
      <xdr:rowOff>47625</xdr:rowOff>
    </xdr:from>
    <xdr:to>
      <xdr:col>15</xdr:col>
      <xdr:colOff>742950</xdr:colOff>
      <xdr:row>93</xdr:row>
      <xdr:rowOff>152400</xdr:rowOff>
    </xdr:to>
    <xdr:graphicFrame macro="">
      <xdr:nvGraphicFramePr>
        <xdr:cNvPr id="6" name="Chart 5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104</xdr:row>
      <xdr:rowOff>47625</xdr:rowOff>
    </xdr:from>
    <xdr:to>
      <xdr:col>15</xdr:col>
      <xdr:colOff>742950</xdr:colOff>
      <xdr:row>125</xdr:row>
      <xdr:rowOff>152400</xdr:rowOff>
    </xdr:to>
    <xdr:graphicFrame macro="">
      <xdr:nvGraphicFramePr>
        <xdr:cNvPr id="7" name="Chart 6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209550</xdr:colOff>
      <xdr:row>136</xdr:row>
      <xdr:rowOff>47625</xdr:rowOff>
    </xdr:from>
    <xdr:to>
      <xdr:col>15</xdr:col>
      <xdr:colOff>733425</xdr:colOff>
      <xdr:row>157</xdr:row>
      <xdr:rowOff>152400</xdr:rowOff>
    </xdr:to>
    <xdr:graphicFrame macro="">
      <xdr:nvGraphicFramePr>
        <xdr:cNvPr id="8" name="Chart 7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28574</xdr:rowOff>
    </xdr:from>
    <xdr:to>
      <xdr:col>15</xdr:col>
      <xdr:colOff>857250</xdr:colOff>
      <xdr:row>29</xdr:row>
      <xdr:rowOff>152399</xdr:rowOff>
    </xdr:to>
    <xdr:graphicFrame macro="">
      <xdr:nvGraphicFramePr>
        <xdr:cNvPr id="2" name="Chart 1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40</xdr:row>
      <xdr:rowOff>47624</xdr:rowOff>
    </xdr:from>
    <xdr:to>
      <xdr:col>16</xdr:col>
      <xdr:colOff>9525</xdr:colOff>
      <xdr:row>62</xdr:row>
      <xdr:rowOff>19049</xdr:rowOff>
    </xdr:to>
    <xdr:graphicFrame macro="">
      <xdr:nvGraphicFramePr>
        <xdr:cNvPr id="3" name="Chart 2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72</xdr:row>
      <xdr:rowOff>47625</xdr:rowOff>
    </xdr:from>
    <xdr:to>
      <xdr:col>15</xdr:col>
      <xdr:colOff>742950</xdr:colOff>
      <xdr:row>93</xdr:row>
      <xdr:rowOff>152400</xdr:rowOff>
    </xdr:to>
    <xdr:graphicFrame macro="">
      <xdr:nvGraphicFramePr>
        <xdr:cNvPr id="4" name="Chart 3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104</xdr:row>
      <xdr:rowOff>47625</xdr:rowOff>
    </xdr:from>
    <xdr:to>
      <xdr:col>15</xdr:col>
      <xdr:colOff>742950</xdr:colOff>
      <xdr:row>125</xdr:row>
      <xdr:rowOff>152400</xdr:rowOff>
    </xdr:to>
    <xdr:graphicFrame macro="">
      <xdr:nvGraphicFramePr>
        <xdr:cNvPr id="5" name="Chart 4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209550</xdr:colOff>
      <xdr:row>136</xdr:row>
      <xdr:rowOff>47625</xdr:rowOff>
    </xdr:from>
    <xdr:to>
      <xdr:col>15</xdr:col>
      <xdr:colOff>733425</xdr:colOff>
      <xdr:row>157</xdr:row>
      <xdr:rowOff>152400</xdr:rowOff>
    </xdr:to>
    <xdr:graphicFrame macro="">
      <xdr:nvGraphicFramePr>
        <xdr:cNvPr id="6" name="Chart 5" descr="&#10;&#10;&#10;" title="PUNTO DE EQUILIBRIO 20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PUESTOS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%20Drive\CVL%20Performance%20Analysis%20Team\Projects\Gain%20Loss%20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ANTIAGO%20Y&#201;PEZ%2011-04-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UPUESTOS%20DITECN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ESPERADO"/>
      <sheetName val="OPTIMISTA"/>
      <sheetName val="PESIMISTA"/>
      <sheetName val="SUPUESTOS2"/>
      <sheetName val="amort_prést"/>
    </sheetNames>
    <sheetDataSet>
      <sheetData sheetId="0">
        <row r="4">
          <cell r="B4">
            <v>5.3199999999999997E-2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mand Planning Instr."/>
      <sheetName val="Demand Plng Rpt"/>
    </sheetNames>
    <sheetDataSet>
      <sheetData sheetId="0"/>
      <sheetData sheetId="1">
        <row r="2">
          <cell r="U2" t="str">
            <v>A E WEST PETROLEUM COMPANY INC</v>
          </cell>
          <cell r="Y2" t="str">
            <v>Beaumont</v>
          </cell>
          <cell r="AD2" t="str">
            <v>DELVAC 1 SHC 5W-40,55GA.</v>
          </cell>
        </row>
        <row r="3">
          <cell r="U3" t="str">
            <v>A V LUBRICANTS</v>
          </cell>
          <cell r="Y3" t="str">
            <v>Cicero</v>
          </cell>
          <cell r="AD3" t="str">
            <v>DELVAC 1 SHC 5W-40,5GA.</v>
          </cell>
        </row>
        <row r="4">
          <cell r="U4" t="str">
            <v>ACCURATE LUBRICANTS &amp; METAL</v>
          </cell>
          <cell r="Y4" t="str">
            <v>Kansas City</v>
          </cell>
          <cell r="AD4" t="str">
            <v>DELVAC 1,4X1GA.</v>
          </cell>
        </row>
        <row r="5">
          <cell r="U5" t="str">
            <v>ALABAMA OIL CO OF SHEFFIELD</v>
          </cell>
          <cell r="Y5" t="str">
            <v>Paulsboro</v>
          </cell>
          <cell r="AD5" t="str">
            <v>DELVAC 1,55GA.</v>
          </cell>
        </row>
        <row r="6">
          <cell r="U6" t="str">
            <v>ALBINA FUEL COMPANY INC</v>
          </cell>
          <cell r="Y6" t="str">
            <v>Portland</v>
          </cell>
          <cell r="AD6" t="str">
            <v>DELVAC 1,5GA.</v>
          </cell>
        </row>
        <row r="7">
          <cell r="U7" t="str">
            <v>ALLEN OIL CO OF SYLACAUGA</v>
          </cell>
          <cell r="Y7" t="str">
            <v>Vernon</v>
          </cell>
          <cell r="AD7" t="str">
            <v>DELVAC 1,BULK.</v>
          </cell>
        </row>
        <row r="8">
          <cell r="U8" t="str">
            <v>ALLIANCE ENERGY CORPORATION</v>
          </cell>
          <cell r="Y8" t="str">
            <v>Olathe</v>
          </cell>
          <cell r="AD8" t="str">
            <v>DELVAC 1300 SUP 10W-30,55GA.</v>
          </cell>
        </row>
        <row r="9">
          <cell r="U9" t="str">
            <v>ALMO CORP</v>
          </cell>
          <cell r="Y9" t="str">
            <v>Port Allen</v>
          </cell>
          <cell r="AD9" t="str">
            <v>DELVAC 1300 SUP 10W-30,BULK.</v>
          </cell>
        </row>
        <row r="10">
          <cell r="U10" t="str">
            <v>ALTMAN DISTRIBUTING CO.</v>
          </cell>
          <cell r="Y10" t="str">
            <v>Charleston</v>
          </cell>
          <cell r="AD10" t="str">
            <v>DELVAC 1300 SUP 15W-40,12X1QT.</v>
          </cell>
        </row>
        <row r="11">
          <cell r="U11" t="str">
            <v>AMERICAN PETROLEUM PRODUCTS</v>
          </cell>
          <cell r="AD11" t="str">
            <v>DELVAC 1300 SUP 15W-40,275GA. - BIN</v>
          </cell>
        </row>
        <row r="12">
          <cell r="U12" t="str">
            <v>AMIGO PETROLEUM COMPANY</v>
          </cell>
          <cell r="AD12" t="str">
            <v>DELVAC 1300 SUP 15W-40,2X2.5GA.</v>
          </cell>
        </row>
        <row r="13">
          <cell r="U13" t="str">
            <v>ANDERSON FUEL &amp; LUBRICANTS INC</v>
          </cell>
          <cell r="AD13" t="str">
            <v>DELVAC 1300 SUP 15W-40,30GA.</v>
          </cell>
        </row>
        <row r="14">
          <cell r="U14" t="str">
            <v>ASCO FUEL AND LUBRICANTS</v>
          </cell>
          <cell r="AD14" t="str">
            <v>DELVAC 1300 SUP 15W-40,4X1GA.</v>
          </cell>
        </row>
        <row r="21">
          <cell r="U21" t="str">
            <v>ASHEVILLE OIL CO INC</v>
          </cell>
          <cell r="AD21" t="str">
            <v>DELVAC 1300 SUP 15W-40,55GA.</v>
          </cell>
        </row>
        <row r="22">
          <cell r="U22" t="str">
            <v>AVALON PETROLEUM CO</v>
          </cell>
          <cell r="AD22" t="str">
            <v>DELVAC 1300 SUP 15W-40,5GA.</v>
          </cell>
        </row>
        <row r="23">
          <cell r="U23" t="str">
            <v>B &amp; M OIL CO INC</v>
          </cell>
          <cell r="AD23" t="str">
            <v>DELVAC 1300 SUP 15W-40,BULK.</v>
          </cell>
        </row>
        <row r="24">
          <cell r="U24" t="str">
            <v>BALLARD OIL CO INC</v>
          </cell>
          <cell r="AD24" t="str">
            <v>DELVAC 1310,55GA.</v>
          </cell>
        </row>
        <row r="25">
          <cell r="U25" t="str">
            <v>BARTON SOLVENTS, INC.</v>
          </cell>
          <cell r="AD25" t="str">
            <v>DELVAC 1310,5GA.</v>
          </cell>
        </row>
        <row r="26">
          <cell r="U26" t="str">
            <v>BASS OIL COMPANY, INC.</v>
          </cell>
          <cell r="AD26" t="str">
            <v>DELVAC 1310,BULK.</v>
          </cell>
        </row>
        <row r="27">
          <cell r="U27" t="str">
            <v>BAUMAN OIL DISTR INC</v>
          </cell>
          <cell r="AD27" t="str">
            <v>DELVAC 1330,12X1QT.</v>
          </cell>
        </row>
        <row r="28">
          <cell r="U28" t="str">
            <v>BAXLEY OIL COMPANY</v>
          </cell>
          <cell r="AD28" t="str">
            <v>DELVAC 1330,30GA.</v>
          </cell>
        </row>
        <row r="29">
          <cell r="U29" t="str">
            <v>BENTZ OIL COMPANY</v>
          </cell>
          <cell r="AD29" t="str">
            <v>DELVAC 1330,4X1GA.</v>
          </cell>
        </row>
        <row r="30">
          <cell r="U30" t="str">
            <v>BERGSTROM OIL, INC.</v>
          </cell>
          <cell r="AD30" t="str">
            <v>DELVAC 1330,55GA.</v>
          </cell>
        </row>
        <row r="31">
          <cell r="U31" t="str">
            <v>BERNER OIL CO</v>
          </cell>
          <cell r="AD31" t="str">
            <v>DELVAC 1330,5GA.</v>
          </cell>
        </row>
        <row r="32">
          <cell r="U32" t="str">
            <v>BERTOLDI &amp; SONS OIL CO</v>
          </cell>
          <cell r="AD32" t="str">
            <v>DELVAC 1330,BULK.</v>
          </cell>
        </row>
        <row r="33">
          <cell r="U33" t="str">
            <v>BEST WADE PETROLEUM INC</v>
          </cell>
          <cell r="AD33" t="str">
            <v>DELVAC 1340,55GA.</v>
          </cell>
        </row>
        <row r="34">
          <cell r="U34" t="str">
            <v>BISSELL DIST CO</v>
          </cell>
          <cell r="AD34" t="str">
            <v>DELVAC 1340,5GA.</v>
          </cell>
        </row>
        <row r="35">
          <cell r="U35" t="str">
            <v>BOB SHERLOCK</v>
          </cell>
          <cell r="AD35" t="str">
            <v>DELVAC 1340,BULK.</v>
          </cell>
        </row>
        <row r="36">
          <cell r="U36" t="str">
            <v>BOLYN LUBRICANT COMPANY INC</v>
          </cell>
          <cell r="AD36" t="str">
            <v>DELVAC 1350,55GA.</v>
          </cell>
        </row>
        <row r="37">
          <cell r="U37" t="str">
            <v>BONCOSKY OIL CO</v>
          </cell>
          <cell r="AD37" t="str">
            <v>DELVAC 1350,5GA.</v>
          </cell>
        </row>
        <row r="38">
          <cell r="U38" t="str">
            <v>BOYER PETROLEUM COMPANY</v>
          </cell>
          <cell r="AD38" t="str">
            <v>DELVAC 1350,BULK.</v>
          </cell>
        </row>
        <row r="39">
          <cell r="U39" t="str">
            <v>BRADCO INC</v>
          </cell>
          <cell r="AD39" t="str">
            <v>DELVAC SUP GEO 15W-40,55GA.</v>
          </cell>
        </row>
        <row r="40">
          <cell r="U40" t="str">
            <v>BRENNTAG NORTHEAST INC</v>
          </cell>
          <cell r="AD40" t="str">
            <v>DELVAC SUP GEO 15W-40,BULK.</v>
          </cell>
        </row>
        <row r="41">
          <cell r="U41" t="str">
            <v>BRENNTAG SOUTHEAST INC</v>
          </cell>
          <cell r="AD41" t="str">
            <v>DELVAC XTREME SERVICE GREASE,10X14.5OZ.</v>
          </cell>
        </row>
        <row r="42">
          <cell r="U42" t="str">
            <v>BRITSCH INC</v>
          </cell>
          <cell r="AD42" t="str">
            <v>DELVAC XTREME SERVICE GREASE,120LB.</v>
          </cell>
        </row>
        <row r="43">
          <cell r="U43" t="str">
            <v>BRYAN OIL COMPANY INC</v>
          </cell>
          <cell r="AD43" t="str">
            <v>DELVAC XTREME SERVICE GREASE,35LB.</v>
          </cell>
        </row>
        <row r="44">
          <cell r="U44" t="str">
            <v>BUCHANAN OIL CORP</v>
          </cell>
          <cell r="AD44" t="str">
            <v>DELVAC XTREME SERVICE GREASE,400LB.</v>
          </cell>
        </row>
        <row r="45">
          <cell r="U45" t="str">
            <v>BUTLER &amp; CURTIS OIL</v>
          </cell>
          <cell r="AD45" t="str">
            <v>DELVAC XTREME SERVICE GREASE,40X14OZ.</v>
          </cell>
        </row>
        <row r="46">
          <cell r="U46" t="str">
            <v>B-B-F OIL CO INC</v>
          </cell>
          <cell r="AD46" t="str">
            <v>DELVAC XTREME SERVICE GREASE,60X14OZ.</v>
          </cell>
        </row>
        <row r="47">
          <cell r="U47" t="str">
            <v>C &amp; R DISTRIBUTING INC</v>
          </cell>
          <cell r="AD47" t="str">
            <v>DELVAC XTREME SERVICE GREASE,BULK.</v>
          </cell>
        </row>
        <row r="48">
          <cell r="U48" t="str">
            <v>CAPITAL LUBRICANTS LLC</v>
          </cell>
          <cell r="AD48" t="str">
            <v>XD-3 10W,55GA.</v>
          </cell>
        </row>
        <row r="49">
          <cell r="U49" t="str">
            <v>CARTER MACHINERY CO, INC.</v>
          </cell>
          <cell r="AD49" t="str">
            <v>XD-3 10W,5GA PLASTIC.</v>
          </cell>
        </row>
        <row r="50">
          <cell r="U50" t="str">
            <v>CARTER &amp; CARTER PETRO INC</v>
          </cell>
          <cell r="AD50" t="str">
            <v>XD-3 10W,BULK.</v>
          </cell>
        </row>
        <row r="51">
          <cell r="U51" t="str">
            <v>CARVER'S DISTR LTD</v>
          </cell>
          <cell r="AD51" t="str">
            <v>XD-3 10W-30,55GA.</v>
          </cell>
        </row>
        <row r="52">
          <cell r="U52" t="str">
            <v>CENTURY PETROLEUM LTD</v>
          </cell>
          <cell r="AD52" t="str">
            <v>XD-3 10W-30,5GA PLASTIC.</v>
          </cell>
        </row>
        <row r="53">
          <cell r="U53" t="str">
            <v>CHAMBERLAIN OIL CO., INC</v>
          </cell>
          <cell r="AD53" t="str">
            <v>XD-3 10W-30,BULK.</v>
          </cell>
        </row>
        <row r="54">
          <cell r="U54" t="str">
            <v>CHESAPEAKE PETROLEUM</v>
          </cell>
          <cell r="AD54" t="str">
            <v>XD-3 15W-20,55GA.</v>
          </cell>
        </row>
        <row r="55">
          <cell r="U55" t="str">
            <v>CLARK TIMMONS OIL COMPANY INC</v>
          </cell>
          <cell r="AD55" t="str">
            <v>XD-3 15W-20,BULK.</v>
          </cell>
        </row>
        <row r="56">
          <cell r="U56" t="str">
            <v>COASTAL CHEMICAL CO. LLC</v>
          </cell>
          <cell r="AD56" t="str">
            <v>XD-3 15W-40 (EO-M),12X1QT.</v>
          </cell>
        </row>
        <row r="57">
          <cell r="U57" t="str">
            <v>COLE OIL &amp; TIRE CO INC</v>
          </cell>
          <cell r="AD57" t="str">
            <v>XD-3 15W-40 (EO-M),5GA PLASTIC.</v>
          </cell>
        </row>
        <row r="58">
          <cell r="U58" t="str">
            <v>COMMERCIAL-ULLMAN LUBRICANTS CO.</v>
          </cell>
          <cell r="AD58" t="str">
            <v>XD-3 15W-40,12X1QT.</v>
          </cell>
        </row>
        <row r="59">
          <cell r="U59" t="str">
            <v>CRAFT OIL</v>
          </cell>
          <cell r="AD59" t="str">
            <v>XD-3 15W-40,1GA.</v>
          </cell>
        </row>
        <row r="60">
          <cell r="U60" t="str">
            <v>CRYSTAL FLASH PETROLEUM CORP</v>
          </cell>
          <cell r="AD60" t="str">
            <v>XD-3 15W-40,55GA.</v>
          </cell>
        </row>
        <row r="61">
          <cell r="U61" t="str">
            <v>CULPEPPER-WADE OIL INC</v>
          </cell>
          <cell r="AD61" t="str">
            <v>XD-3 15W-40,5GA PLASTIC.</v>
          </cell>
        </row>
        <row r="62">
          <cell r="U62" t="str">
            <v>DART TRANSPORTATION</v>
          </cell>
          <cell r="AD62" t="str">
            <v>XD-3 15W-40,6X1GA.</v>
          </cell>
        </row>
        <row r="63">
          <cell r="U63" t="str">
            <v>DE BONS OIL COMPANY</v>
          </cell>
          <cell r="AD63" t="str">
            <v>XD-3 15W-40,BULK.</v>
          </cell>
        </row>
        <row r="64">
          <cell r="U64" t="str">
            <v>DELTA FUEL CO INC</v>
          </cell>
          <cell r="AD64" t="str">
            <v>XD-3 20W-50,BULK.</v>
          </cell>
        </row>
        <row r="65">
          <cell r="U65" t="str">
            <v>DEW OIL CO INC</v>
          </cell>
          <cell r="AD65" t="str">
            <v>XD-3 30,12X1QT.</v>
          </cell>
        </row>
        <row r="66">
          <cell r="U66" t="str">
            <v>DIRECT OIL CO INC</v>
          </cell>
          <cell r="AD66" t="str">
            <v>XD-3 30,55GA.</v>
          </cell>
        </row>
        <row r="67">
          <cell r="U67" t="str">
            <v>DIXIE OIL &amp; EQUIPMENT</v>
          </cell>
          <cell r="AD67" t="str">
            <v>XD-3 30,5GA PLASTIC.</v>
          </cell>
        </row>
        <row r="68">
          <cell r="U68" t="str">
            <v>DOGWOOD OIL CO INC</v>
          </cell>
          <cell r="AD68" t="str">
            <v>XD-3 30,6X1GA.</v>
          </cell>
        </row>
        <row r="69">
          <cell r="U69" t="str">
            <v>DOMESTIC IND OF VIRGINIA</v>
          </cell>
          <cell r="AD69" t="str">
            <v>XD-3 30,BULK.</v>
          </cell>
        </row>
        <row r="70">
          <cell r="U70" t="str">
            <v>DUGAS OIL CO INC</v>
          </cell>
          <cell r="AD70" t="str">
            <v>XD-3 40,12X1QT.</v>
          </cell>
        </row>
        <row r="71">
          <cell r="U71" t="str">
            <v>DUTCH LUBRICANTS</v>
          </cell>
          <cell r="AD71" t="str">
            <v>XD-3 40,55GA.</v>
          </cell>
        </row>
        <row r="72">
          <cell r="U72" t="str">
            <v>DYNO OIL COMPANY INC</v>
          </cell>
          <cell r="AD72" t="str">
            <v>XD-3 40,5GA PLASTIC.</v>
          </cell>
        </row>
        <row r="73">
          <cell r="U73" t="str">
            <v>E R VINE &amp; SONS INC</v>
          </cell>
          <cell r="AD73" t="str">
            <v>XD-3 40,6X1GA.</v>
          </cell>
        </row>
        <row r="74">
          <cell r="U74" t="str">
            <v>EAGLE ENERGY INC</v>
          </cell>
          <cell r="AD74" t="str">
            <v>XD-3 40,BULK.</v>
          </cell>
        </row>
        <row r="75">
          <cell r="U75" t="str">
            <v>EDDINS-WALCHER COMPANY</v>
          </cell>
          <cell r="AD75" t="str">
            <v>XD-3 50,55GA.</v>
          </cell>
        </row>
        <row r="76">
          <cell r="U76" t="str">
            <v>EDEN OIL CO INC</v>
          </cell>
          <cell r="AD76" t="str">
            <v>XD-3 50,5GA PLASTIC.</v>
          </cell>
        </row>
        <row r="77">
          <cell r="U77" t="str">
            <v>EMERSON OIL CO INC</v>
          </cell>
          <cell r="AD77" t="str">
            <v>XD-3 50,BULK.</v>
          </cell>
        </row>
        <row r="78">
          <cell r="U78" t="str">
            <v>EMMICK OIL INC</v>
          </cell>
          <cell r="AD78" t="str">
            <v>XD-3 ELITE 0W-40,55GA.</v>
          </cell>
        </row>
        <row r="79">
          <cell r="U79" t="str">
            <v>EMPIRE OIL COMPANY</v>
          </cell>
          <cell r="AD79" t="str">
            <v>XD-3 ELITE 10W-30 [D],55GA</v>
          </cell>
        </row>
        <row r="80">
          <cell r="U80" t="str">
            <v>ESTACADA OIL CO.</v>
          </cell>
          <cell r="AD80" t="str">
            <v>XD-3 ELITE 10W-30,55GA.</v>
          </cell>
        </row>
        <row r="81">
          <cell r="U81" t="str">
            <v>EVER-READY OIL COMPANY</v>
          </cell>
          <cell r="AD81" t="str">
            <v>XD-3 ELITE 10W-30,6X1GA.</v>
          </cell>
        </row>
        <row r="82">
          <cell r="U82" t="str">
            <v>FARSTAD OIL, INC</v>
          </cell>
          <cell r="AD82" t="str">
            <v>XD-3 ELITE 15W-40,55GA.</v>
          </cell>
        </row>
        <row r="83">
          <cell r="U83" t="str">
            <v>FERACHI OIL COMPANY INC</v>
          </cell>
          <cell r="AD83" t="str">
            <v>XD-3 ELITE 15W-40,6X1GA.</v>
          </cell>
        </row>
        <row r="84">
          <cell r="U84" t="str">
            <v>FERGUSON BROTHERS INC</v>
          </cell>
          <cell r="AD84" t="str">
            <v>XD-3 ELITE 15W-40,BULK.</v>
          </cell>
        </row>
        <row r="85">
          <cell r="U85" t="str">
            <v>FLEETWING CORPORATION</v>
          </cell>
          <cell r="AD85" t="str">
            <v>XD-3 EXTRA 10W-30,55GA.</v>
          </cell>
        </row>
        <row r="86">
          <cell r="U86" t="str">
            <v>FLETCHER OIL CO INC</v>
          </cell>
          <cell r="AD86" t="str">
            <v>XD-3 EXTRA 10W-30,BULK.</v>
          </cell>
        </row>
        <row r="87">
          <cell r="U87" t="str">
            <v>FLETCHER OIL &amp; REFINING</v>
          </cell>
          <cell r="AD87" t="str">
            <v>XD-3 EXTRA 15W-40,12X1QT.</v>
          </cell>
        </row>
        <row r="88">
          <cell r="U88" t="str">
            <v>FLORIDA PETROLEUM CO</v>
          </cell>
          <cell r="AD88" t="str">
            <v>XD-3 EXTRA 15W-40,55GA.</v>
          </cell>
        </row>
        <row r="89">
          <cell r="U89" t="str">
            <v>FRALEY &amp; CO</v>
          </cell>
          <cell r="AD89" t="str">
            <v>XD-3 EXTRA 15W-40,5GA PLASTIC.</v>
          </cell>
        </row>
        <row r="90">
          <cell r="U90" t="str">
            <v>G B CHRISTENSEN</v>
          </cell>
          <cell r="AD90" t="str">
            <v>XD-3 EXTRA 15W-40,6X1GA.</v>
          </cell>
        </row>
        <row r="91">
          <cell r="U91" t="str">
            <v>GANT OIL CO INC</v>
          </cell>
          <cell r="AD91" t="str">
            <v>XD-3 EXTRA 15W-40,BULK.</v>
          </cell>
        </row>
        <row r="92">
          <cell r="U92" t="str">
            <v>GAYLE OIL CO</v>
          </cell>
          <cell r="AD92" t="str">
            <v>XD-3 EXTRA 30,BULK.</v>
          </cell>
        </row>
        <row r="93">
          <cell r="U93" t="str">
            <v>GENERAL PETROLEUM, INC</v>
          </cell>
          <cell r="AD93" t="str">
            <v>XD-3 EXTRA 40,5GA PLASTIC.</v>
          </cell>
        </row>
        <row r="94">
          <cell r="U94" t="str">
            <v>GEORGE W LOWRY, INC</v>
          </cell>
          <cell r="AD94" t="str">
            <v>XD-3 EXTRA 40,BULK.</v>
          </cell>
        </row>
        <row r="95">
          <cell r="U95" t="str">
            <v>GOLDEN GATE PETROLEUM</v>
          </cell>
          <cell r="AD95" t="str">
            <v>XD-3 EXTRA SAE 30,55GA.</v>
          </cell>
        </row>
        <row r="96">
          <cell r="U96" t="str">
            <v>GUTTMAN OIL CO</v>
          </cell>
          <cell r="AD96" t="str">
            <v>XD-3 EXTRA SAE 30,BULK.</v>
          </cell>
        </row>
        <row r="97">
          <cell r="U97" t="str">
            <v>H J WALKER OIL CO INC</v>
          </cell>
          <cell r="AD97" t="str">
            <v>XD-3 EXTRA SAE 40,55GA.</v>
          </cell>
        </row>
        <row r="98">
          <cell r="U98" t="str">
            <v>H R LEWIS PETROLEUM CO</v>
          </cell>
          <cell r="AD98" t="str">
            <v>XD-3 EXTRA SAE 40,5GA PLASTIC.</v>
          </cell>
        </row>
        <row r="99">
          <cell r="U99" t="str">
            <v>H &amp; S OIL CO INC</v>
          </cell>
          <cell r="AD99" t="str">
            <v>XD-3 EXTRA SAE 40,BULK.</v>
          </cell>
        </row>
        <row r="100">
          <cell r="U100" t="str">
            <v>H &amp; W PETROLEUM CO INC</v>
          </cell>
          <cell r="AD100" t="str">
            <v>OTHER PRODUCT- SEE COMMENTS</v>
          </cell>
        </row>
        <row r="101">
          <cell r="U101" t="str">
            <v>HAGAN-KENNINGTON</v>
          </cell>
        </row>
        <row r="102">
          <cell r="U102" t="str">
            <v>HAJ, INC, DBA CHRISTENSON OIL</v>
          </cell>
        </row>
        <row r="103">
          <cell r="U103" t="str">
            <v>HALCO INDUSTRIES, INC.</v>
          </cell>
        </row>
        <row r="104">
          <cell r="U104" t="str">
            <v>HALRON OIL COMPANY</v>
          </cell>
        </row>
        <row r="105">
          <cell r="U105" t="str">
            <v>HAMPEL OIL DISTR INC</v>
          </cell>
        </row>
        <row r="106">
          <cell r="U106" t="str">
            <v>HARBOR ENTERPRISES</v>
          </cell>
        </row>
        <row r="107">
          <cell r="U107" t="str">
            <v>HARRIS OIL CO INC</v>
          </cell>
        </row>
        <row r="108">
          <cell r="U108" t="str">
            <v>HARTLAND FUEL PRODUCTS, LLC</v>
          </cell>
        </row>
        <row r="109">
          <cell r="U109" t="str">
            <v>HASCO OIL CO.</v>
          </cell>
        </row>
        <row r="110">
          <cell r="U110" t="str">
            <v>HAWAIIAN ISLES PETROLEUM, LLC</v>
          </cell>
        </row>
        <row r="111">
          <cell r="U111" t="str">
            <v>HOOKER &amp; HOLLOWELL</v>
          </cell>
        </row>
        <row r="112">
          <cell r="U112" t="str">
            <v>HUNT OIL PRODUCTS INC</v>
          </cell>
        </row>
        <row r="113">
          <cell r="U113" t="str">
            <v>INDOIL INC</v>
          </cell>
        </row>
        <row r="114">
          <cell r="U114" t="str">
            <v>INDUSTRIAL LUBRICANTS</v>
          </cell>
        </row>
        <row r="115">
          <cell r="U115" t="str">
            <v>INTERSTATE OIL CO</v>
          </cell>
        </row>
        <row r="116">
          <cell r="U116" t="str">
            <v>J W ROWLAND INC</v>
          </cell>
        </row>
        <row r="117">
          <cell r="U117" t="str">
            <v>JACK RICH INC</v>
          </cell>
        </row>
        <row r="118">
          <cell r="U118" t="str">
            <v>JACKSON OIL COMPANY INC</v>
          </cell>
        </row>
        <row r="119">
          <cell r="U119" t="str">
            <v>JACKSON OIL PRODUCTS CO</v>
          </cell>
        </row>
        <row r="120">
          <cell r="U120" t="str">
            <v>JACKSON OIL PRODUCTS COMPANY</v>
          </cell>
        </row>
        <row r="121">
          <cell r="U121" t="str">
            <v>JERRY WILLKOMM INC</v>
          </cell>
        </row>
        <row r="122">
          <cell r="U122" t="str">
            <v>JIM DIBLE OIL CO</v>
          </cell>
        </row>
        <row r="123">
          <cell r="U123" t="str">
            <v>JOHNSON OIL COMPANY</v>
          </cell>
        </row>
        <row r="124">
          <cell r="U124" t="str">
            <v>J.A.M. DISTRIBUTING</v>
          </cell>
        </row>
        <row r="125">
          <cell r="U125" t="str">
            <v>KELLEY WILLIAMSON CO</v>
          </cell>
        </row>
        <row r="126">
          <cell r="U126" t="str">
            <v>KEY OIL COMPANY</v>
          </cell>
        </row>
        <row r="127">
          <cell r="U127" t="str">
            <v>KEYSTOPS INC</v>
          </cell>
        </row>
        <row r="128">
          <cell r="U128" t="str">
            <v>KNOX NELSON OIL CO</v>
          </cell>
        </row>
        <row r="129">
          <cell r="U129" t="str">
            <v>KUNKLE OIL CO INC</v>
          </cell>
        </row>
        <row r="130">
          <cell r="U130" t="str">
            <v>L A LARD OIL COMPANY INC</v>
          </cell>
        </row>
        <row r="131">
          <cell r="U131" t="str">
            <v>L F POWERS CO INC</v>
          </cell>
        </row>
        <row r="132">
          <cell r="U132" t="str">
            <v>LANGDALE FUEL CO</v>
          </cell>
        </row>
        <row r="133">
          <cell r="U133" t="str">
            <v>LEAKE OIL CO INC</v>
          </cell>
        </row>
        <row r="134">
          <cell r="U134" t="str">
            <v>LEYENDECKER OIL INC</v>
          </cell>
        </row>
        <row r="135">
          <cell r="U135" t="str">
            <v>LOTT OIL COMPANY</v>
          </cell>
        </row>
        <row r="136">
          <cell r="U136" t="str">
            <v>LOZIER OIL CO</v>
          </cell>
        </row>
        <row r="137">
          <cell r="U137" t="str">
            <v>LUBRICATION SERV INC</v>
          </cell>
        </row>
        <row r="138">
          <cell r="U138" t="str">
            <v>LUBRICATION TECHNOLOGIES</v>
          </cell>
        </row>
        <row r="139">
          <cell r="U139" t="str">
            <v>LUB-O-LINE INDUSTRIAL OIL CO</v>
          </cell>
        </row>
        <row r="140">
          <cell r="U140" t="str">
            <v>LYLE OIL CO</v>
          </cell>
        </row>
        <row r="141">
          <cell r="U141" t="str">
            <v>MAINE LUBRICATION SERVICE INC</v>
          </cell>
        </row>
        <row r="142">
          <cell r="U142" t="str">
            <v>MAJOR LUBRICANTS</v>
          </cell>
        </row>
        <row r="143">
          <cell r="U143" t="str">
            <v>MATTHEW'S LUBRICANTS, INC.</v>
          </cell>
        </row>
        <row r="144">
          <cell r="U144" t="str">
            <v>MAUGER &amp; CO INC</v>
          </cell>
        </row>
        <row r="145">
          <cell r="U145" t="str">
            <v>MAYES COUNTY PETRO</v>
          </cell>
        </row>
        <row r="146">
          <cell r="U146" t="str">
            <v>MCPHERSON OIL PRODUCTS</v>
          </cell>
        </row>
        <row r="147">
          <cell r="U147" t="str">
            <v>MENARD OIL CO INC</v>
          </cell>
        </row>
        <row r="148">
          <cell r="U148" t="str">
            <v>MILLER OIL CO</v>
          </cell>
        </row>
        <row r="149">
          <cell r="U149" t="str">
            <v>MOBIL AUTOMOTIVE LUBRICANTS OF</v>
          </cell>
        </row>
        <row r="150">
          <cell r="U150" t="str">
            <v>MOORE BROTHERS OIL CO INC</v>
          </cell>
        </row>
        <row r="151">
          <cell r="U151" t="str">
            <v>MOORE OIL CO</v>
          </cell>
        </row>
        <row r="152">
          <cell r="U152" t="str">
            <v>MORGAN DISTRIBUTING INC</v>
          </cell>
        </row>
        <row r="153">
          <cell r="U153" t="str">
            <v>MORTENSEN OIL CO INC</v>
          </cell>
        </row>
        <row r="154">
          <cell r="U154" t="str">
            <v>MOSELY OIL CO INC</v>
          </cell>
        </row>
        <row r="155">
          <cell r="U155" t="str">
            <v>NASER OIL CO</v>
          </cell>
        </row>
        <row r="156">
          <cell r="U156" t="str">
            <v>NATIONAL LUBRICATING PROD CO</v>
          </cell>
        </row>
        <row r="157">
          <cell r="U157" t="str">
            <v>NEBRASKA IOWA SUPPLY CO.</v>
          </cell>
        </row>
        <row r="158">
          <cell r="U158" t="str">
            <v>NEW YORK COMMERCIAL LUBRICANTS</v>
          </cell>
        </row>
        <row r="159">
          <cell r="U159" t="str">
            <v>NOCO ENERGY CORP</v>
          </cell>
        </row>
        <row r="160">
          <cell r="U160" t="str">
            <v>NUSSER OIL CO</v>
          </cell>
        </row>
        <row r="161">
          <cell r="U161" t="str">
            <v>OK PETROLEUM DISTRIB.</v>
          </cell>
        </row>
        <row r="162">
          <cell r="U162" t="str">
            <v>O'CONNELL OIL ASSOC INC</v>
          </cell>
        </row>
        <row r="163">
          <cell r="U163" t="str">
            <v>O'CONNOR OIL CORP</v>
          </cell>
        </row>
        <row r="164">
          <cell r="U164" t="str">
            <v>PAPCO OIL COMPANY</v>
          </cell>
        </row>
        <row r="165">
          <cell r="U165" t="str">
            <v>PARKS OIL COMPANY</v>
          </cell>
        </row>
        <row r="166">
          <cell r="U166" t="str">
            <v>PEACOCK OIL CO</v>
          </cell>
        </row>
        <row r="167">
          <cell r="U167" t="str">
            <v>PEARSON OIL COMPANY INC</v>
          </cell>
        </row>
        <row r="168">
          <cell r="U168" t="str">
            <v>PENCE PETROLEUM CO INC</v>
          </cell>
        </row>
        <row r="169">
          <cell r="U169" t="str">
            <v>PETRO STAR INC-LUBRICANTS DIVISION</v>
          </cell>
        </row>
        <row r="170">
          <cell r="U170" t="str">
            <v>PETROLEUM MARKETERS INC</v>
          </cell>
        </row>
        <row r="171">
          <cell r="U171" t="str">
            <v>PETROLEUM PRODUCTS INC</v>
          </cell>
        </row>
        <row r="172">
          <cell r="U172" t="str">
            <v>PETROLEUM SERVICE CO INC</v>
          </cell>
        </row>
        <row r="173">
          <cell r="U173" t="str">
            <v>PHOENIX FUEL CO INC</v>
          </cell>
        </row>
        <row r="174">
          <cell r="U174" t="str">
            <v>POTTER OIL CO INC</v>
          </cell>
        </row>
        <row r="175">
          <cell r="U175" t="str">
            <v>POTTER OIL &amp; TIRE CO INC</v>
          </cell>
        </row>
        <row r="176">
          <cell r="U176" t="str">
            <v>PPC CORP</v>
          </cell>
        </row>
        <row r="177">
          <cell r="U177" t="str">
            <v>PRIME LUBE CORP</v>
          </cell>
        </row>
        <row r="178">
          <cell r="U178" t="str">
            <v>QUALITY LUBRICANTS INC</v>
          </cell>
        </row>
        <row r="179">
          <cell r="U179" t="str">
            <v>QUALITY OIL INC</v>
          </cell>
        </row>
        <row r="180">
          <cell r="U180" t="str">
            <v>QUALITY STATE OIL CO INC</v>
          </cell>
        </row>
        <row r="181">
          <cell r="U181" t="str">
            <v>R C DUNN OIL CO INC</v>
          </cell>
        </row>
        <row r="182">
          <cell r="U182" t="str">
            <v>RACHEL OIL CO</v>
          </cell>
        </row>
        <row r="183">
          <cell r="U183" t="str">
            <v>RACKHAM SERVICE CORP</v>
          </cell>
        </row>
        <row r="184">
          <cell r="U184" t="str">
            <v>RAMOS WILLIAM</v>
          </cell>
        </row>
        <row r="185">
          <cell r="U185" t="str">
            <v>RAMSEY OIL CO INC</v>
          </cell>
        </row>
        <row r="186">
          <cell r="U186" t="str">
            <v>RAY MINCHOWS SERVICE</v>
          </cell>
        </row>
        <row r="187">
          <cell r="U187" t="str">
            <v>RED HORSE OIL</v>
          </cell>
        </row>
        <row r="188">
          <cell r="U188" t="str">
            <v>REDWOOD OIL CO INC</v>
          </cell>
        </row>
        <row r="189">
          <cell r="U189" t="str">
            <v>REEDER DISTRIBUTORS</v>
          </cell>
        </row>
        <row r="190">
          <cell r="U190" t="str">
            <v>REIT LUBRICANTS CO</v>
          </cell>
        </row>
        <row r="191">
          <cell r="U191" t="str">
            <v>RETIF OIL &amp; FUEL LLC</v>
          </cell>
        </row>
        <row r="192">
          <cell r="U192" t="str">
            <v>REX OIL CO INC</v>
          </cell>
        </row>
        <row r="193">
          <cell r="U193" t="str">
            <v>REYNOLDS OIL CO INC</v>
          </cell>
        </row>
        <row r="194">
          <cell r="U194" t="str">
            <v>RHINEHART OIL</v>
          </cell>
        </row>
        <row r="195">
          <cell r="U195" t="str">
            <v>RICHARD OIL AND FUEL INC</v>
          </cell>
        </row>
        <row r="196">
          <cell r="U196" t="str">
            <v>RIISER OIL COMPANY INC.</v>
          </cell>
        </row>
        <row r="197">
          <cell r="U197" t="str">
            <v>RIO FUEL &amp; SUPPLY</v>
          </cell>
        </row>
        <row r="198">
          <cell r="U198" t="str">
            <v>RIVER CITY OIL CO, INC</v>
          </cell>
        </row>
        <row r="199">
          <cell r="U199" t="str">
            <v>RIVER CITY PETROLEUM INC</v>
          </cell>
        </row>
        <row r="200">
          <cell r="U200" t="str">
            <v>ROYAL PETROLEUM INC</v>
          </cell>
        </row>
        <row r="201">
          <cell r="U201" t="str">
            <v>ROZIER'S OIL COMPANY</v>
          </cell>
        </row>
        <row r="202">
          <cell r="U202" t="str">
            <v>S B COLLINS INC</v>
          </cell>
        </row>
        <row r="203">
          <cell r="U203" t="str">
            <v>SAPP BROS PETROLEUM INC</v>
          </cell>
        </row>
        <row r="204">
          <cell r="U204" t="str">
            <v>SCHULTZ LUBRICANTS INC</v>
          </cell>
        </row>
        <row r="205">
          <cell r="U205" t="str">
            <v>SHOOP &amp; LUTHER INC</v>
          </cell>
        </row>
        <row r="206">
          <cell r="U206" t="str">
            <v>SHORTWAY SERVICES INC</v>
          </cell>
        </row>
        <row r="207">
          <cell r="U207" t="str">
            <v>SHULTZ DISTRIBUTING INC</v>
          </cell>
        </row>
        <row r="208">
          <cell r="U208" t="str">
            <v>SIEGEL OIL COMPANY</v>
          </cell>
        </row>
        <row r="209">
          <cell r="U209" t="str">
            <v>SILVAS OIL COMPANY</v>
          </cell>
        </row>
        <row r="210">
          <cell r="U210" t="str">
            <v>SLAFTER OIL COMPANY</v>
          </cell>
        </row>
        <row r="211">
          <cell r="U211" t="str">
            <v>SNIDER, O.D. &amp; SON, INC.</v>
          </cell>
        </row>
        <row r="212">
          <cell r="U212" t="str">
            <v>SOUTHEASTERN LUBRICANTS INC</v>
          </cell>
        </row>
        <row r="213">
          <cell r="U213" t="str">
            <v>SPRINGER EUBANK OIL CO</v>
          </cell>
        </row>
        <row r="214">
          <cell r="U214" t="str">
            <v>STERN OIL CO</v>
          </cell>
        </row>
        <row r="215">
          <cell r="U215" t="str">
            <v>STOCKMAN OIL CO</v>
          </cell>
        </row>
        <row r="216">
          <cell r="U216" t="str">
            <v>STOCKTON OIL COMPANY</v>
          </cell>
        </row>
        <row r="217">
          <cell r="U217" t="str">
            <v>STUBBS OIL COMPANY INC</v>
          </cell>
        </row>
        <row r="218">
          <cell r="U218" t="str">
            <v>SUBURBAN OIL COMPANY INC</v>
          </cell>
        </row>
        <row r="219">
          <cell r="U219" t="str">
            <v>SUPERIOR PETROLEUM PRODUCTS INC</v>
          </cell>
        </row>
        <row r="220">
          <cell r="U220" t="str">
            <v>SUPREME OIL CO INC</v>
          </cell>
        </row>
        <row r="221">
          <cell r="U221" t="str">
            <v>TEXAS ENTERPRISES INC</v>
          </cell>
        </row>
        <row r="222">
          <cell r="U222" t="str">
            <v>THE JANKOVICH COMPANY</v>
          </cell>
        </row>
        <row r="223">
          <cell r="U223" t="str">
            <v>THE JERRY BROWN CO.</v>
          </cell>
        </row>
        <row r="224">
          <cell r="U224" t="str">
            <v>THIESSEN OIL CO</v>
          </cell>
        </row>
        <row r="225">
          <cell r="U225" t="str">
            <v>TILLEY CHEMICAL CO INC</v>
          </cell>
        </row>
        <row r="226">
          <cell r="U226" t="str">
            <v>TOM LOPES DISTRIBUTING</v>
          </cell>
        </row>
        <row r="227">
          <cell r="U227" t="str">
            <v>TORO PETROLEUM</v>
          </cell>
        </row>
        <row r="228">
          <cell r="U228" t="str">
            <v>TOTAL LUBRICATION SVC &amp; SUPPLY LLC</v>
          </cell>
        </row>
        <row r="229">
          <cell r="U229" t="str">
            <v>TRI COUNTY PETROLEUM</v>
          </cell>
        </row>
        <row r="230">
          <cell r="U230" t="str">
            <v>TRI-CON INC</v>
          </cell>
        </row>
        <row r="231">
          <cell r="U231" t="str">
            <v>TROPIC OIL CO</v>
          </cell>
        </row>
        <row r="232">
          <cell r="U232" t="str">
            <v>VALCO PETROLEUM INC.</v>
          </cell>
        </row>
        <row r="233">
          <cell r="U233" t="str">
            <v>VALCON DISTRIBUTING</v>
          </cell>
        </row>
        <row r="234">
          <cell r="U234" t="str">
            <v>VALLEY DISTRIBUTION</v>
          </cell>
        </row>
        <row r="235">
          <cell r="U235" t="str">
            <v>VAN MANEN OIL CO INC</v>
          </cell>
        </row>
        <row r="236">
          <cell r="U236" t="str">
            <v>VESCO OIL CORPORATION</v>
          </cell>
        </row>
        <row r="237">
          <cell r="U237" t="str">
            <v>VINSON OIL DISTRIBUTORS</v>
          </cell>
        </row>
        <row r="238">
          <cell r="U238" t="str">
            <v>W A EGAN</v>
          </cell>
        </row>
        <row r="239">
          <cell r="U239" t="str">
            <v>W DOUGLASS DISTRIBUTING LTD</v>
          </cell>
        </row>
        <row r="240">
          <cell r="U240" t="str">
            <v>WALKER OIL CO INC</v>
          </cell>
        </row>
        <row r="241">
          <cell r="U241" t="str">
            <v>WALKER SIMS OIL CO INC</v>
          </cell>
        </row>
        <row r="242">
          <cell r="U242" t="str">
            <v>WALLIS LUBRICANT LLC</v>
          </cell>
        </row>
        <row r="243">
          <cell r="U243" t="str">
            <v>WALTHALL OIL COMPANY</v>
          </cell>
        </row>
        <row r="244">
          <cell r="U244" t="str">
            <v>WANNEMUEHLER OIL COMPANY INC</v>
          </cell>
        </row>
        <row r="245">
          <cell r="U245" t="str">
            <v>WARING OIL COMPANY</v>
          </cell>
        </row>
        <row r="246">
          <cell r="U246" t="str">
            <v>WHAYNE SUPPLY CO</v>
          </cell>
        </row>
        <row r="247">
          <cell r="U247" t="str">
            <v>WHAYNE SUPPLY COMPANY</v>
          </cell>
        </row>
        <row r="248">
          <cell r="U248" t="str">
            <v>WHITE OIL CO INC</v>
          </cell>
        </row>
        <row r="249">
          <cell r="U249" t="str">
            <v>WHITEHILL GAS &amp; OIL</v>
          </cell>
        </row>
        <row r="250">
          <cell r="U250" t="str">
            <v>WILLIAMS OIL CO INC</v>
          </cell>
        </row>
        <row r="251">
          <cell r="U251" t="str">
            <v>WILLISON OIL INC</v>
          </cell>
        </row>
        <row r="252">
          <cell r="U252" t="str">
            <v>WILSON OIL DBA WILCOX &amp; FLEGEL</v>
          </cell>
        </row>
        <row r="253">
          <cell r="U253" t="str">
            <v>WINDWARD PETROLEUM PARTNERS INC</v>
          </cell>
        </row>
        <row r="254">
          <cell r="U254" t="str">
            <v>WITTER GAS &amp; OIL</v>
          </cell>
        </row>
        <row r="255">
          <cell r="U255" t="str">
            <v>WRIGHT OIL &amp; TIRE COMPANY</v>
          </cell>
        </row>
        <row r="256">
          <cell r="U256" t="str">
            <v>YOUNG OIL CO INC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oblación-Muestra"/>
      <sheetName val="Market Share "/>
      <sheetName val="Market Share Análisis #1 (2)"/>
      <sheetName val="Participación"/>
      <sheetName val="encuesta"/>
      <sheetName val="Demanda-Oferta"/>
      <sheetName val="Edo Resul Cont"/>
      <sheetName val="Proyección costos"/>
      <sheetName val="PYG con prop"/>
      <sheetName val="Inversiones con prop"/>
      <sheetName val="Flujo ca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ESPERADO"/>
      <sheetName val="OPTIMISTA"/>
      <sheetName val="PESIMISTA"/>
    </sheetNames>
    <sheetDataSet>
      <sheetData sheetId="0">
        <row r="5">
          <cell r="B5" t="str">
            <v>Gastos</v>
          </cell>
          <cell r="C5">
            <v>3.3799999999999997E-2</v>
          </cell>
          <cell r="D5" t="str">
            <v>Inflación 2015</v>
          </cell>
          <cell r="F5" t="str">
            <v>Gastos</v>
          </cell>
          <cell r="G5">
            <v>3.3799999999999997E-2</v>
          </cell>
          <cell r="H5" t="str">
            <v>Inflación 2015</v>
          </cell>
          <cell r="J5" t="str">
            <v>Gastos</v>
          </cell>
          <cell r="K5">
            <v>3.3799999999999997E-2</v>
          </cell>
          <cell r="L5" t="str">
            <v>Inflación 2015</v>
          </cell>
        </row>
        <row r="6">
          <cell r="B6" t="str">
            <v>Ventas</v>
          </cell>
          <cell r="C6">
            <v>0.24</v>
          </cell>
          <cell r="D6" t="str">
            <v>Proyección y objetivos</v>
          </cell>
          <cell r="F6" t="str">
            <v>Ventas</v>
          </cell>
          <cell r="G6">
            <v>0.24</v>
          </cell>
          <cell r="H6" t="str">
            <v>Proyección y objetivos</v>
          </cell>
          <cell r="J6" t="str">
            <v>Ventas</v>
          </cell>
          <cell r="K6">
            <v>0.24</v>
          </cell>
          <cell r="L6" t="str">
            <v>Proyección y objetivos</v>
          </cell>
        </row>
        <row r="7">
          <cell r="B7" t="str">
            <v>Costos</v>
          </cell>
          <cell r="C7">
            <v>0.86</v>
          </cell>
          <cell r="D7" t="str">
            <v>En relación a ventas</v>
          </cell>
          <cell r="F7" t="str">
            <v>Costos</v>
          </cell>
          <cell r="G7">
            <v>0.86</v>
          </cell>
          <cell r="H7" t="str">
            <v>En relación a ventas</v>
          </cell>
          <cell r="J7" t="str">
            <v>Costos</v>
          </cell>
          <cell r="K7">
            <v>0.86</v>
          </cell>
          <cell r="L7" t="str">
            <v>En relación a ventas</v>
          </cell>
        </row>
        <row r="12">
          <cell r="B12" t="str">
            <v>Gastos</v>
          </cell>
          <cell r="C12">
            <v>2.7E-2</v>
          </cell>
          <cell r="D12" t="str">
            <v>Inflación 2013</v>
          </cell>
          <cell r="F12" t="str">
            <v>Gastos</v>
          </cell>
          <cell r="G12">
            <v>2.7E-2</v>
          </cell>
          <cell r="H12" t="str">
            <v>Inflación 2013</v>
          </cell>
          <cell r="J12" t="str">
            <v>Gastos</v>
          </cell>
          <cell r="K12">
            <v>2.7E-2</v>
          </cell>
          <cell r="L12" t="str">
            <v>Inflación 2013</v>
          </cell>
        </row>
        <row r="13">
          <cell r="B13" t="str">
            <v>Ventas</v>
          </cell>
          <cell r="C13">
            <v>0.35</v>
          </cell>
          <cell r="D13" t="str">
            <v>Objetivo</v>
          </cell>
          <cell r="F13" t="str">
            <v>Ventas</v>
          </cell>
          <cell r="G13">
            <v>0.35</v>
          </cell>
          <cell r="H13" t="str">
            <v>Objetivo</v>
          </cell>
          <cell r="J13" t="str">
            <v>Ventas</v>
          </cell>
          <cell r="K13">
            <v>0.35</v>
          </cell>
          <cell r="L13" t="str">
            <v>Objetivo</v>
          </cell>
        </row>
        <row r="14">
          <cell r="B14" t="str">
            <v>Costos</v>
          </cell>
          <cell r="C14">
            <v>0.86</v>
          </cell>
          <cell r="D14" t="str">
            <v>En relación a ventas</v>
          </cell>
          <cell r="F14" t="str">
            <v>Costos</v>
          </cell>
          <cell r="G14">
            <v>0.86</v>
          </cell>
          <cell r="H14" t="str">
            <v>En relación a ventas</v>
          </cell>
          <cell r="J14" t="str">
            <v>Costos</v>
          </cell>
          <cell r="K14">
            <v>0.86</v>
          </cell>
          <cell r="L14" t="str">
            <v>En relación a ventas</v>
          </cell>
        </row>
        <row r="19">
          <cell r="B19" t="str">
            <v>Gastos</v>
          </cell>
          <cell r="C19">
            <v>5.4100000000000002E-2</v>
          </cell>
          <cell r="D19" t="str">
            <v>Inflación 2011</v>
          </cell>
          <cell r="F19" t="str">
            <v>Gastos</v>
          </cell>
          <cell r="G19">
            <v>5.4100000000000002E-2</v>
          </cell>
          <cell r="H19" t="str">
            <v>Inflación 2011</v>
          </cell>
          <cell r="J19" t="str">
            <v>Gastos</v>
          </cell>
          <cell r="K19">
            <v>5.4100000000000002E-2</v>
          </cell>
          <cell r="L19" t="str">
            <v>Inflación 2011</v>
          </cell>
        </row>
        <row r="20">
          <cell r="B20" t="str">
            <v>Ventas</v>
          </cell>
          <cell r="C20">
            <v>0</v>
          </cell>
          <cell r="D20" t="str">
            <v>Sin crecimiento</v>
          </cell>
          <cell r="F20" t="str">
            <v>Ventas</v>
          </cell>
          <cell r="G20">
            <v>0</v>
          </cell>
          <cell r="H20" t="str">
            <v>Sin crecimiento</v>
          </cell>
          <cell r="J20" t="str">
            <v>Ventas</v>
          </cell>
          <cell r="K20">
            <v>0</v>
          </cell>
          <cell r="L20" t="str">
            <v>Sin crecimiento</v>
          </cell>
        </row>
        <row r="21">
          <cell r="B21" t="str">
            <v>Costos</v>
          </cell>
          <cell r="C21">
            <v>0.86</v>
          </cell>
          <cell r="D21" t="str">
            <v>En relación a ventas</v>
          </cell>
          <cell r="F21" t="str">
            <v>Costos</v>
          </cell>
          <cell r="G21">
            <v>0.86</v>
          </cell>
          <cell r="H21" t="str">
            <v>En relación a ventas</v>
          </cell>
          <cell r="J21" t="str">
            <v>Costos</v>
          </cell>
          <cell r="K21">
            <v>0.86</v>
          </cell>
          <cell r="L21" t="str">
            <v>En relación a ventas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000"/>
  </sheetPr>
  <dimension ref="A1:N21"/>
  <sheetViews>
    <sheetView showGridLines="0" tabSelected="1" zoomScaleNormal="100" workbookViewId="0">
      <selection activeCell="D30" sqref="D30"/>
    </sheetView>
  </sheetViews>
  <sheetFormatPr defaultColWidth="11.375" defaultRowHeight="12.75" x14ac:dyDescent="0.2"/>
  <cols>
    <col min="1" max="1" width="2.375" style="25" customWidth="1"/>
    <col min="2" max="2" width="21.625" style="25" bestFit="1" customWidth="1"/>
    <col min="3" max="3" width="9.25" style="25" customWidth="1"/>
    <col min="4" max="4" width="17.375" style="26" bestFit="1" customWidth="1"/>
    <col min="5" max="5" width="13.625" style="25" customWidth="1"/>
    <col min="6" max="6" width="16.375" style="25" bestFit="1" customWidth="1"/>
    <col min="7" max="7" width="11.375" style="25"/>
    <col min="8" max="8" width="17.375" style="25" bestFit="1" customWidth="1"/>
    <col min="9" max="9" width="13.625" style="25" customWidth="1"/>
    <col min="10" max="10" width="16.375" style="25" bestFit="1" customWidth="1"/>
    <col min="11" max="11" width="11.375" style="25"/>
    <col min="12" max="12" width="17.375" style="25" bestFit="1" customWidth="1"/>
    <col min="13" max="13" width="11.625" style="25" customWidth="1"/>
    <col min="14" max="16384" width="11.375" style="25"/>
  </cols>
  <sheetData>
    <row r="1" spans="1:14" ht="13.5" thickBot="1" x14ac:dyDescent="0.25"/>
    <row r="2" spans="1:14" ht="24" thickBot="1" x14ac:dyDescent="0.4">
      <c r="B2" s="270">
        <v>2016</v>
      </c>
      <c r="C2" s="271"/>
      <c r="D2" s="272"/>
      <c r="F2" s="282">
        <v>2017</v>
      </c>
      <c r="G2" s="283"/>
      <c r="H2" s="284"/>
      <c r="J2" s="270">
        <v>2018</v>
      </c>
      <c r="K2" s="271"/>
      <c r="L2" s="272"/>
    </row>
    <row r="3" spans="1:14" ht="13.5" customHeight="1" x14ac:dyDescent="0.2">
      <c r="B3" s="273" t="s">
        <v>80</v>
      </c>
      <c r="C3" s="274"/>
      <c r="D3" s="275"/>
      <c r="F3" s="273" t="s">
        <v>80</v>
      </c>
      <c r="G3" s="274"/>
      <c r="H3" s="275"/>
      <c r="J3" s="273" t="s">
        <v>80</v>
      </c>
      <c r="K3" s="274"/>
      <c r="L3" s="275"/>
    </row>
    <row r="4" spans="1:14" ht="13.5" customHeight="1" x14ac:dyDescent="0.2">
      <c r="B4" s="208" t="s">
        <v>106</v>
      </c>
      <c r="C4" s="209" t="s">
        <v>107</v>
      </c>
      <c r="D4" s="216" t="s">
        <v>257</v>
      </c>
      <c r="F4" s="208" t="s">
        <v>106</v>
      </c>
      <c r="G4" s="209" t="s">
        <v>107</v>
      </c>
      <c r="H4" s="216" t="s">
        <v>257</v>
      </c>
      <c r="J4" s="208" t="s">
        <v>106</v>
      </c>
      <c r="K4" s="209" t="s">
        <v>107</v>
      </c>
      <c r="L4" s="216" t="s">
        <v>257</v>
      </c>
    </row>
    <row r="5" spans="1:14" x14ac:dyDescent="0.2">
      <c r="B5" s="241" t="str">
        <f>[4]SUPUESTOS!B5</f>
        <v>Gastos</v>
      </c>
      <c r="C5" s="219">
        <f>[4]SUPUESTOS!C5</f>
        <v>3.3799999999999997E-2</v>
      </c>
      <c r="D5" s="242" t="str">
        <f>[4]SUPUESTOS!D5</f>
        <v>Inflación 2015</v>
      </c>
      <c r="F5" s="241" t="str">
        <f>[4]SUPUESTOS!F5</f>
        <v>Gastos</v>
      </c>
      <c r="G5" s="219">
        <f>[4]SUPUESTOS!G5</f>
        <v>3.3799999999999997E-2</v>
      </c>
      <c r="H5" s="242" t="str">
        <f>[4]SUPUESTOS!$H$5</f>
        <v>Inflación 2015</v>
      </c>
      <c r="J5" s="241" t="str">
        <f>[4]SUPUESTOS!J5</f>
        <v>Gastos</v>
      </c>
      <c r="K5" s="219">
        <f>[4]SUPUESTOS!K5</f>
        <v>3.3799999999999997E-2</v>
      </c>
      <c r="L5" s="245" t="str">
        <f>[4]SUPUESTOS!L5</f>
        <v>Inflación 2015</v>
      </c>
    </row>
    <row r="6" spans="1:14" ht="12.75" customHeight="1" x14ac:dyDescent="0.2">
      <c r="B6" s="241" t="str">
        <f>[4]SUPUESTOS!B6</f>
        <v>Ventas</v>
      </c>
      <c r="C6" s="219">
        <f>[4]SUPUESTOS!C6</f>
        <v>0.24</v>
      </c>
      <c r="D6" s="242" t="str">
        <f>[4]SUPUESTOS!$D$6</f>
        <v>Proyección y objetivos</v>
      </c>
      <c r="F6" s="241" t="str">
        <f>[4]SUPUESTOS!F6</f>
        <v>Ventas</v>
      </c>
      <c r="G6" s="219">
        <f>[4]SUPUESTOS!G6</f>
        <v>0.24</v>
      </c>
      <c r="H6" s="245" t="str">
        <f>[4]SUPUESTOS!H6</f>
        <v>Proyección y objetivos</v>
      </c>
      <c r="J6" s="241" t="str">
        <f>[4]SUPUESTOS!J6</f>
        <v>Ventas</v>
      </c>
      <c r="K6" s="219">
        <f>[4]SUPUESTOS!K6</f>
        <v>0.24</v>
      </c>
      <c r="L6" s="245" t="str">
        <f>[4]SUPUESTOS!L6</f>
        <v>Proyección y objetivos</v>
      </c>
    </row>
    <row r="7" spans="1:14" s="206" customFormat="1" ht="13.5" thickBot="1" x14ac:dyDescent="0.25">
      <c r="B7" s="243" t="str">
        <f>[4]SUPUESTOS!B7</f>
        <v>Costos</v>
      </c>
      <c r="C7" s="220">
        <f>[4]SUPUESTOS!C7</f>
        <v>0.86</v>
      </c>
      <c r="D7" s="244" t="str">
        <f>[4]SUPUESTOS!D7</f>
        <v>En relación a ventas</v>
      </c>
      <c r="F7" s="243" t="str">
        <f>[4]SUPUESTOS!F7</f>
        <v>Costos</v>
      </c>
      <c r="G7" s="220">
        <f>[4]SUPUESTOS!G7</f>
        <v>0.86</v>
      </c>
      <c r="H7" s="244" t="str">
        <f>[4]SUPUESTOS!H7</f>
        <v>En relación a ventas</v>
      </c>
      <c r="J7" s="243" t="str">
        <f>[4]SUPUESTOS!J7</f>
        <v>Costos</v>
      </c>
      <c r="K7" s="220">
        <f>[4]SUPUESTOS!K7</f>
        <v>0.86</v>
      </c>
      <c r="L7" s="244" t="str">
        <f>[4]SUPUESTOS!L7</f>
        <v>En relación a ventas</v>
      </c>
    </row>
    <row r="8" spans="1:14" s="206" customFormat="1" x14ac:dyDescent="0.2">
      <c r="D8" s="207"/>
      <c r="H8" s="207"/>
      <c r="L8" s="207"/>
    </row>
    <row r="9" spans="1:14" s="206" customFormat="1" ht="13.5" thickBot="1" x14ac:dyDescent="0.25">
      <c r="D9" s="207"/>
      <c r="H9" s="207"/>
      <c r="L9" s="207"/>
    </row>
    <row r="10" spans="1:14" x14ac:dyDescent="0.2">
      <c r="B10" s="276" t="s">
        <v>81</v>
      </c>
      <c r="C10" s="277"/>
      <c r="D10" s="278"/>
      <c r="F10" s="276" t="s">
        <v>81</v>
      </c>
      <c r="G10" s="277"/>
      <c r="H10" s="278"/>
      <c r="J10" s="276" t="s">
        <v>81</v>
      </c>
      <c r="K10" s="277"/>
      <c r="L10" s="278"/>
    </row>
    <row r="11" spans="1:14" x14ac:dyDescent="0.2">
      <c r="B11" s="210" t="s">
        <v>106</v>
      </c>
      <c r="C11" s="211" t="s">
        <v>107</v>
      </c>
      <c r="D11" s="212" t="s">
        <v>257</v>
      </c>
      <c r="F11" s="210" t="s">
        <v>106</v>
      </c>
      <c r="G11" s="211" t="s">
        <v>107</v>
      </c>
      <c r="H11" s="212" t="s">
        <v>257</v>
      </c>
      <c r="J11" s="210" t="s">
        <v>106</v>
      </c>
      <c r="K11" s="211" t="s">
        <v>107</v>
      </c>
      <c r="L11" s="212" t="s">
        <v>257</v>
      </c>
    </row>
    <row r="12" spans="1:14" x14ac:dyDescent="0.2">
      <c r="B12" s="246" t="str">
        <f>[4]SUPUESTOS!B12</f>
        <v>Gastos</v>
      </c>
      <c r="C12" s="221">
        <f>[4]SUPUESTOS!C12</f>
        <v>2.7E-2</v>
      </c>
      <c r="D12" s="247" t="str">
        <f>[4]SUPUESTOS!D12</f>
        <v>Inflación 2013</v>
      </c>
      <c r="F12" s="246" t="str">
        <f>[4]SUPUESTOS!F12</f>
        <v>Gastos</v>
      </c>
      <c r="G12" s="221">
        <f>[4]SUPUESTOS!G12</f>
        <v>2.7E-2</v>
      </c>
      <c r="H12" s="247" t="str">
        <f>[4]SUPUESTOS!H12</f>
        <v>Inflación 2013</v>
      </c>
      <c r="J12" s="246" t="str">
        <f>[4]SUPUESTOS!J12</f>
        <v>Gastos</v>
      </c>
      <c r="K12" s="221">
        <f>[4]SUPUESTOS!K12</f>
        <v>2.7E-2</v>
      </c>
      <c r="L12" s="247" t="str">
        <f>[4]SUPUESTOS!L12</f>
        <v>Inflación 2013</v>
      </c>
    </row>
    <row r="13" spans="1:14" x14ac:dyDescent="0.2">
      <c r="B13" s="246" t="str">
        <f>[4]SUPUESTOS!B13</f>
        <v>Ventas</v>
      </c>
      <c r="C13" s="221">
        <f>[4]SUPUESTOS!C13</f>
        <v>0.35</v>
      </c>
      <c r="D13" s="247" t="str">
        <f>[4]SUPUESTOS!D13</f>
        <v>Objetivo</v>
      </c>
      <c r="F13" s="246" t="str">
        <f>[4]SUPUESTOS!F13</f>
        <v>Ventas</v>
      </c>
      <c r="G13" s="221">
        <f>[4]SUPUESTOS!G13</f>
        <v>0.35</v>
      </c>
      <c r="H13" s="247" t="str">
        <f>[4]SUPUESTOS!H13</f>
        <v>Objetivo</v>
      </c>
      <c r="J13" s="246" t="str">
        <f>[4]SUPUESTOS!J13</f>
        <v>Ventas</v>
      </c>
      <c r="K13" s="221">
        <f>[4]SUPUESTOS!K13</f>
        <v>0.35</v>
      </c>
      <c r="L13" s="247" t="str">
        <f>[4]SUPUESTOS!L13</f>
        <v>Objetivo</v>
      </c>
    </row>
    <row r="14" spans="1:14" ht="13.5" thickBot="1" x14ac:dyDescent="0.25">
      <c r="A14" s="56"/>
      <c r="B14" s="248" t="str">
        <f>[4]SUPUESTOS!B14</f>
        <v>Costos</v>
      </c>
      <c r="C14" s="222">
        <f>[4]SUPUESTOS!C14</f>
        <v>0.86</v>
      </c>
      <c r="D14" s="249" t="str">
        <f>[4]SUPUESTOS!D14</f>
        <v>En relación a ventas</v>
      </c>
      <c r="E14" s="56"/>
      <c r="F14" s="248" t="str">
        <f>[4]SUPUESTOS!F14</f>
        <v>Costos</v>
      </c>
      <c r="G14" s="222">
        <f>[4]SUPUESTOS!G14</f>
        <v>0.86</v>
      </c>
      <c r="H14" s="249" t="str">
        <f>[4]SUPUESTOS!H14</f>
        <v>En relación a ventas</v>
      </c>
      <c r="I14" s="56"/>
      <c r="J14" s="248" t="str">
        <f>[4]SUPUESTOS!J14</f>
        <v>Costos</v>
      </c>
      <c r="K14" s="222">
        <f>[4]SUPUESTOS!K14</f>
        <v>0.86</v>
      </c>
      <c r="L14" s="249" t="str">
        <f>[4]SUPUESTOS!L14</f>
        <v>En relación a ventas</v>
      </c>
      <c r="M14" s="56"/>
      <c r="N14" s="56"/>
    </row>
    <row r="15" spans="1:14" x14ac:dyDescent="0.2">
      <c r="A15" s="56"/>
      <c r="B15" s="56"/>
      <c r="C15" s="56"/>
      <c r="D15" s="205"/>
      <c r="E15" s="56"/>
      <c r="F15" s="56"/>
      <c r="G15" s="56"/>
      <c r="H15" s="205"/>
      <c r="I15" s="56"/>
      <c r="J15" s="56"/>
      <c r="K15" s="56"/>
      <c r="L15" s="205"/>
      <c r="M15" s="56"/>
      <c r="N15" s="56"/>
    </row>
    <row r="16" spans="1:14" ht="13.5" thickBot="1" x14ac:dyDescent="0.25">
      <c r="A16" s="56"/>
      <c r="B16" s="56"/>
      <c r="C16" s="56"/>
      <c r="D16" s="205"/>
      <c r="E16" s="56"/>
      <c r="F16" s="56"/>
      <c r="G16" s="56"/>
      <c r="H16" s="205"/>
      <c r="I16" s="56"/>
      <c r="J16" s="56"/>
      <c r="K16" s="56"/>
      <c r="L16" s="205"/>
      <c r="M16" s="56"/>
      <c r="N16" s="56"/>
    </row>
    <row r="17" spans="2:12" x14ac:dyDescent="0.2">
      <c r="B17" s="279" t="s">
        <v>82</v>
      </c>
      <c r="C17" s="280"/>
      <c r="D17" s="281"/>
      <c r="F17" s="279" t="s">
        <v>82</v>
      </c>
      <c r="G17" s="280"/>
      <c r="H17" s="281"/>
      <c r="J17" s="279" t="s">
        <v>82</v>
      </c>
      <c r="K17" s="280"/>
      <c r="L17" s="281"/>
    </row>
    <row r="18" spans="2:12" x14ac:dyDescent="0.2">
      <c r="B18" s="213" t="s">
        <v>106</v>
      </c>
      <c r="C18" s="214" t="s">
        <v>107</v>
      </c>
      <c r="D18" s="215" t="s">
        <v>257</v>
      </c>
      <c r="F18" s="213" t="s">
        <v>106</v>
      </c>
      <c r="G18" s="214" t="s">
        <v>107</v>
      </c>
      <c r="H18" s="215" t="s">
        <v>257</v>
      </c>
      <c r="J18" s="213" t="s">
        <v>106</v>
      </c>
      <c r="K18" s="214" t="s">
        <v>107</v>
      </c>
      <c r="L18" s="215" t="s">
        <v>257</v>
      </c>
    </row>
    <row r="19" spans="2:12" x14ac:dyDescent="0.2">
      <c r="B19" s="246" t="str">
        <f>[4]SUPUESTOS!B19</f>
        <v>Gastos</v>
      </c>
      <c r="C19" s="221">
        <f>[4]SUPUESTOS!C19</f>
        <v>5.4100000000000002E-2</v>
      </c>
      <c r="D19" s="247" t="str">
        <f>[4]SUPUESTOS!D19</f>
        <v>Inflación 2011</v>
      </c>
      <c r="F19" s="246" t="str">
        <f>[4]SUPUESTOS!F19</f>
        <v>Gastos</v>
      </c>
      <c r="G19" s="221">
        <f>[4]SUPUESTOS!G19</f>
        <v>5.4100000000000002E-2</v>
      </c>
      <c r="H19" s="247" t="str">
        <f>[4]SUPUESTOS!H19</f>
        <v>Inflación 2011</v>
      </c>
      <c r="J19" s="246" t="str">
        <f>[4]SUPUESTOS!J19</f>
        <v>Gastos</v>
      </c>
      <c r="K19" s="221">
        <f>[4]SUPUESTOS!K19</f>
        <v>5.4100000000000002E-2</v>
      </c>
      <c r="L19" s="247" t="str">
        <f>[4]SUPUESTOS!L19</f>
        <v>Inflación 2011</v>
      </c>
    </row>
    <row r="20" spans="2:12" x14ac:dyDescent="0.2">
      <c r="B20" s="246" t="str">
        <f>[4]SUPUESTOS!B20</f>
        <v>Ventas</v>
      </c>
      <c r="C20" s="221">
        <f>[4]SUPUESTOS!C20</f>
        <v>0</v>
      </c>
      <c r="D20" s="247" t="str">
        <f>[4]SUPUESTOS!D20</f>
        <v>Sin crecimiento</v>
      </c>
      <c r="F20" s="246" t="str">
        <f>[4]SUPUESTOS!F20</f>
        <v>Ventas</v>
      </c>
      <c r="G20" s="221">
        <f>[4]SUPUESTOS!G20</f>
        <v>0</v>
      </c>
      <c r="H20" s="247" t="str">
        <f>[4]SUPUESTOS!H20</f>
        <v>Sin crecimiento</v>
      </c>
      <c r="J20" s="246" t="str">
        <f>[4]SUPUESTOS!J20</f>
        <v>Ventas</v>
      </c>
      <c r="K20" s="221">
        <f>[4]SUPUESTOS!K20</f>
        <v>0</v>
      </c>
      <c r="L20" s="247" t="str">
        <f>[4]SUPUESTOS!L20</f>
        <v>Sin crecimiento</v>
      </c>
    </row>
    <row r="21" spans="2:12" ht="13.5" thickBot="1" x14ac:dyDescent="0.25">
      <c r="B21" s="248" t="str">
        <f>[4]SUPUESTOS!B21</f>
        <v>Costos</v>
      </c>
      <c r="C21" s="222">
        <f>[4]SUPUESTOS!C21</f>
        <v>0.86</v>
      </c>
      <c r="D21" s="249" t="str">
        <f>[4]SUPUESTOS!D21</f>
        <v>En relación a ventas</v>
      </c>
      <c r="F21" s="248" t="str">
        <f>[4]SUPUESTOS!F21</f>
        <v>Costos</v>
      </c>
      <c r="G21" s="222">
        <f>[4]SUPUESTOS!G21</f>
        <v>0.86</v>
      </c>
      <c r="H21" s="249" t="str">
        <f>[4]SUPUESTOS!H21</f>
        <v>En relación a ventas</v>
      </c>
      <c r="J21" s="248" t="str">
        <f>[4]SUPUESTOS!J21</f>
        <v>Costos</v>
      </c>
      <c r="K21" s="222">
        <f>[4]SUPUESTOS!K21</f>
        <v>0.86</v>
      </c>
      <c r="L21" s="249" t="str">
        <f>[4]SUPUESTOS!L21</f>
        <v>En relación a ventas</v>
      </c>
    </row>
  </sheetData>
  <mergeCells count="12">
    <mergeCell ref="J2:L2"/>
    <mergeCell ref="J3:L3"/>
    <mergeCell ref="J10:L10"/>
    <mergeCell ref="J17:L17"/>
    <mergeCell ref="B3:D3"/>
    <mergeCell ref="B17:D17"/>
    <mergeCell ref="B10:D10"/>
    <mergeCell ref="B2:D2"/>
    <mergeCell ref="F2:H2"/>
    <mergeCell ref="F3:H3"/>
    <mergeCell ref="F10:H10"/>
    <mergeCell ref="F17:H17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70C0"/>
  </sheetPr>
  <dimension ref="A1:N70"/>
  <sheetViews>
    <sheetView showGridLines="0" workbookViewId="0">
      <selection activeCell="J21" sqref="J21"/>
    </sheetView>
  </sheetViews>
  <sheetFormatPr defaultColWidth="9.125" defaultRowHeight="15" x14ac:dyDescent="0.25"/>
  <cols>
    <col min="1" max="1" width="8.375" customWidth="1"/>
    <col min="3" max="3" width="29.625" customWidth="1"/>
    <col min="4" max="4" width="13.75" customWidth="1"/>
    <col min="5" max="5" width="14.25" customWidth="1"/>
    <col min="6" max="10" width="11.625" bestFit="1" customWidth="1"/>
    <col min="11" max="11" width="10.125" bestFit="1" customWidth="1"/>
  </cols>
  <sheetData>
    <row r="1" spans="1:14" x14ac:dyDescent="0.25">
      <c r="A1" s="433" t="s">
        <v>0</v>
      </c>
      <c r="B1" s="434"/>
      <c r="C1" s="434"/>
      <c r="D1" s="434"/>
      <c r="E1" s="434"/>
      <c r="F1" s="434"/>
      <c r="G1" s="434"/>
      <c r="H1" s="434"/>
      <c r="I1" s="76"/>
      <c r="J1" s="76"/>
    </row>
    <row r="2" spans="1:14" x14ac:dyDescent="0.25">
      <c r="A2" s="433" t="s">
        <v>261</v>
      </c>
      <c r="B2" s="434"/>
      <c r="C2" s="434"/>
      <c r="D2" s="434"/>
      <c r="E2" s="434"/>
      <c r="F2" s="434"/>
      <c r="G2" s="434"/>
      <c r="H2" s="434"/>
      <c r="I2" s="76"/>
      <c r="J2" s="76"/>
    </row>
    <row r="3" spans="1:14" x14ac:dyDescent="0.25">
      <c r="A3" s="1"/>
      <c r="B3" s="2"/>
      <c r="C3" s="2"/>
      <c r="D3" s="2"/>
      <c r="E3" s="2"/>
      <c r="I3" s="2"/>
      <c r="J3" s="2"/>
    </row>
    <row r="4" spans="1:14" x14ac:dyDescent="0.25">
      <c r="A4" s="2"/>
      <c r="B4" s="2"/>
      <c r="C4" s="2"/>
      <c r="D4" s="117">
        <v>2014</v>
      </c>
      <c r="E4" s="117">
        <v>2015</v>
      </c>
      <c r="F4" s="117">
        <v>2016</v>
      </c>
      <c r="G4" s="117">
        <v>2017</v>
      </c>
      <c r="H4" s="117">
        <v>2018</v>
      </c>
      <c r="I4" s="117"/>
      <c r="J4" s="117"/>
    </row>
    <row r="5" spans="1:14" ht="15" customHeight="1" x14ac:dyDescent="0.25">
      <c r="A5" s="2"/>
      <c r="B5" s="2"/>
      <c r="C5" s="2"/>
      <c r="D5" s="117" t="s">
        <v>2</v>
      </c>
      <c r="E5" s="117" t="s">
        <v>2</v>
      </c>
      <c r="F5" s="117" t="s">
        <v>2</v>
      </c>
      <c r="G5" s="117" t="s">
        <v>2</v>
      </c>
      <c r="H5" s="117" t="s">
        <v>2</v>
      </c>
      <c r="I5" s="117"/>
      <c r="J5" s="117"/>
      <c r="L5" s="123"/>
      <c r="M5" s="123"/>
      <c r="N5" s="123"/>
    </row>
    <row r="6" spans="1:14" x14ac:dyDescent="0.25">
      <c r="A6" s="6" t="s">
        <v>3</v>
      </c>
      <c r="B6" s="2"/>
      <c r="C6" s="2"/>
      <c r="D6" s="2"/>
      <c r="E6" s="2"/>
      <c r="I6" s="2"/>
      <c r="J6" s="2"/>
      <c r="L6" s="123"/>
      <c r="M6" s="123"/>
      <c r="N6" s="123"/>
    </row>
    <row r="7" spans="1:14" x14ac:dyDescent="0.25">
      <c r="A7" s="6" t="s">
        <v>4</v>
      </c>
      <c r="B7" s="2"/>
      <c r="C7" s="2"/>
      <c r="D7" s="2"/>
      <c r="E7" s="2"/>
      <c r="I7" s="2"/>
      <c r="J7" s="2"/>
      <c r="L7" s="57"/>
      <c r="M7" s="57"/>
      <c r="N7" s="57"/>
    </row>
    <row r="8" spans="1:14" x14ac:dyDescent="0.25">
      <c r="A8" s="2"/>
      <c r="B8" s="2" t="s">
        <v>5</v>
      </c>
      <c r="C8" s="2"/>
      <c r="D8" s="69">
        <v>19144.22</v>
      </c>
      <c r="E8" s="69">
        <v>254.36</v>
      </c>
      <c r="F8" s="28">
        <f>+'FLUJO DE CAJA OPTIMISTA'!B29</f>
        <v>35931.500260000015</v>
      </c>
      <c r="G8" s="28">
        <f>+'FLUJO DE CAJA OPTIMISTA'!C29</f>
        <v>125972.65175663996</v>
      </c>
      <c r="H8" s="28">
        <f>+'FLUJO DE CAJA OPTIMISTA'!D29</f>
        <v>275769.34910080337</v>
      </c>
      <c r="I8" s="29"/>
      <c r="J8" s="29"/>
      <c r="L8" s="57"/>
      <c r="M8" s="57"/>
      <c r="N8" s="57"/>
    </row>
    <row r="9" spans="1:14" x14ac:dyDescent="0.25">
      <c r="A9" s="2"/>
      <c r="B9" s="2"/>
      <c r="C9" s="2"/>
      <c r="D9" s="8"/>
      <c r="E9" s="8"/>
      <c r="F9" s="27"/>
      <c r="G9" s="27"/>
      <c r="H9" s="27"/>
      <c r="I9" s="29"/>
      <c r="J9" s="29"/>
    </row>
    <row r="10" spans="1:14" x14ac:dyDescent="0.25">
      <c r="A10" s="2"/>
      <c r="B10" s="6" t="s">
        <v>6</v>
      </c>
      <c r="C10" s="2"/>
      <c r="D10" s="8">
        <f>+D8</f>
        <v>19144.22</v>
      </c>
      <c r="E10" s="8">
        <f>+E8</f>
        <v>254.36</v>
      </c>
      <c r="F10" s="27">
        <f>+F8</f>
        <v>35931.500260000015</v>
      </c>
      <c r="G10" s="27">
        <f t="shared" ref="G10:H10" si="0">+G8</f>
        <v>125972.65175663996</v>
      </c>
      <c r="H10" s="27">
        <f t="shared" si="0"/>
        <v>275769.34910080337</v>
      </c>
      <c r="I10" s="29"/>
      <c r="J10" s="29"/>
    </row>
    <row r="11" spans="1:14" x14ac:dyDescent="0.25">
      <c r="A11" s="2"/>
      <c r="B11" s="2"/>
      <c r="C11" s="2"/>
      <c r="D11" s="8"/>
      <c r="E11" s="8"/>
      <c r="F11" s="27"/>
      <c r="G11" s="27"/>
      <c r="H11" s="27"/>
      <c r="I11" s="29"/>
      <c r="J11" s="29"/>
    </row>
    <row r="12" spans="1:14" x14ac:dyDescent="0.25">
      <c r="A12" s="2"/>
      <c r="B12" s="2" t="s">
        <v>7</v>
      </c>
      <c r="C12" s="2"/>
      <c r="D12" s="8">
        <f>D13-D14</f>
        <v>295525.5</v>
      </c>
      <c r="E12" s="8">
        <f>+E13-E14</f>
        <v>250649.93</v>
      </c>
      <c r="F12" s="8">
        <f t="shared" ref="F12:H12" si="1">+F13-F14</f>
        <v>250649.93</v>
      </c>
      <c r="G12" s="8">
        <f t="shared" si="1"/>
        <v>250649.93</v>
      </c>
      <c r="H12" s="8">
        <f t="shared" si="1"/>
        <v>250649.93</v>
      </c>
      <c r="I12" s="29"/>
      <c r="J12" s="29"/>
    </row>
    <row r="13" spans="1:14" x14ac:dyDescent="0.25">
      <c r="A13" s="2"/>
      <c r="B13" s="2" t="s">
        <v>8</v>
      </c>
      <c r="C13" s="2"/>
      <c r="D13" s="8">
        <v>296047.21999999997</v>
      </c>
      <c r="E13" s="8">
        <v>252838.38</v>
      </c>
      <c r="F13" s="27">
        <f>+E13</f>
        <v>252838.38</v>
      </c>
      <c r="G13" s="27">
        <f t="shared" ref="G13:H13" si="2">+F13</f>
        <v>252838.38</v>
      </c>
      <c r="H13" s="27">
        <f t="shared" si="2"/>
        <v>252838.38</v>
      </c>
      <c r="I13" s="29"/>
      <c r="J13" s="29"/>
    </row>
    <row r="14" spans="1:14" x14ac:dyDescent="0.25">
      <c r="A14" s="2"/>
      <c r="B14" s="2" t="s">
        <v>9</v>
      </c>
      <c r="C14" s="2"/>
      <c r="D14" s="8">
        <v>521.72</v>
      </c>
      <c r="E14" s="8">
        <v>2188.4499999999998</v>
      </c>
      <c r="F14" s="27">
        <f>+E14</f>
        <v>2188.4499999999998</v>
      </c>
      <c r="G14" s="27">
        <f>+F14</f>
        <v>2188.4499999999998</v>
      </c>
      <c r="H14" s="27">
        <f>+G14</f>
        <v>2188.4499999999998</v>
      </c>
      <c r="I14" s="29"/>
      <c r="J14" s="29"/>
    </row>
    <row r="15" spans="1:14" x14ac:dyDescent="0.25">
      <c r="A15" s="2"/>
      <c r="B15" s="2" t="s">
        <v>10</v>
      </c>
      <c r="C15" s="2"/>
      <c r="D15" s="8">
        <v>53758.11</v>
      </c>
      <c r="E15" s="8">
        <v>18994.91</v>
      </c>
      <c r="F15" s="27">
        <f>+E15</f>
        <v>18994.91</v>
      </c>
      <c r="G15" s="27">
        <f t="shared" ref="G15:H16" si="3">+F15</f>
        <v>18994.91</v>
      </c>
      <c r="H15" s="27">
        <f t="shared" si="3"/>
        <v>18994.91</v>
      </c>
      <c r="I15" s="29"/>
      <c r="J15" s="29"/>
    </row>
    <row r="16" spans="1:14" x14ac:dyDescent="0.25">
      <c r="A16" s="2"/>
      <c r="B16" s="2" t="s">
        <v>11</v>
      </c>
      <c r="C16" s="2"/>
      <c r="D16" s="8">
        <v>18887.48</v>
      </c>
      <c r="E16" s="8">
        <v>9540.5300000000007</v>
      </c>
      <c r="F16" s="27">
        <f>+E16</f>
        <v>9540.5300000000007</v>
      </c>
      <c r="G16" s="27">
        <f t="shared" si="3"/>
        <v>9540.5300000000007</v>
      </c>
      <c r="H16" s="27">
        <f t="shared" si="3"/>
        <v>9540.5300000000007</v>
      </c>
      <c r="I16" s="29"/>
      <c r="J16" s="29"/>
    </row>
    <row r="17" spans="1:11" x14ac:dyDescent="0.25">
      <c r="A17" s="2"/>
      <c r="B17" s="2" t="s">
        <v>12</v>
      </c>
      <c r="C17" s="2"/>
      <c r="D17" s="8">
        <v>1898.43</v>
      </c>
      <c r="E17" s="8">
        <v>0</v>
      </c>
      <c r="F17" s="27">
        <v>0</v>
      </c>
      <c r="G17" s="27">
        <v>0</v>
      </c>
      <c r="H17" s="27">
        <v>0</v>
      </c>
      <c r="I17" s="29"/>
      <c r="J17" s="29"/>
    </row>
    <row r="18" spans="1:11" x14ac:dyDescent="0.25">
      <c r="A18" s="2"/>
      <c r="B18" s="2" t="s">
        <v>13</v>
      </c>
      <c r="C18" s="2"/>
      <c r="D18" s="69">
        <v>48536.12</v>
      </c>
      <c r="E18" s="69">
        <v>99158.22</v>
      </c>
      <c r="F18" s="28">
        <f>+E18</f>
        <v>99158.22</v>
      </c>
      <c r="G18" s="28">
        <f t="shared" ref="G18:H18" si="4">+F18</f>
        <v>99158.22</v>
      </c>
      <c r="H18" s="28">
        <f t="shared" si="4"/>
        <v>99158.22</v>
      </c>
      <c r="I18" s="29"/>
      <c r="J18" s="29"/>
    </row>
    <row r="19" spans="1:11" x14ac:dyDescent="0.25">
      <c r="A19" s="2"/>
      <c r="B19" s="2"/>
      <c r="C19" s="2"/>
      <c r="D19" s="8"/>
      <c r="E19" s="8"/>
      <c r="F19" s="27"/>
      <c r="G19" s="27"/>
      <c r="H19" s="27"/>
      <c r="I19" s="29"/>
      <c r="J19" s="29"/>
    </row>
    <row r="20" spans="1:11" x14ac:dyDescent="0.25">
      <c r="A20" s="2"/>
      <c r="B20" s="6" t="s">
        <v>14</v>
      </c>
      <c r="C20" s="2"/>
      <c r="D20" s="8">
        <f>SUM(D15:D18)+D12+D10</f>
        <v>437749.86</v>
      </c>
      <c r="E20" s="8">
        <f>SUM(E15:E18)+E12+E10</f>
        <v>378597.94999999995</v>
      </c>
      <c r="F20" s="8">
        <f t="shared" ref="F20:H20" si="5">SUM(F15:F18)+F12+F10</f>
        <v>414275.09025999997</v>
      </c>
      <c r="G20" s="8">
        <f>SUM(G15:G18)+G12+G10</f>
        <v>504316.24175663991</v>
      </c>
      <c r="H20" s="8">
        <f t="shared" si="5"/>
        <v>654112.93910080334</v>
      </c>
      <c r="I20" s="29"/>
      <c r="J20" s="29"/>
    </row>
    <row r="21" spans="1:11" x14ac:dyDescent="0.25">
      <c r="A21" s="2"/>
      <c r="B21" s="2"/>
      <c r="C21" s="2"/>
      <c r="D21" s="8"/>
      <c r="E21" s="8"/>
      <c r="F21" s="27"/>
      <c r="G21" s="27"/>
      <c r="H21" s="27"/>
      <c r="I21" s="29"/>
      <c r="J21" s="29"/>
    </row>
    <row r="22" spans="1:11" x14ac:dyDescent="0.25">
      <c r="A22" s="6" t="s">
        <v>15</v>
      </c>
      <c r="B22" s="2"/>
      <c r="C22" s="2"/>
      <c r="D22" s="8"/>
      <c r="E22" s="8"/>
      <c r="F22" s="27"/>
      <c r="G22" s="27"/>
      <c r="H22" s="27"/>
      <c r="I22" s="29"/>
      <c r="J22" s="29"/>
    </row>
    <row r="23" spans="1:11" x14ac:dyDescent="0.25">
      <c r="A23" s="6"/>
      <c r="B23" s="2" t="s">
        <v>16</v>
      </c>
      <c r="C23" s="2"/>
      <c r="D23" s="8">
        <f>+D24-D25</f>
        <v>120314.20999999999</v>
      </c>
      <c r="E23" s="8">
        <f>E24-E25</f>
        <v>102983.20999999999</v>
      </c>
      <c r="F23" s="27">
        <f>+F24-F25</f>
        <v>85652.209999999963</v>
      </c>
      <c r="G23" s="27">
        <f t="shared" ref="G23:H23" si="6">+G24-G25</f>
        <v>68321.209999999963</v>
      </c>
      <c r="H23" s="27">
        <f t="shared" si="6"/>
        <v>50990.209999999963</v>
      </c>
      <c r="I23" s="29"/>
      <c r="J23" s="29"/>
    </row>
    <row r="24" spans="1:11" x14ac:dyDescent="0.25">
      <c r="A24" s="2"/>
      <c r="B24" s="2" t="s">
        <v>17</v>
      </c>
      <c r="C24" s="2"/>
      <c r="D24" s="8">
        <v>360907.48</v>
      </c>
      <c r="E24" s="8">
        <v>360907.48</v>
      </c>
      <c r="F24" s="8">
        <f>+E24</f>
        <v>360907.48</v>
      </c>
      <c r="G24" s="8">
        <f t="shared" ref="G24:H24" si="7">+F24</f>
        <v>360907.48</v>
      </c>
      <c r="H24" s="8">
        <f t="shared" si="7"/>
        <v>360907.48</v>
      </c>
      <c r="I24" s="29"/>
      <c r="J24" s="29"/>
    </row>
    <row r="25" spans="1:11" x14ac:dyDescent="0.25">
      <c r="A25" s="2"/>
      <c r="B25" s="2" t="s">
        <v>18</v>
      </c>
      <c r="C25" s="2"/>
      <c r="D25" s="69">
        <v>240593.27</v>
      </c>
      <c r="E25" s="69">
        <v>257924.27</v>
      </c>
      <c r="F25" s="28">
        <f>+E25+'ER OPTIMISTA'!G28</f>
        <v>275255.27</v>
      </c>
      <c r="G25" s="28">
        <f>+F25+'ER OPTIMISTA'!H28</f>
        <v>292586.27</v>
      </c>
      <c r="H25" s="28">
        <f>+G25+'ER OPTIMISTA'!I28</f>
        <v>309917.27</v>
      </c>
      <c r="I25" s="29"/>
      <c r="J25" s="29"/>
      <c r="K25" s="29"/>
    </row>
    <row r="26" spans="1:11" x14ac:dyDescent="0.25">
      <c r="A26" s="2"/>
      <c r="B26" s="2"/>
      <c r="C26" s="2"/>
      <c r="D26" s="8"/>
      <c r="E26" s="8"/>
      <c r="F26" s="27"/>
      <c r="G26" s="27"/>
      <c r="H26" s="27"/>
      <c r="I26" s="29"/>
      <c r="J26" s="29"/>
    </row>
    <row r="27" spans="1:11" x14ac:dyDescent="0.25">
      <c r="A27" s="2"/>
      <c r="B27" s="6" t="s">
        <v>19</v>
      </c>
      <c r="C27" s="2"/>
      <c r="D27" s="8">
        <f>D23</f>
        <v>120314.20999999999</v>
      </c>
      <c r="E27" s="8">
        <f>+E23</f>
        <v>102983.20999999999</v>
      </c>
      <c r="F27" s="27">
        <f>+F23</f>
        <v>85652.209999999963</v>
      </c>
      <c r="G27" s="27">
        <f t="shared" ref="G27:H27" si="8">+G23</f>
        <v>68321.209999999963</v>
      </c>
      <c r="H27" s="27">
        <f t="shared" si="8"/>
        <v>50990.209999999963</v>
      </c>
      <c r="I27" s="29"/>
      <c r="J27" s="29"/>
    </row>
    <row r="28" spans="1:11" x14ac:dyDescent="0.25">
      <c r="A28" s="2"/>
      <c r="B28" s="2"/>
      <c r="C28" s="2"/>
      <c r="D28" s="8"/>
      <c r="E28" s="8"/>
      <c r="F28" s="27"/>
      <c r="G28" s="27"/>
      <c r="H28" s="27"/>
      <c r="I28" s="29"/>
      <c r="J28" s="29"/>
    </row>
    <row r="29" spans="1:11" ht="15.75" thickBot="1" x14ac:dyDescent="0.3">
      <c r="A29" s="2"/>
      <c r="B29" s="6" t="s">
        <v>20</v>
      </c>
      <c r="C29" s="2"/>
      <c r="D29" s="71">
        <f>+D27+D20</f>
        <v>558064.06999999995</v>
      </c>
      <c r="E29" s="71">
        <f t="shared" ref="E29" si="9">+E27+E20</f>
        <v>481581.15999999992</v>
      </c>
      <c r="F29" s="9">
        <f>+F20+F27</f>
        <v>499927.30025999993</v>
      </c>
      <c r="G29" s="9">
        <f t="shared" ref="G29:H29" si="10">+G20+G27</f>
        <v>572637.45175663987</v>
      </c>
      <c r="H29" s="9">
        <f t="shared" si="10"/>
        <v>705103.1491008033</v>
      </c>
      <c r="I29" s="5"/>
      <c r="J29" s="5"/>
    </row>
    <row r="30" spans="1:11" ht="15.75" thickTop="1" x14ac:dyDescent="0.25">
      <c r="A30" s="2"/>
      <c r="B30" s="2"/>
      <c r="C30" s="2"/>
      <c r="D30" s="8"/>
      <c r="E30" s="8"/>
      <c r="F30" s="27"/>
      <c r="G30" s="27"/>
      <c r="H30" s="27"/>
      <c r="I30" s="29"/>
      <c r="J30" s="29"/>
    </row>
    <row r="31" spans="1:11" x14ac:dyDescent="0.25">
      <c r="A31" s="6" t="s">
        <v>21</v>
      </c>
      <c r="B31" s="2"/>
      <c r="C31" s="2"/>
      <c r="D31" s="8"/>
      <c r="E31" s="8"/>
      <c r="F31" s="27"/>
      <c r="G31" s="27"/>
      <c r="H31" s="27"/>
      <c r="I31" s="29"/>
      <c r="J31" s="29"/>
    </row>
    <row r="32" spans="1:11" x14ac:dyDescent="0.25">
      <c r="A32" s="6" t="s">
        <v>22</v>
      </c>
      <c r="B32" s="2"/>
      <c r="C32" s="2"/>
      <c r="D32" s="8"/>
      <c r="E32" s="8"/>
      <c r="F32" s="27"/>
      <c r="G32" s="27"/>
      <c r="H32" s="27"/>
      <c r="I32" s="29"/>
      <c r="J32" s="29"/>
    </row>
    <row r="33" spans="1:11" x14ac:dyDescent="0.25">
      <c r="A33" s="2"/>
      <c r="B33" s="2" t="s">
        <v>23</v>
      </c>
      <c r="C33" s="2"/>
      <c r="D33" s="8">
        <v>11469.47</v>
      </c>
      <c r="E33" s="8">
        <v>5783.8</v>
      </c>
      <c r="F33" s="8">
        <v>5783.8</v>
      </c>
      <c r="G33" s="8">
        <v>5783.8</v>
      </c>
      <c r="H33" s="8">
        <v>5783.8</v>
      </c>
      <c r="I33" s="29"/>
      <c r="J33" s="29"/>
    </row>
    <row r="34" spans="1:11" x14ac:dyDescent="0.25">
      <c r="A34" s="2"/>
      <c r="B34" s="2" t="s">
        <v>198</v>
      </c>
      <c r="C34" s="2"/>
      <c r="D34" s="8">
        <f>+'ER ESPERADO'!E46</f>
        <v>6716.1599999999844</v>
      </c>
      <c r="E34" s="8">
        <f>+'ER OPTIMISTA'!F46</f>
        <v>2088.904499999981</v>
      </c>
      <c r="F34" s="8">
        <f>+'ER OPTIMISTA'!G46</f>
        <v>3642.0794055000265</v>
      </c>
      <c r="G34" s="8">
        <f>+'ER OPTIMISTA'!H46</f>
        <v>12325.128367999498</v>
      </c>
      <c r="H34" s="8">
        <f>+'ER OPTIMISTA'!I46</f>
        <v>24219.810817354344</v>
      </c>
      <c r="I34" s="29"/>
      <c r="J34" s="29"/>
    </row>
    <row r="35" spans="1:11" x14ac:dyDescent="0.25">
      <c r="A35" s="2"/>
      <c r="B35" s="2" t="s">
        <v>24</v>
      </c>
      <c r="C35" s="2"/>
      <c r="D35" s="8">
        <v>8755.6299999999992</v>
      </c>
      <c r="E35" s="8">
        <v>3845.48</v>
      </c>
      <c r="F35" s="27">
        <f>+'ER OPTIMISTA'!G54</f>
        <v>5815.2915511900337</v>
      </c>
      <c r="G35" s="27">
        <f>+'ER OPTIMISTA'!H54</f>
        <v>16674.579736865711</v>
      </c>
      <c r="H35" s="27">
        <f>+'ER OPTIMISTA'!I54</f>
        <v>31538.633689089933</v>
      </c>
      <c r="I35" s="29"/>
      <c r="J35" s="29"/>
    </row>
    <row r="36" spans="1:11" x14ac:dyDescent="0.25">
      <c r="A36" s="2"/>
      <c r="B36" s="2" t="s">
        <v>25</v>
      </c>
      <c r="C36" s="2"/>
      <c r="D36" s="8">
        <v>3493.69</v>
      </c>
      <c r="E36" s="8">
        <v>0</v>
      </c>
      <c r="F36" s="8">
        <v>0</v>
      </c>
      <c r="G36" s="8">
        <v>0</v>
      </c>
      <c r="H36" s="8">
        <v>0</v>
      </c>
      <c r="I36" s="29"/>
      <c r="J36" s="29">
        <f>+G36-F36</f>
        <v>0</v>
      </c>
    </row>
    <row r="37" spans="1:11" x14ac:dyDescent="0.25">
      <c r="A37" s="2"/>
      <c r="B37" s="2" t="s">
        <v>26</v>
      </c>
      <c r="C37" s="2"/>
      <c r="D37" s="8">
        <v>278063.88</v>
      </c>
      <c r="E37" s="8">
        <v>118342.91</v>
      </c>
      <c r="F37" s="27">
        <f>+E37</f>
        <v>118342.91</v>
      </c>
      <c r="G37" s="27">
        <f t="shared" ref="G37:H38" si="11">+F37</f>
        <v>118342.91</v>
      </c>
      <c r="H37" s="27">
        <f t="shared" si="11"/>
        <v>118342.91</v>
      </c>
      <c r="I37" s="29"/>
      <c r="J37" s="29"/>
      <c r="K37" s="24"/>
    </row>
    <row r="38" spans="1:11" x14ac:dyDescent="0.25">
      <c r="A38" s="2"/>
      <c r="B38" s="2" t="s">
        <v>27</v>
      </c>
      <c r="C38" s="2"/>
      <c r="D38" s="8">
        <v>521.59</v>
      </c>
      <c r="E38" s="8">
        <v>840.01</v>
      </c>
      <c r="F38" s="8">
        <f>+E38</f>
        <v>840.01</v>
      </c>
      <c r="G38" s="8">
        <f t="shared" si="11"/>
        <v>840.01</v>
      </c>
      <c r="H38" s="8">
        <f t="shared" si="11"/>
        <v>840.01</v>
      </c>
      <c r="I38" s="29"/>
      <c r="J38" s="29"/>
    </row>
    <row r="39" spans="1:11" x14ac:dyDescent="0.25">
      <c r="A39" s="2"/>
      <c r="B39" s="2" t="s">
        <v>28</v>
      </c>
      <c r="C39" s="2"/>
      <c r="D39" s="8">
        <v>71412.73</v>
      </c>
      <c r="E39" s="8">
        <v>98264.34</v>
      </c>
      <c r="F39" s="8">
        <v>98264.34</v>
      </c>
      <c r="G39" s="8">
        <v>98264.34</v>
      </c>
      <c r="H39" s="8">
        <v>98264.34</v>
      </c>
      <c r="I39" s="29"/>
      <c r="J39" s="29"/>
    </row>
    <row r="40" spans="1:11" x14ac:dyDescent="0.25">
      <c r="A40" s="2"/>
      <c r="B40" s="2" t="s">
        <v>29</v>
      </c>
      <c r="C40" s="2"/>
      <c r="D40" s="69">
        <v>1467.95</v>
      </c>
      <c r="E40" s="69">
        <v>8807.2199999999993</v>
      </c>
      <c r="F40" s="69">
        <v>8807.2199999999993</v>
      </c>
      <c r="G40" s="69">
        <v>8807.2199999999993</v>
      </c>
      <c r="H40" s="69">
        <v>8807.2199999999993</v>
      </c>
      <c r="I40" s="29"/>
      <c r="J40" s="29"/>
    </row>
    <row r="41" spans="1:11" x14ac:dyDescent="0.25">
      <c r="A41" s="2"/>
      <c r="B41" s="2"/>
      <c r="C41" s="2"/>
      <c r="D41" s="8"/>
      <c r="E41" s="8"/>
      <c r="F41" s="27"/>
      <c r="G41" s="27"/>
      <c r="H41" s="27"/>
      <c r="I41" s="29"/>
      <c r="J41" s="29"/>
    </row>
    <row r="42" spans="1:11" x14ac:dyDescent="0.25">
      <c r="A42" s="2"/>
      <c r="B42" s="6" t="s">
        <v>30</v>
      </c>
      <c r="C42" s="2"/>
      <c r="D42" s="8">
        <f>SUM(D33:D41)</f>
        <v>381901.1</v>
      </c>
      <c r="E42" s="8">
        <f>SUM(E33:E41)</f>
        <v>237972.66449999998</v>
      </c>
      <c r="F42" s="27">
        <f>+F33+F34+F35+F36+F37+F38+F39+F40</f>
        <v>241495.65095669008</v>
      </c>
      <c r="G42" s="27">
        <f t="shared" ref="G42" si="12">+G33+G34+G35+G36+G37+G38+G39+G40</f>
        <v>261037.98810486522</v>
      </c>
      <c r="H42" s="27">
        <f>+H33+H34+H35+H36+H37+H38+H39+H40</f>
        <v>287796.7245064443</v>
      </c>
      <c r="I42" s="29"/>
      <c r="J42" s="29"/>
    </row>
    <row r="43" spans="1:11" x14ac:dyDescent="0.25">
      <c r="A43" s="2"/>
      <c r="B43" s="2"/>
      <c r="C43" s="2"/>
      <c r="D43" s="8"/>
      <c r="E43" s="8"/>
      <c r="F43" s="27"/>
      <c r="G43" s="27"/>
      <c r="H43" s="27"/>
      <c r="I43" s="29"/>
      <c r="J43" s="29"/>
    </row>
    <row r="44" spans="1:11" x14ac:dyDescent="0.25">
      <c r="A44" s="6" t="s">
        <v>31</v>
      </c>
      <c r="B44" s="2"/>
      <c r="C44" s="2"/>
      <c r="D44" s="8"/>
      <c r="E44" s="8"/>
      <c r="F44" s="27"/>
      <c r="G44" s="27"/>
      <c r="H44" s="27"/>
      <c r="I44" s="29"/>
      <c r="J44" s="29"/>
    </row>
    <row r="45" spans="1:11" x14ac:dyDescent="0.25">
      <c r="A45" s="2"/>
      <c r="B45" s="2" t="s">
        <v>23</v>
      </c>
      <c r="C45" s="2"/>
      <c r="D45" s="8">
        <v>6370.82</v>
      </c>
      <c r="E45" s="8">
        <v>9009.4500000000007</v>
      </c>
      <c r="F45" s="8">
        <v>9009.4500000000007</v>
      </c>
      <c r="G45" s="8">
        <v>9009.4500000000007</v>
      </c>
      <c r="H45" s="8">
        <v>9009.4500000000007</v>
      </c>
      <c r="I45" s="29"/>
      <c r="J45" s="29"/>
    </row>
    <row r="46" spans="1:11" x14ac:dyDescent="0.25">
      <c r="A46" s="2"/>
      <c r="B46" s="2" t="s">
        <v>25</v>
      </c>
      <c r="C46" s="2"/>
      <c r="D46" s="8"/>
      <c r="E46" s="8"/>
      <c r="F46" s="8"/>
      <c r="G46" s="8"/>
      <c r="H46" s="8"/>
      <c r="I46" s="29"/>
      <c r="J46" s="29"/>
    </row>
    <row r="47" spans="1:11" x14ac:dyDescent="0.25">
      <c r="A47" s="2"/>
      <c r="B47" s="2" t="s">
        <v>32</v>
      </c>
      <c r="C47" s="2"/>
      <c r="D47" s="69">
        <v>0</v>
      </c>
      <c r="E47" s="69">
        <v>56580</v>
      </c>
      <c r="F47" s="69">
        <v>56580</v>
      </c>
      <c r="G47" s="69">
        <v>56580</v>
      </c>
      <c r="H47" s="69">
        <v>56580</v>
      </c>
      <c r="I47" s="29"/>
      <c r="J47" s="29"/>
    </row>
    <row r="48" spans="1:11" x14ac:dyDescent="0.25">
      <c r="A48" s="2"/>
      <c r="B48" s="2"/>
      <c r="C48" s="2"/>
      <c r="D48" s="8"/>
      <c r="E48" s="8"/>
      <c r="F48" s="27"/>
      <c r="G48" s="27"/>
      <c r="H48" s="27"/>
      <c r="I48" s="29"/>
      <c r="J48" s="29"/>
    </row>
    <row r="49" spans="1:11" x14ac:dyDescent="0.25">
      <c r="A49" s="2"/>
      <c r="B49" s="6" t="s">
        <v>33</v>
      </c>
      <c r="C49" s="2"/>
      <c r="D49" s="8">
        <f>SUM(D45:D48)</f>
        <v>6370.82</v>
      </c>
      <c r="E49" s="8">
        <f t="shared" ref="E49:H49" si="13">SUM(E45:E48)</f>
        <v>65589.45</v>
      </c>
      <c r="F49" s="8">
        <f>SUM(F45:F48)</f>
        <v>65589.45</v>
      </c>
      <c r="G49" s="8">
        <f t="shared" si="13"/>
        <v>65589.45</v>
      </c>
      <c r="H49" s="8">
        <f t="shared" si="13"/>
        <v>65589.45</v>
      </c>
      <c r="I49" s="29"/>
      <c r="J49" s="29"/>
    </row>
    <row r="50" spans="1:11" x14ac:dyDescent="0.25">
      <c r="A50" s="2"/>
      <c r="B50" s="2"/>
      <c r="C50" s="2"/>
      <c r="D50" s="8"/>
      <c r="E50" s="8"/>
      <c r="F50" s="27"/>
      <c r="G50" s="27"/>
      <c r="H50" s="27"/>
      <c r="I50" s="29"/>
      <c r="J50" s="29"/>
    </row>
    <row r="51" spans="1:11" ht="15.75" thickBot="1" x14ac:dyDescent="0.3">
      <c r="A51" s="2"/>
      <c r="B51" s="6" t="s">
        <v>34</v>
      </c>
      <c r="C51" s="2"/>
      <c r="D51" s="71">
        <f>+D49+D42</f>
        <v>388271.92</v>
      </c>
      <c r="E51" s="71">
        <f t="shared" ref="E51:H51" si="14">+E49+E42</f>
        <v>303562.11449999997</v>
      </c>
      <c r="F51" s="71">
        <f>+F49+F42</f>
        <v>307085.10095669009</v>
      </c>
      <c r="G51" s="71">
        <f>+G49+G42</f>
        <v>326627.4381048652</v>
      </c>
      <c r="H51" s="71">
        <f t="shared" si="14"/>
        <v>353386.17450644431</v>
      </c>
      <c r="I51" s="29"/>
      <c r="J51" s="29"/>
    </row>
    <row r="52" spans="1:11" ht="15.75" thickTop="1" x14ac:dyDescent="0.25">
      <c r="A52" s="2"/>
      <c r="B52" s="2"/>
      <c r="C52" s="2"/>
      <c r="D52" s="8"/>
      <c r="E52" s="8"/>
      <c r="F52" s="27"/>
      <c r="G52" s="27"/>
      <c r="H52" s="27"/>
      <c r="I52" s="29"/>
      <c r="J52" s="29"/>
    </row>
    <row r="53" spans="1:11" x14ac:dyDescent="0.25">
      <c r="A53" s="6" t="s">
        <v>35</v>
      </c>
      <c r="B53" s="2"/>
      <c r="C53" s="2"/>
      <c r="D53" s="8"/>
      <c r="E53" s="8"/>
      <c r="F53" s="27"/>
      <c r="G53" s="27"/>
      <c r="H53" s="27"/>
      <c r="I53" s="29"/>
      <c r="J53" s="29"/>
    </row>
    <row r="54" spans="1:11" x14ac:dyDescent="0.25">
      <c r="A54" s="2"/>
      <c r="B54" s="2" t="s">
        <v>36</v>
      </c>
      <c r="C54" s="2"/>
      <c r="D54" s="8">
        <v>6630</v>
      </c>
      <c r="E54" s="8">
        <v>25630</v>
      </c>
      <c r="F54" s="8">
        <v>25630</v>
      </c>
      <c r="G54" s="8">
        <v>25630</v>
      </c>
      <c r="H54" s="8">
        <v>25630</v>
      </c>
      <c r="I54" s="29"/>
      <c r="J54" s="29"/>
      <c r="K54" s="24"/>
    </row>
    <row r="55" spans="1:11" x14ac:dyDescent="0.25">
      <c r="A55" s="2"/>
      <c r="B55" s="2" t="s">
        <v>37</v>
      </c>
      <c r="C55" s="2"/>
      <c r="D55" s="8">
        <v>680.21</v>
      </c>
      <c r="E55" s="8">
        <v>680.21</v>
      </c>
      <c r="F55" s="8">
        <v>680.21</v>
      </c>
      <c r="G55" s="8">
        <v>680.21</v>
      </c>
      <c r="H55" s="8">
        <v>680.21</v>
      </c>
      <c r="I55" s="29"/>
      <c r="J55" s="29"/>
    </row>
    <row r="56" spans="1:11" x14ac:dyDescent="0.25">
      <c r="A56" s="2"/>
      <c r="B56" s="2" t="s">
        <v>38</v>
      </c>
      <c r="C56" s="2"/>
      <c r="D56" s="8">
        <v>34951.760000000002</v>
      </c>
      <c r="E56" s="8">
        <v>34951.760000000002</v>
      </c>
      <c r="F56" s="8">
        <v>34951.760000000002</v>
      </c>
      <c r="G56" s="8">
        <v>34951.760000000002</v>
      </c>
      <c r="H56" s="8">
        <v>34951.760000000002</v>
      </c>
      <c r="I56" s="29"/>
      <c r="J56" s="29"/>
    </row>
    <row r="57" spans="1:11" x14ac:dyDescent="0.25">
      <c r="A57" s="2"/>
      <c r="B57" s="2" t="s">
        <v>39</v>
      </c>
      <c r="C57" s="2"/>
      <c r="D57" s="8">
        <v>104943.74</v>
      </c>
      <c r="E57" s="8">
        <v>108765.43</v>
      </c>
      <c r="F57" s="27">
        <f>+E57+E58</f>
        <v>116757.07088999992</v>
      </c>
      <c r="G57" s="27">
        <f>+F57+F58</f>
        <v>131580.22930331004</v>
      </c>
      <c r="H57" s="27">
        <f t="shared" ref="H57" si="15">+G57+G58</f>
        <v>184748.04365177482</v>
      </c>
      <c r="I57" s="29"/>
      <c r="J57" s="29"/>
    </row>
    <row r="58" spans="1:11" x14ac:dyDescent="0.25">
      <c r="A58" s="2"/>
      <c r="B58" s="2" t="s">
        <v>40</v>
      </c>
      <c r="C58" s="2"/>
      <c r="D58" s="69">
        <f>'ER ESPERADO'!E56</f>
        <v>29302.598599999936</v>
      </c>
      <c r="E58" s="69">
        <f>'ER ESPERADO'!F56</f>
        <v>7991.6408899999178</v>
      </c>
      <c r="F58" s="69">
        <f>'ER OPTIMISTA'!G56</f>
        <v>14823.158413310119</v>
      </c>
      <c r="G58" s="69">
        <f>'ER OPTIMISTA'!H56</f>
        <v>53167.814348464788</v>
      </c>
      <c r="H58" s="69">
        <f>'ER OPTIMISTA'!I56</f>
        <v>105706.9609425847</v>
      </c>
      <c r="I58" s="29"/>
      <c r="J58" s="29"/>
    </row>
    <row r="59" spans="1:11" x14ac:dyDescent="0.25">
      <c r="A59" s="2"/>
      <c r="B59" s="2"/>
      <c r="C59" s="2"/>
      <c r="D59" s="8"/>
      <c r="E59" s="5"/>
      <c r="F59" s="27"/>
      <c r="G59" s="27"/>
      <c r="H59" s="27"/>
      <c r="I59" s="29"/>
      <c r="J59" s="29"/>
    </row>
    <row r="60" spans="1:11" ht="15.75" thickBot="1" x14ac:dyDescent="0.3">
      <c r="A60" s="2"/>
      <c r="B60" s="6" t="s">
        <v>41</v>
      </c>
      <c r="C60" s="2"/>
      <c r="D60" s="71">
        <f>SUM(D54:D59)</f>
        <v>176508.30859999996</v>
      </c>
      <c r="E60" s="9">
        <f>SUM(E54:E59)</f>
        <v>178019.04088999992</v>
      </c>
      <c r="F60" s="9">
        <f>+F54+F55+F56+F57+F58</f>
        <v>192842.19930331004</v>
      </c>
      <c r="G60" s="9">
        <f>+G54+G55+G56+G57+G58</f>
        <v>246010.01365177485</v>
      </c>
      <c r="H60" s="9">
        <f t="shared" ref="H60" si="16">+H54+H55+H56+H57+H58</f>
        <v>351716.97459435952</v>
      </c>
      <c r="I60" s="5"/>
      <c r="J60" s="5"/>
    </row>
    <row r="61" spans="1:11" ht="15.75" thickTop="1" x14ac:dyDescent="0.25">
      <c r="A61" s="2"/>
      <c r="B61" s="2"/>
      <c r="C61" s="2"/>
      <c r="D61" s="8"/>
      <c r="E61" s="5"/>
      <c r="F61" s="27"/>
      <c r="G61" s="27"/>
      <c r="H61" s="27"/>
      <c r="I61" s="29"/>
      <c r="J61" s="29"/>
    </row>
    <row r="62" spans="1:11" ht="15.75" thickBot="1" x14ac:dyDescent="0.3">
      <c r="A62" s="2"/>
      <c r="B62" s="6" t="s">
        <v>42</v>
      </c>
      <c r="C62" s="2"/>
      <c r="D62" s="71">
        <f>+D60+D51</f>
        <v>564780.22859999991</v>
      </c>
      <c r="E62" s="9">
        <f>E60+E51</f>
        <v>481581.15538999985</v>
      </c>
      <c r="F62" s="9">
        <f>+F60+F51</f>
        <v>499927.30026000016</v>
      </c>
      <c r="G62" s="9">
        <f>+G60+G51</f>
        <v>572637.4517566401</v>
      </c>
      <c r="H62" s="9">
        <f t="shared" ref="H62" si="17">+H60+H51</f>
        <v>705103.14910080377</v>
      </c>
      <c r="I62" s="5"/>
      <c r="J62" s="5"/>
    </row>
    <row r="63" spans="1:11" ht="15.75" thickTop="1" x14ac:dyDescent="0.25">
      <c r="F63" s="27"/>
      <c r="G63" s="27"/>
      <c r="H63" s="27"/>
      <c r="I63" s="27"/>
      <c r="J63" s="27"/>
    </row>
    <row r="65" spans="4:8" x14ac:dyDescent="0.25">
      <c r="E65" s="27"/>
    </row>
    <row r="66" spans="4:8" x14ac:dyDescent="0.25">
      <c r="D66" s="143" t="s">
        <v>234</v>
      </c>
      <c r="F66" s="144">
        <f>+F29-F62</f>
        <v>0</v>
      </c>
      <c r="G66" s="144">
        <f t="shared" ref="G66:H66" si="18">+G29-G62</f>
        <v>0</v>
      </c>
      <c r="H66" s="144">
        <f t="shared" si="18"/>
        <v>0</v>
      </c>
    </row>
    <row r="67" spans="4:8" x14ac:dyDescent="0.25">
      <c r="D67" s="143" t="s">
        <v>235</v>
      </c>
      <c r="F67" s="27"/>
      <c r="G67" s="27"/>
      <c r="H67" s="27"/>
    </row>
    <row r="68" spans="4:8" x14ac:dyDescent="0.25">
      <c r="F68" s="435" t="str">
        <f>IF(F66=0, "Resultado Ok", "La equivalencia Contable no se cumple")</f>
        <v>Resultado Ok</v>
      </c>
      <c r="G68" s="435" t="str">
        <f t="shared" ref="G68:H68" si="19">IF(G66=0, "Resultado Ok", "La equivalencia Contable no se cumple")</f>
        <v>Resultado Ok</v>
      </c>
      <c r="H68" s="435" t="str">
        <f t="shared" si="19"/>
        <v>Resultado Ok</v>
      </c>
    </row>
    <row r="69" spans="4:8" x14ac:dyDescent="0.25">
      <c r="F69" s="436"/>
      <c r="G69" s="436"/>
      <c r="H69" s="436"/>
    </row>
    <row r="70" spans="4:8" x14ac:dyDescent="0.25">
      <c r="F70" s="437"/>
      <c r="G70" s="437"/>
      <c r="H70" s="437"/>
    </row>
  </sheetData>
  <mergeCells count="5">
    <mergeCell ref="A1:H1"/>
    <mergeCell ref="A2:H2"/>
    <mergeCell ref="F68:F70"/>
    <mergeCell ref="G68:G70"/>
    <mergeCell ref="H68:H70"/>
  </mergeCells>
  <conditionalFormatting sqref="F66:H66">
    <cfRule type="cellIs" dxfId="7" priority="1" operator="notBetween">
      <formula>-0.5</formula>
      <formula>0.5</formula>
    </cfRule>
    <cfRule type="cellIs" dxfId="6" priority="2" operator="between">
      <formula>-0.5</formula>
      <formula>0.5</formula>
    </cfRule>
  </conditionalFormatting>
  <pageMargins left="0.7" right="0.7" top="0.75" bottom="0.75" header="0.3" footer="0.3"/>
  <ignoredErrors>
    <ignoredError sqref="D20:E20" formulaRange="1"/>
    <ignoredError sqref="E23 E62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70C0"/>
  </sheetPr>
  <dimension ref="A1:P58"/>
  <sheetViews>
    <sheetView showGridLines="0" workbookViewId="0">
      <selection activeCell="I28" sqref="I28"/>
    </sheetView>
  </sheetViews>
  <sheetFormatPr defaultColWidth="9.125" defaultRowHeight="15" x14ac:dyDescent="0.25"/>
  <cols>
    <col min="4" max="4" width="16.75" customWidth="1"/>
    <col min="5" max="6" width="14.25" bestFit="1" customWidth="1"/>
    <col min="7" max="11" width="13.125" bestFit="1" customWidth="1"/>
    <col min="12" max="13" width="10.625" bestFit="1" customWidth="1"/>
    <col min="15" max="15" width="12.625" bestFit="1" customWidth="1"/>
    <col min="16" max="16" width="11.125" bestFit="1" customWidth="1"/>
  </cols>
  <sheetData>
    <row r="1" spans="1:16" x14ac:dyDescent="0.25">
      <c r="A1" s="433" t="s">
        <v>43</v>
      </c>
      <c r="B1" s="434"/>
      <c r="C1" s="434"/>
      <c r="D1" s="434"/>
      <c r="E1" s="434"/>
      <c r="F1" s="434"/>
      <c r="G1" s="434"/>
      <c r="H1" s="434"/>
      <c r="I1" s="434"/>
      <c r="J1" s="76"/>
      <c r="K1" s="76"/>
      <c r="L1" s="2"/>
      <c r="M1" s="2"/>
      <c r="N1" s="2"/>
      <c r="O1" s="2"/>
      <c r="P1" s="2"/>
    </row>
    <row r="2" spans="1:16" x14ac:dyDescent="0.25">
      <c r="A2" s="433" t="s">
        <v>284</v>
      </c>
      <c r="B2" s="434"/>
      <c r="C2" s="434"/>
      <c r="D2" s="434"/>
      <c r="E2" s="434"/>
      <c r="F2" s="434"/>
      <c r="G2" s="434"/>
      <c r="H2" s="434"/>
      <c r="I2" s="434"/>
      <c r="J2" s="76"/>
      <c r="K2" s="76"/>
      <c r="L2" s="2"/>
      <c r="M2" s="2"/>
      <c r="N2" s="2"/>
      <c r="O2" s="2"/>
      <c r="P2" s="2"/>
    </row>
    <row r="3" spans="1:16" x14ac:dyDescent="0.25">
      <c r="A3" s="11"/>
      <c r="B3" s="3"/>
      <c r="C3" s="3"/>
      <c r="D3" s="3"/>
      <c r="E3" s="3"/>
      <c r="F3" s="3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59"/>
      <c r="K4" s="2"/>
      <c r="L4" s="2"/>
      <c r="M4" s="2"/>
      <c r="N4" s="2"/>
      <c r="O4" s="59"/>
      <c r="P4" s="59"/>
    </row>
    <row r="5" spans="1:16" x14ac:dyDescent="0.25">
      <c r="A5" s="1"/>
      <c r="B5" s="2"/>
      <c r="C5" s="2"/>
      <c r="D5" s="2"/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59"/>
      <c r="K5" s="2"/>
      <c r="L5" s="2"/>
      <c r="M5" s="2"/>
      <c r="N5" s="2"/>
      <c r="O5" s="59"/>
      <c r="P5" s="59"/>
    </row>
    <row r="6" spans="1:16" x14ac:dyDescent="0.25">
      <c r="A6" s="4" t="s">
        <v>44</v>
      </c>
      <c r="B6" s="2"/>
      <c r="C6" s="2"/>
      <c r="D6" s="2"/>
      <c r="E6" s="2"/>
      <c r="F6" s="2"/>
      <c r="J6" s="2"/>
      <c r="K6" s="6"/>
      <c r="L6" s="2"/>
      <c r="M6" s="2"/>
      <c r="N6" s="2"/>
      <c r="O6" s="2"/>
      <c r="P6" s="2"/>
    </row>
    <row r="7" spans="1:16" x14ac:dyDescent="0.25">
      <c r="A7" s="4" t="s">
        <v>45</v>
      </c>
      <c r="B7" s="2"/>
      <c r="C7" s="2"/>
      <c r="D7" s="2"/>
      <c r="E7" s="2"/>
      <c r="F7" s="2"/>
      <c r="J7" s="2"/>
      <c r="K7" s="6"/>
      <c r="L7" s="2"/>
      <c r="M7" s="2"/>
      <c r="N7" s="2"/>
      <c r="O7" s="2"/>
      <c r="P7" s="29"/>
    </row>
    <row r="8" spans="1:16" x14ac:dyDescent="0.25">
      <c r="A8" s="1"/>
      <c r="B8" s="2" t="s">
        <v>46</v>
      </c>
      <c r="C8" s="2"/>
      <c r="D8" s="2"/>
      <c r="E8" s="5">
        <v>1709903.84</v>
      </c>
      <c r="F8" s="5">
        <v>925371.85</v>
      </c>
      <c r="G8" s="27">
        <f>+F8*SUPUESTOS!$C$13+'ER OPTIMISTA'!F8</f>
        <v>1249251.9975000001</v>
      </c>
      <c r="H8" s="27">
        <f>+G8*SUPUESTOS!$G$13+'ER OPTIMISTA'!G8</f>
        <v>1686490.1966250001</v>
      </c>
      <c r="I8" s="27">
        <f>+H8*SUPUESTOS!$K$13+'ER OPTIMISTA'!H8</f>
        <v>2276761.7654437502</v>
      </c>
      <c r="J8" s="29"/>
      <c r="K8" s="60" t="s">
        <v>258</v>
      </c>
      <c r="L8" s="2"/>
      <c r="M8" s="2"/>
      <c r="N8" s="2"/>
      <c r="O8" s="5"/>
      <c r="P8" s="5"/>
    </row>
    <row r="9" spans="1:16" x14ac:dyDescent="0.25">
      <c r="A9" s="1"/>
      <c r="B9" s="2" t="s">
        <v>47</v>
      </c>
      <c r="C9" s="2"/>
      <c r="D9" s="2"/>
      <c r="E9" s="5">
        <v>1359.38</v>
      </c>
      <c r="F9" s="5">
        <v>3757.3</v>
      </c>
      <c r="G9" s="27">
        <f>+F9*SUPUESTOS!$C$13+'ER OPTIMISTA'!F9</f>
        <v>5072.3550000000005</v>
      </c>
      <c r="H9" s="27">
        <f>+G9*SUPUESTOS!$G$13+'ER OPTIMISTA'!G9</f>
        <v>6847.679250000001</v>
      </c>
      <c r="I9" s="27">
        <f>+H9*SUPUESTOS!$K$13+'ER OPTIMISTA'!H9</f>
        <v>9244.3669875000014</v>
      </c>
      <c r="J9" s="29"/>
      <c r="K9" s="12"/>
      <c r="L9" s="2"/>
      <c r="M9" s="2"/>
      <c r="N9" s="2"/>
      <c r="O9" s="5"/>
      <c r="P9" s="5"/>
    </row>
    <row r="10" spans="1:16" x14ac:dyDescent="0.25">
      <c r="A10" s="1"/>
      <c r="B10" s="2" t="s">
        <v>48</v>
      </c>
      <c r="C10" s="2"/>
      <c r="D10" s="2"/>
      <c r="E10" s="5">
        <v>676.59</v>
      </c>
      <c r="F10" s="5">
        <v>0</v>
      </c>
      <c r="G10" s="27">
        <f>+F10*SUPUESTOS!$C$13+'ER OPTIMISTA'!F10</f>
        <v>0</v>
      </c>
      <c r="H10" s="27">
        <f>+G10*SUPUESTOS!$G$13+'ER OPTIMISTA'!G10</f>
        <v>0</v>
      </c>
      <c r="I10" s="27">
        <f>+H10*SUPUESTOS!$K$13+'ER OPTIMISTA'!H10</f>
        <v>0</v>
      </c>
      <c r="J10" s="29"/>
      <c r="K10" s="12"/>
      <c r="L10" s="2"/>
      <c r="M10" s="2"/>
      <c r="N10" s="2"/>
      <c r="O10" s="5"/>
      <c r="P10" s="5"/>
    </row>
    <row r="11" spans="1:16" x14ac:dyDescent="0.25">
      <c r="A11" s="1"/>
      <c r="B11" s="2" t="s">
        <v>49</v>
      </c>
      <c r="C11" s="2"/>
      <c r="D11" s="2"/>
      <c r="E11" s="7">
        <v>12789.19</v>
      </c>
      <c r="F11" s="7">
        <v>3681.43</v>
      </c>
      <c r="G11" s="28">
        <f>+F11*SUPUESTOS!$C$13+'ER OPTIMISTA'!F11</f>
        <v>4969.9304999999995</v>
      </c>
      <c r="H11" s="28">
        <f>+G11*SUPUESTOS!$G$13+'ER OPTIMISTA'!G11</f>
        <v>6709.4061749999992</v>
      </c>
      <c r="I11" s="28">
        <f>+H11*SUPUESTOS!$K$13+'ER OPTIMISTA'!H11</f>
        <v>9057.6983362499996</v>
      </c>
      <c r="J11" s="29"/>
      <c r="K11" s="12"/>
      <c r="L11" s="2"/>
      <c r="M11" s="2"/>
      <c r="N11" s="2"/>
      <c r="O11" s="5"/>
      <c r="P11" s="5"/>
    </row>
    <row r="12" spans="1:16" x14ac:dyDescent="0.25">
      <c r="A12" s="1"/>
      <c r="B12" s="2"/>
      <c r="C12" s="2"/>
      <c r="D12" s="2"/>
      <c r="E12" s="5"/>
      <c r="F12" s="5"/>
      <c r="J12" s="2"/>
      <c r="K12" s="12"/>
      <c r="L12" s="2"/>
      <c r="M12" s="2"/>
      <c r="N12" s="2"/>
      <c r="O12" s="5"/>
      <c r="P12" s="5"/>
    </row>
    <row r="13" spans="1:16" x14ac:dyDescent="0.25">
      <c r="A13" s="1"/>
      <c r="B13" s="6" t="s">
        <v>50</v>
      </c>
      <c r="C13" s="2"/>
      <c r="D13" s="2"/>
      <c r="E13" s="5">
        <f>+E8+E9-E10-E11</f>
        <v>1697797.44</v>
      </c>
      <c r="F13" s="5">
        <f>+F8+F9-F10-F11</f>
        <v>925447.72</v>
      </c>
      <c r="G13" s="27">
        <f>+G8+G9-G10-G11</f>
        <v>1249354.422</v>
      </c>
      <c r="H13" s="27">
        <f t="shared" ref="H13:I13" si="0">+H8+H9-H10-H11</f>
        <v>1686628.4697000002</v>
      </c>
      <c r="I13" s="27">
        <f t="shared" si="0"/>
        <v>2276948.4340949999</v>
      </c>
      <c r="J13" s="29"/>
      <c r="K13" s="12"/>
      <c r="L13" s="6"/>
      <c r="M13" s="2"/>
      <c r="N13" s="2"/>
      <c r="O13" s="5"/>
      <c r="P13" s="5"/>
    </row>
    <row r="14" spans="1:16" x14ac:dyDescent="0.25">
      <c r="A14" s="1"/>
      <c r="B14" s="2"/>
      <c r="C14" s="2"/>
      <c r="D14" s="2"/>
      <c r="E14" s="5"/>
      <c r="F14" s="5"/>
      <c r="J14" s="2"/>
      <c r="K14" s="12"/>
      <c r="L14" s="2"/>
      <c r="M14" s="2"/>
      <c r="N14" s="2"/>
      <c r="O14" s="5"/>
      <c r="P14" s="5"/>
    </row>
    <row r="15" spans="1:16" x14ac:dyDescent="0.25">
      <c r="A15" s="4" t="s">
        <v>53</v>
      </c>
      <c r="B15" s="2"/>
      <c r="C15" s="2"/>
      <c r="D15" s="2"/>
      <c r="E15" s="5"/>
      <c r="F15" s="5"/>
      <c r="J15" s="2"/>
      <c r="L15" s="2"/>
      <c r="M15" s="2"/>
      <c r="N15" s="2"/>
      <c r="O15" s="5"/>
      <c r="P15" s="5"/>
    </row>
    <row r="16" spans="1:16" x14ac:dyDescent="0.25">
      <c r="A16" s="4" t="s">
        <v>54</v>
      </c>
      <c r="B16" s="2"/>
      <c r="C16" s="2"/>
      <c r="D16" s="2"/>
      <c r="E16" s="5"/>
      <c r="F16" s="5"/>
      <c r="J16" s="2"/>
      <c r="L16" s="2"/>
      <c r="M16" s="2"/>
      <c r="N16" s="2"/>
      <c r="O16" s="5"/>
      <c r="P16" s="5"/>
    </row>
    <row r="17" spans="1:16" x14ac:dyDescent="0.25">
      <c r="A17" s="1"/>
      <c r="B17" s="2" t="s">
        <v>55</v>
      </c>
      <c r="C17" s="2"/>
      <c r="D17" s="2"/>
      <c r="E17" s="8">
        <v>1529907.59</v>
      </c>
      <c r="F17" s="5">
        <v>764190.06</v>
      </c>
      <c r="G17" s="27">
        <f>+G13*SUPUESTOS!C14</f>
        <v>1074444.8029199999</v>
      </c>
      <c r="H17" s="27">
        <f>H13*SUPUESTOS!G14</f>
        <v>1450500.4839420002</v>
      </c>
      <c r="I17" s="27">
        <f>I13*SUPUESTOS!K14</f>
        <v>1958175.6533216999</v>
      </c>
      <c r="J17" s="29"/>
      <c r="K17" s="217" t="s">
        <v>260</v>
      </c>
      <c r="L17" s="2"/>
      <c r="M17" s="2"/>
      <c r="N17" s="2"/>
      <c r="O17" s="8"/>
      <c r="P17" s="5"/>
    </row>
    <row r="18" spans="1:16" x14ac:dyDescent="0.25">
      <c r="A18" s="1"/>
      <c r="B18" s="2" t="s">
        <v>56</v>
      </c>
      <c r="C18" s="2"/>
      <c r="D18" s="2"/>
      <c r="E18" s="69">
        <v>28869.22</v>
      </c>
      <c r="F18" s="7">
        <v>12195.3</v>
      </c>
      <c r="G18" s="28">
        <f>+F18*SUPUESTOS!$C$12+'ER OPTIMISTA'!F18</f>
        <v>12524.5731</v>
      </c>
      <c r="H18" s="28">
        <f>+G18*SUPUESTOS!$G$12+'ER OPTIMISTA'!G18</f>
        <v>12862.7365737</v>
      </c>
      <c r="I18" s="28">
        <f>+H18*SUPUESTOS!$K$12+'ER OPTIMISTA'!H18</f>
        <v>13210.030461189899</v>
      </c>
      <c r="J18" s="2"/>
      <c r="K18" s="60" t="s">
        <v>105</v>
      </c>
      <c r="L18" s="2"/>
      <c r="M18" s="2"/>
      <c r="N18" s="2"/>
      <c r="O18" s="8"/>
      <c r="P18" s="5"/>
    </row>
    <row r="19" spans="1:16" x14ac:dyDescent="0.25">
      <c r="A19" s="1"/>
      <c r="B19" s="2"/>
      <c r="C19" s="2"/>
      <c r="D19" s="2"/>
      <c r="E19" s="5"/>
      <c r="F19" s="5"/>
      <c r="J19" s="29"/>
      <c r="K19" s="60"/>
      <c r="L19" s="2"/>
      <c r="M19" s="2"/>
      <c r="N19" s="2"/>
      <c r="O19" s="5"/>
      <c r="P19" s="5"/>
    </row>
    <row r="20" spans="1:16" x14ac:dyDescent="0.25">
      <c r="A20" s="1"/>
      <c r="B20" s="6" t="s">
        <v>57</v>
      </c>
      <c r="C20" s="2"/>
      <c r="D20" s="2"/>
      <c r="E20" s="27">
        <f t="shared" ref="E20:F20" si="1">+E17+E18</f>
        <v>1558776.81</v>
      </c>
      <c r="F20" s="27">
        <f t="shared" si="1"/>
        <v>776385.3600000001</v>
      </c>
      <c r="G20" s="27">
        <f>+G17+G18</f>
        <v>1086969.3760199999</v>
      </c>
      <c r="H20" s="27">
        <f t="shared" ref="H20:I20" si="2">+H17+H18</f>
        <v>1463363.2205157003</v>
      </c>
      <c r="I20" s="27">
        <f t="shared" si="2"/>
        <v>1971385.6837828897</v>
      </c>
      <c r="J20" s="2"/>
      <c r="L20" s="6"/>
      <c r="M20" s="2"/>
      <c r="N20" s="2"/>
      <c r="O20" s="5"/>
      <c r="P20" s="5"/>
    </row>
    <row r="21" spans="1:16" x14ac:dyDescent="0.25">
      <c r="A21" s="1"/>
      <c r="B21" s="6"/>
      <c r="C21" s="2"/>
      <c r="D21" s="2"/>
      <c r="E21" s="5"/>
      <c r="F21" s="5"/>
      <c r="G21" s="27"/>
      <c r="H21" s="27"/>
      <c r="I21" s="27"/>
      <c r="J21" s="2"/>
      <c r="K21" s="12"/>
      <c r="L21" s="6"/>
      <c r="M21" s="2"/>
      <c r="N21" s="2"/>
      <c r="O21" s="5"/>
      <c r="P21" s="5"/>
    </row>
    <row r="22" spans="1:16" ht="15.75" thickBot="1" x14ac:dyDescent="0.3">
      <c r="A22" s="6" t="s">
        <v>118</v>
      </c>
      <c r="B22" s="2"/>
      <c r="C22" s="2"/>
      <c r="D22" s="2"/>
      <c r="E22" s="9">
        <f>+E13-E20</f>
        <v>139020.62999999989</v>
      </c>
      <c r="F22" s="9">
        <f t="shared" ref="F22:I22" si="3">+F13-F20</f>
        <v>149062.35999999987</v>
      </c>
      <c r="G22" s="9">
        <f t="shared" si="3"/>
        <v>162385.04598000017</v>
      </c>
      <c r="H22" s="9">
        <f t="shared" si="3"/>
        <v>223265.24918429996</v>
      </c>
      <c r="I22" s="9">
        <f t="shared" si="3"/>
        <v>305562.75031211018</v>
      </c>
      <c r="J22" s="2"/>
      <c r="K22" s="12"/>
      <c r="L22" s="2"/>
      <c r="M22" s="2"/>
      <c r="N22" s="2"/>
      <c r="O22" s="5"/>
      <c r="P22" s="5"/>
    </row>
    <row r="23" spans="1:16" ht="15.75" thickTop="1" x14ac:dyDescent="0.25">
      <c r="A23" s="1"/>
      <c r="B23" s="2"/>
      <c r="C23" s="2"/>
      <c r="D23" s="2"/>
      <c r="E23" s="5"/>
      <c r="F23" s="5"/>
      <c r="J23" s="29"/>
      <c r="K23" s="12"/>
      <c r="L23" s="2"/>
      <c r="M23" s="2"/>
      <c r="N23" s="2"/>
      <c r="O23" s="5"/>
      <c r="P23" s="2"/>
    </row>
    <row r="24" spans="1:16" x14ac:dyDescent="0.25">
      <c r="A24" s="4" t="s">
        <v>58</v>
      </c>
      <c r="B24" s="2"/>
      <c r="C24" s="2"/>
      <c r="D24" s="2"/>
      <c r="E24" s="5"/>
      <c r="F24" s="5"/>
      <c r="J24" s="29"/>
      <c r="L24" s="2"/>
      <c r="M24" s="2"/>
      <c r="N24" s="2"/>
      <c r="O24" s="5"/>
      <c r="P24" s="5"/>
    </row>
    <row r="25" spans="1:16" x14ac:dyDescent="0.25">
      <c r="A25" s="4" t="s">
        <v>59</v>
      </c>
      <c r="B25" s="2"/>
      <c r="C25" s="2"/>
      <c r="D25" s="2"/>
      <c r="E25" s="5"/>
      <c r="F25" s="5"/>
      <c r="J25" s="2"/>
      <c r="K25" s="60"/>
      <c r="L25" s="2"/>
      <c r="M25" s="2"/>
      <c r="N25" s="2"/>
      <c r="O25" s="5"/>
      <c r="P25" s="5"/>
    </row>
    <row r="26" spans="1:16" x14ac:dyDescent="0.25">
      <c r="A26" s="1"/>
      <c r="B26" s="2" t="s">
        <v>60</v>
      </c>
      <c r="C26" s="2"/>
      <c r="D26" s="2"/>
      <c r="E26" s="8">
        <v>71760.39</v>
      </c>
      <c r="F26" s="5">
        <v>75867.06</v>
      </c>
      <c r="G26" s="27">
        <f>(+F26*SUPUESTOS!$C$12+'ER OPTIMISTA'!F26)</f>
        <v>77915.470619999993</v>
      </c>
      <c r="H26" s="27">
        <f>(+G26*SUPUESTOS!$G$12+'ER OPTIMISTA'!G26)</f>
        <v>80019.188326739997</v>
      </c>
      <c r="I26" s="27">
        <f>(+H26*SUPUESTOS!$K$12+'ER OPTIMISTA'!H26)</f>
        <v>82179.706411561972</v>
      </c>
      <c r="J26" s="29"/>
      <c r="K26" s="60" t="s">
        <v>105</v>
      </c>
      <c r="L26" s="2"/>
      <c r="M26" s="2"/>
      <c r="N26" s="2"/>
      <c r="O26" s="8"/>
      <c r="P26" s="5"/>
    </row>
    <row r="27" spans="1:16" x14ac:dyDescent="0.25">
      <c r="A27" s="1"/>
      <c r="B27" s="2" t="s">
        <v>61</v>
      </c>
      <c r="C27" s="2"/>
      <c r="D27" s="2"/>
      <c r="E27" s="8">
        <v>3600</v>
      </c>
      <c r="F27" s="5">
        <v>4666.8599999999997</v>
      </c>
      <c r="G27" s="27">
        <f>+F27*SUPUESTOS!$C$12+'ER OPTIMISTA'!F27</f>
        <v>4792.8652199999997</v>
      </c>
      <c r="H27" s="27">
        <f>+G27*SUPUESTOS!$G$12+'ER OPTIMISTA'!G27</f>
        <v>4922.2725809399999</v>
      </c>
      <c r="I27" s="27">
        <f>+H27*SUPUESTOS!$K$12+'ER OPTIMISTA'!H27</f>
        <v>5055.1739406253801</v>
      </c>
      <c r="J27" s="2"/>
      <c r="K27" s="60" t="s">
        <v>105</v>
      </c>
      <c r="L27" s="2"/>
      <c r="M27" s="2"/>
      <c r="N27" s="2"/>
      <c r="O27" s="8"/>
      <c r="P27" s="5"/>
    </row>
    <row r="28" spans="1:16" x14ac:dyDescent="0.25">
      <c r="A28" s="1"/>
      <c r="B28" s="2" t="s">
        <v>62</v>
      </c>
      <c r="C28" s="2"/>
      <c r="D28" s="2"/>
      <c r="E28" s="8">
        <v>15718.79</v>
      </c>
      <c r="F28" s="5">
        <v>17331</v>
      </c>
      <c r="G28" s="5">
        <f>+F28</f>
        <v>17331</v>
      </c>
      <c r="H28" s="5">
        <f t="shared" ref="H28:I28" si="4">+G28</f>
        <v>17331</v>
      </c>
      <c r="I28" s="5">
        <f t="shared" si="4"/>
        <v>17331</v>
      </c>
      <c r="J28" s="2"/>
      <c r="L28" s="2"/>
      <c r="M28" s="2"/>
      <c r="N28" s="2"/>
      <c r="O28" s="8"/>
      <c r="P28" s="5"/>
    </row>
    <row r="29" spans="1:16" x14ac:dyDescent="0.25">
      <c r="A29" s="1"/>
      <c r="B29" s="2" t="s">
        <v>63</v>
      </c>
      <c r="C29" s="2"/>
      <c r="D29" s="2"/>
      <c r="E29" s="8">
        <v>10071.33</v>
      </c>
      <c r="F29" s="5">
        <v>3760.67</v>
      </c>
      <c r="G29" s="27">
        <f>+F29*SUPUESTOS!$C$12+'ER OPTIMISTA'!F29</f>
        <v>3862.2080900000001</v>
      </c>
      <c r="H29" s="27">
        <f>+G29*SUPUESTOS!$G$12+'ER OPTIMISTA'!G29</f>
        <v>3966.4877084300001</v>
      </c>
      <c r="I29" s="27">
        <f>+H29*SUPUESTOS!$K$12+'ER OPTIMISTA'!H29</f>
        <v>4073.5828765576102</v>
      </c>
      <c r="J29" s="2"/>
      <c r="K29" s="60" t="s">
        <v>105</v>
      </c>
      <c r="L29" s="2"/>
      <c r="M29" s="2"/>
      <c r="N29" s="2"/>
      <c r="O29" s="8"/>
      <c r="P29" s="5"/>
    </row>
    <row r="30" spans="1:16" x14ac:dyDescent="0.25">
      <c r="A30" s="1"/>
      <c r="B30" s="2" t="s">
        <v>64</v>
      </c>
      <c r="C30" s="2"/>
      <c r="D30" s="2"/>
      <c r="E30" s="7">
        <v>25947.64</v>
      </c>
      <c r="F30" s="7">
        <v>27711.84</v>
      </c>
      <c r="G30" s="28">
        <f>+F30*SUPUESTOS!$C$12+'ER OPTIMISTA'!F30</f>
        <v>28460.059679999998</v>
      </c>
      <c r="H30" s="28">
        <f>+G30*SUPUESTOS!$G$12+'ER OPTIMISTA'!G30</f>
        <v>29228.48129136</v>
      </c>
      <c r="I30" s="28">
        <f>+H30*SUPUESTOS!$K$12+'ER OPTIMISTA'!H30</f>
        <v>30017.650286226719</v>
      </c>
      <c r="J30" s="29"/>
      <c r="K30" s="60" t="s">
        <v>105</v>
      </c>
      <c r="L30" s="2"/>
      <c r="M30" s="2"/>
      <c r="N30" s="2"/>
      <c r="O30" s="2"/>
      <c r="P30" s="5"/>
    </row>
    <row r="31" spans="1:16" x14ac:dyDescent="0.25">
      <c r="A31" s="1"/>
      <c r="B31" s="2"/>
      <c r="C31" s="2"/>
      <c r="D31" s="2"/>
      <c r="E31" s="5"/>
      <c r="F31" s="5"/>
      <c r="J31" s="29"/>
      <c r="L31" s="2"/>
      <c r="M31" s="2"/>
      <c r="N31" s="2"/>
      <c r="O31" s="5"/>
      <c r="P31" s="5"/>
    </row>
    <row r="32" spans="1:16" x14ac:dyDescent="0.25">
      <c r="A32" s="1"/>
      <c r="B32" s="6" t="s">
        <v>65</v>
      </c>
      <c r="C32" s="2"/>
      <c r="D32" s="2"/>
      <c r="E32" s="5">
        <f>SUM(E26:E31)</f>
        <v>127098.15</v>
      </c>
      <c r="F32" s="5">
        <f t="shared" ref="F32" si="5">SUM(F26:F31)</f>
        <v>129337.43</v>
      </c>
      <c r="G32" s="27">
        <f>+G26+G27+G28+G29+G30</f>
        <v>132361.60360999999</v>
      </c>
      <c r="H32" s="27">
        <f t="shared" ref="H32:I32" si="6">+H26+H27+H28+H29+H30</f>
        <v>135467.42990746998</v>
      </c>
      <c r="I32" s="27">
        <f t="shared" si="6"/>
        <v>138657.11351497169</v>
      </c>
      <c r="J32" s="29"/>
      <c r="L32" s="6"/>
      <c r="M32" s="2"/>
      <c r="N32" s="2"/>
      <c r="O32" s="5"/>
      <c r="P32" s="5"/>
    </row>
    <row r="33" spans="1:16" x14ac:dyDescent="0.25">
      <c r="A33" s="1"/>
      <c r="B33" s="2"/>
      <c r="C33" s="2"/>
      <c r="D33" s="2"/>
      <c r="E33" s="5"/>
      <c r="F33" s="5"/>
      <c r="J33" s="29"/>
      <c r="L33" s="6"/>
      <c r="M33" s="2"/>
      <c r="N33" s="2"/>
      <c r="O33" s="5"/>
      <c r="P33" s="5"/>
    </row>
    <row r="34" spans="1:16" x14ac:dyDescent="0.25">
      <c r="A34" s="4"/>
      <c r="B34" s="6" t="s">
        <v>66</v>
      </c>
      <c r="C34" s="2"/>
      <c r="D34" s="2"/>
      <c r="E34" s="5">
        <v>5901.95</v>
      </c>
      <c r="F34" s="5">
        <v>4246.5</v>
      </c>
      <c r="G34" s="27">
        <f>+F34*SUPUESTOS!$C$12+'ER OPTIMISTA'!F34</f>
        <v>4361.1554999999998</v>
      </c>
      <c r="H34" s="27">
        <f>+G34*SUPUESTOS!$G$12+'ER OPTIMISTA'!G34</f>
        <v>4478.9066984999999</v>
      </c>
      <c r="I34" s="27">
        <f>+H34*SUPUESTOS!$K$12+'ER OPTIMISTA'!H34</f>
        <v>4599.8371793594997</v>
      </c>
      <c r="J34" s="29"/>
      <c r="K34" s="60" t="s">
        <v>105</v>
      </c>
      <c r="L34" s="6"/>
      <c r="M34" s="2"/>
      <c r="N34" s="2"/>
      <c r="O34" s="5"/>
      <c r="P34" s="5"/>
    </row>
    <row r="35" spans="1:16" x14ac:dyDescent="0.25">
      <c r="A35" s="4"/>
      <c r="B35" s="6"/>
      <c r="C35" s="2"/>
      <c r="D35" s="2"/>
      <c r="E35" s="5"/>
      <c r="F35" s="5"/>
      <c r="G35" s="27"/>
      <c r="H35" s="27"/>
      <c r="I35" s="27"/>
      <c r="J35" s="2"/>
      <c r="K35" s="12"/>
      <c r="L35" s="2"/>
      <c r="M35" s="2"/>
      <c r="N35" s="2"/>
      <c r="O35" s="5"/>
      <c r="P35" s="2"/>
    </row>
    <row r="36" spans="1:16" ht="15.75" thickBot="1" x14ac:dyDescent="0.3">
      <c r="A36" s="6" t="s">
        <v>119</v>
      </c>
      <c r="B36" s="6"/>
      <c r="C36" s="2"/>
      <c r="D36" s="2"/>
      <c r="E36" s="9">
        <f>+E22-E32-E34</f>
        <v>6020.5299999998942</v>
      </c>
      <c r="F36" s="9">
        <f t="shared" ref="F36:I36" si="7">+F22-F32-F34</f>
        <v>15478.429999999877</v>
      </c>
      <c r="G36" s="9">
        <f t="shared" si="7"/>
        <v>25662.286870000178</v>
      </c>
      <c r="H36" s="9">
        <f t="shared" si="7"/>
        <v>83318.912578329982</v>
      </c>
      <c r="I36" s="9">
        <f t="shared" si="7"/>
        <v>162305.79961777898</v>
      </c>
      <c r="J36" s="29"/>
      <c r="L36" s="6"/>
      <c r="M36" s="2"/>
      <c r="N36" s="2"/>
      <c r="O36" s="5"/>
      <c r="P36" s="5"/>
    </row>
    <row r="37" spans="1:16" ht="15.75" thickTop="1" x14ac:dyDescent="0.25">
      <c r="A37" s="4"/>
      <c r="B37" s="6"/>
      <c r="C37" s="2"/>
      <c r="D37" s="2"/>
      <c r="E37" s="5"/>
      <c r="F37" s="5"/>
      <c r="J37" s="2"/>
      <c r="K37" s="12"/>
      <c r="L37" s="2"/>
      <c r="M37" s="2"/>
      <c r="N37" s="2"/>
      <c r="O37" s="5"/>
      <c r="P37" s="5"/>
    </row>
    <row r="38" spans="1:16" x14ac:dyDescent="0.25">
      <c r="A38" s="4"/>
      <c r="B38" s="6" t="s">
        <v>52</v>
      </c>
      <c r="C38" s="6"/>
      <c r="D38" s="2"/>
      <c r="E38" s="8">
        <v>45110.61</v>
      </c>
      <c r="F38" s="5">
        <v>487.55</v>
      </c>
      <c r="G38" s="29">
        <f>+F38*SUPUESTOS!$C$13+'ER OPTIMISTA'!F38</f>
        <v>658.1925</v>
      </c>
      <c r="H38" s="29">
        <f>+G38*SUPUESTOS!$G$13+'ER OPTIMISTA'!G38</f>
        <v>888.55987499999992</v>
      </c>
      <c r="I38" s="29">
        <f>+H38*SUPUESTOS!$K$13+'ER OPTIMISTA'!H38</f>
        <v>1199.5558312499998</v>
      </c>
      <c r="J38" s="2"/>
      <c r="K38" s="60" t="s">
        <v>259</v>
      </c>
      <c r="L38" s="6"/>
      <c r="M38" s="6"/>
      <c r="N38" s="2"/>
      <c r="O38" s="8"/>
      <c r="P38" s="5"/>
    </row>
    <row r="39" spans="1:16" hidden="1" x14ac:dyDescent="0.25">
      <c r="A39" s="4"/>
      <c r="B39" s="6"/>
      <c r="C39" s="2"/>
      <c r="D39" s="2"/>
      <c r="E39" s="5"/>
      <c r="F39" s="5"/>
      <c r="J39" s="2"/>
      <c r="K39" s="2"/>
      <c r="L39" s="2"/>
      <c r="M39" s="2"/>
      <c r="N39" s="2"/>
      <c r="O39" s="5"/>
      <c r="P39" s="5"/>
    </row>
    <row r="40" spans="1:16" hidden="1" x14ac:dyDescent="0.25">
      <c r="A40" s="1"/>
      <c r="B40" s="6" t="s">
        <v>132</v>
      </c>
      <c r="C40" s="2"/>
      <c r="D40" s="2"/>
      <c r="E40" s="5"/>
      <c r="F40" s="5"/>
      <c r="G40" s="27">
        <f>+F40*SUPUESTOS!$C$12+'ER OPTIMISTA'!F40</f>
        <v>0</v>
      </c>
      <c r="H40" s="27">
        <f>+G40*SUPUESTOS!$G$12+'ER OPTIMISTA'!G40</f>
        <v>0</v>
      </c>
      <c r="I40" s="27">
        <f>+H40*SUPUESTOS!$K$12+'ER OPTIMISTA'!H40</f>
        <v>0</v>
      </c>
      <c r="J40" s="29"/>
      <c r="K40" s="2"/>
      <c r="L40" s="6"/>
      <c r="M40" s="2"/>
      <c r="N40" s="2"/>
      <c r="O40" s="5"/>
      <c r="P40" s="5"/>
    </row>
    <row r="41" spans="1:16" x14ac:dyDescent="0.25">
      <c r="A41" s="4"/>
      <c r="B41" s="6"/>
      <c r="C41" s="2"/>
      <c r="D41" s="2"/>
      <c r="E41" s="5"/>
      <c r="F41" s="5"/>
      <c r="J41" s="2"/>
      <c r="K41" s="6"/>
      <c r="L41" s="6"/>
      <c r="M41" s="2"/>
      <c r="N41" s="2"/>
      <c r="O41" s="5"/>
      <c r="P41" s="5"/>
    </row>
    <row r="42" spans="1:16" x14ac:dyDescent="0.25">
      <c r="A42" s="4"/>
      <c r="B42" s="6" t="s">
        <v>68</v>
      </c>
      <c r="C42" s="2"/>
      <c r="D42" s="2"/>
      <c r="E42" s="5">
        <v>6356.74</v>
      </c>
      <c r="F42" s="5">
        <v>2039.95</v>
      </c>
      <c r="G42" s="29">
        <f>+F42</f>
        <v>2039.95</v>
      </c>
      <c r="H42" s="29">
        <f>F42</f>
        <v>2039.95</v>
      </c>
      <c r="I42" s="29">
        <f>F42</f>
        <v>2039.95</v>
      </c>
      <c r="J42" s="2"/>
      <c r="K42" s="6"/>
      <c r="L42" s="6"/>
      <c r="M42" s="2"/>
      <c r="N42" s="2"/>
      <c r="O42" s="5"/>
      <c r="P42" s="5"/>
    </row>
    <row r="43" spans="1:16" x14ac:dyDescent="0.25">
      <c r="A43" s="4"/>
      <c r="B43" s="6"/>
      <c r="C43" s="2"/>
      <c r="D43" s="2"/>
      <c r="E43" s="5"/>
      <c r="F43" s="5"/>
      <c r="J43" s="2"/>
      <c r="K43" s="6"/>
      <c r="L43" s="6"/>
      <c r="M43" s="2"/>
      <c r="N43" s="2"/>
      <c r="O43" s="5"/>
      <c r="P43" s="5"/>
    </row>
    <row r="44" spans="1:16" ht="15.75" thickBot="1" x14ac:dyDescent="0.3">
      <c r="A44" s="6" t="s">
        <v>120</v>
      </c>
      <c r="B44" s="6"/>
      <c r="C44" s="2"/>
      <c r="D44" s="2"/>
      <c r="E44" s="9">
        <f>E36+E38-E42</f>
        <v>44774.3999999999</v>
      </c>
      <c r="F44" s="9">
        <f t="shared" ref="F44:I44" si="8">F36+F38-F42</f>
        <v>13926.029999999875</v>
      </c>
      <c r="G44" s="9">
        <f t="shared" si="8"/>
        <v>24280.529370000178</v>
      </c>
      <c r="H44" s="9">
        <f t="shared" si="8"/>
        <v>82167.522453329992</v>
      </c>
      <c r="I44" s="9">
        <f t="shared" si="8"/>
        <v>161465.40544902897</v>
      </c>
      <c r="J44" s="29"/>
      <c r="K44" s="6"/>
      <c r="L44" s="6"/>
      <c r="M44" s="2"/>
      <c r="N44" s="2"/>
      <c r="O44" s="5"/>
      <c r="P44" s="5"/>
    </row>
    <row r="45" spans="1:16" ht="15.75" thickTop="1" x14ac:dyDescent="0.25">
      <c r="A45" s="4"/>
      <c r="B45" s="6"/>
      <c r="C45" s="2"/>
      <c r="D45" s="2"/>
      <c r="E45" s="5"/>
      <c r="F45" s="5"/>
      <c r="J45" s="2"/>
      <c r="K45" s="2"/>
      <c r="L45" s="6"/>
      <c r="M45" s="2"/>
      <c r="N45" s="2"/>
      <c r="O45" s="5"/>
      <c r="P45" s="5"/>
    </row>
    <row r="46" spans="1:16" x14ac:dyDescent="0.25">
      <c r="A46" s="4"/>
      <c r="B46" s="6" t="s">
        <v>121</v>
      </c>
      <c r="C46" s="2"/>
      <c r="D46" s="2"/>
      <c r="E46" s="5">
        <f>+E44*0.15</f>
        <v>6716.1599999999844</v>
      </c>
      <c r="F46" s="5">
        <f t="shared" ref="F46" si="9">+F44*0.15</f>
        <v>2088.904499999981</v>
      </c>
      <c r="G46" s="5">
        <f>IF(G44*0.15&lt;0,0,G44*0.15)</f>
        <v>3642.0794055000265</v>
      </c>
      <c r="H46" s="5">
        <f t="shared" ref="H46:I46" si="10">IF(H44*0.15&lt;0,0,H44*0.15)</f>
        <v>12325.128367999498</v>
      </c>
      <c r="I46" s="5">
        <f t="shared" si="10"/>
        <v>24219.810817354344</v>
      </c>
      <c r="J46" s="29"/>
      <c r="K46" s="2"/>
      <c r="L46" s="6"/>
      <c r="M46" s="2"/>
      <c r="N46" s="2"/>
      <c r="O46" s="5"/>
      <c r="P46" s="5"/>
    </row>
    <row r="47" spans="1:16" x14ac:dyDescent="0.25">
      <c r="A47" s="1"/>
      <c r="B47" s="2"/>
      <c r="C47" s="2"/>
      <c r="D47" s="2"/>
      <c r="E47" s="5"/>
      <c r="F47" s="5"/>
      <c r="J47" s="2"/>
      <c r="K47" s="2"/>
      <c r="L47" s="6"/>
      <c r="M47" s="2"/>
      <c r="N47" s="2"/>
      <c r="O47" s="5"/>
      <c r="P47" s="5"/>
    </row>
    <row r="48" spans="1:16" ht="15.75" thickBot="1" x14ac:dyDescent="0.3">
      <c r="A48" s="6" t="s">
        <v>122</v>
      </c>
      <c r="B48" s="2"/>
      <c r="C48" s="2"/>
      <c r="D48" s="2"/>
      <c r="E48" s="9">
        <f>+E44-E46</f>
        <v>38058.239999999918</v>
      </c>
      <c r="F48" s="9">
        <f t="shared" ref="F48:I48" si="11">+F44-F46</f>
        <v>11837.125499999895</v>
      </c>
      <c r="G48" s="9">
        <f t="shared" si="11"/>
        <v>20638.449964500152</v>
      </c>
      <c r="H48" s="9">
        <f t="shared" si="11"/>
        <v>69842.394085330496</v>
      </c>
      <c r="I48" s="9">
        <f t="shared" si="11"/>
        <v>137245.59463167464</v>
      </c>
      <c r="J48" s="29"/>
      <c r="K48" s="6"/>
      <c r="L48" s="6"/>
      <c r="M48" s="2"/>
      <c r="N48" s="2"/>
      <c r="O48" s="5"/>
      <c r="P48" s="5"/>
    </row>
    <row r="49" spans="1:16" ht="15.75" thickTop="1" x14ac:dyDescent="0.25">
      <c r="A49" s="1"/>
      <c r="B49" s="2"/>
      <c r="C49" s="2"/>
      <c r="D49" s="2"/>
      <c r="E49" s="5"/>
      <c r="F49" s="5"/>
      <c r="J49" s="2"/>
      <c r="K49" s="2"/>
      <c r="L49" s="6"/>
      <c r="M49" s="2"/>
      <c r="N49" s="2"/>
      <c r="O49" s="5"/>
      <c r="P49" s="5"/>
    </row>
    <row r="50" spans="1:16" x14ac:dyDescent="0.25">
      <c r="A50" s="1"/>
      <c r="B50" s="6" t="s">
        <v>123</v>
      </c>
      <c r="C50" s="2"/>
      <c r="D50" s="2"/>
      <c r="E50" s="5">
        <v>1740.13</v>
      </c>
      <c r="F50" s="5">
        <v>5642.35</v>
      </c>
      <c r="G50" s="27">
        <f>+F50*SUPUESTOS!$C$12+'ER OPTIMISTA'!F50</f>
        <v>5794.6934500000007</v>
      </c>
      <c r="H50" s="27">
        <f>+G50*SUPUESTOS!$G$12+'ER OPTIMISTA'!G50</f>
        <v>5951.1501731500011</v>
      </c>
      <c r="I50" s="27">
        <f>+H50*SUPUESTOS!$K$12+'ER OPTIMISTA'!H50</f>
        <v>6111.8312278250514</v>
      </c>
      <c r="J50" s="2"/>
      <c r="K50" s="2"/>
      <c r="L50" s="6"/>
      <c r="M50" s="2"/>
      <c r="N50" s="2"/>
      <c r="O50" s="5"/>
      <c r="P50" s="5"/>
    </row>
    <row r="51" spans="1:16" x14ac:dyDescent="0.25">
      <c r="A51" s="1"/>
      <c r="B51" s="6"/>
      <c r="C51" s="2"/>
      <c r="D51" s="2"/>
      <c r="E51" s="5"/>
      <c r="F51" s="5"/>
      <c r="J51" s="2"/>
      <c r="K51" s="2"/>
      <c r="L51" s="6"/>
      <c r="M51" s="2"/>
      <c r="N51" s="2"/>
      <c r="O51" s="5"/>
      <c r="P51" s="5"/>
    </row>
    <row r="52" spans="1:16" ht="15.75" thickBot="1" x14ac:dyDescent="0.3">
      <c r="A52" s="6" t="s">
        <v>124</v>
      </c>
      <c r="B52" s="6"/>
      <c r="C52" s="2"/>
      <c r="D52" s="2"/>
      <c r="E52" s="9">
        <f>+E48+E50</f>
        <v>39798.369999999915</v>
      </c>
      <c r="F52" s="9">
        <f>+F48+F50</f>
        <v>17479.475499999895</v>
      </c>
      <c r="G52" s="9">
        <f>IF(G48&lt;0,0,G48+G50)</f>
        <v>26433.143414500155</v>
      </c>
      <c r="H52" s="9">
        <f t="shared" ref="H52:I52" si="12">IF(H48&lt;0,0,H48+H50)</f>
        <v>75793.544258480499</v>
      </c>
      <c r="I52" s="9">
        <f t="shared" si="12"/>
        <v>143357.42585949969</v>
      </c>
      <c r="J52" s="29"/>
      <c r="K52" s="6"/>
      <c r="L52" s="6"/>
      <c r="M52" s="2"/>
      <c r="N52" s="2"/>
      <c r="O52" s="5"/>
      <c r="P52" s="5"/>
    </row>
    <row r="53" spans="1:16" ht="15.75" thickTop="1" x14ac:dyDescent="0.25">
      <c r="A53" s="1"/>
      <c r="B53" s="6"/>
      <c r="C53" s="2"/>
      <c r="D53" s="2"/>
      <c r="E53" s="5"/>
      <c r="F53" s="5"/>
      <c r="J53" s="2"/>
      <c r="K53" s="2"/>
      <c r="L53" s="6"/>
      <c r="M53" s="2"/>
      <c r="N53" s="2"/>
      <c r="O53" s="5"/>
      <c r="P53" s="5"/>
    </row>
    <row r="54" spans="1:16" x14ac:dyDescent="0.25">
      <c r="A54" s="1"/>
      <c r="B54" s="6" t="s">
        <v>125</v>
      </c>
      <c r="C54" s="2"/>
      <c r="D54" s="2"/>
      <c r="E54" s="5">
        <f>+E52*0.22</f>
        <v>8755.6413999999822</v>
      </c>
      <c r="F54" s="5">
        <f t="shared" ref="F54" si="13">+F52*0.22</f>
        <v>3845.4846099999768</v>
      </c>
      <c r="G54" s="5">
        <f>IF(G52*0.22&lt;0,0,G52*0.22)</f>
        <v>5815.2915511900337</v>
      </c>
      <c r="H54" s="5">
        <f t="shared" ref="H54:I54" si="14">IF(H52*0.22&lt;0,0,H52*0.22)</f>
        <v>16674.579736865711</v>
      </c>
      <c r="I54" s="5">
        <f t="shared" si="14"/>
        <v>31538.633689089933</v>
      </c>
      <c r="J54" s="2"/>
      <c r="K54" s="2"/>
      <c r="L54" s="6"/>
      <c r="M54" s="2"/>
      <c r="N54" s="2"/>
      <c r="O54" s="5"/>
      <c r="P54" s="5"/>
    </row>
    <row r="55" spans="1:16" x14ac:dyDescent="0.25">
      <c r="A55" s="1"/>
      <c r="B55" s="6"/>
      <c r="C55" s="2"/>
      <c r="D55" s="2"/>
      <c r="E55" s="5"/>
      <c r="F55" s="5"/>
      <c r="J55" s="5"/>
      <c r="K55" s="2"/>
      <c r="L55" s="6"/>
      <c r="M55" s="2"/>
      <c r="N55" s="2"/>
      <c r="O55" s="5"/>
      <c r="P55" s="5"/>
    </row>
    <row r="56" spans="1:16" ht="15.75" thickBot="1" x14ac:dyDescent="0.3">
      <c r="A56" s="6" t="s">
        <v>130</v>
      </c>
      <c r="B56" s="6"/>
      <c r="C56" s="2"/>
      <c r="D56" s="2"/>
      <c r="E56" s="9">
        <f>+E48-E54</f>
        <v>29302.598599999936</v>
      </c>
      <c r="F56" s="9">
        <f t="shared" ref="F56:I56" si="15">+F48-F54</f>
        <v>7991.6408899999178</v>
      </c>
      <c r="G56" s="9">
        <f t="shared" si="15"/>
        <v>14823.158413310119</v>
      </c>
      <c r="H56" s="9">
        <f t="shared" si="15"/>
        <v>53167.814348464788</v>
      </c>
      <c r="I56" s="9">
        <f t="shared" si="15"/>
        <v>105706.9609425847</v>
      </c>
      <c r="J56" s="2"/>
      <c r="K56" s="6"/>
      <c r="L56" s="6"/>
      <c r="M56" s="2"/>
      <c r="N56" s="2"/>
      <c r="O56" s="5"/>
      <c r="P56" s="5"/>
    </row>
    <row r="57" spans="1:16" ht="15.75" thickTop="1" x14ac:dyDescent="0.25">
      <c r="J57" s="2"/>
      <c r="K57" s="6"/>
      <c r="L57" s="2"/>
      <c r="M57" s="2"/>
      <c r="N57" s="2"/>
      <c r="O57" s="5"/>
      <c r="P57" s="5"/>
    </row>
    <row r="58" spans="1:16" x14ac:dyDescent="0.25">
      <c r="J58" s="5"/>
      <c r="K58" s="5"/>
    </row>
  </sheetData>
  <mergeCells count="2">
    <mergeCell ref="A1:I1"/>
    <mergeCell ref="A2:I2"/>
  </mergeCells>
  <conditionalFormatting sqref="G56:I56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0070C0"/>
  </sheetPr>
  <dimension ref="A1:L47"/>
  <sheetViews>
    <sheetView showGridLines="0" zoomScaleNormal="100" workbookViewId="0">
      <selection activeCell="D16" sqref="D16"/>
    </sheetView>
  </sheetViews>
  <sheetFormatPr defaultColWidth="11.375" defaultRowHeight="12.75" x14ac:dyDescent="0.2"/>
  <cols>
    <col min="1" max="1" width="34.375" style="13" customWidth="1"/>
    <col min="2" max="2" width="17.375" style="13" customWidth="1"/>
    <col min="3" max="3" width="18" style="13" customWidth="1"/>
    <col min="4" max="4" width="16.375" style="13" customWidth="1"/>
    <col min="5" max="5" width="18" style="13" bestFit="1" customWidth="1"/>
    <col min="6" max="6" width="15.125" style="13" bestFit="1" customWidth="1"/>
    <col min="7" max="7" width="12.375" style="13" bestFit="1" customWidth="1"/>
    <col min="8" max="8" width="11.375" style="13"/>
    <col min="9" max="11" width="11.75" style="13" bestFit="1" customWidth="1"/>
    <col min="12" max="16384" width="11.375" style="13"/>
  </cols>
  <sheetData>
    <row r="1" spans="1:7" s="22" customFormat="1" x14ac:dyDescent="0.2">
      <c r="A1" s="438" t="s">
        <v>262</v>
      </c>
      <c r="B1" s="439"/>
      <c r="C1" s="439"/>
      <c r="D1" s="440"/>
      <c r="E1" s="122"/>
    </row>
    <row r="2" spans="1:7" s="22" customFormat="1" x14ac:dyDescent="0.2">
      <c r="A2" s="298" t="s">
        <v>75</v>
      </c>
      <c r="B2" s="300" t="s">
        <v>76</v>
      </c>
      <c r="C2" s="301"/>
      <c r="D2" s="302"/>
      <c r="E2" s="122"/>
    </row>
    <row r="3" spans="1:7" s="22" customFormat="1" x14ac:dyDescent="0.2">
      <c r="A3" s="299"/>
      <c r="B3" s="36">
        <v>2016</v>
      </c>
      <c r="C3" s="36">
        <v>2017</v>
      </c>
      <c r="D3" s="186">
        <v>2018</v>
      </c>
      <c r="F3" s="14"/>
      <c r="G3" s="37"/>
    </row>
    <row r="4" spans="1:7" x14ac:dyDescent="0.2">
      <c r="A4" s="187" t="s">
        <v>77</v>
      </c>
      <c r="B4" s="15"/>
      <c r="C4" s="15"/>
      <c r="D4" s="188"/>
    </row>
    <row r="5" spans="1:7" x14ac:dyDescent="0.2">
      <c r="A5" s="189" t="s">
        <v>78</v>
      </c>
      <c r="B5" s="16">
        <f>+'ER OPTIMISTA'!G13</f>
        <v>1249354.422</v>
      </c>
      <c r="C5" s="16">
        <f>+'ER OPTIMISTA'!H13</f>
        <v>1686628.4697000002</v>
      </c>
      <c r="D5" s="190">
        <f>+'ER OPTIMISTA'!I13</f>
        <v>2276948.4340949999</v>
      </c>
    </row>
    <row r="6" spans="1:7" x14ac:dyDescent="0.2">
      <c r="A6" s="189" t="s">
        <v>187</v>
      </c>
      <c r="B6" s="120"/>
      <c r="C6" s="120"/>
      <c r="D6" s="192"/>
    </row>
    <row r="7" spans="1:7" x14ac:dyDescent="0.2">
      <c r="A7" s="189" t="s">
        <v>184</v>
      </c>
      <c r="B7" s="16">
        <f>+'ER OPTIMISTA'!G38</f>
        <v>658.1925</v>
      </c>
      <c r="C7" s="16">
        <f>+'ER OPTIMISTA'!H38</f>
        <v>888.55987499999992</v>
      </c>
      <c r="D7" s="190">
        <f>+'ER OPTIMISTA'!I38</f>
        <v>1199.5558312499998</v>
      </c>
    </row>
    <row r="8" spans="1:7" x14ac:dyDescent="0.2">
      <c r="A8" s="189" t="s">
        <v>190</v>
      </c>
      <c r="B8" s="16"/>
      <c r="C8" s="16"/>
      <c r="D8" s="190"/>
    </row>
    <row r="9" spans="1:7" x14ac:dyDescent="0.2">
      <c r="A9" s="191" t="s">
        <v>194</v>
      </c>
      <c r="B9" s="120">
        <f>SUM(B5:B8)</f>
        <v>1250012.6144999999</v>
      </c>
      <c r="C9" s="120">
        <f t="shared" ref="C9" si="0">SUM(C5:C8)</f>
        <v>1687517.0295750003</v>
      </c>
      <c r="D9" s="192">
        <f>SUM(D5:D8)</f>
        <v>2278147.9899262497</v>
      </c>
    </row>
    <row r="10" spans="1:7" x14ac:dyDescent="0.2">
      <c r="A10" s="187" t="s">
        <v>53</v>
      </c>
      <c r="B10" s="17"/>
      <c r="C10" s="17"/>
      <c r="D10" s="193"/>
    </row>
    <row r="11" spans="1:7" x14ac:dyDescent="0.2">
      <c r="A11" s="194" t="s">
        <v>189</v>
      </c>
      <c r="B11" s="17"/>
      <c r="C11" s="17"/>
      <c r="D11" s="193"/>
    </row>
    <row r="12" spans="1:7" x14ac:dyDescent="0.2">
      <c r="A12" s="189" t="s">
        <v>182</v>
      </c>
      <c r="B12" s="16">
        <f>+'ER OPTIMISTA'!G17</f>
        <v>1074444.8029199999</v>
      </c>
      <c r="C12" s="16">
        <f>+'ER OPTIMISTA'!H17</f>
        <v>1450500.4839420002</v>
      </c>
      <c r="D12" s="190">
        <f>+'ER OPTIMISTA'!I17</f>
        <v>1958175.6533216999</v>
      </c>
    </row>
    <row r="13" spans="1:7" x14ac:dyDescent="0.2">
      <c r="A13" s="189" t="s">
        <v>183</v>
      </c>
      <c r="B13" s="16">
        <f>+'ER OPTIMISTA'!G18</f>
        <v>12524.5731</v>
      </c>
      <c r="C13" s="16">
        <f>+'ER OPTIMISTA'!H18</f>
        <v>12862.7365737</v>
      </c>
      <c r="D13" s="190">
        <f>+'ER OPTIMISTA'!I18</f>
        <v>13210.030461189899</v>
      </c>
    </row>
    <row r="14" spans="1:7" x14ac:dyDescent="0.2">
      <c r="A14" s="194" t="s">
        <v>201</v>
      </c>
      <c r="B14" s="17">
        <f>+'ER OPTIMISTA'!G32-'ER OPTIMISTA'!G28</f>
        <v>115030.60360999999</v>
      </c>
      <c r="C14" s="17">
        <f>+'ER OPTIMISTA'!H32-'ER OPTIMISTA'!H28</f>
        <v>118136.42990746998</v>
      </c>
      <c r="D14" s="193">
        <f>+'ER OPTIMISTA'!I32-'ER OPTIMISTA'!I28</f>
        <v>121326.11351497169</v>
      </c>
    </row>
    <row r="15" spans="1:7" x14ac:dyDescent="0.2">
      <c r="A15" s="194" t="s">
        <v>185</v>
      </c>
      <c r="B15" s="18">
        <f>+'ER OPTIMISTA'!G34</f>
        <v>4361.1554999999998</v>
      </c>
      <c r="C15" s="18">
        <f>+'ER OPTIMISTA'!H34</f>
        <v>4478.9066984999999</v>
      </c>
      <c r="D15" s="195">
        <f>+'ER OPTIMISTA'!I34</f>
        <v>4599.8371793594997</v>
      </c>
    </row>
    <row r="16" spans="1:7" x14ac:dyDescent="0.2">
      <c r="A16" s="194" t="s">
        <v>186</v>
      </c>
      <c r="B16" s="18">
        <f>+'ER OPTIMISTA'!G42-B22</f>
        <v>2039.95</v>
      </c>
      <c r="C16" s="18">
        <f>+'ER OPTIMISTA'!H42-C22</f>
        <v>2039.95</v>
      </c>
      <c r="D16" s="195">
        <f>+'ER OPTIMISTA'!I42-D22</f>
        <v>2039.95</v>
      </c>
    </row>
    <row r="17" spans="1:12" x14ac:dyDescent="0.2">
      <c r="A17" s="194" t="s">
        <v>199</v>
      </c>
      <c r="B17" s="18">
        <f>+'ER OPTIMISTA'!F54</f>
        <v>3845.4846099999768</v>
      </c>
      <c r="C17" s="18">
        <f>+'ER OPTIMISTA'!G54</f>
        <v>5815.2915511900337</v>
      </c>
      <c r="D17" s="195">
        <f>+'ER OPTIMISTA'!H54</f>
        <v>16674.579736865711</v>
      </c>
      <c r="E17" s="21"/>
    </row>
    <row r="18" spans="1:12" x14ac:dyDescent="0.2">
      <c r="A18" s="194" t="s">
        <v>200</v>
      </c>
      <c r="B18" s="18">
        <f>+'ER OPTIMISTA'!F46</f>
        <v>2088.904499999981</v>
      </c>
      <c r="C18" s="18">
        <f>+'ER OPTIMISTA'!G46</f>
        <v>3642.0794055000265</v>
      </c>
      <c r="D18" s="195">
        <f>+'ER OPTIMISTA'!H46</f>
        <v>12325.128367999498</v>
      </c>
      <c r="E18" s="21"/>
    </row>
    <row r="19" spans="1:12" x14ac:dyDescent="0.2">
      <c r="A19" s="194" t="s">
        <v>188</v>
      </c>
      <c r="B19" s="17"/>
      <c r="C19" s="17"/>
      <c r="D19" s="193"/>
      <c r="E19" s="21"/>
    </row>
    <row r="20" spans="1:12" x14ac:dyDescent="0.2">
      <c r="A20" s="194"/>
      <c r="B20" s="18"/>
      <c r="C20" s="18"/>
      <c r="D20" s="195"/>
    </row>
    <row r="21" spans="1:12" x14ac:dyDescent="0.2">
      <c r="A21" s="194" t="s">
        <v>190</v>
      </c>
      <c r="B21" s="18"/>
      <c r="C21" s="18"/>
      <c r="D21" s="195"/>
    </row>
    <row r="22" spans="1:12" x14ac:dyDescent="0.2">
      <c r="A22" s="194" t="s">
        <v>191</v>
      </c>
      <c r="B22" s="17"/>
      <c r="C22" s="17"/>
      <c r="D22" s="193"/>
    </row>
    <row r="23" spans="1:12" x14ac:dyDescent="0.2">
      <c r="A23" s="194" t="s">
        <v>192</v>
      </c>
      <c r="B23" s="17"/>
      <c r="C23" s="17"/>
      <c r="D23" s="193"/>
    </row>
    <row r="24" spans="1:12" x14ac:dyDescent="0.2">
      <c r="A24" s="196" t="s">
        <v>195</v>
      </c>
      <c r="B24" s="20">
        <f>SUM(B11:B23)</f>
        <v>1214335.4742399999</v>
      </c>
      <c r="C24" s="20">
        <f t="shared" ref="C24:D24" si="1">SUM(C11:C23)</f>
        <v>1597475.8780783603</v>
      </c>
      <c r="D24" s="197">
        <f t="shared" si="1"/>
        <v>2128351.2925820863</v>
      </c>
    </row>
    <row r="25" spans="1:12" x14ac:dyDescent="0.2">
      <c r="A25" s="198"/>
      <c r="B25" s="20"/>
      <c r="C25" s="20"/>
      <c r="D25" s="197"/>
      <c r="F25" s="119"/>
    </row>
    <row r="26" spans="1:12" x14ac:dyDescent="0.2">
      <c r="A26" s="199" t="s">
        <v>193</v>
      </c>
      <c r="B26" s="20">
        <f>B9-B24</f>
        <v>35677.140260000015</v>
      </c>
      <c r="C26" s="20">
        <f t="shared" ref="C26" si="2">C9-C24</f>
        <v>90041.151496639941</v>
      </c>
      <c r="D26" s="197">
        <f>D9-D24</f>
        <v>149796.69734416343</v>
      </c>
      <c r="E26" s="119"/>
      <c r="F26" s="119"/>
    </row>
    <row r="27" spans="1:12" x14ac:dyDescent="0.2">
      <c r="A27" s="200"/>
      <c r="B27" s="19"/>
      <c r="C27" s="19"/>
      <c r="D27" s="201"/>
      <c r="E27" s="121"/>
    </row>
    <row r="28" spans="1:12" x14ac:dyDescent="0.2">
      <c r="A28" s="196" t="s">
        <v>196</v>
      </c>
      <c r="B28" s="19">
        <f>+'BG OPTIMISTA'!E8</f>
        <v>254.36</v>
      </c>
      <c r="C28" s="19">
        <f>+'BG OPTIMISTA'!F8</f>
        <v>35931.500260000015</v>
      </c>
      <c r="D28" s="201">
        <f>+'BG OPTIMISTA'!G8</f>
        <v>125972.65175663996</v>
      </c>
      <c r="E28" s="121"/>
    </row>
    <row r="29" spans="1:12" s="22" customFormat="1" ht="13.5" thickBot="1" x14ac:dyDescent="0.25">
      <c r="A29" s="202" t="s">
        <v>197</v>
      </c>
      <c r="B29" s="203">
        <f>+B26+B28</f>
        <v>35931.500260000015</v>
      </c>
      <c r="C29" s="203">
        <f>+C26+C28</f>
        <v>125972.65175663996</v>
      </c>
      <c r="D29" s="204">
        <f>+D26+D28</f>
        <v>275769.34910080337</v>
      </c>
    </row>
    <row r="31" spans="1:12" x14ac:dyDescent="0.2">
      <c r="A31" s="23"/>
      <c r="B31" s="306" t="str">
        <f>IF(B29&gt;0,"Saldo Positivo","Solicitar Préstamo Bancario o Recuperar Cuentas por Cobrar")</f>
        <v>Saldo Positivo</v>
      </c>
      <c r="C31" s="306" t="str">
        <f t="shared" ref="C31:D31" si="3">IF(C29&gt;0,"Saldo Positivo","Solicitar Préstamo Bancario o Recuperar Cuentas por Cobrar")</f>
        <v>Saldo Positivo</v>
      </c>
      <c r="D31" s="306" t="str">
        <f t="shared" si="3"/>
        <v>Saldo Positivo</v>
      </c>
      <c r="E31" s="23"/>
      <c r="I31" s="38"/>
      <c r="J31" s="38"/>
      <c r="K31" s="38"/>
      <c r="L31" s="38"/>
    </row>
    <row r="32" spans="1:12" s="22" customFormat="1" x14ac:dyDescent="0.2">
      <c r="A32" s="154"/>
      <c r="B32" s="306"/>
      <c r="C32" s="306"/>
      <c r="D32" s="306"/>
      <c r="E32" s="38"/>
      <c r="I32" s="38"/>
      <c r="J32" s="38"/>
      <c r="K32" s="38"/>
      <c r="L32" s="38"/>
    </row>
    <row r="33" spans="1:12" s="22" customFormat="1" x14ac:dyDescent="0.2">
      <c r="A33" s="145"/>
      <c r="B33" s="306"/>
      <c r="C33" s="306"/>
      <c r="D33" s="306"/>
      <c r="E33" s="38"/>
      <c r="I33" s="38"/>
      <c r="J33" s="38"/>
      <c r="K33" s="38"/>
      <c r="L33" s="38"/>
    </row>
    <row r="34" spans="1:12" x14ac:dyDescent="0.2">
      <c r="A34" s="23"/>
      <c r="B34" s="146"/>
      <c r="C34" s="38"/>
      <c r="D34" s="147"/>
      <c r="E34" s="23"/>
    </row>
    <row r="35" spans="1:12" x14ac:dyDescent="0.2">
      <c r="A35" s="148"/>
      <c r="B35" s="149"/>
      <c r="C35" s="38"/>
      <c r="D35" s="147"/>
      <c r="E35" s="23"/>
    </row>
    <row r="36" spans="1:12" x14ac:dyDescent="0.2">
      <c r="A36" s="148"/>
      <c r="B36" s="149"/>
      <c r="C36" s="38"/>
      <c r="D36" s="147"/>
      <c r="E36" s="150"/>
    </row>
    <row r="37" spans="1:12" x14ac:dyDescent="0.2">
      <c r="A37" s="148"/>
      <c r="B37" s="149"/>
      <c r="C37" s="38"/>
      <c r="D37" s="147"/>
      <c r="E37" s="23"/>
    </row>
    <row r="38" spans="1:12" x14ac:dyDescent="0.2">
      <c r="A38" s="151"/>
      <c r="B38" s="149"/>
      <c r="C38" s="38"/>
      <c r="D38" s="152"/>
      <c r="E38" s="146"/>
    </row>
    <row r="39" spans="1:12" x14ac:dyDescent="0.2">
      <c r="A39" s="23"/>
      <c r="B39" s="23"/>
      <c r="C39" s="23"/>
      <c r="D39" s="23"/>
      <c r="E39" s="23"/>
    </row>
    <row r="40" spans="1:12" x14ac:dyDescent="0.2">
      <c r="A40" s="23"/>
      <c r="B40" s="23"/>
      <c r="C40" s="146"/>
      <c r="D40" s="153"/>
      <c r="E40" s="23"/>
    </row>
    <row r="41" spans="1:12" s="22" customFormat="1" x14ac:dyDescent="0.2">
      <c r="A41" s="154"/>
      <c r="B41" s="154"/>
      <c r="C41" s="147"/>
      <c r="D41" s="38"/>
      <c r="E41" s="38"/>
    </row>
    <row r="42" spans="1:12" s="22" customFormat="1" x14ac:dyDescent="0.2">
      <c r="A42" s="145"/>
      <c r="B42" s="145"/>
      <c r="C42" s="38"/>
      <c r="D42" s="38"/>
      <c r="E42" s="38"/>
    </row>
    <row r="43" spans="1:12" x14ac:dyDescent="0.2">
      <c r="A43" s="148"/>
      <c r="B43" s="149"/>
      <c r="C43" s="146"/>
      <c r="D43" s="23"/>
      <c r="E43" s="23"/>
    </row>
    <row r="44" spans="1:12" x14ac:dyDescent="0.2">
      <c r="A44" s="148"/>
      <c r="B44" s="149"/>
      <c r="C44" s="146"/>
      <c r="D44" s="23"/>
      <c r="E44" s="23"/>
    </row>
    <row r="45" spans="1:12" x14ac:dyDescent="0.2">
      <c r="A45" s="148"/>
      <c r="B45" s="149"/>
      <c r="C45" s="146"/>
      <c r="D45" s="23"/>
      <c r="E45" s="23"/>
    </row>
    <row r="46" spans="1:12" x14ac:dyDescent="0.2">
      <c r="A46" s="148"/>
      <c r="B46" s="149"/>
      <c r="C46" s="146"/>
      <c r="D46" s="23"/>
      <c r="E46" s="23"/>
    </row>
    <row r="47" spans="1:12" x14ac:dyDescent="0.2">
      <c r="A47" s="151"/>
      <c r="B47" s="39"/>
      <c r="C47" s="39"/>
      <c r="D47" s="23"/>
      <c r="E47" s="23"/>
    </row>
  </sheetData>
  <mergeCells count="6">
    <mergeCell ref="A2:A3"/>
    <mergeCell ref="A1:D1"/>
    <mergeCell ref="B2:D2"/>
    <mergeCell ref="B31:B33"/>
    <mergeCell ref="C31:C33"/>
    <mergeCell ref="D31:D33"/>
  </mergeCells>
  <conditionalFormatting sqref="B29:D29">
    <cfRule type="cellIs" dxfId="4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0070C0"/>
  </sheetPr>
  <dimension ref="A1:AP115"/>
  <sheetViews>
    <sheetView showGridLines="0" topLeftCell="A67" zoomScaleNormal="100" workbookViewId="0">
      <selection activeCell="C64" sqref="C64:C65"/>
    </sheetView>
  </sheetViews>
  <sheetFormatPr defaultColWidth="11.375" defaultRowHeight="15" x14ac:dyDescent="0.25"/>
  <cols>
    <col min="1" max="1" width="3.875" style="84" customWidth="1"/>
    <col min="2" max="2" width="19.25" style="84" bestFit="1" customWidth="1"/>
    <col min="3" max="7" width="11.375" style="84"/>
    <col min="8" max="8" width="33.125" style="84" bestFit="1" customWidth="1"/>
    <col min="9" max="9" width="45.25" style="84" customWidth="1"/>
    <col min="10" max="10" width="15" style="84" bestFit="1" customWidth="1"/>
    <col min="11" max="11" width="27" style="84" customWidth="1"/>
    <col min="12" max="12" width="7.375" style="84" bestFit="1" customWidth="1"/>
    <col min="13" max="13" width="6.875" style="84" customWidth="1"/>
    <col min="14" max="14" width="7.875" style="84" customWidth="1"/>
    <col min="15" max="15" width="5" style="84" customWidth="1"/>
    <col min="16" max="16" width="4.875" style="84" customWidth="1"/>
    <col min="17" max="16384" width="11.375" style="84"/>
  </cols>
  <sheetData>
    <row r="1" spans="1:36" ht="20.25" x14ac:dyDescent="0.3">
      <c r="B1" s="441" t="s">
        <v>104</v>
      </c>
      <c r="C1" s="442"/>
      <c r="D1" s="442"/>
      <c r="E1" s="442"/>
      <c r="F1" s="442"/>
      <c r="G1" s="442"/>
      <c r="H1" s="442"/>
      <c r="I1" s="443"/>
      <c r="J1" s="85"/>
      <c r="K1" s="85"/>
      <c r="L1" s="85"/>
    </row>
    <row r="2" spans="1:36" x14ac:dyDescent="0.25">
      <c r="B2" s="109"/>
      <c r="C2" s="83"/>
      <c r="D2" s="83"/>
      <c r="E2" s="83"/>
      <c r="F2" s="83"/>
      <c r="G2" s="83"/>
      <c r="H2" s="83"/>
      <c r="I2" s="110"/>
      <c r="J2" s="83"/>
      <c r="K2" s="83"/>
    </row>
    <row r="3" spans="1:36" x14ac:dyDescent="0.25">
      <c r="B3" s="255" t="s">
        <v>83</v>
      </c>
      <c r="C3" s="34">
        <v>2014</v>
      </c>
      <c r="D3" s="34">
        <v>2015</v>
      </c>
      <c r="E3" s="34">
        <v>2016</v>
      </c>
      <c r="F3" s="34">
        <v>2017</v>
      </c>
      <c r="G3" s="34">
        <v>2018</v>
      </c>
      <c r="H3" s="31" t="s">
        <v>84</v>
      </c>
      <c r="I3" s="31" t="s">
        <v>85</v>
      </c>
    </row>
    <row r="4" spans="1:36" x14ac:dyDescent="0.25">
      <c r="B4" s="104"/>
      <c r="C4" s="86"/>
      <c r="D4" s="86"/>
      <c r="E4" s="86"/>
      <c r="F4" s="86"/>
      <c r="G4" s="86"/>
      <c r="H4" s="83"/>
      <c r="I4" s="105"/>
    </row>
    <row r="5" spans="1:36" ht="15" customHeight="1" x14ac:dyDescent="0.25">
      <c r="B5" s="313" t="s">
        <v>133</v>
      </c>
      <c r="C5" s="315">
        <f>+'BG OPTIMISTA'!D20-'BG OPTIMISTA'!D42</f>
        <v>55848.760000000009</v>
      </c>
      <c r="D5" s="315">
        <f>+'BG OPTIMISTA'!E20-'BG OPTIMISTA'!E42</f>
        <v>140625.28549999997</v>
      </c>
      <c r="E5" s="315">
        <f>+'BG OPTIMISTA'!F20-'BG OPTIMISTA'!F42</f>
        <v>172779.43930330989</v>
      </c>
      <c r="F5" s="315">
        <f>+'BG OPTIMISTA'!G20-'BG OPTIMISTA'!G42</f>
        <v>243278.25365177469</v>
      </c>
      <c r="G5" s="315">
        <f>+'BG OPTIMISTA'!H20-'BG OPTIMISTA'!H42</f>
        <v>366316.21459435904</v>
      </c>
      <c r="H5" s="319" t="s">
        <v>134</v>
      </c>
      <c r="I5" s="317" t="s">
        <v>279</v>
      </c>
    </row>
    <row r="6" spans="1:36" x14ac:dyDescent="0.25">
      <c r="B6" s="314"/>
      <c r="C6" s="316"/>
      <c r="D6" s="316"/>
      <c r="E6" s="316"/>
      <c r="F6" s="316"/>
      <c r="G6" s="316"/>
      <c r="H6" s="320"/>
      <c r="I6" s="318"/>
    </row>
    <row r="7" spans="1:36" x14ac:dyDescent="0.25">
      <c r="B7" s="104"/>
      <c r="C7" s="87"/>
      <c r="D7" s="87"/>
      <c r="E7" s="87"/>
      <c r="F7" s="87"/>
      <c r="G7" s="87"/>
      <c r="H7" s="83"/>
      <c r="I7" s="106"/>
    </row>
    <row r="8" spans="1:36" ht="15" customHeight="1" x14ac:dyDescent="0.25">
      <c r="B8" s="313" t="s">
        <v>86</v>
      </c>
      <c r="C8" s="311">
        <f>+'BG OPTIMISTA'!D20/'BG OPTIMISTA'!D42</f>
        <v>1.1462388037112226</v>
      </c>
      <c r="D8" s="311">
        <f>+'BG OPTIMISTA'!E20/'BG OPTIMISTA'!E42</f>
        <v>1.5909304154553432</v>
      </c>
      <c r="E8" s="311">
        <f>+'BG OPTIMISTA'!F20/'BG OPTIMISTA'!F42</f>
        <v>1.715455697106099</v>
      </c>
      <c r="F8" s="311">
        <f>+'BG OPTIMISTA'!G20/'BG OPTIMISTA'!G42</f>
        <v>1.9319649427961572</v>
      </c>
      <c r="G8" s="311">
        <f>+'BG OPTIMISTA'!H20/'BG OPTIMISTA'!H42</f>
        <v>2.2728296863787154</v>
      </c>
      <c r="H8" s="32" t="s">
        <v>71</v>
      </c>
      <c r="I8" s="321" t="s">
        <v>280</v>
      </c>
    </row>
    <row r="9" spans="1:36" ht="22.5" customHeight="1" x14ac:dyDescent="0.25">
      <c r="B9" s="314"/>
      <c r="C9" s="312"/>
      <c r="D9" s="312"/>
      <c r="E9" s="312"/>
      <c r="F9" s="312"/>
      <c r="G9" s="312"/>
      <c r="H9" s="33" t="s">
        <v>87</v>
      </c>
      <c r="I9" s="322"/>
    </row>
    <row r="10" spans="1:36" x14ac:dyDescent="0.25">
      <c r="B10" s="104"/>
      <c r="C10" s="87"/>
      <c r="D10" s="87"/>
      <c r="E10" s="87"/>
      <c r="F10" s="87"/>
      <c r="G10" s="87"/>
      <c r="H10" s="83"/>
      <c r="I10" s="106"/>
    </row>
    <row r="11" spans="1:36" ht="15" customHeight="1" x14ac:dyDescent="0.25">
      <c r="B11" s="309" t="s">
        <v>135</v>
      </c>
      <c r="C11" s="311">
        <f>('BG OPTIMISTA'!D20-'BG OPTIMISTA'!D18)/'BG OPTIMISTA'!D42</f>
        <v>1.0191479940749057</v>
      </c>
      <c r="D11" s="311">
        <f>('BG OPTIMISTA'!E20-'BG OPTIMISTA'!E18)/'BG OPTIMISTA'!E42</f>
        <v>1.1742513812967792</v>
      </c>
      <c r="E11" s="311">
        <f>('BG OPTIMISTA'!F20-'BG OPTIMISTA'!F18)/'BG OPTIMISTA'!F42</f>
        <v>1.3048552593459051</v>
      </c>
      <c r="F11" s="311">
        <f>('BG OPTIMISTA'!G20-'BG OPTIMISTA'!G18)/'BG OPTIMISTA'!G42</f>
        <v>1.5521036792310789</v>
      </c>
      <c r="G11" s="311">
        <f>('BG OPTIMISTA'!H20-'BG OPTIMISTA'!H18)/'BG OPTIMISTA'!H42</f>
        <v>1.9282871271468447</v>
      </c>
      <c r="H11" s="32" t="s">
        <v>136</v>
      </c>
      <c r="I11" s="321" t="s">
        <v>281</v>
      </c>
    </row>
    <row r="12" spans="1:36" ht="22.5" customHeight="1" x14ac:dyDescent="0.25">
      <c r="B12" s="310"/>
      <c r="C12" s="312"/>
      <c r="D12" s="312"/>
      <c r="E12" s="312"/>
      <c r="F12" s="312"/>
      <c r="G12" s="312"/>
      <c r="H12" s="33" t="s">
        <v>87</v>
      </c>
      <c r="I12" s="322"/>
    </row>
    <row r="15" spans="1:36" x14ac:dyDescent="0.2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</row>
    <row r="16" spans="1:36" ht="20.25" x14ac:dyDescent="0.3">
      <c r="A16" s="83"/>
      <c r="B16" s="441" t="s">
        <v>156</v>
      </c>
      <c r="C16" s="442"/>
      <c r="D16" s="442"/>
      <c r="E16" s="442"/>
      <c r="F16" s="442"/>
      <c r="G16" s="442"/>
      <c r="H16" s="442"/>
      <c r="I16" s="443"/>
      <c r="J16" s="85"/>
      <c r="K16" s="85"/>
      <c r="L16" s="85"/>
      <c r="M16" s="85"/>
      <c r="N16" s="85"/>
      <c r="O16" s="85"/>
      <c r="P16" s="85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</row>
    <row r="17" spans="1:34" x14ac:dyDescent="0.25">
      <c r="A17" s="83"/>
      <c r="B17" s="109"/>
      <c r="C17" s="83"/>
      <c r="D17" s="83"/>
      <c r="E17" s="83"/>
      <c r="F17" s="83"/>
      <c r="G17" s="83"/>
      <c r="H17" s="83"/>
      <c r="I17" s="110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</row>
    <row r="18" spans="1:34" s="83" customFormat="1" ht="15" customHeight="1" x14ac:dyDescent="0.2">
      <c r="B18" s="255" t="s">
        <v>83</v>
      </c>
      <c r="C18" s="34">
        <v>2014</v>
      </c>
      <c r="D18" s="34">
        <v>2015</v>
      </c>
      <c r="E18" s="34">
        <v>2016</v>
      </c>
      <c r="F18" s="34">
        <v>2017</v>
      </c>
      <c r="G18" s="34">
        <v>2018</v>
      </c>
      <c r="H18" s="31" t="s">
        <v>84</v>
      </c>
      <c r="I18" s="31" t="s">
        <v>85</v>
      </c>
      <c r="J18" s="103"/>
    </row>
    <row r="19" spans="1:34" s="83" customFormat="1" ht="9" customHeight="1" x14ac:dyDescent="0.2">
      <c r="B19" s="104"/>
      <c r="C19" s="86"/>
      <c r="D19" s="86"/>
      <c r="E19" s="86"/>
      <c r="F19" s="86"/>
      <c r="G19" s="86"/>
      <c r="I19" s="105"/>
    </row>
    <row r="20" spans="1:34" s="83" customFormat="1" ht="20.100000000000001" customHeight="1" x14ac:dyDescent="0.2">
      <c r="B20" s="326" t="s">
        <v>137</v>
      </c>
      <c r="C20" s="311">
        <f>'ER OPTIMISTA'!E20/(('BG OPTIMISTA'!D18+96345.96)/2)</f>
        <v>21.517869014580683</v>
      </c>
      <c r="D20" s="311">
        <f>+'ER OPTIMISTA'!F20/(('BG OPTIMISTA'!E18+'BG OPTIMISTA'!D18)/2)</f>
        <v>10.513407081137979</v>
      </c>
      <c r="E20" s="311">
        <f>+'ER OPTIMISTA'!G20/(('BG OPTIMISTA'!F18+'BG OPTIMISTA'!E18)/2)</f>
        <v>10.961969426437866</v>
      </c>
      <c r="F20" s="311">
        <f>+'ER OPTIMISTA'!H20/(('BG OPTIMISTA'!G18+'BG OPTIMISTA'!F18)/2)</f>
        <v>14.757860926867185</v>
      </c>
      <c r="G20" s="311">
        <f>+'ER OPTIMISTA'!I20/(('BG OPTIMISTA'!H18+'BG OPTIMISTA'!G18)/2)</f>
        <v>19.881212911878507</v>
      </c>
      <c r="H20" s="32" t="s">
        <v>138</v>
      </c>
      <c r="I20" s="321" t="s">
        <v>266</v>
      </c>
      <c r="J20" s="308"/>
    </row>
    <row r="21" spans="1:34" s="83" customFormat="1" ht="20.100000000000001" customHeight="1" x14ac:dyDescent="0.2">
      <c r="B21" s="327"/>
      <c r="C21" s="312"/>
      <c r="D21" s="312"/>
      <c r="E21" s="312"/>
      <c r="F21" s="312"/>
      <c r="G21" s="312"/>
      <c r="H21" s="33" t="s">
        <v>139</v>
      </c>
      <c r="I21" s="322"/>
      <c r="J21" s="308"/>
    </row>
    <row r="22" spans="1:34" s="83" customFormat="1" ht="9" customHeight="1" x14ac:dyDescent="0.2">
      <c r="B22" s="104"/>
      <c r="C22" s="87"/>
      <c r="D22" s="87"/>
      <c r="E22" s="87"/>
      <c r="F22" s="87"/>
      <c r="G22" s="87"/>
      <c r="I22" s="106"/>
    </row>
    <row r="23" spans="1:34" s="83" customFormat="1" ht="20.100000000000001" customHeight="1" x14ac:dyDescent="0.2">
      <c r="B23" s="326" t="s">
        <v>140</v>
      </c>
      <c r="C23" s="311">
        <f>365/C20</f>
        <v>16.962646243114179</v>
      </c>
      <c r="D23" s="311">
        <f t="shared" ref="D23:G23" si="0">365/D20</f>
        <v>34.717575109865535</v>
      </c>
      <c r="E23" s="311">
        <f t="shared" si="0"/>
        <v>33.296936508479952</v>
      </c>
      <c r="F23" s="311">
        <f t="shared" si="0"/>
        <v>24.732581626074627</v>
      </c>
      <c r="G23" s="311">
        <f t="shared" si="0"/>
        <v>18.359040850164732</v>
      </c>
      <c r="H23" s="32" t="s">
        <v>141</v>
      </c>
      <c r="I23" s="321" t="s">
        <v>267</v>
      </c>
      <c r="J23" s="308"/>
    </row>
    <row r="24" spans="1:34" s="83" customFormat="1" ht="20.100000000000001" customHeight="1" x14ac:dyDescent="0.2">
      <c r="B24" s="327"/>
      <c r="C24" s="312"/>
      <c r="D24" s="312"/>
      <c r="E24" s="312"/>
      <c r="F24" s="312"/>
      <c r="G24" s="312"/>
      <c r="H24" s="33" t="s">
        <v>137</v>
      </c>
      <c r="I24" s="322"/>
      <c r="J24" s="308"/>
    </row>
    <row r="25" spans="1:34" s="83" customFormat="1" ht="9" customHeight="1" x14ac:dyDescent="0.2">
      <c r="B25" s="104"/>
      <c r="C25" s="87"/>
      <c r="D25" s="87"/>
      <c r="E25" s="87"/>
      <c r="F25" s="87"/>
      <c r="G25" s="87"/>
      <c r="I25" s="106"/>
    </row>
    <row r="26" spans="1:34" s="83" customFormat="1" ht="20.100000000000001" customHeight="1" x14ac:dyDescent="0.2">
      <c r="B26" s="326" t="s">
        <v>142</v>
      </c>
      <c r="C26" s="311">
        <f>'ER OPTIMISTA'!E13/'BG OPTIMISTA'!D27</f>
        <v>14.111362573049352</v>
      </c>
      <c r="D26" s="311">
        <f>'ER OPTIMISTA'!F13/'BG OPTIMISTA'!E27</f>
        <v>8.9863941898878466</v>
      </c>
      <c r="E26" s="311">
        <f>'ER OPTIMISTA'!G13/'BG OPTIMISTA'!F27</f>
        <v>14.586365278841031</v>
      </c>
      <c r="F26" s="311">
        <f>'ER OPTIMISTA'!H13/'BG OPTIMISTA'!G27</f>
        <v>24.686747639569045</v>
      </c>
      <c r="G26" s="311">
        <f>'ER OPTIMISTA'!I13/'BG OPTIMISTA'!H27</f>
        <v>44.654619663166741</v>
      </c>
      <c r="H26" s="32" t="s">
        <v>143</v>
      </c>
      <c r="I26" s="321" t="s">
        <v>268</v>
      </c>
      <c r="J26" s="308"/>
    </row>
    <row r="27" spans="1:34" s="83" customFormat="1" ht="20.100000000000001" customHeight="1" x14ac:dyDescent="0.2">
      <c r="B27" s="327"/>
      <c r="C27" s="312"/>
      <c r="D27" s="312"/>
      <c r="E27" s="312"/>
      <c r="F27" s="312"/>
      <c r="G27" s="312"/>
      <c r="H27" s="33" t="s">
        <v>70</v>
      </c>
      <c r="I27" s="322"/>
      <c r="J27" s="308"/>
    </row>
    <row r="28" spans="1:34" s="83" customFormat="1" ht="9" customHeight="1" x14ac:dyDescent="0.2">
      <c r="B28" s="104"/>
      <c r="C28" s="87"/>
      <c r="D28" s="87"/>
      <c r="E28" s="87"/>
      <c r="F28" s="87"/>
      <c r="G28" s="87"/>
      <c r="I28" s="106"/>
    </row>
    <row r="29" spans="1:34" s="83" customFormat="1" ht="20.100000000000001" customHeight="1" x14ac:dyDescent="0.2">
      <c r="B29" s="309" t="s">
        <v>144</v>
      </c>
      <c r="C29" s="311">
        <f>'ER OPTIMISTA'!E13/'BG OPTIMISTA'!D29</f>
        <v>3.0422984228316294</v>
      </c>
      <c r="D29" s="311">
        <f>'ER OPTIMISTA'!F13/'BG OPTIMISTA'!E29</f>
        <v>1.9216858898716058</v>
      </c>
      <c r="E29" s="311">
        <f>'ER OPTIMISTA'!G13/'BG OPTIMISTA'!F29</f>
        <v>2.4990722077994967</v>
      </c>
      <c r="F29" s="311">
        <f>'ER OPTIMISTA'!H13/'BG OPTIMISTA'!G29</f>
        <v>2.9453687748261101</v>
      </c>
      <c r="G29" s="311">
        <f>'ER OPTIMISTA'!I13/'BG OPTIMISTA'!H29</f>
        <v>3.2292416180508106</v>
      </c>
      <c r="H29" s="32" t="s">
        <v>69</v>
      </c>
      <c r="I29" s="321" t="s">
        <v>269</v>
      </c>
      <c r="J29" s="308"/>
    </row>
    <row r="30" spans="1:34" s="83" customFormat="1" ht="20.100000000000001" customHeight="1" x14ac:dyDescent="0.2">
      <c r="B30" s="310"/>
      <c r="C30" s="312"/>
      <c r="D30" s="312"/>
      <c r="E30" s="312"/>
      <c r="F30" s="312"/>
      <c r="G30" s="312"/>
      <c r="H30" s="33" t="s">
        <v>145</v>
      </c>
      <c r="I30" s="322"/>
      <c r="J30" s="308"/>
    </row>
    <row r="31" spans="1:34" s="83" customFormat="1" ht="9" customHeight="1" x14ac:dyDescent="0.2">
      <c r="B31" s="104"/>
      <c r="C31" s="87"/>
      <c r="D31" s="87"/>
      <c r="E31" s="87"/>
      <c r="F31" s="87"/>
      <c r="G31" s="87"/>
      <c r="I31" s="106"/>
    </row>
    <row r="32" spans="1:34" s="83" customFormat="1" ht="20.100000000000001" customHeight="1" x14ac:dyDescent="0.2">
      <c r="B32" s="313" t="s">
        <v>146</v>
      </c>
      <c r="C32" s="311">
        <f>'ER OPTIMISTA'!E13/'BG OPTIMISTA'!D12</f>
        <v>5.745011648740971</v>
      </c>
      <c r="D32" s="311">
        <f>'ER OPTIMISTA'!F13/'BG OPTIMISTA'!E12</f>
        <v>3.6921922140572709</v>
      </c>
      <c r="E32" s="311">
        <f>'ER OPTIMISTA'!G13/'BG OPTIMISTA'!F12</f>
        <v>4.9844594889773157</v>
      </c>
      <c r="F32" s="311">
        <f>'ER OPTIMISTA'!H13/'BG OPTIMISTA'!G12</f>
        <v>6.7290203101193775</v>
      </c>
      <c r="G32" s="311">
        <f>'ER OPTIMISTA'!I13/'BG OPTIMISTA'!H12</f>
        <v>9.0841774186611577</v>
      </c>
      <c r="H32" s="32" t="s">
        <v>69</v>
      </c>
      <c r="I32" s="321" t="s">
        <v>270</v>
      </c>
      <c r="J32" s="308"/>
    </row>
    <row r="33" spans="1:34" s="83" customFormat="1" ht="20.100000000000001" customHeight="1" x14ac:dyDescent="0.2">
      <c r="B33" s="314"/>
      <c r="C33" s="312"/>
      <c r="D33" s="312"/>
      <c r="E33" s="312"/>
      <c r="F33" s="312"/>
      <c r="G33" s="312"/>
      <c r="H33" s="33" t="s">
        <v>7</v>
      </c>
      <c r="I33" s="322"/>
      <c r="J33" s="308"/>
    </row>
    <row r="34" spans="1:34" s="83" customFormat="1" ht="9" customHeight="1" x14ac:dyDescent="0.2">
      <c r="B34" s="104"/>
      <c r="C34" s="89"/>
      <c r="D34" s="89"/>
      <c r="E34" s="89"/>
      <c r="F34" s="89"/>
      <c r="G34" s="89"/>
      <c r="I34" s="106"/>
    </row>
    <row r="35" spans="1:34" s="83" customFormat="1" ht="20.100000000000001" customHeight="1" x14ac:dyDescent="0.2">
      <c r="B35" s="326" t="s">
        <v>147</v>
      </c>
      <c r="C35" s="311">
        <f>('BG OPTIMISTA'!D12*365)/'ER OPTIMISTA'!E13</f>
        <v>63.533378575479539</v>
      </c>
      <c r="D35" s="311">
        <f>('BG OPTIMISTA'!E12*365)/'ER OPTIMISTA'!F13</f>
        <v>98.857258462963202</v>
      </c>
      <c r="E35" s="311">
        <f>('BG OPTIMISTA'!F12*365)/'ER OPTIMISTA'!G13</f>
        <v>73.227598861454226</v>
      </c>
      <c r="F35" s="311">
        <f>('BG OPTIMISTA'!G12*365)/'ER OPTIMISTA'!H13</f>
        <v>54.242665823299419</v>
      </c>
      <c r="G35" s="311">
        <f>('BG OPTIMISTA'!H12*365)/'ER OPTIMISTA'!I13</f>
        <v>40.179752461703281</v>
      </c>
      <c r="H35" s="32" t="s">
        <v>148</v>
      </c>
      <c r="I35" s="321" t="s">
        <v>271</v>
      </c>
      <c r="J35" s="308"/>
    </row>
    <row r="36" spans="1:34" s="83" customFormat="1" ht="20.100000000000001" customHeight="1" x14ac:dyDescent="0.2">
      <c r="B36" s="327"/>
      <c r="C36" s="312"/>
      <c r="D36" s="312"/>
      <c r="E36" s="312"/>
      <c r="F36" s="312"/>
      <c r="G36" s="312"/>
      <c r="H36" s="100" t="s">
        <v>69</v>
      </c>
      <c r="I36" s="322"/>
      <c r="J36" s="308"/>
    </row>
    <row r="37" spans="1:34" s="83" customFormat="1" ht="9" customHeight="1" x14ac:dyDescent="0.2">
      <c r="B37" s="104"/>
      <c r="C37" s="89"/>
      <c r="D37" s="89"/>
      <c r="E37" s="89"/>
      <c r="F37" s="89"/>
      <c r="G37" s="89"/>
      <c r="I37" s="106"/>
    </row>
    <row r="38" spans="1:34" s="83" customFormat="1" ht="19.5" customHeight="1" x14ac:dyDescent="0.2">
      <c r="B38" s="326" t="s">
        <v>149</v>
      </c>
      <c r="C38" s="311">
        <f>('BG OPTIMISTA'!D37*365)/'BG OPTIMISTA'!D18</f>
        <v>2091.0883729478169</v>
      </c>
      <c r="D38" s="311">
        <f>('BG OPTIMISTA'!E37*365)/'BG OPTIMISTA'!E18</f>
        <v>435.61857151126753</v>
      </c>
      <c r="E38" s="311">
        <f>('BG OPTIMISTA'!F37*365)/'BG OPTIMISTA'!F18</f>
        <v>435.61857151126753</v>
      </c>
      <c r="F38" s="311">
        <f>('BG OPTIMISTA'!G37*365)/'BG OPTIMISTA'!G18</f>
        <v>435.61857151126753</v>
      </c>
      <c r="G38" s="311">
        <f>('BG OPTIMISTA'!H37*365)/'BG OPTIMISTA'!H18</f>
        <v>435.61857151126753</v>
      </c>
      <c r="H38" s="102" t="s">
        <v>150</v>
      </c>
      <c r="I38" s="321" t="s">
        <v>151</v>
      </c>
      <c r="J38" s="308"/>
    </row>
    <row r="39" spans="1:34" s="83" customFormat="1" ht="20.100000000000001" customHeight="1" x14ac:dyDescent="0.2">
      <c r="B39" s="327"/>
      <c r="C39" s="312"/>
      <c r="D39" s="312"/>
      <c r="E39" s="312"/>
      <c r="F39" s="312"/>
      <c r="G39" s="312"/>
      <c r="H39" s="101" t="s">
        <v>13</v>
      </c>
      <c r="I39" s="322"/>
      <c r="J39" s="308"/>
    </row>
    <row r="40" spans="1:34" s="83" customFormat="1" ht="9" customHeight="1" x14ac:dyDescent="0.2">
      <c r="B40" s="104"/>
      <c r="C40" s="89"/>
      <c r="D40" s="89"/>
      <c r="E40" s="89"/>
      <c r="F40" s="89"/>
      <c r="G40" s="89"/>
      <c r="I40" s="106"/>
    </row>
    <row r="41" spans="1:34" s="83" customFormat="1" ht="19.5" customHeight="1" x14ac:dyDescent="0.2">
      <c r="B41" s="326" t="s">
        <v>152</v>
      </c>
      <c r="C41" s="329">
        <f>('ER OPTIMISTA'!E32+'ER OPTIMISTA'!E34)/'ER OPTIMISTA'!E13</f>
        <v>7.8336848004671278E-2</v>
      </c>
      <c r="D41" s="329">
        <f>('ER OPTIMISTA'!F32+'ER OPTIMISTA'!F34)/'ER OPTIMISTA'!F13</f>
        <v>0.14434519326494208</v>
      </c>
      <c r="E41" s="329">
        <f>('ER OPTIMISTA'!G32+'ER OPTIMISTA'!G34)/'ER OPTIMISTA'!G13</f>
        <v>0.1094347262093414</v>
      </c>
      <c r="F41" s="329">
        <f>('ER OPTIMISTA'!H32+'ER OPTIMISTA'!H34)/'ER OPTIMISTA'!H13</f>
        <v>8.2974015392294528E-2</v>
      </c>
      <c r="G41" s="329">
        <f>('ER OPTIMISTA'!I32+'ER OPTIMISTA'!I34)/'ER OPTIMISTA'!I13</f>
        <v>6.2916203348834451E-2</v>
      </c>
      <c r="H41" s="102" t="s">
        <v>154</v>
      </c>
      <c r="I41" s="321" t="s">
        <v>173</v>
      </c>
      <c r="J41" s="308"/>
    </row>
    <row r="42" spans="1:34" s="83" customFormat="1" ht="20.100000000000001" customHeight="1" x14ac:dyDescent="0.2">
      <c r="B42" s="327"/>
      <c r="C42" s="330"/>
      <c r="D42" s="330"/>
      <c r="E42" s="330"/>
      <c r="F42" s="330"/>
      <c r="G42" s="330"/>
      <c r="H42" s="101" t="s">
        <v>69</v>
      </c>
      <c r="I42" s="322"/>
      <c r="J42" s="308"/>
    </row>
    <row r="43" spans="1:34" s="83" customFormat="1" ht="9" customHeight="1" x14ac:dyDescent="0.2">
      <c r="B43" s="104"/>
      <c r="C43" s="239"/>
      <c r="D43" s="239"/>
      <c r="E43" s="239"/>
      <c r="F43" s="239"/>
      <c r="G43" s="239"/>
      <c r="I43" s="106"/>
    </row>
    <row r="44" spans="1:34" s="83" customFormat="1" ht="19.5" customHeight="1" x14ac:dyDescent="0.2">
      <c r="B44" s="326" t="s">
        <v>153</v>
      </c>
      <c r="C44" s="329">
        <f>('ER OPTIMISTA'!E42/'ER OPTIMISTA'!E13)</f>
        <v>3.744109780257414E-3</v>
      </c>
      <c r="D44" s="329">
        <f>('ER OPTIMISTA'!F42/'ER OPTIMISTA'!F13)</f>
        <v>2.2042844300270144E-3</v>
      </c>
      <c r="E44" s="329">
        <f>('ER OPTIMISTA'!G42/'ER OPTIMISTA'!G13)</f>
        <v>1.6328032815014922E-3</v>
      </c>
      <c r="F44" s="329">
        <f>('ER OPTIMISTA'!H42/'ER OPTIMISTA'!H13)</f>
        <v>1.2094839122233274E-3</v>
      </c>
      <c r="G44" s="329">
        <f>('ER OPTIMISTA'!I42/'ER OPTIMISTA'!I13)</f>
        <v>8.9591400905431669E-4</v>
      </c>
      <c r="H44" s="102" t="s">
        <v>155</v>
      </c>
      <c r="I44" s="321" t="s">
        <v>174</v>
      </c>
      <c r="J44" s="308"/>
    </row>
    <row r="45" spans="1:34" s="83" customFormat="1" ht="20.100000000000001" customHeight="1" x14ac:dyDescent="0.2">
      <c r="B45" s="327"/>
      <c r="C45" s="330"/>
      <c r="D45" s="330"/>
      <c r="E45" s="330"/>
      <c r="F45" s="330"/>
      <c r="G45" s="330"/>
      <c r="H45" s="101" t="s">
        <v>69</v>
      </c>
      <c r="I45" s="322"/>
      <c r="J45" s="308"/>
    </row>
    <row r="46" spans="1:34" x14ac:dyDescent="0.25">
      <c r="A46" s="93"/>
      <c r="B46" s="93"/>
      <c r="C46" s="93"/>
      <c r="D46" s="93"/>
      <c r="E46" s="93"/>
      <c r="F46" s="93"/>
      <c r="G46" s="93"/>
      <c r="H46" s="93"/>
      <c r="I46" s="93"/>
      <c r="J46" s="93"/>
    </row>
    <row r="47" spans="1:34" x14ac:dyDescent="0.25">
      <c r="A47" s="93"/>
      <c r="B47" s="93"/>
      <c r="C47" s="93"/>
      <c r="D47" s="93"/>
      <c r="E47" s="93"/>
      <c r="F47" s="93"/>
      <c r="G47" s="93"/>
      <c r="H47" s="93"/>
      <c r="I47" s="93"/>
      <c r="J47" s="93"/>
    </row>
    <row r="48" spans="1:34" ht="20.25" x14ac:dyDescent="0.3">
      <c r="A48" s="83"/>
      <c r="B48" s="441" t="s">
        <v>88</v>
      </c>
      <c r="C48" s="442"/>
      <c r="D48" s="442"/>
      <c r="E48" s="442"/>
      <c r="F48" s="442"/>
      <c r="G48" s="442"/>
      <c r="H48" s="442"/>
      <c r="I48" s="443"/>
      <c r="J48" s="85"/>
      <c r="K48" s="85"/>
      <c r="L48" s="85"/>
      <c r="M48" s="85"/>
      <c r="N48" s="85"/>
      <c r="O48" s="85"/>
      <c r="P48" s="85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</row>
    <row r="49" spans="1:42" x14ac:dyDescent="0.25">
      <c r="A49" s="83"/>
      <c r="B49" s="109"/>
      <c r="C49" s="83"/>
      <c r="D49" s="83"/>
      <c r="E49" s="83"/>
      <c r="F49" s="83"/>
      <c r="G49" s="83"/>
      <c r="H49" s="83"/>
      <c r="I49" s="110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</row>
    <row r="50" spans="1:42" ht="15" customHeight="1" x14ac:dyDescent="0.25">
      <c r="B50" s="35" t="s">
        <v>83</v>
      </c>
      <c r="C50" s="78">
        <v>2014</v>
      </c>
      <c r="D50" s="78">
        <v>2015</v>
      </c>
      <c r="E50" s="78">
        <v>2016</v>
      </c>
      <c r="F50" s="78">
        <v>2017</v>
      </c>
      <c r="G50" s="78">
        <v>2018</v>
      </c>
      <c r="H50" s="78" t="s">
        <v>84</v>
      </c>
      <c r="I50" s="78" t="s">
        <v>85</v>
      </c>
    </row>
    <row r="51" spans="1:42" ht="9" customHeight="1" x14ac:dyDescent="0.25">
      <c r="B51" s="104"/>
      <c r="C51" s="112"/>
      <c r="D51" s="112"/>
      <c r="E51" s="112"/>
      <c r="F51" s="112"/>
      <c r="G51" s="112"/>
      <c r="H51" s="93"/>
      <c r="I51" s="106"/>
    </row>
    <row r="52" spans="1:42" ht="20.100000000000001" customHeight="1" x14ac:dyDescent="0.25">
      <c r="B52" s="326" t="s">
        <v>157</v>
      </c>
      <c r="C52" s="311">
        <f>+'BG OPTIMISTA'!D51/'BG OPTIMISTA'!D29</f>
        <v>0.69574792729444135</v>
      </c>
      <c r="D52" s="311">
        <f>+'BG OPTIMISTA'!E51/'BG OPTIMISTA'!E29</f>
        <v>0.63034466402298628</v>
      </c>
      <c r="E52" s="311">
        <f>+'BG OPTIMISTA'!F51/'BG OPTIMISTA'!F29</f>
        <v>0.6142595149274358</v>
      </c>
      <c r="F52" s="311">
        <f>+'BG OPTIMISTA'!G51/'BG OPTIMISTA'!G29</f>
        <v>0.57039133068033365</v>
      </c>
      <c r="G52" s="311">
        <f>+'BG OPTIMISTA'!H51/'BG OPTIMISTA'!H29</f>
        <v>0.50118365654316965</v>
      </c>
      <c r="H52" s="32" t="s">
        <v>161</v>
      </c>
      <c r="I52" s="321" t="s">
        <v>272</v>
      </c>
      <c r="Q52" s="83"/>
    </row>
    <row r="53" spans="1:42" ht="20.100000000000001" customHeight="1" x14ac:dyDescent="0.25">
      <c r="B53" s="328"/>
      <c r="C53" s="312"/>
      <c r="D53" s="312"/>
      <c r="E53" s="312"/>
      <c r="F53" s="312"/>
      <c r="G53" s="312"/>
      <c r="H53" s="33" t="s">
        <v>145</v>
      </c>
      <c r="I53" s="322"/>
      <c r="Q53" s="83"/>
    </row>
    <row r="54" spans="1:42" ht="9" customHeight="1" x14ac:dyDescent="0.25">
      <c r="B54" s="113"/>
      <c r="C54" s="114"/>
      <c r="D54" s="114"/>
      <c r="E54" s="114"/>
      <c r="F54" s="114"/>
      <c r="G54" s="114"/>
      <c r="H54" s="93"/>
      <c r="I54" s="106"/>
      <c r="Q54" s="83"/>
    </row>
    <row r="55" spans="1:42" ht="20.100000000000001" customHeight="1" x14ac:dyDescent="0.25">
      <c r="B55" s="326" t="s">
        <v>158</v>
      </c>
      <c r="C55" s="311">
        <f>+'BG OPTIMISTA'!D51/'BG OPTIMISTA'!D60</f>
        <v>2.1997373555932431</v>
      </c>
      <c r="D55" s="311">
        <f>+'BG OPTIMISTA'!E51/'BG OPTIMISTA'!E60</f>
        <v>1.7052227277618837</v>
      </c>
      <c r="E55" s="311">
        <f>+'BG OPTIMISTA'!F51/'BG OPTIMISTA'!F60</f>
        <v>1.5924165046141907</v>
      </c>
      <c r="F55" s="311">
        <f>+'BG OPTIMISTA'!G51/'BG OPTIMISTA'!G60</f>
        <v>1.3276997682183931</v>
      </c>
      <c r="G55" s="311">
        <f>+'BG OPTIMISTA'!H51/'BG OPTIMISTA'!H60</f>
        <v>1.0047458611117928</v>
      </c>
      <c r="H55" s="32" t="s">
        <v>162</v>
      </c>
      <c r="I55" s="321" t="s">
        <v>273</v>
      </c>
    </row>
    <row r="56" spans="1:42" ht="20.100000000000001" customHeight="1" x14ac:dyDescent="0.25">
      <c r="B56" s="328"/>
      <c r="C56" s="312"/>
      <c r="D56" s="312"/>
      <c r="E56" s="312"/>
      <c r="F56" s="312"/>
      <c r="G56" s="312"/>
      <c r="H56" s="33" t="s">
        <v>35</v>
      </c>
      <c r="I56" s="322"/>
    </row>
    <row r="57" spans="1:42" ht="9" customHeight="1" x14ac:dyDescent="0.25">
      <c r="B57" s="113"/>
      <c r="C57" s="114"/>
      <c r="D57" s="114"/>
      <c r="E57" s="114"/>
      <c r="F57" s="114"/>
      <c r="G57" s="114"/>
      <c r="H57" s="93"/>
      <c r="I57" s="106"/>
    </row>
    <row r="58" spans="1:42" ht="20.100000000000001" customHeight="1" x14ac:dyDescent="0.25">
      <c r="B58" s="326" t="s">
        <v>159</v>
      </c>
      <c r="C58" s="311">
        <f>'BG OPTIMISTA'!D60/'BG OPTIMISTA'!D27</f>
        <v>1.4670611941847931</v>
      </c>
      <c r="D58" s="311">
        <f>'BG OPTIMISTA'!E60/'BG OPTIMISTA'!E27</f>
        <v>1.728621984981823</v>
      </c>
      <c r="E58" s="311">
        <f>'BG OPTIMISTA'!F60/'BG OPTIMISTA'!F27</f>
        <v>2.251456200643394</v>
      </c>
      <c r="F58" s="311">
        <f>'BG OPTIMISTA'!G60/'BG OPTIMISTA'!G27</f>
        <v>3.6007853732651247</v>
      </c>
      <c r="G58" s="311">
        <f>'BG OPTIMISTA'!H60/'BG OPTIMISTA'!H27</f>
        <v>6.8977353612460073</v>
      </c>
      <c r="H58" s="32" t="s">
        <v>35</v>
      </c>
      <c r="I58" s="321" t="s">
        <v>175</v>
      </c>
    </row>
    <row r="59" spans="1:42" ht="20.100000000000001" customHeight="1" x14ac:dyDescent="0.25">
      <c r="B59" s="328"/>
      <c r="C59" s="312"/>
      <c r="D59" s="312"/>
      <c r="E59" s="312"/>
      <c r="F59" s="312"/>
      <c r="G59" s="312"/>
      <c r="H59" s="33" t="s">
        <v>163</v>
      </c>
      <c r="I59" s="322"/>
    </row>
    <row r="60" spans="1:42" ht="9" customHeight="1" x14ac:dyDescent="0.25">
      <c r="B60" s="113"/>
      <c r="C60" s="114"/>
      <c r="D60" s="114"/>
      <c r="E60" s="114"/>
      <c r="F60" s="114"/>
      <c r="G60" s="114"/>
      <c r="H60" s="93"/>
      <c r="I60" s="106"/>
    </row>
    <row r="61" spans="1:42" ht="20.100000000000001" customHeight="1" x14ac:dyDescent="0.25">
      <c r="B61" s="326" t="s">
        <v>95</v>
      </c>
      <c r="C61" s="311">
        <f>+'BG OPTIMISTA'!D29/'BG OPTIMISTA'!D60</f>
        <v>3.1616872566870207</v>
      </c>
      <c r="D61" s="311">
        <f>+'BG OPTIMISTA'!E29/'BG OPTIMISTA'!E60</f>
        <v>2.7052227536579903</v>
      </c>
      <c r="E61" s="311">
        <f>+'BG OPTIMISTA'!F29/'BG OPTIMISTA'!F60</f>
        <v>2.5924165046141896</v>
      </c>
      <c r="F61" s="311">
        <f>+'BG OPTIMISTA'!G29/'BG OPTIMISTA'!G60</f>
        <v>2.3276997682183924</v>
      </c>
      <c r="G61" s="311">
        <f>+'BG OPTIMISTA'!H29/'BG OPTIMISTA'!H60</f>
        <v>2.0047458611117914</v>
      </c>
      <c r="H61" s="32" t="s">
        <v>145</v>
      </c>
      <c r="I61" s="321" t="s">
        <v>282</v>
      </c>
    </row>
    <row r="62" spans="1:42" ht="20.100000000000001" customHeight="1" x14ac:dyDescent="0.25">
      <c r="B62" s="328"/>
      <c r="C62" s="312"/>
      <c r="D62" s="312"/>
      <c r="E62" s="312"/>
      <c r="F62" s="312"/>
      <c r="G62" s="312"/>
      <c r="H62" s="33" t="s">
        <v>35</v>
      </c>
      <c r="I62" s="322"/>
    </row>
    <row r="63" spans="1:42" ht="9" customHeight="1" x14ac:dyDescent="0.25">
      <c r="B63" s="113"/>
      <c r="C63" s="114"/>
      <c r="D63" s="114"/>
      <c r="E63" s="114"/>
      <c r="F63" s="114"/>
      <c r="G63" s="114"/>
      <c r="H63" s="93"/>
      <c r="I63" s="106"/>
    </row>
    <row r="64" spans="1:42" ht="20.100000000000001" customHeight="1" x14ac:dyDescent="0.25">
      <c r="B64" s="326" t="s">
        <v>160</v>
      </c>
      <c r="C64" s="311">
        <f>('ER OPTIMISTA'!E44/'BG OPTIMISTA'!D60)/(('ER OPTIMISTA'!E44+'ER OPTIMISTA'!E42)/'BG OPTIMISTA'!D29)</f>
        <v>2.7686190823401806</v>
      </c>
      <c r="D64" s="311">
        <f>('ER OPTIMISTA'!F44/'BG OPTIMISTA'!E60)/(('ER OPTIMISTA'!F44+'ER OPTIMISTA'!F42)/'BG OPTIMISTA'!E29)</f>
        <v>2.3595803842998513</v>
      </c>
      <c r="E64" s="311">
        <f>('ER OPTIMISTA'!G44/'BG OPTIMISTA'!F60)/(('ER OPTIMISTA'!G44+'ER OPTIMISTA'!G42)/'BG OPTIMISTA'!F29)</f>
        <v>2.3914931105435109</v>
      </c>
      <c r="F64" s="311">
        <f>('ER OPTIMISTA'!H44/'BG OPTIMISTA'!G60)/(('ER OPTIMISTA'!H44+'ER OPTIMISTA'!H42)/'BG OPTIMISTA'!G29)</f>
        <v>2.2713105784726868</v>
      </c>
      <c r="G64" s="311">
        <f>('ER OPTIMISTA'!I44/'BG OPTIMISTA'!H60)/(('ER OPTIMISTA'!I44+'ER OPTIMISTA'!I42)/'BG OPTIMISTA'!H29)</f>
        <v>1.9797339505958089</v>
      </c>
      <c r="H64" s="32" t="s">
        <v>165</v>
      </c>
      <c r="I64" s="321"/>
    </row>
    <row r="65" spans="1:16" ht="20.100000000000001" customHeight="1" x14ac:dyDescent="0.25">
      <c r="B65" s="328"/>
      <c r="C65" s="312"/>
      <c r="D65" s="312"/>
      <c r="E65" s="312"/>
      <c r="F65" s="312"/>
      <c r="G65" s="312"/>
      <c r="H65" s="33" t="s">
        <v>164</v>
      </c>
      <c r="I65" s="322"/>
    </row>
    <row r="66" spans="1:16" x14ac:dyDescent="0.25">
      <c r="A66" s="93"/>
      <c r="B66" s="93"/>
      <c r="C66" s="93"/>
      <c r="D66" s="93"/>
      <c r="E66" s="93"/>
      <c r="F66" s="93"/>
      <c r="G66" s="93"/>
      <c r="H66" s="93"/>
      <c r="I66" s="93"/>
      <c r="K66" s="90"/>
    </row>
    <row r="67" spans="1:16" x14ac:dyDescent="0.25">
      <c r="A67" s="93"/>
      <c r="B67" s="93"/>
      <c r="C67" s="93"/>
      <c r="D67" s="93"/>
      <c r="E67" s="93"/>
      <c r="F67" s="93"/>
      <c r="G67" s="93"/>
      <c r="H67" s="93"/>
      <c r="I67" s="93"/>
      <c r="K67" s="90"/>
    </row>
    <row r="68" spans="1:16" s="93" customFormat="1" x14ac:dyDescent="0.25">
      <c r="K68" s="88"/>
    </row>
    <row r="69" spans="1:16" ht="20.25" x14ac:dyDescent="0.3">
      <c r="B69" s="445" t="s">
        <v>73</v>
      </c>
      <c r="C69" s="446"/>
      <c r="D69" s="446"/>
      <c r="E69" s="446"/>
      <c r="F69" s="446"/>
      <c r="G69" s="446"/>
      <c r="H69" s="446"/>
      <c r="I69" s="447"/>
      <c r="J69" s="85"/>
      <c r="K69" s="85"/>
      <c r="L69" s="85"/>
      <c r="M69" s="85"/>
      <c r="N69" s="85"/>
      <c r="O69" s="85"/>
      <c r="P69" s="85"/>
    </row>
    <row r="70" spans="1:16" x14ac:dyDescent="0.25">
      <c r="B70" s="107"/>
      <c r="C70" s="93"/>
      <c r="D70" s="93"/>
      <c r="E70" s="93"/>
      <c r="F70" s="93"/>
      <c r="G70" s="93"/>
      <c r="H70" s="93"/>
      <c r="I70" s="108"/>
    </row>
    <row r="71" spans="1:16" ht="15" customHeight="1" x14ac:dyDescent="0.25">
      <c r="B71" s="35" t="s">
        <v>83</v>
      </c>
      <c r="C71" s="78">
        <v>2014</v>
      </c>
      <c r="D71" s="78">
        <v>2015</v>
      </c>
      <c r="E71" s="78">
        <v>2016</v>
      </c>
      <c r="F71" s="78">
        <v>2017</v>
      </c>
      <c r="G71" s="78">
        <v>2018</v>
      </c>
      <c r="H71" s="78" t="s">
        <v>84</v>
      </c>
      <c r="I71" s="31" t="s">
        <v>85</v>
      </c>
    </row>
    <row r="72" spans="1:16" ht="12" customHeight="1" x14ac:dyDescent="0.25">
      <c r="B72" s="104"/>
      <c r="C72" s="112"/>
      <c r="D72" s="112"/>
      <c r="E72" s="112"/>
      <c r="F72" s="112"/>
      <c r="G72" s="112"/>
      <c r="H72" s="93"/>
      <c r="I72" s="105"/>
    </row>
    <row r="73" spans="1:16" ht="20.100000000000001" customHeight="1" x14ac:dyDescent="0.25">
      <c r="B73" s="326" t="s">
        <v>166</v>
      </c>
      <c r="C73" s="329">
        <f>'ER OPTIMISTA'!E22/'ER OPTIMISTA'!E13</f>
        <v>8.1882930628049411E-2</v>
      </c>
      <c r="D73" s="329">
        <f>'ER OPTIMISTA'!F22/'ER OPTIMISTA'!F13</f>
        <v>0.16107053567542409</v>
      </c>
      <c r="E73" s="329">
        <f>'ER OPTIMISTA'!G22/'ER OPTIMISTA'!G13</f>
        <v>0.1299751640691757</v>
      </c>
      <c r="F73" s="329">
        <f>'ER OPTIMISTA'!H22/'ER OPTIMISTA'!H13</f>
        <v>0.13237369888818018</v>
      </c>
      <c r="G73" s="329">
        <f>'ER OPTIMISTA'!I22/'ER OPTIMISTA'!I13</f>
        <v>0.13419836204308233</v>
      </c>
      <c r="H73" s="32" t="s">
        <v>118</v>
      </c>
      <c r="I73" s="331" t="s">
        <v>274</v>
      </c>
    </row>
    <row r="74" spans="1:16" ht="20.100000000000001" customHeight="1" x14ac:dyDescent="0.25">
      <c r="B74" s="328"/>
      <c r="C74" s="330"/>
      <c r="D74" s="330"/>
      <c r="E74" s="330"/>
      <c r="F74" s="330"/>
      <c r="G74" s="330"/>
      <c r="H74" s="33" t="s">
        <v>69</v>
      </c>
      <c r="I74" s="332"/>
    </row>
    <row r="75" spans="1:16" ht="12" customHeight="1" x14ac:dyDescent="0.25">
      <c r="B75" s="104"/>
      <c r="C75" s="240"/>
      <c r="D75" s="240"/>
      <c r="E75" s="240"/>
      <c r="F75" s="240"/>
      <c r="G75" s="240"/>
      <c r="H75" s="93"/>
      <c r="I75" s="106"/>
    </row>
    <row r="76" spans="1:16" ht="20.100000000000001" customHeight="1" x14ac:dyDescent="0.25">
      <c r="B76" s="326" t="s">
        <v>167</v>
      </c>
      <c r="C76" s="329">
        <f>'ER OPTIMISTA'!E36/'ER OPTIMISTA'!E13</f>
        <v>3.5460826233781424E-3</v>
      </c>
      <c r="D76" s="329">
        <f>'ER OPTIMISTA'!F36/'ER OPTIMISTA'!F13</f>
        <v>1.6725342410482007E-2</v>
      </c>
      <c r="E76" s="329">
        <f>'ER OPTIMISTA'!G36/'ER OPTIMISTA'!G13</f>
        <v>2.0540437859834282E-2</v>
      </c>
      <c r="F76" s="329">
        <f>'ER OPTIMISTA'!H36/'ER OPTIMISTA'!H13</f>
        <v>4.9399683495885659E-2</v>
      </c>
      <c r="G76" s="329">
        <f>'ER OPTIMISTA'!I36/'ER OPTIMISTA'!I13</f>
        <v>7.1282158694247866E-2</v>
      </c>
      <c r="H76" s="32" t="s">
        <v>128</v>
      </c>
      <c r="I76" s="331" t="s">
        <v>275</v>
      </c>
    </row>
    <row r="77" spans="1:16" ht="20.100000000000001" customHeight="1" x14ac:dyDescent="0.25">
      <c r="B77" s="328"/>
      <c r="C77" s="330"/>
      <c r="D77" s="330"/>
      <c r="E77" s="330"/>
      <c r="F77" s="330"/>
      <c r="G77" s="330"/>
      <c r="H77" s="33" t="s">
        <v>69</v>
      </c>
      <c r="I77" s="332"/>
    </row>
    <row r="78" spans="1:16" ht="12" customHeight="1" x14ac:dyDescent="0.25">
      <c r="B78" s="104"/>
      <c r="C78" s="240"/>
      <c r="D78" s="240"/>
      <c r="E78" s="240"/>
      <c r="F78" s="240"/>
      <c r="G78" s="240"/>
      <c r="H78" s="93"/>
      <c r="I78" s="106"/>
    </row>
    <row r="79" spans="1:16" ht="20.100000000000001" customHeight="1" x14ac:dyDescent="0.25">
      <c r="B79" s="326" t="s">
        <v>168</v>
      </c>
      <c r="C79" s="329">
        <f>'ER OPTIMISTA'!E56/'ER OPTIMISTA'!E13</f>
        <v>1.7259184110914868E-2</v>
      </c>
      <c r="D79" s="329">
        <f>'ER OPTIMISTA'!F56/'ER OPTIMISTA'!F13</f>
        <v>8.6354320371548575E-3</v>
      </c>
      <c r="E79" s="329">
        <f>'ER OPTIMISTA'!G56/'ER OPTIMISTA'!G13</f>
        <v>1.1864654378523598E-2</v>
      </c>
      <c r="F79" s="329">
        <f>'ER OPTIMISTA'!H56/'ER OPTIMISTA'!H13</f>
        <v>3.1523133460400865E-2</v>
      </c>
      <c r="G79" s="329">
        <f>'ER OPTIMISTA'!I56/'ER OPTIMISTA'!I13</f>
        <v>4.6424837453378331E-2</v>
      </c>
      <c r="H79" s="32" t="s">
        <v>130</v>
      </c>
      <c r="I79" s="331" t="s">
        <v>276</v>
      </c>
    </row>
    <row r="80" spans="1:16" ht="20.100000000000001" customHeight="1" x14ac:dyDescent="0.25">
      <c r="B80" s="328"/>
      <c r="C80" s="330"/>
      <c r="D80" s="330"/>
      <c r="E80" s="330"/>
      <c r="F80" s="330"/>
      <c r="G80" s="330"/>
      <c r="H80" s="33" t="s">
        <v>69</v>
      </c>
      <c r="I80" s="332"/>
    </row>
    <row r="81" spans="2:16" ht="12" customHeight="1" x14ac:dyDescent="0.25">
      <c r="B81" s="104"/>
      <c r="C81" s="240"/>
      <c r="D81" s="240"/>
      <c r="E81" s="240"/>
      <c r="F81" s="240"/>
      <c r="G81" s="240"/>
      <c r="H81" s="93"/>
      <c r="I81" s="106"/>
    </row>
    <row r="82" spans="2:16" ht="20.100000000000001" customHeight="1" x14ac:dyDescent="0.25">
      <c r="B82" s="326" t="s">
        <v>169</v>
      </c>
      <c r="C82" s="329">
        <f>'ER OPTIMISTA'!E56/'BG OPTIMISTA'!D29</f>
        <v>5.2507588599997018E-2</v>
      </c>
      <c r="D82" s="329">
        <f>'ER OPTIMISTA'!F56/'BG OPTIMISTA'!E29</f>
        <v>1.6594587898745704E-2</v>
      </c>
      <c r="E82" s="329">
        <f>'ER OPTIMISTA'!G56/'BG OPTIMISTA'!F29</f>
        <v>2.9650628012514935E-2</v>
      </c>
      <c r="F82" s="329">
        <f>'ER OPTIMISTA'!H56/'BG OPTIMISTA'!G29</f>
        <v>9.2847252978940864E-2</v>
      </c>
      <c r="G82" s="329">
        <f>'ER OPTIMISTA'!I56/'BG OPTIMISTA'!H29</f>
        <v>0.14991701721569331</v>
      </c>
      <c r="H82" s="32" t="s">
        <v>130</v>
      </c>
      <c r="I82" s="321" t="s">
        <v>277</v>
      </c>
    </row>
    <row r="83" spans="2:16" ht="20.100000000000001" customHeight="1" x14ac:dyDescent="0.25">
      <c r="B83" s="328"/>
      <c r="C83" s="330"/>
      <c r="D83" s="330"/>
      <c r="E83" s="330"/>
      <c r="F83" s="330"/>
      <c r="G83" s="330"/>
      <c r="H83" s="33" t="s">
        <v>171</v>
      </c>
      <c r="I83" s="322"/>
    </row>
    <row r="84" spans="2:16" x14ac:dyDescent="0.25">
      <c r="B84" s="107"/>
      <c r="C84" s="240"/>
      <c r="D84" s="240"/>
      <c r="E84" s="240"/>
      <c r="F84" s="240"/>
      <c r="G84" s="240"/>
      <c r="H84" s="93"/>
      <c r="I84" s="106"/>
    </row>
    <row r="85" spans="2:16" ht="20.100000000000001" customHeight="1" x14ac:dyDescent="0.25">
      <c r="B85" s="326" t="s">
        <v>170</v>
      </c>
      <c r="C85" s="329">
        <f>+'ER OPTIMISTA'!E56/'BG OPTIMISTA'!D60</f>
        <v>0.16601257375597525</v>
      </c>
      <c r="D85" s="329">
        <f>+'ER OPTIMISTA'!F56/'BG OPTIMISTA'!E60</f>
        <v>4.489205677126442E-2</v>
      </c>
      <c r="E85" s="329">
        <f>+'ER OPTIMISTA'!G56/'BG OPTIMISTA'!F60</f>
        <v>7.6866777431819536E-2</v>
      </c>
      <c r="F85" s="329">
        <f>+'ER OPTIMISTA'!H56/'BG OPTIMISTA'!G60</f>
        <v>0.2161205292387951</v>
      </c>
      <c r="G85" s="329">
        <f>+'ER OPTIMISTA'!I56/'BG OPTIMISTA'!H60</f>
        <v>0.30054551977338634</v>
      </c>
      <c r="H85" s="32" t="s">
        <v>130</v>
      </c>
      <c r="I85" s="321" t="s">
        <v>278</v>
      </c>
    </row>
    <row r="86" spans="2:16" ht="20.100000000000001" customHeight="1" x14ac:dyDescent="0.25">
      <c r="B86" s="328"/>
      <c r="C86" s="330"/>
      <c r="D86" s="330"/>
      <c r="E86" s="330"/>
      <c r="F86" s="330"/>
      <c r="G86" s="330"/>
      <c r="H86" s="33" t="s">
        <v>172</v>
      </c>
      <c r="I86" s="322"/>
    </row>
    <row r="89" spans="2:16" s="91" customFormat="1" x14ac:dyDescent="0.25"/>
    <row r="90" spans="2:16" ht="20.25" x14ac:dyDescent="0.3">
      <c r="B90" s="444" t="s">
        <v>103</v>
      </c>
      <c r="C90" s="444"/>
      <c r="D90" s="444"/>
      <c r="E90" s="444"/>
      <c r="F90" s="444"/>
      <c r="G90" s="444"/>
      <c r="H90" s="444"/>
      <c r="I90" s="444"/>
      <c r="J90" s="444"/>
      <c r="K90" s="444"/>
      <c r="L90" s="444"/>
      <c r="M90" s="254"/>
      <c r="N90" s="85"/>
      <c r="O90" s="85"/>
      <c r="P90" s="85"/>
    </row>
    <row r="92" spans="2:16" x14ac:dyDescent="0.25">
      <c r="D92" s="92"/>
      <c r="E92" s="92"/>
      <c r="F92" s="92"/>
      <c r="G92" s="92"/>
      <c r="H92" s="92"/>
      <c r="I92" s="92"/>
      <c r="J92" s="92"/>
      <c r="K92" s="92"/>
      <c r="M92" s="93"/>
      <c r="N92" s="93"/>
    </row>
    <row r="93" spans="2:16" x14ac:dyDescent="0.25">
      <c r="C93" s="93"/>
      <c r="D93" s="93"/>
      <c r="E93" s="358" t="s">
        <v>90</v>
      </c>
      <c r="F93" s="359"/>
      <c r="G93" s="360"/>
      <c r="H93" s="367" t="s">
        <v>91</v>
      </c>
      <c r="I93" s="368"/>
      <c r="J93" s="368"/>
      <c r="K93" s="368"/>
      <c r="L93" s="368"/>
      <c r="M93" s="116"/>
      <c r="N93" s="116"/>
    </row>
    <row r="94" spans="2:16" x14ac:dyDescent="0.25">
      <c r="E94" s="361"/>
      <c r="F94" s="362"/>
      <c r="G94" s="363"/>
      <c r="H94" s="78">
        <v>2014</v>
      </c>
      <c r="I94" s="78">
        <v>2015</v>
      </c>
      <c r="J94" s="78">
        <v>2016</v>
      </c>
      <c r="K94" s="78">
        <v>2017</v>
      </c>
      <c r="L94" s="78">
        <v>2018</v>
      </c>
    </row>
    <row r="95" spans="2:16" x14ac:dyDescent="0.25">
      <c r="H95" s="94"/>
      <c r="I95" s="94"/>
      <c r="J95" s="94"/>
      <c r="K95" s="94"/>
      <c r="L95" s="94"/>
    </row>
    <row r="96" spans="2:16" x14ac:dyDescent="0.25">
      <c r="B96" s="333" t="s">
        <v>92</v>
      </c>
      <c r="C96" s="340" t="s">
        <v>93</v>
      </c>
      <c r="D96" s="341"/>
      <c r="E96" s="350" t="s">
        <v>69</v>
      </c>
      <c r="F96" s="350"/>
      <c r="G96" s="350"/>
      <c r="H96" s="351">
        <f>+'ER OPTIMISTA'!E13/'BG OPTIMISTA'!D29</f>
        <v>3.0422984228316294</v>
      </c>
      <c r="I96" s="351">
        <f>+'ER OPTIMISTA'!F13/'BG OPTIMISTA'!E29</f>
        <v>1.9216858898716058</v>
      </c>
      <c r="J96" s="351">
        <f>+'ER OPTIMISTA'!G13/'BG OPTIMISTA'!F29</f>
        <v>2.4990722077994967</v>
      </c>
      <c r="K96" s="351">
        <f>+'ER OPTIMISTA'!H13/'BG OPTIMISTA'!G29</f>
        <v>2.9453687748261101</v>
      </c>
      <c r="L96" s="351">
        <f>+'ER OPTIMISTA'!I13/'BG OPTIMISTA'!H29</f>
        <v>3.2292416180508106</v>
      </c>
    </row>
    <row r="97" spans="2:13" x14ac:dyDescent="0.25">
      <c r="B97" s="334"/>
      <c r="C97" s="342"/>
      <c r="D97" s="343"/>
      <c r="E97" s="352" t="s">
        <v>3</v>
      </c>
      <c r="F97" s="352"/>
      <c r="G97" s="352"/>
      <c r="H97" s="351"/>
      <c r="I97" s="351"/>
      <c r="J97" s="351"/>
      <c r="K97" s="351"/>
      <c r="L97" s="351"/>
    </row>
    <row r="98" spans="2:13" x14ac:dyDescent="0.25">
      <c r="B98" s="334"/>
      <c r="C98" s="95"/>
      <c r="D98" s="95"/>
      <c r="E98" s="96"/>
      <c r="F98" s="96"/>
      <c r="G98" s="96"/>
      <c r="H98" s="97" t="s">
        <v>72</v>
      </c>
      <c r="I98" s="97" t="s">
        <v>72</v>
      </c>
      <c r="J98" s="97" t="s">
        <v>72</v>
      </c>
      <c r="K98" s="97" t="s">
        <v>72</v>
      </c>
      <c r="L98" s="97" t="s">
        <v>72</v>
      </c>
    </row>
    <row r="99" spans="2:13" x14ac:dyDescent="0.25">
      <c r="B99" s="334"/>
      <c r="C99" s="340" t="s">
        <v>94</v>
      </c>
      <c r="D99" s="341"/>
      <c r="E99" s="344" t="s">
        <v>176</v>
      </c>
      <c r="F99" s="345"/>
      <c r="G99" s="346"/>
      <c r="H99" s="338">
        <f>('ER OPTIMISTA'!E44+'ER OPTIMISTA'!E42)/'ER OPTIMISTA'!E13</f>
        <v>3.0116160382477605E-2</v>
      </c>
      <c r="I99" s="338">
        <f>('ER OPTIMISTA'!F44+'ER OPTIMISTA'!F42)/'ER OPTIMISTA'!F13</f>
        <v>1.7252168496346695E-2</v>
      </c>
      <c r="J99" s="338">
        <f>('ER OPTIMISTA'!G44+'ER OPTIMISTA'!G42)/'ER OPTIMISTA'!G13</f>
        <v>2.1067263945698973E-2</v>
      </c>
      <c r="K99" s="338">
        <f>('ER OPTIMISTA'!H44+'ER OPTIMISTA'!H42)/'ER OPTIMISTA'!H13</f>
        <v>4.992650958175035E-2</v>
      </c>
      <c r="L99" s="338">
        <f>('ER OPTIMISTA'!I44+'ER OPTIMISTA'!I42)/'ER OPTIMISTA'!I13</f>
        <v>7.1808984780112564E-2</v>
      </c>
    </row>
    <row r="100" spans="2:13" x14ac:dyDescent="0.25">
      <c r="B100" s="335"/>
      <c r="C100" s="342"/>
      <c r="D100" s="343"/>
      <c r="E100" s="347" t="s">
        <v>69</v>
      </c>
      <c r="F100" s="348"/>
      <c r="G100" s="349"/>
      <c r="H100" s="339"/>
      <c r="I100" s="339"/>
      <c r="J100" s="339"/>
      <c r="K100" s="339"/>
      <c r="L100" s="339"/>
    </row>
    <row r="101" spans="2:13" x14ac:dyDescent="0.25">
      <c r="C101" s="95"/>
      <c r="D101" s="95"/>
      <c r="E101" s="96"/>
      <c r="F101" s="96"/>
      <c r="G101" s="96"/>
      <c r="H101" s="97" t="s">
        <v>72</v>
      </c>
      <c r="I101" s="97" t="s">
        <v>72</v>
      </c>
      <c r="J101" s="97" t="s">
        <v>72</v>
      </c>
      <c r="K101" s="97" t="s">
        <v>72</v>
      </c>
      <c r="L101" s="97" t="s">
        <v>72</v>
      </c>
    </row>
    <row r="102" spans="2:13" x14ac:dyDescent="0.25">
      <c r="B102" s="333" t="s">
        <v>89</v>
      </c>
      <c r="C102" s="340" t="s">
        <v>95</v>
      </c>
      <c r="D102" s="341"/>
      <c r="E102" s="81" t="s">
        <v>96</v>
      </c>
      <c r="F102" s="336" t="s">
        <v>72</v>
      </c>
      <c r="G102" s="82" t="s">
        <v>177</v>
      </c>
      <c r="H102" s="338">
        <f>+C64</f>
        <v>2.7686190823401806</v>
      </c>
      <c r="I102" s="338">
        <f t="shared" ref="I102:L102" si="1">+D64</f>
        <v>2.3595803842998513</v>
      </c>
      <c r="J102" s="338">
        <f t="shared" si="1"/>
        <v>2.3914931105435109</v>
      </c>
      <c r="K102" s="338">
        <f t="shared" si="1"/>
        <v>2.2713105784726868</v>
      </c>
      <c r="L102" s="338">
        <f t="shared" si="1"/>
        <v>1.9797339505958089</v>
      </c>
    </row>
    <row r="103" spans="2:13" x14ac:dyDescent="0.25">
      <c r="B103" s="334"/>
      <c r="C103" s="342"/>
      <c r="D103" s="343"/>
      <c r="E103" s="79" t="s">
        <v>97</v>
      </c>
      <c r="F103" s="337"/>
      <c r="G103" s="80" t="s">
        <v>178</v>
      </c>
      <c r="H103" s="339"/>
      <c r="I103" s="339"/>
      <c r="J103" s="339"/>
      <c r="K103" s="339"/>
      <c r="L103" s="339"/>
    </row>
    <row r="104" spans="2:13" x14ac:dyDescent="0.25">
      <c r="B104" s="334"/>
      <c r="C104" s="95"/>
      <c r="D104" s="95"/>
      <c r="E104" s="96"/>
      <c r="F104" s="96"/>
      <c r="G104" s="96"/>
      <c r="H104" s="97" t="s">
        <v>72</v>
      </c>
      <c r="I104" s="97" t="s">
        <v>72</v>
      </c>
      <c r="J104" s="97" t="s">
        <v>72</v>
      </c>
      <c r="K104" s="97" t="s">
        <v>72</v>
      </c>
      <c r="L104" s="97" t="s">
        <v>72</v>
      </c>
    </row>
    <row r="105" spans="2:13" x14ac:dyDescent="0.25">
      <c r="B105" s="334"/>
      <c r="C105" s="340" t="s">
        <v>98</v>
      </c>
      <c r="D105" s="341"/>
      <c r="E105" s="344" t="s">
        <v>130</v>
      </c>
      <c r="F105" s="345"/>
      <c r="G105" s="346"/>
      <c r="H105" s="338">
        <f>+'ER OPTIMISTA'!E56/'ER OPTIMISTA'!E44</f>
        <v>0.65444983294025161</v>
      </c>
      <c r="I105" s="338">
        <f>+'ER OPTIMISTA'!F56/'ER OPTIMISTA'!F44</f>
        <v>0.57386354115279015</v>
      </c>
      <c r="J105" s="338">
        <f>+'ER OPTIMISTA'!G56/'ER OPTIMISTA'!G44</f>
        <v>0.61049568514041053</v>
      </c>
      <c r="K105" s="338">
        <f>+'ER OPTIMISTA'!H56/'ER OPTIMISTA'!H44</f>
        <v>0.64706605190223865</v>
      </c>
      <c r="L105" s="338">
        <f>+'ER OPTIMISTA'!I56/'ER OPTIMISTA'!I44</f>
        <v>0.65467250181930792</v>
      </c>
      <c r="M105" s="370"/>
    </row>
    <row r="106" spans="2:13" x14ac:dyDescent="0.25">
      <c r="B106" s="335"/>
      <c r="C106" s="342"/>
      <c r="D106" s="343"/>
      <c r="E106" s="347" t="s">
        <v>179</v>
      </c>
      <c r="F106" s="348"/>
      <c r="G106" s="349"/>
      <c r="H106" s="339"/>
      <c r="I106" s="339"/>
      <c r="J106" s="339"/>
      <c r="K106" s="339"/>
      <c r="L106" s="339"/>
      <c r="M106" s="370"/>
    </row>
    <row r="107" spans="2:13" x14ac:dyDescent="0.25">
      <c r="C107" s="98"/>
      <c r="D107" s="98"/>
      <c r="H107" s="99" t="s">
        <v>74</v>
      </c>
      <c r="I107" s="99" t="s">
        <v>74</v>
      </c>
      <c r="J107" s="99" t="s">
        <v>74</v>
      </c>
      <c r="K107" s="99" t="s">
        <v>74</v>
      </c>
      <c r="L107" s="99" t="s">
        <v>74</v>
      </c>
    </row>
    <row r="108" spans="2:13" x14ac:dyDescent="0.25">
      <c r="C108" s="340" t="s">
        <v>99</v>
      </c>
      <c r="D108" s="341"/>
      <c r="E108" s="344" t="s">
        <v>180</v>
      </c>
      <c r="F108" s="345"/>
      <c r="G108" s="346"/>
      <c r="H108" s="338">
        <f>H96*H99*H102*H105</f>
        <v>0.16601257375597525</v>
      </c>
      <c r="I108" s="338">
        <f>I96*I99*I102*I105</f>
        <v>4.4892056771264427E-2</v>
      </c>
      <c r="J108" s="338">
        <f t="shared" ref="J108:L108" si="2">J96*J99*J102*J105</f>
        <v>7.686677743181955E-2</v>
      </c>
      <c r="K108" s="338">
        <f t="shared" si="2"/>
        <v>0.21612052923879507</v>
      </c>
      <c r="L108" s="338">
        <f t="shared" si="2"/>
        <v>0.30054551977338639</v>
      </c>
    </row>
    <row r="109" spans="2:13" x14ac:dyDescent="0.25">
      <c r="C109" s="342"/>
      <c r="D109" s="343"/>
      <c r="E109" s="347" t="s">
        <v>100</v>
      </c>
      <c r="F109" s="348"/>
      <c r="G109" s="349"/>
      <c r="H109" s="371"/>
      <c r="I109" s="371"/>
      <c r="J109" s="371"/>
      <c r="K109" s="372"/>
      <c r="L109" s="372"/>
    </row>
    <row r="110" spans="2:13" x14ac:dyDescent="0.25">
      <c r="C110" s="98"/>
      <c r="D110" s="98"/>
      <c r="H110" s="99" t="s">
        <v>74</v>
      </c>
      <c r="I110" s="99" t="s">
        <v>101</v>
      </c>
      <c r="J110" s="99" t="s">
        <v>101</v>
      </c>
      <c r="K110" s="99" t="s">
        <v>101</v>
      </c>
      <c r="L110" s="99" t="s">
        <v>101</v>
      </c>
    </row>
    <row r="111" spans="2:13" x14ac:dyDescent="0.25">
      <c r="C111" s="340" t="s">
        <v>102</v>
      </c>
      <c r="D111" s="341"/>
      <c r="E111" s="353" t="s">
        <v>181</v>
      </c>
      <c r="F111" s="354"/>
      <c r="G111" s="355"/>
      <c r="H111" s="356">
        <f>H108</f>
        <v>0.16601257375597525</v>
      </c>
      <c r="I111" s="356">
        <f t="shared" ref="I111:L111" si="3">I108</f>
        <v>4.4892056771264427E-2</v>
      </c>
      <c r="J111" s="356">
        <f t="shared" si="3"/>
        <v>7.686677743181955E-2</v>
      </c>
      <c r="K111" s="356">
        <f t="shared" si="3"/>
        <v>0.21612052923879507</v>
      </c>
      <c r="L111" s="356">
        <f t="shared" si="3"/>
        <v>0.30054551977338639</v>
      </c>
    </row>
    <row r="112" spans="2:13" x14ac:dyDescent="0.25">
      <c r="C112" s="342"/>
      <c r="D112" s="343"/>
      <c r="E112" s="342" t="s">
        <v>100</v>
      </c>
      <c r="F112" s="337"/>
      <c r="G112" s="343"/>
      <c r="H112" s="357"/>
      <c r="I112" s="357"/>
      <c r="J112" s="357"/>
      <c r="K112" s="357"/>
      <c r="L112" s="357"/>
    </row>
    <row r="115" spans="4:5" x14ac:dyDescent="0.25">
      <c r="D115" s="115"/>
      <c r="E115" s="115"/>
    </row>
  </sheetData>
  <mergeCells count="221">
    <mergeCell ref="B29:B30"/>
    <mergeCell ref="C29:C30"/>
    <mergeCell ref="D29:D30"/>
    <mergeCell ref="E29:E30"/>
    <mergeCell ref="E76:E77"/>
    <mergeCell ref="F76:F77"/>
    <mergeCell ref="G76:G77"/>
    <mergeCell ref="I76:I77"/>
    <mergeCell ref="B52:B53"/>
    <mergeCell ref="C52:C53"/>
    <mergeCell ref="D52:D53"/>
    <mergeCell ref="E52:E53"/>
    <mergeCell ref="F52:F53"/>
    <mergeCell ref="G52:G53"/>
    <mergeCell ref="I52:I53"/>
    <mergeCell ref="B55:B56"/>
    <mergeCell ref="C55:C56"/>
    <mergeCell ref="D55:D56"/>
    <mergeCell ref="E55:E56"/>
    <mergeCell ref="F55:F56"/>
    <mergeCell ref="G55:G56"/>
    <mergeCell ref="I55:I56"/>
    <mergeCell ref="I61:I62"/>
    <mergeCell ref="B64:B65"/>
    <mergeCell ref="G32:G33"/>
    <mergeCell ref="I32:I33"/>
    <mergeCell ref="J32:J33"/>
    <mergeCell ref="E20:E21"/>
    <mergeCell ref="F20:F21"/>
    <mergeCell ref="G20:G21"/>
    <mergeCell ref="I20:I21"/>
    <mergeCell ref="J20:J21"/>
    <mergeCell ref="E23:E24"/>
    <mergeCell ref="F23:F24"/>
    <mergeCell ref="G23:G24"/>
    <mergeCell ref="I23:I24"/>
    <mergeCell ref="F29:F30"/>
    <mergeCell ref="G29:G30"/>
    <mergeCell ref="I29:I30"/>
    <mergeCell ref="J29:J30"/>
    <mergeCell ref="B5:B6"/>
    <mergeCell ref="C5:C6"/>
    <mergeCell ref="D5:D6"/>
    <mergeCell ref="E5:E6"/>
    <mergeCell ref="F5:F6"/>
    <mergeCell ref="G5:G6"/>
    <mergeCell ref="H5:H6"/>
    <mergeCell ref="I5:I6"/>
    <mergeCell ref="B20:B21"/>
    <mergeCell ref="C20:C21"/>
    <mergeCell ref="D20:D21"/>
    <mergeCell ref="F8:F9"/>
    <mergeCell ref="G8:G9"/>
    <mergeCell ref="I8:I9"/>
    <mergeCell ref="B11:B12"/>
    <mergeCell ref="C11:C12"/>
    <mergeCell ref="D11:D12"/>
    <mergeCell ref="E11:E12"/>
    <mergeCell ref="F11:F12"/>
    <mergeCell ref="G11:G12"/>
    <mergeCell ref="I11:I12"/>
    <mergeCell ref="B8:B9"/>
    <mergeCell ref="C8:C9"/>
    <mergeCell ref="D8:D9"/>
    <mergeCell ref="E8:E9"/>
    <mergeCell ref="J23:J24"/>
    <mergeCell ref="B26:B27"/>
    <mergeCell ref="C26:C27"/>
    <mergeCell ref="D26:D27"/>
    <mergeCell ref="E26:E27"/>
    <mergeCell ref="F26:F27"/>
    <mergeCell ref="G26:G27"/>
    <mergeCell ref="I26:I27"/>
    <mergeCell ref="J26:J27"/>
    <mergeCell ref="B16:I16"/>
    <mergeCell ref="B23:B24"/>
    <mergeCell ref="C23:C24"/>
    <mergeCell ref="D23:D24"/>
    <mergeCell ref="I38:I39"/>
    <mergeCell ref="J38:J39"/>
    <mergeCell ref="B35:B36"/>
    <mergeCell ref="C35:C36"/>
    <mergeCell ref="D35:D36"/>
    <mergeCell ref="E35:E36"/>
    <mergeCell ref="F35:F36"/>
    <mergeCell ref="G35:G36"/>
    <mergeCell ref="I35:I36"/>
    <mergeCell ref="J35:J36"/>
    <mergeCell ref="B38:B39"/>
    <mergeCell ref="C38:C39"/>
    <mergeCell ref="D38:D39"/>
    <mergeCell ref="E38:E39"/>
    <mergeCell ref="F38:F39"/>
    <mergeCell ref="G38:G39"/>
    <mergeCell ref="B32:B33"/>
    <mergeCell ref="C32:C33"/>
    <mergeCell ref="D32:D33"/>
    <mergeCell ref="E32:E33"/>
    <mergeCell ref="B41:B42"/>
    <mergeCell ref="C41:C42"/>
    <mergeCell ref="D41:D42"/>
    <mergeCell ref="E41:E42"/>
    <mergeCell ref="F41:F42"/>
    <mergeCell ref="F32:F33"/>
    <mergeCell ref="G41:G42"/>
    <mergeCell ref="I41:I42"/>
    <mergeCell ref="J41:J42"/>
    <mergeCell ref="B48:I48"/>
    <mergeCell ref="B44:B45"/>
    <mergeCell ref="C44:C45"/>
    <mergeCell ref="D44:D45"/>
    <mergeCell ref="E44:E45"/>
    <mergeCell ref="F44:F45"/>
    <mergeCell ref="G44:G45"/>
    <mergeCell ref="I44:I45"/>
    <mergeCell ref="J44:J45"/>
    <mergeCell ref="G64:G65"/>
    <mergeCell ref="I64:I65"/>
    <mergeCell ref="B58:B59"/>
    <mergeCell ref="C58:C59"/>
    <mergeCell ref="D58:D59"/>
    <mergeCell ref="E58:E59"/>
    <mergeCell ref="F58:F59"/>
    <mergeCell ref="G58:G59"/>
    <mergeCell ref="I58:I59"/>
    <mergeCell ref="C64:C65"/>
    <mergeCell ref="D64:D65"/>
    <mergeCell ref="E64:E65"/>
    <mergeCell ref="F64:F65"/>
    <mergeCell ref="B69:I69"/>
    <mergeCell ref="B61:B62"/>
    <mergeCell ref="C61:C62"/>
    <mergeCell ref="D61:D62"/>
    <mergeCell ref="E61:E62"/>
    <mergeCell ref="F61:F62"/>
    <mergeCell ref="G61:G62"/>
    <mergeCell ref="B79:B80"/>
    <mergeCell ref="C79:C80"/>
    <mergeCell ref="D79:D80"/>
    <mergeCell ref="E79:E80"/>
    <mergeCell ref="F79:F80"/>
    <mergeCell ref="G79:G80"/>
    <mergeCell ref="I79:I80"/>
    <mergeCell ref="B73:B74"/>
    <mergeCell ref="C73:C74"/>
    <mergeCell ref="D73:D74"/>
    <mergeCell ref="E73:E74"/>
    <mergeCell ref="F73:F74"/>
    <mergeCell ref="G73:G74"/>
    <mergeCell ref="I73:I74"/>
    <mergeCell ref="B76:B77"/>
    <mergeCell ref="C76:C77"/>
    <mergeCell ref="D76:D77"/>
    <mergeCell ref="B82:B83"/>
    <mergeCell ref="C82:C83"/>
    <mergeCell ref="D82:D83"/>
    <mergeCell ref="E82:E83"/>
    <mergeCell ref="F82:F83"/>
    <mergeCell ref="G82:G83"/>
    <mergeCell ref="I82:I83"/>
    <mergeCell ref="B85:B86"/>
    <mergeCell ref="C85:C86"/>
    <mergeCell ref="D85:D86"/>
    <mergeCell ref="E85:E86"/>
    <mergeCell ref="F85:F86"/>
    <mergeCell ref="G85:G86"/>
    <mergeCell ref="I85:I86"/>
    <mergeCell ref="I96:I97"/>
    <mergeCell ref="J96:J97"/>
    <mergeCell ref="K96:K97"/>
    <mergeCell ref="L96:L97"/>
    <mergeCell ref="E97:G97"/>
    <mergeCell ref="C99:D100"/>
    <mergeCell ref="E99:G99"/>
    <mergeCell ref="H99:H100"/>
    <mergeCell ref="I99:I100"/>
    <mergeCell ref="J99:J100"/>
    <mergeCell ref="K99:K100"/>
    <mergeCell ref="L99:L100"/>
    <mergeCell ref="E100:G100"/>
    <mergeCell ref="M105:M106"/>
    <mergeCell ref="E106:G106"/>
    <mergeCell ref="C108:D109"/>
    <mergeCell ref="E108:G108"/>
    <mergeCell ref="H108:H109"/>
    <mergeCell ref="I108:I109"/>
    <mergeCell ref="J108:J109"/>
    <mergeCell ref="K108:K109"/>
    <mergeCell ref="L108:L109"/>
    <mergeCell ref="E109:G109"/>
    <mergeCell ref="C105:D106"/>
    <mergeCell ref="E105:G105"/>
    <mergeCell ref="H105:H106"/>
    <mergeCell ref="I105:I106"/>
    <mergeCell ref="J105:J106"/>
    <mergeCell ref="K105:K106"/>
    <mergeCell ref="L105:L106"/>
    <mergeCell ref="B1:I1"/>
    <mergeCell ref="B90:L90"/>
    <mergeCell ref="C111:D112"/>
    <mergeCell ref="E111:G111"/>
    <mergeCell ref="H111:H112"/>
    <mergeCell ref="I111:I112"/>
    <mergeCell ref="J111:J112"/>
    <mergeCell ref="K111:K112"/>
    <mergeCell ref="L111:L112"/>
    <mergeCell ref="E112:G112"/>
    <mergeCell ref="B102:B106"/>
    <mergeCell ref="C102:D103"/>
    <mergeCell ref="F102:F103"/>
    <mergeCell ref="H102:H103"/>
    <mergeCell ref="I102:I103"/>
    <mergeCell ref="J102:J103"/>
    <mergeCell ref="K102:K103"/>
    <mergeCell ref="L102:L103"/>
    <mergeCell ref="E93:G94"/>
    <mergeCell ref="H93:L93"/>
    <mergeCell ref="B96:B100"/>
    <mergeCell ref="C96:D97"/>
    <mergeCell ref="E96:G96"/>
    <mergeCell ref="H96:H97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70C0"/>
  </sheetPr>
  <dimension ref="A1:Z153"/>
  <sheetViews>
    <sheetView showGridLines="0" topLeftCell="A13" zoomScaleNormal="100" workbookViewId="0">
      <selection activeCell="G6" sqref="G6"/>
    </sheetView>
  </sheetViews>
  <sheetFormatPr defaultColWidth="11.375" defaultRowHeight="12.75" x14ac:dyDescent="0.2"/>
  <cols>
    <col min="1" max="1" width="0.875" style="40" customWidth="1"/>
    <col min="2" max="2" width="2.875" style="40" customWidth="1"/>
    <col min="3" max="3" width="5.875" style="40" customWidth="1"/>
    <col min="4" max="4" width="4.75" style="40" customWidth="1"/>
    <col min="5" max="5" width="4.375" style="40" customWidth="1"/>
    <col min="6" max="6" width="2" style="40" bestFit="1" customWidth="1"/>
    <col min="7" max="7" width="24.375" style="40" bestFit="1" customWidth="1"/>
    <col min="8" max="8" width="3.125" style="40" customWidth="1"/>
    <col min="9" max="9" width="2.875" style="40" customWidth="1"/>
    <col min="10" max="11" width="15.875" style="40" customWidth="1"/>
    <col min="12" max="12" width="15.875" style="40" bestFit="1" customWidth="1"/>
    <col min="13" max="14" width="15.875" style="40" customWidth="1"/>
    <col min="15" max="16384" width="11.375" style="40"/>
  </cols>
  <sheetData>
    <row r="1" spans="2:26" ht="15.75" thickBot="1" x14ac:dyDescent="0.3">
      <c r="K1"/>
    </row>
    <row r="2" spans="2:26" ht="12.75" customHeight="1" x14ac:dyDescent="0.2">
      <c r="B2" s="49"/>
      <c r="C2" s="378">
        <v>2014</v>
      </c>
      <c r="D2" s="378"/>
      <c r="E2" s="378"/>
      <c r="F2" s="378"/>
      <c r="G2" s="378"/>
      <c r="H2" s="50"/>
      <c r="J2" s="131" t="s">
        <v>69</v>
      </c>
      <c r="K2" s="127" t="s">
        <v>202</v>
      </c>
      <c r="L2" s="131" t="s">
        <v>203</v>
      </c>
      <c r="M2" s="131" t="s">
        <v>204</v>
      </c>
      <c r="N2" s="131" t="s">
        <v>205</v>
      </c>
    </row>
    <row r="3" spans="2:26" ht="12.75" customHeight="1" x14ac:dyDescent="0.2">
      <c r="B3" s="51"/>
      <c r="C3" s="379"/>
      <c r="D3" s="379"/>
      <c r="E3" s="379"/>
      <c r="F3" s="379"/>
      <c r="G3" s="379"/>
      <c r="H3" s="52"/>
      <c r="J3" s="132" t="s">
        <v>112</v>
      </c>
      <c r="K3" s="128" t="s">
        <v>112</v>
      </c>
      <c r="L3" s="132" t="s">
        <v>112</v>
      </c>
      <c r="M3" s="132" t="s">
        <v>112</v>
      </c>
      <c r="N3" s="132" t="s">
        <v>112</v>
      </c>
    </row>
    <row r="4" spans="2:26" ht="15" customHeight="1" x14ac:dyDescent="0.25">
      <c r="B4" s="51"/>
      <c r="C4" s="448" t="s">
        <v>108</v>
      </c>
      <c r="D4" s="448"/>
      <c r="E4" s="448"/>
      <c r="F4" s="448"/>
      <c r="G4" s="448"/>
      <c r="H4" s="52"/>
      <c r="J4" s="133">
        <v>0</v>
      </c>
      <c r="K4" s="129">
        <f t="shared" ref="K4:K5" si="0">+$G$7</f>
        <v>162324.10999999999</v>
      </c>
      <c r="L4" s="133">
        <v>0</v>
      </c>
      <c r="M4" s="133">
        <f>+L4+K4</f>
        <v>162324.10999999999</v>
      </c>
      <c r="N4" s="133">
        <f>+J4-M4</f>
        <v>-162324.10999999999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2:26" ht="15" customHeight="1" x14ac:dyDescent="0.25">
      <c r="B5" s="51"/>
      <c r="C5" s="449" t="s">
        <v>111</v>
      </c>
      <c r="D5" s="449"/>
      <c r="E5" s="449"/>
      <c r="F5" s="449"/>
      <c r="G5" s="268" t="s">
        <v>112</v>
      </c>
      <c r="H5" s="52"/>
      <c r="J5" s="133">
        <f>+J6*0.4</f>
        <v>680528.50468035846</v>
      </c>
      <c r="K5" s="129">
        <f t="shared" si="0"/>
        <v>162324.10999999999</v>
      </c>
      <c r="L5" s="133">
        <f>+L6*0.4</f>
        <v>615598.86068035848</v>
      </c>
      <c r="M5" s="133">
        <f>+L5+K5</f>
        <v>777922.97068035847</v>
      </c>
      <c r="N5" s="133">
        <f t="shared" ref="N5:N8" si="1">+J5-M5</f>
        <v>-97394.466000000015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2:26" ht="15" customHeight="1" x14ac:dyDescent="0.25">
      <c r="B6" s="51"/>
      <c r="C6" s="377" t="s">
        <v>115</v>
      </c>
      <c r="D6" s="377"/>
      <c r="E6" s="377"/>
      <c r="F6" s="377"/>
      <c r="G6" s="44">
        <f>+'ER OPTIMISTA'!E17+'ER OPTIMISTA'!E34</f>
        <v>1535809.54</v>
      </c>
      <c r="H6" s="52"/>
      <c r="J6" s="133">
        <f>+E24</f>
        <v>1701321.2617008961</v>
      </c>
      <c r="K6" s="129">
        <f>+$G$7</f>
        <v>162324.10999999999</v>
      </c>
      <c r="L6" s="133">
        <f>+J6-K6</f>
        <v>1538997.1517008962</v>
      </c>
      <c r="M6" s="133">
        <f t="shared" ref="M6:M8" si="2">+L6+K6</f>
        <v>1701321.2617008961</v>
      </c>
      <c r="N6" s="133">
        <f t="shared" si="1"/>
        <v>0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2:26" ht="15" customHeight="1" x14ac:dyDescent="0.25">
      <c r="B7" s="51"/>
      <c r="C7" s="377" t="s">
        <v>117</v>
      </c>
      <c r="D7" s="377"/>
      <c r="E7" s="377"/>
      <c r="F7" s="377"/>
      <c r="G7" s="44">
        <f>+'ER OPTIMISTA'!E32+'ER OPTIMISTA'!E42+'ER OPTIMISTA'!E18</f>
        <v>162324.10999999999</v>
      </c>
      <c r="H7" s="52"/>
      <c r="J7" s="133">
        <f>+J6*120%</f>
        <v>2041585.5140410753</v>
      </c>
      <c r="K7" s="129">
        <f t="shared" ref="K7:K8" si="3">+$G$7</f>
        <v>162324.10999999999</v>
      </c>
      <c r="L7" s="133">
        <f>+L6*120%</f>
        <v>1846796.5820410755</v>
      </c>
      <c r="M7" s="133">
        <f t="shared" si="2"/>
        <v>2009120.6920410753</v>
      </c>
      <c r="N7" s="133">
        <f t="shared" si="1"/>
        <v>32464.821999999927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2:26" ht="15" customHeight="1" x14ac:dyDescent="0.25">
      <c r="B8" s="51"/>
      <c r="C8" s="377" t="s">
        <v>116</v>
      </c>
      <c r="D8" s="377"/>
      <c r="E8" s="377"/>
      <c r="F8" s="377"/>
      <c r="G8" s="44">
        <f>+'ER OPTIMISTA'!E13</f>
        <v>1697797.44</v>
      </c>
      <c r="H8" s="52"/>
      <c r="J8" s="126">
        <f>+J6*1.85</f>
        <v>3147444.334146658</v>
      </c>
      <c r="K8" s="130">
        <f t="shared" si="3"/>
        <v>162324.10999999999</v>
      </c>
      <c r="L8" s="126">
        <f>+L6*1.85</f>
        <v>2847144.7306466582</v>
      </c>
      <c r="M8" s="126">
        <f t="shared" si="2"/>
        <v>3009468.8406466581</v>
      </c>
      <c r="N8" s="126">
        <f t="shared" si="1"/>
        <v>137975.49349999987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2:26" x14ac:dyDescent="0.2">
      <c r="B9" s="51"/>
      <c r="C9" s="42"/>
      <c r="D9" s="42"/>
      <c r="E9" s="42"/>
      <c r="F9" s="42"/>
      <c r="G9" s="42"/>
      <c r="H9" s="5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x14ac:dyDescent="0.2">
      <c r="B10" s="51"/>
      <c r="C10" s="42"/>
      <c r="D10" s="41" t="s">
        <v>109</v>
      </c>
      <c r="E10" s="376" t="s">
        <v>110</v>
      </c>
      <c r="F10" s="376"/>
      <c r="G10" s="376"/>
      <c r="H10" s="5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x14ac:dyDescent="0.2">
      <c r="B11" s="51"/>
      <c r="C11" s="42"/>
      <c r="D11" s="42"/>
      <c r="E11" s="43">
        <v>1</v>
      </c>
      <c r="F11" s="42" t="s">
        <v>113</v>
      </c>
      <c r="G11" s="43" t="s">
        <v>114</v>
      </c>
      <c r="H11" s="5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x14ac:dyDescent="0.2">
      <c r="B12" s="51"/>
      <c r="C12" s="42"/>
      <c r="D12" s="45"/>
      <c r="E12" s="42"/>
      <c r="F12" s="41"/>
      <c r="G12" s="46" t="s">
        <v>116</v>
      </c>
      <c r="H12" s="5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x14ac:dyDescent="0.2">
      <c r="B13" s="51"/>
      <c r="C13" s="42"/>
      <c r="D13" s="47"/>
      <c r="E13" s="42"/>
      <c r="F13" s="42"/>
      <c r="G13" s="42"/>
      <c r="H13" s="5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x14ac:dyDescent="0.2">
      <c r="B14" s="51"/>
      <c r="C14" s="42"/>
      <c r="D14" s="41" t="s">
        <v>109</v>
      </c>
      <c r="E14" s="375">
        <f>+G7</f>
        <v>162324.10999999999</v>
      </c>
      <c r="F14" s="376"/>
      <c r="G14" s="376"/>
      <c r="H14" s="5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x14ac:dyDescent="0.2">
      <c r="B15" s="51"/>
      <c r="C15" s="42"/>
      <c r="D15" s="42"/>
      <c r="E15" s="43">
        <v>1</v>
      </c>
      <c r="F15" s="42" t="s">
        <v>113</v>
      </c>
      <c r="G15" s="48">
        <f>+G6</f>
        <v>1535809.54</v>
      </c>
      <c r="H15" s="5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x14ac:dyDescent="0.2">
      <c r="B16" s="51"/>
      <c r="C16" s="42"/>
      <c r="D16" s="41"/>
      <c r="E16" s="42"/>
      <c r="F16" s="41"/>
      <c r="G16" s="125">
        <f>+G8</f>
        <v>1697797.44</v>
      </c>
      <c r="H16" s="5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14" x14ac:dyDescent="0.2">
      <c r="B17" s="51"/>
      <c r="C17" s="42"/>
      <c r="D17" s="42"/>
      <c r="E17" s="42"/>
      <c r="F17" s="42"/>
      <c r="G17" s="42"/>
      <c r="H17" s="52"/>
      <c r="J17" s="42"/>
      <c r="K17" s="42"/>
      <c r="L17" s="42"/>
      <c r="M17" s="42"/>
      <c r="N17" s="42"/>
    </row>
    <row r="18" spans="1:14" x14ac:dyDescent="0.2">
      <c r="B18" s="51"/>
      <c r="C18" s="42"/>
      <c r="D18" s="41" t="s">
        <v>109</v>
      </c>
      <c r="E18" s="375">
        <f>+E14</f>
        <v>162324.10999999999</v>
      </c>
      <c r="F18" s="375"/>
      <c r="G18" s="375"/>
      <c r="H18" s="52"/>
    </row>
    <row r="19" spans="1:14" x14ac:dyDescent="0.2">
      <c r="B19" s="51"/>
      <c r="C19" s="42"/>
      <c r="D19" s="42"/>
      <c r="E19" s="43">
        <v>1</v>
      </c>
      <c r="F19" s="42" t="s">
        <v>113</v>
      </c>
      <c r="G19" s="48">
        <f>+G15/G16</f>
        <v>0.90458938376064468</v>
      </c>
      <c r="H19" s="52"/>
    </row>
    <row r="20" spans="1:14" x14ac:dyDescent="0.2">
      <c r="B20" s="51"/>
      <c r="C20" s="42"/>
      <c r="D20" s="41"/>
      <c r="E20" s="41"/>
      <c r="F20" s="41"/>
      <c r="G20" s="41"/>
      <c r="H20" s="52"/>
    </row>
    <row r="21" spans="1:14" x14ac:dyDescent="0.2">
      <c r="B21" s="51"/>
      <c r="C21" s="42"/>
      <c r="D21" s="41" t="s">
        <v>109</v>
      </c>
      <c r="E21" s="375">
        <f>+E18</f>
        <v>162324.10999999999</v>
      </c>
      <c r="F21" s="375"/>
      <c r="G21" s="375"/>
      <c r="H21" s="52"/>
    </row>
    <row r="22" spans="1:14" x14ac:dyDescent="0.2">
      <c r="B22" s="51"/>
      <c r="C22" s="42"/>
      <c r="D22" s="41"/>
      <c r="E22" s="374">
        <f>+E19-G19</f>
        <v>9.5410616239355317E-2</v>
      </c>
      <c r="F22" s="374"/>
      <c r="G22" s="374"/>
      <c r="H22" s="52"/>
    </row>
    <row r="23" spans="1:14" x14ac:dyDescent="0.2">
      <c r="B23" s="51"/>
      <c r="C23" s="42"/>
      <c r="D23" s="41"/>
      <c r="E23" s="41"/>
      <c r="F23" s="41"/>
      <c r="G23" s="41"/>
      <c r="H23" s="52"/>
    </row>
    <row r="24" spans="1:14" x14ac:dyDescent="0.2">
      <c r="B24" s="51"/>
      <c r="C24" s="42"/>
      <c r="D24" s="41" t="s">
        <v>109</v>
      </c>
      <c r="E24" s="373">
        <f>+E21/E22</f>
        <v>1701321.2617008961</v>
      </c>
      <c r="F24" s="373"/>
      <c r="G24" s="373"/>
      <c r="H24" s="52"/>
    </row>
    <row r="25" spans="1:14" ht="13.5" thickBot="1" x14ac:dyDescent="0.25">
      <c r="B25" s="53"/>
      <c r="C25" s="54"/>
      <c r="D25" s="54"/>
      <c r="E25" s="54"/>
      <c r="F25" s="54"/>
      <c r="G25" s="54"/>
      <c r="H25" s="55"/>
    </row>
    <row r="26" spans="1:14" x14ac:dyDescent="0.2">
      <c r="A26" s="42"/>
      <c r="B26" s="42"/>
      <c r="C26" s="42"/>
      <c r="D26" s="42"/>
      <c r="E26" s="42"/>
      <c r="F26" s="42"/>
      <c r="G26" s="42"/>
      <c r="H26" s="42"/>
      <c r="I26" s="42"/>
    </row>
    <row r="27" spans="1:14" x14ac:dyDescent="0.2">
      <c r="A27" s="42"/>
      <c r="B27" s="42"/>
      <c r="C27" s="42"/>
      <c r="D27" s="42"/>
      <c r="E27" s="42"/>
      <c r="F27" s="42"/>
      <c r="G27" s="42"/>
      <c r="H27" s="42"/>
      <c r="I27" s="42"/>
    </row>
    <row r="28" spans="1:14" x14ac:dyDescent="0.2">
      <c r="A28" s="42"/>
      <c r="B28" s="42"/>
      <c r="C28" s="42"/>
      <c r="D28" s="42"/>
      <c r="E28" s="42"/>
      <c r="F28" s="42"/>
      <c r="G28" s="42"/>
      <c r="H28" s="42"/>
      <c r="I28" s="42"/>
    </row>
    <row r="29" spans="1:14" x14ac:dyDescent="0.2">
      <c r="A29" s="42"/>
      <c r="B29" s="42"/>
      <c r="C29" s="42"/>
      <c r="D29" s="42"/>
      <c r="E29" s="42"/>
      <c r="F29" s="42"/>
      <c r="G29" s="42"/>
      <c r="H29" s="42"/>
      <c r="I29" s="42"/>
    </row>
    <row r="30" spans="1:14" x14ac:dyDescent="0.2">
      <c r="A30" s="42"/>
      <c r="B30" s="42"/>
      <c r="C30" s="42"/>
      <c r="D30" s="42"/>
      <c r="E30" s="42"/>
      <c r="F30" s="42"/>
      <c r="G30" s="42"/>
      <c r="H30" s="42"/>
      <c r="I30" s="42"/>
    </row>
    <row r="31" spans="1:14" x14ac:dyDescent="0.2">
      <c r="A31" s="42"/>
      <c r="B31" s="42"/>
      <c r="C31" s="42"/>
      <c r="D31" s="42"/>
      <c r="E31" s="42"/>
      <c r="F31" s="42"/>
      <c r="G31" s="42"/>
      <c r="H31" s="42"/>
      <c r="I31" s="42"/>
    </row>
    <row r="32" spans="1:14" x14ac:dyDescent="0.2">
      <c r="A32" s="42"/>
      <c r="B32" s="42"/>
      <c r="C32" s="42"/>
      <c r="D32" s="42"/>
      <c r="E32" s="42"/>
      <c r="F32" s="42"/>
      <c r="G32" s="42"/>
      <c r="H32" s="42"/>
      <c r="I32" s="42"/>
    </row>
    <row r="33" spans="1:14" ht="13.5" thickBot="1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14" ht="15" customHeight="1" x14ac:dyDescent="0.2">
      <c r="B34" s="49"/>
      <c r="C34" s="378">
        <v>2015</v>
      </c>
      <c r="D34" s="378"/>
      <c r="E34" s="378"/>
      <c r="F34" s="378"/>
      <c r="G34" s="378"/>
      <c r="H34" s="50"/>
      <c r="I34" s="51"/>
      <c r="J34" s="131" t="s">
        <v>69</v>
      </c>
      <c r="K34" s="127" t="s">
        <v>202</v>
      </c>
      <c r="L34" s="131" t="s">
        <v>203</v>
      </c>
      <c r="M34" s="131" t="s">
        <v>204</v>
      </c>
      <c r="N34" s="131" t="s">
        <v>205</v>
      </c>
    </row>
    <row r="35" spans="1:14" ht="15" customHeight="1" x14ac:dyDescent="0.2">
      <c r="B35" s="51"/>
      <c r="C35" s="379"/>
      <c r="D35" s="379"/>
      <c r="E35" s="379"/>
      <c r="F35" s="379"/>
      <c r="G35" s="379"/>
      <c r="H35" s="52"/>
      <c r="I35" s="51"/>
      <c r="J35" s="132" t="s">
        <v>112</v>
      </c>
      <c r="K35" s="128" t="s">
        <v>112</v>
      </c>
      <c r="L35" s="132" t="s">
        <v>112</v>
      </c>
      <c r="M35" s="132" t="s">
        <v>112</v>
      </c>
      <c r="N35" s="132" t="s">
        <v>112</v>
      </c>
    </row>
    <row r="36" spans="1:14" ht="15" x14ac:dyDescent="0.25">
      <c r="B36" s="51"/>
      <c r="C36" s="448" t="s">
        <v>108</v>
      </c>
      <c r="D36" s="448"/>
      <c r="E36" s="448"/>
      <c r="F36" s="448"/>
      <c r="G36" s="448"/>
      <c r="H36" s="52"/>
      <c r="I36" s="51"/>
      <c r="J36" s="133">
        <v>0</v>
      </c>
      <c r="K36" s="129">
        <f t="shared" ref="K36:K37" si="4">+$G$39</f>
        <v>143572.68</v>
      </c>
      <c r="L36" s="133">
        <v>0</v>
      </c>
      <c r="M36" s="133">
        <f>+L36+K36</f>
        <v>143572.68</v>
      </c>
      <c r="N36" s="133">
        <f>+J36-M36</f>
        <v>-143572.68</v>
      </c>
    </row>
    <row r="37" spans="1:14" ht="15" x14ac:dyDescent="0.25">
      <c r="B37" s="51"/>
      <c r="C37" s="449" t="s">
        <v>111</v>
      </c>
      <c r="D37" s="449"/>
      <c r="E37" s="449"/>
      <c r="F37" s="449"/>
      <c r="G37" s="268" t="s">
        <v>112</v>
      </c>
      <c r="H37" s="52"/>
      <c r="I37" s="51"/>
      <c r="J37" s="133">
        <f>+J38*0.4</f>
        <v>338495.70784723747</v>
      </c>
      <c r="K37" s="129">
        <f t="shared" si="4"/>
        <v>143572.68</v>
      </c>
      <c r="L37" s="133">
        <f>+L38*0.4</f>
        <v>281066.63584723743</v>
      </c>
      <c r="M37" s="133">
        <f>+L37+K37</f>
        <v>424639.31584723742</v>
      </c>
      <c r="N37" s="133">
        <f t="shared" ref="N37:N40" si="5">+J37-M37</f>
        <v>-86143.607999999949</v>
      </c>
    </row>
    <row r="38" spans="1:14" ht="15" x14ac:dyDescent="0.25">
      <c r="B38" s="51"/>
      <c r="C38" s="377" t="s">
        <v>115</v>
      </c>
      <c r="D38" s="377"/>
      <c r="E38" s="377"/>
      <c r="F38" s="377"/>
      <c r="G38" s="44">
        <f>+'ER OPTIMISTA'!F17+'ER OPTIMISTA'!F34</f>
        <v>768436.56</v>
      </c>
      <c r="H38" s="52"/>
      <c r="I38" s="51"/>
      <c r="J38" s="133">
        <f>+E56</f>
        <v>846239.26961809362</v>
      </c>
      <c r="K38" s="129">
        <f>+$G$39</f>
        <v>143572.68</v>
      </c>
      <c r="L38" s="133">
        <f>+J38-K38</f>
        <v>702666.58961809357</v>
      </c>
      <c r="M38" s="133">
        <f t="shared" ref="M38:M40" si="6">+L38+K38</f>
        <v>846239.2696180935</v>
      </c>
      <c r="N38" s="133">
        <f t="shared" si="5"/>
        <v>0</v>
      </c>
    </row>
    <row r="39" spans="1:14" ht="15" x14ac:dyDescent="0.25">
      <c r="B39" s="51"/>
      <c r="C39" s="377" t="s">
        <v>117</v>
      </c>
      <c r="D39" s="377"/>
      <c r="E39" s="377"/>
      <c r="F39" s="377"/>
      <c r="G39" s="44">
        <f>+'ER OPTIMISTA'!F18+'ER OPTIMISTA'!F32+'ER OPTIMISTA'!F42</f>
        <v>143572.68</v>
      </c>
      <c r="H39" s="52"/>
      <c r="I39" s="51"/>
      <c r="J39" s="133">
        <f>+J38*120%</f>
        <v>1015487.1235417123</v>
      </c>
      <c r="K39" s="129">
        <f t="shared" ref="K39:K40" si="7">+$G$39</f>
        <v>143572.68</v>
      </c>
      <c r="L39" s="133">
        <f>+L38*120%</f>
        <v>843199.90754171228</v>
      </c>
      <c r="M39" s="133">
        <f t="shared" si="6"/>
        <v>986772.58754171222</v>
      </c>
      <c r="N39" s="133">
        <f t="shared" si="5"/>
        <v>28714.53600000008</v>
      </c>
    </row>
    <row r="40" spans="1:14" ht="15" x14ac:dyDescent="0.25">
      <c r="B40" s="51"/>
      <c r="C40" s="377" t="s">
        <v>116</v>
      </c>
      <c r="D40" s="377"/>
      <c r="E40" s="377"/>
      <c r="F40" s="377"/>
      <c r="G40" s="44">
        <f>+'ER OPTIMISTA'!F13</f>
        <v>925447.72</v>
      </c>
      <c r="H40" s="52"/>
      <c r="I40" s="51"/>
      <c r="J40" s="126">
        <f>+J38*1.85</f>
        <v>1565542.6487934734</v>
      </c>
      <c r="K40" s="130">
        <f t="shared" si="7"/>
        <v>143572.68</v>
      </c>
      <c r="L40" s="126">
        <f>+L38*1.85</f>
        <v>1299933.1907934733</v>
      </c>
      <c r="M40" s="126">
        <f t="shared" si="6"/>
        <v>1443505.8707934732</v>
      </c>
      <c r="N40" s="126">
        <f t="shared" si="5"/>
        <v>122036.77800000017</v>
      </c>
    </row>
    <row r="41" spans="1:14" x14ac:dyDescent="0.2">
      <c r="B41" s="51"/>
      <c r="C41" s="42"/>
      <c r="D41" s="42"/>
      <c r="E41" s="42"/>
      <c r="F41" s="42"/>
      <c r="G41" s="42"/>
      <c r="H41" s="52"/>
      <c r="I41" s="51"/>
    </row>
    <row r="42" spans="1:14" x14ac:dyDescent="0.2">
      <c r="B42" s="51"/>
      <c r="C42" s="42"/>
      <c r="D42" s="41" t="s">
        <v>109</v>
      </c>
      <c r="E42" s="376" t="s">
        <v>110</v>
      </c>
      <c r="F42" s="376"/>
      <c r="G42" s="376"/>
      <c r="H42" s="52"/>
      <c r="I42" s="51"/>
    </row>
    <row r="43" spans="1:14" x14ac:dyDescent="0.2">
      <c r="B43" s="51"/>
      <c r="C43" s="42"/>
      <c r="D43" s="42"/>
      <c r="E43" s="43">
        <v>1</v>
      </c>
      <c r="F43" s="42" t="s">
        <v>113</v>
      </c>
      <c r="G43" s="43" t="s">
        <v>114</v>
      </c>
      <c r="H43" s="52"/>
      <c r="I43" s="51"/>
    </row>
    <row r="44" spans="1:14" x14ac:dyDescent="0.2">
      <c r="B44" s="51"/>
      <c r="C44" s="42"/>
      <c r="D44" s="45"/>
      <c r="E44" s="42"/>
      <c r="F44" s="41"/>
      <c r="G44" s="46" t="s">
        <v>116</v>
      </c>
      <c r="H44" s="52"/>
      <c r="I44" s="51"/>
    </row>
    <row r="45" spans="1:14" x14ac:dyDescent="0.2">
      <c r="B45" s="51"/>
      <c r="C45" s="42"/>
      <c r="D45" s="47"/>
      <c r="E45" s="42"/>
      <c r="F45" s="42"/>
      <c r="G45" s="42"/>
      <c r="H45" s="52"/>
      <c r="I45" s="51"/>
    </row>
    <row r="46" spans="1:14" x14ac:dyDescent="0.2">
      <c r="B46" s="51"/>
      <c r="C46" s="42"/>
      <c r="D46" s="41" t="s">
        <v>109</v>
      </c>
      <c r="E46" s="375">
        <f>+G39</f>
        <v>143572.68</v>
      </c>
      <c r="F46" s="376"/>
      <c r="G46" s="376"/>
      <c r="H46" s="52"/>
      <c r="I46" s="51"/>
    </row>
    <row r="47" spans="1:14" x14ac:dyDescent="0.2">
      <c r="B47" s="51"/>
      <c r="C47" s="42"/>
      <c r="D47" s="42"/>
      <c r="E47" s="43">
        <v>1</v>
      </c>
      <c r="F47" s="42" t="s">
        <v>113</v>
      </c>
      <c r="G47" s="48">
        <f>+G38</f>
        <v>768436.56</v>
      </c>
      <c r="H47" s="52"/>
      <c r="I47" s="51"/>
    </row>
    <row r="48" spans="1:14" x14ac:dyDescent="0.2">
      <c r="B48" s="51"/>
      <c r="C48" s="42"/>
      <c r="D48" s="41"/>
      <c r="E48" s="42"/>
      <c r="F48" s="41"/>
      <c r="G48" s="125">
        <f>+G40</f>
        <v>925447.72</v>
      </c>
      <c r="H48" s="52"/>
      <c r="I48" s="51"/>
    </row>
    <row r="49" spans="1:9" x14ac:dyDescent="0.2">
      <c r="B49" s="51"/>
      <c r="C49" s="42"/>
      <c r="D49" s="42"/>
      <c r="E49" s="42"/>
      <c r="F49" s="42"/>
      <c r="G49" s="42"/>
      <c r="H49" s="52"/>
      <c r="I49" s="51"/>
    </row>
    <row r="50" spans="1:9" x14ac:dyDescent="0.2">
      <c r="B50" s="51"/>
      <c r="C50" s="42"/>
      <c r="D50" s="41" t="s">
        <v>109</v>
      </c>
      <c r="E50" s="375">
        <f>+E46</f>
        <v>143572.68</v>
      </c>
      <c r="F50" s="375"/>
      <c r="G50" s="375"/>
      <c r="H50" s="52"/>
      <c r="I50" s="51"/>
    </row>
    <row r="51" spans="1:9" x14ac:dyDescent="0.2">
      <c r="B51" s="51"/>
      <c r="C51" s="42"/>
      <c r="D51" s="42"/>
      <c r="E51" s="43">
        <v>1</v>
      </c>
      <c r="F51" s="42" t="s">
        <v>113</v>
      </c>
      <c r="G51" s="48">
        <f>+G47/G48</f>
        <v>0.83034032435673411</v>
      </c>
      <c r="H51" s="52"/>
      <c r="I51" s="51"/>
    </row>
    <row r="52" spans="1:9" x14ac:dyDescent="0.2">
      <c r="B52" s="51"/>
      <c r="C52" s="42"/>
      <c r="D52" s="41"/>
      <c r="E52" s="41"/>
      <c r="F52" s="41"/>
      <c r="G52" s="41"/>
      <c r="H52" s="52"/>
      <c r="I52" s="51"/>
    </row>
    <row r="53" spans="1:9" x14ac:dyDescent="0.2">
      <c r="B53" s="51"/>
      <c r="C53" s="42"/>
      <c r="D53" s="41" t="s">
        <v>109</v>
      </c>
      <c r="E53" s="375">
        <f>+E50</f>
        <v>143572.68</v>
      </c>
      <c r="F53" s="375"/>
      <c r="G53" s="375"/>
      <c r="H53" s="52"/>
      <c r="I53" s="51"/>
    </row>
    <row r="54" spans="1:9" x14ac:dyDescent="0.2">
      <c r="B54" s="51"/>
      <c r="C54" s="42"/>
      <c r="D54" s="41"/>
      <c r="E54" s="374">
        <f>+E51-G51</f>
        <v>0.16965967564326589</v>
      </c>
      <c r="F54" s="374"/>
      <c r="G54" s="374"/>
      <c r="H54" s="52"/>
      <c r="I54" s="51"/>
    </row>
    <row r="55" spans="1:9" x14ac:dyDescent="0.2">
      <c r="B55" s="51"/>
      <c r="C55" s="42"/>
      <c r="D55" s="41"/>
      <c r="E55" s="41"/>
      <c r="F55" s="41"/>
      <c r="G55" s="41"/>
      <c r="H55" s="52"/>
      <c r="I55" s="51"/>
    </row>
    <row r="56" spans="1:9" x14ac:dyDescent="0.2">
      <c r="B56" s="51"/>
      <c r="C56" s="42"/>
      <c r="D56" s="41" t="s">
        <v>109</v>
      </c>
      <c r="E56" s="373">
        <f>+E53/E54</f>
        <v>846239.26961809362</v>
      </c>
      <c r="F56" s="373"/>
      <c r="G56" s="373"/>
      <c r="H56" s="52"/>
      <c r="I56" s="51"/>
    </row>
    <row r="57" spans="1:9" ht="13.5" thickBot="1" x14ac:dyDescent="0.25">
      <c r="B57" s="53"/>
      <c r="C57" s="54"/>
      <c r="D57" s="54"/>
      <c r="E57" s="54"/>
      <c r="F57" s="54"/>
      <c r="G57" s="54"/>
      <c r="H57" s="55"/>
      <c r="I57" s="51"/>
    </row>
    <row r="58" spans="1:9" x14ac:dyDescent="0.2">
      <c r="A58" s="42"/>
      <c r="B58" s="42"/>
      <c r="C58" s="42"/>
      <c r="D58" s="42"/>
      <c r="E58" s="42"/>
      <c r="F58" s="42"/>
      <c r="G58" s="42"/>
      <c r="H58" s="42"/>
      <c r="I58" s="42"/>
    </row>
    <row r="59" spans="1:9" x14ac:dyDescent="0.2">
      <c r="A59" s="42"/>
      <c r="B59" s="42"/>
      <c r="C59" s="42"/>
      <c r="D59" s="42"/>
      <c r="E59" s="42"/>
      <c r="F59" s="42"/>
      <c r="G59" s="42"/>
      <c r="H59" s="42"/>
      <c r="I59" s="42"/>
    </row>
    <row r="60" spans="1:9" x14ac:dyDescent="0.2">
      <c r="A60" s="42"/>
      <c r="B60" s="42"/>
      <c r="C60" s="42"/>
      <c r="D60" s="42"/>
      <c r="E60" s="42"/>
      <c r="F60" s="42"/>
      <c r="G60" s="42"/>
      <c r="H60" s="42"/>
      <c r="I60" s="42"/>
    </row>
    <row r="61" spans="1:9" x14ac:dyDescent="0.2">
      <c r="A61" s="42"/>
      <c r="B61" s="42"/>
      <c r="C61" s="42"/>
      <c r="D61" s="42"/>
      <c r="E61" s="42"/>
      <c r="F61" s="42"/>
      <c r="G61" s="42"/>
      <c r="H61" s="42"/>
      <c r="I61" s="42"/>
    </row>
    <row r="62" spans="1:9" x14ac:dyDescent="0.2">
      <c r="A62" s="42"/>
      <c r="B62" s="42"/>
      <c r="C62" s="42"/>
      <c r="D62" s="42"/>
      <c r="E62" s="42"/>
      <c r="F62" s="42"/>
      <c r="G62" s="42"/>
      <c r="H62" s="42"/>
      <c r="I62" s="42"/>
    </row>
    <row r="63" spans="1:9" x14ac:dyDescent="0.2">
      <c r="A63" s="42"/>
      <c r="B63" s="42"/>
      <c r="C63" s="42"/>
      <c r="D63" s="42"/>
      <c r="E63" s="42"/>
      <c r="F63" s="42"/>
      <c r="G63" s="42"/>
      <c r="H63" s="42"/>
      <c r="I63" s="42"/>
    </row>
    <row r="64" spans="1:9" x14ac:dyDescent="0.2">
      <c r="A64" s="42"/>
      <c r="B64" s="42"/>
      <c r="C64" s="42"/>
      <c r="D64" s="42"/>
      <c r="E64" s="42"/>
      <c r="F64" s="42"/>
      <c r="G64" s="42"/>
      <c r="H64" s="42"/>
      <c r="I64" s="42"/>
    </row>
    <row r="65" spans="1:14" ht="13.5" thickBot="1" x14ac:dyDescent="0.25">
      <c r="A65" s="42"/>
      <c r="B65" s="42"/>
      <c r="C65" s="42"/>
      <c r="D65" s="42"/>
      <c r="E65" s="42"/>
      <c r="F65" s="42"/>
      <c r="G65" s="42"/>
      <c r="H65" s="42"/>
      <c r="I65" s="42"/>
    </row>
    <row r="66" spans="1:14" ht="12.75" customHeight="1" x14ac:dyDescent="0.2">
      <c r="B66" s="49"/>
      <c r="C66" s="378">
        <v>2016</v>
      </c>
      <c r="D66" s="378"/>
      <c r="E66" s="378"/>
      <c r="F66" s="378"/>
      <c r="G66" s="378"/>
      <c r="H66" s="50"/>
      <c r="I66" s="51"/>
      <c r="J66" s="131" t="s">
        <v>69</v>
      </c>
      <c r="K66" s="127" t="s">
        <v>202</v>
      </c>
      <c r="L66" s="131" t="s">
        <v>203</v>
      </c>
      <c r="M66" s="131" t="s">
        <v>204</v>
      </c>
      <c r="N66" s="131" t="s">
        <v>205</v>
      </c>
    </row>
    <row r="67" spans="1:14" ht="12.75" customHeight="1" x14ac:dyDescent="0.2">
      <c r="B67" s="51"/>
      <c r="C67" s="379"/>
      <c r="D67" s="379"/>
      <c r="E67" s="379"/>
      <c r="F67" s="379"/>
      <c r="G67" s="379"/>
      <c r="H67" s="52"/>
      <c r="I67" s="51"/>
      <c r="J67" s="132" t="s">
        <v>112</v>
      </c>
      <c r="K67" s="128" t="s">
        <v>112</v>
      </c>
      <c r="L67" s="132" t="s">
        <v>112</v>
      </c>
      <c r="M67" s="132" t="s">
        <v>112</v>
      </c>
      <c r="N67" s="132" t="s">
        <v>112</v>
      </c>
    </row>
    <row r="68" spans="1:14" ht="15" x14ac:dyDescent="0.25">
      <c r="B68" s="51"/>
      <c r="C68" s="448" t="s">
        <v>108</v>
      </c>
      <c r="D68" s="448"/>
      <c r="E68" s="448"/>
      <c r="F68" s="448"/>
      <c r="G68" s="448"/>
      <c r="H68" s="52"/>
      <c r="I68" s="51"/>
      <c r="J68" s="133">
        <v>0</v>
      </c>
      <c r="K68" s="129">
        <f t="shared" ref="K68:K72" si="8">+$G$71</f>
        <v>146926.12671000001</v>
      </c>
      <c r="L68" s="133">
        <v>0</v>
      </c>
      <c r="M68" s="133">
        <f>+L68+K68</f>
        <v>146926.12671000001</v>
      </c>
      <c r="N68" s="133">
        <f>+J68-M68</f>
        <v>-146926.12671000001</v>
      </c>
    </row>
    <row r="69" spans="1:14" ht="15" x14ac:dyDescent="0.25">
      <c r="B69" s="51"/>
      <c r="C69" s="449" t="s">
        <v>111</v>
      </c>
      <c r="D69" s="449"/>
      <c r="E69" s="449"/>
      <c r="F69" s="449"/>
      <c r="G69" s="268" t="s">
        <v>112</v>
      </c>
      <c r="H69" s="52"/>
      <c r="I69" s="51"/>
      <c r="J69" s="133">
        <f>+J70*0.4</f>
        <v>430523.50577492267</v>
      </c>
      <c r="K69" s="129">
        <f t="shared" si="8"/>
        <v>146926.12671000001</v>
      </c>
      <c r="L69" s="133">
        <f>+L70*0.4</f>
        <v>371753.05509092269</v>
      </c>
      <c r="M69" s="133">
        <f>+L69+K69</f>
        <v>518679.18180092273</v>
      </c>
      <c r="N69" s="133">
        <f t="shared" ref="N69:N72" si="9">+J69-M69</f>
        <v>-88155.676026000059</v>
      </c>
    </row>
    <row r="70" spans="1:14" ht="15" x14ac:dyDescent="0.25">
      <c r="B70" s="51"/>
      <c r="C70" s="377" t="s">
        <v>115</v>
      </c>
      <c r="D70" s="377"/>
      <c r="E70" s="377"/>
      <c r="F70" s="377"/>
      <c r="G70" s="44">
        <f>+'ER OPTIMISTA'!G17+'ER OPTIMISTA'!G34</f>
        <v>1078805.95842</v>
      </c>
      <c r="H70" s="52"/>
      <c r="I70" s="51"/>
      <c r="J70" s="133">
        <f>+E88</f>
        <v>1076308.7644373067</v>
      </c>
      <c r="K70" s="129">
        <f>+$G$71</f>
        <v>146926.12671000001</v>
      </c>
      <c r="L70" s="133">
        <f>+J70-K70</f>
        <v>929382.63772730669</v>
      </c>
      <c r="M70" s="133">
        <f t="shared" ref="M70:M72" si="10">+L70+K70</f>
        <v>1076308.7644373067</v>
      </c>
      <c r="N70" s="133">
        <f t="shared" si="9"/>
        <v>0</v>
      </c>
    </row>
    <row r="71" spans="1:14" ht="15" x14ac:dyDescent="0.25">
      <c r="B71" s="51"/>
      <c r="C71" s="377" t="s">
        <v>117</v>
      </c>
      <c r="D71" s="377"/>
      <c r="E71" s="377"/>
      <c r="F71" s="377"/>
      <c r="G71" s="44">
        <f>+'ER OPTIMISTA'!G18+'ER OPTIMISTA'!G32+'ER OPTIMISTA'!G42</f>
        <v>146926.12671000001</v>
      </c>
      <c r="H71" s="52"/>
      <c r="I71" s="51"/>
      <c r="J71" s="133">
        <f>+J70*120%</f>
        <v>1291570.517324768</v>
      </c>
      <c r="K71" s="129">
        <f t="shared" si="8"/>
        <v>146926.12671000001</v>
      </c>
      <c r="L71" s="133">
        <f>+L70*120%</f>
        <v>1115259.1652727679</v>
      </c>
      <c r="M71" s="133">
        <f t="shared" si="10"/>
        <v>1262185.2919827679</v>
      </c>
      <c r="N71" s="133">
        <f t="shared" si="9"/>
        <v>29385.225342000136</v>
      </c>
    </row>
    <row r="72" spans="1:14" ht="15" x14ac:dyDescent="0.25">
      <c r="B72" s="51"/>
      <c r="C72" s="377" t="s">
        <v>116</v>
      </c>
      <c r="D72" s="377"/>
      <c r="E72" s="377"/>
      <c r="F72" s="377"/>
      <c r="G72" s="44">
        <f>+'ER OPTIMISTA'!G13</f>
        <v>1249354.422</v>
      </c>
      <c r="H72" s="52"/>
      <c r="I72" s="51"/>
      <c r="J72" s="126">
        <f>+J70*1.85</f>
        <v>1991171.2142090173</v>
      </c>
      <c r="K72" s="130">
        <f t="shared" si="8"/>
        <v>146926.12671000001</v>
      </c>
      <c r="L72" s="126">
        <f>+L70*1.85</f>
        <v>1719357.8797955175</v>
      </c>
      <c r="M72" s="126">
        <f t="shared" si="10"/>
        <v>1866284.0065055175</v>
      </c>
      <c r="N72" s="126">
        <f t="shared" si="9"/>
        <v>124887.20770349982</v>
      </c>
    </row>
    <row r="73" spans="1:14" x14ac:dyDescent="0.2">
      <c r="B73" s="51"/>
      <c r="C73" s="42"/>
      <c r="D73" s="42"/>
      <c r="E73" s="42"/>
      <c r="F73" s="42"/>
      <c r="G73" s="42"/>
      <c r="H73" s="52"/>
      <c r="I73" s="51"/>
    </row>
    <row r="74" spans="1:14" x14ac:dyDescent="0.2">
      <c r="B74" s="51"/>
      <c r="C74" s="42"/>
      <c r="D74" s="41" t="s">
        <v>109</v>
      </c>
      <c r="E74" s="376" t="s">
        <v>110</v>
      </c>
      <c r="F74" s="376"/>
      <c r="G74" s="376"/>
      <c r="H74" s="52"/>
      <c r="I74" s="51"/>
    </row>
    <row r="75" spans="1:14" x14ac:dyDescent="0.2">
      <c r="B75" s="51"/>
      <c r="C75" s="42"/>
      <c r="D75" s="42"/>
      <c r="E75" s="43">
        <v>1</v>
      </c>
      <c r="F75" s="42" t="s">
        <v>113</v>
      </c>
      <c r="G75" s="43" t="s">
        <v>114</v>
      </c>
      <c r="H75" s="52"/>
      <c r="I75" s="51"/>
    </row>
    <row r="76" spans="1:14" x14ac:dyDescent="0.2">
      <c r="B76" s="51"/>
      <c r="C76" s="42"/>
      <c r="D76" s="45"/>
      <c r="E76" s="42"/>
      <c r="F76" s="41"/>
      <c r="G76" s="46" t="s">
        <v>116</v>
      </c>
      <c r="H76" s="52"/>
      <c r="I76" s="51"/>
    </row>
    <row r="77" spans="1:14" x14ac:dyDescent="0.2">
      <c r="B77" s="51"/>
      <c r="C77" s="42"/>
      <c r="D77" s="47"/>
      <c r="E77" s="42"/>
      <c r="F77" s="42"/>
      <c r="G77" s="42"/>
      <c r="H77" s="52"/>
      <c r="I77" s="51"/>
    </row>
    <row r="78" spans="1:14" x14ac:dyDescent="0.2">
      <c r="B78" s="51"/>
      <c r="C78" s="42"/>
      <c r="D78" s="41" t="s">
        <v>109</v>
      </c>
      <c r="E78" s="375">
        <f>+G71</f>
        <v>146926.12671000001</v>
      </c>
      <c r="F78" s="376"/>
      <c r="G78" s="376"/>
      <c r="H78" s="52"/>
      <c r="I78" s="51"/>
    </row>
    <row r="79" spans="1:14" x14ac:dyDescent="0.2">
      <c r="B79" s="51"/>
      <c r="C79" s="42"/>
      <c r="D79" s="42"/>
      <c r="E79" s="43">
        <v>1</v>
      </c>
      <c r="F79" s="42" t="s">
        <v>113</v>
      </c>
      <c r="G79" s="48">
        <f>+G70</f>
        <v>1078805.95842</v>
      </c>
      <c r="H79" s="52"/>
      <c r="I79" s="51"/>
    </row>
    <row r="80" spans="1:14" x14ac:dyDescent="0.2">
      <c r="B80" s="51"/>
      <c r="C80" s="42"/>
      <c r="D80" s="41"/>
      <c r="E80" s="42"/>
      <c r="F80" s="41"/>
      <c r="G80" s="125">
        <f>+G72</f>
        <v>1249354.422</v>
      </c>
      <c r="H80" s="52"/>
      <c r="I80" s="51"/>
    </row>
    <row r="81" spans="1:9" x14ac:dyDescent="0.2">
      <c r="B81" s="51"/>
      <c r="C81" s="42"/>
      <c r="D81" s="42"/>
      <c r="E81" s="42"/>
      <c r="F81" s="42"/>
      <c r="G81" s="42"/>
      <c r="H81" s="52"/>
      <c r="I81" s="51"/>
    </row>
    <row r="82" spans="1:9" x14ac:dyDescent="0.2">
      <c r="B82" s="51"/>
      <c r="C82" s="42"/>
      <c r="D82" s="41" t="s">
        <v>109</v>
      </c>
      <c r="E82" s="375">
        <f>+E78</f>
        <v>146926.12671000001</v>
      </c>
      <c r="F82" s="375"/>
      <c r="G82" s="375"/>
      <c r="H82" s="52"/>
      <c r="I82" s="51"/>
    </row>
    <row r="83" spans="1:9" x14ac:dyDescent="0.2">
      <c r="B83" s="51"/>
      <c r="C83" s="42"/>
      <c r="D83" s="42"/>
      <c r="E83" s="43">
        <v>1</v>
      </c>
      <c r="F83" s="42" t="s">
        <v>113</v>
      </c>
      <c r="G83" s="48">
        <f>+G79/G80</f>
        <v>0.8634907272293626</v>
      </c>
      <c r="H83" s="52"/>
      <c r="I83" s="51"/>
    </row>
    <row r="84" spans="1:9" x14ac:dyDescent="0.2">
      <c r="B84" s="51"/>
      <c r="C84" s="42"/>
      <c r="D84" s="41"/>
      <c r="E84" s="41"/>
      <c r="F84" s="41"/>
      <c r="G84" s="41"/>
      <c r="H84" s="52"/>
      <c r="I84" s="51"/>
    </row>
    <row r="85" spans="1:9" x14ac:dyDescent="0.2">
      <c r="B85" s="51"/>
      <c r="C85" s="42"/>
      <c r="D85" s="41" t="s">
        <v>109</v>
      </c>
      <c r="E85" s="375">
        <f>+E82</f>
        <v>146926.12671000001</v>
      </c>
      <c r="F85" s="375"/>
      <c r="G85" s="375"/>
      <c r="H85" s="52"/>
      <c r="I85" s="51"/>
    </row>
    <row r="86" spans="1:9" x14ac:dyDescent="0.2">
      <c r="B86" s="51"/>
      <c r="C86" s="42"/>
      <c r="D86" s="41"/>
      <c r="E86" s="374">
        <f>+E83-G83</f>
        <v>0.1365092727706374</v>
      </c>
      <c r="F86" s="374"/>
      <c r="G86" s="374"/>
      <c r="H86" s="52"/>
      <c r="I86" s="51"/>
    </row>
    <row r="87" spans="1:9" x14ac:dyDescent="0.2">
      <c r="B87" s="51"/>
      <c r="C87" s="42"/>
      <c r="D87" s="41"/>
      <c r="E87" s="41"/>
      <c r="F87" s="41"/>
      <c r="G87" s="41"/>
      <c r="H87" s="52"/>
      <c r="I87" s="51"/>
    </row>
    <row r="88" spans="1:9" x14ac:dyDescent="0.2">
      <c r="B88" s="51"/>
      <c r="C88" s="42"/>
      <c r="D88" s="41" t="s">
        <v>109</v>
      </c>
      <c r="E88" s="373">
        <f>+E85/E86</f>
        <v>1076308.7644373067</v>
      </c>
      <c r="F88" s="373"/>
      <c r="G88" s="373"/>
      <c r="H88" s="52"/>
      <c r="I88" s="51"/>
    </row>
    <row r="89" spans="1:9" ht="13.5" thickBot="1" x14ac:dyDescent="0.25">
      <c r="B89" s="53"/>
      <c r="C89" s="54"/>
      <c r="D89" s="54"/>
      <c r="E89" s="54"/>
      <c r="F89" s="54"/>
      <c r="G89" s="54"/>
      <c r="H89" s="55"/>
      <c r="I89" s="51"/>
    </row>
    <row r="90" spans="1:9" x14ac:dyDescent="0.2">
      <c r="A90" s="42"/>
      <c r="B90" s="42"/>
      <c r="C90" s="42"/>
      <c r="D90" s="42"/>
      <c r="E90" s="42"/>
      <c r="F90" s="42"/>
      <c r="G90" s="42"/>
      <c r="H90" s="42"/>
      <c r="I90" s="42"/>
    </row>
    <row r="91" spans="1:9" x14ac:dyDescent="0.2">
      <c r="A91" s="42"/>
      <c r="B91" s="42"/>
      <c r="C91" s="42"/>
      <c r="D91" s="42"/>
      <c r="E91" s="42"/>
      <c r="F91" s="42"/>
      <c r="G91" s="42"/>
      <c r="H91" s="42"/>
      <c r="I91" s="42"/>
    </row>
    <row r="92" spans="1:9" x14ac:dyDescent="0.2">
      <c r="A92" s="42"/>
      <c r="B92" s="42"/>
      <c r="C92" s="42"/>
      <c r="D92" s="42"/>
      <c r="E92" s="42"/>
      <c r="F92" s="42"/>
      <c r="G92" s="42"/>
      <c r="H92" s="42"/>
      <c r="I92" s="42"/>
    </row>
    <row r="93" spans="1:9" x14ac:dyDescent="0.2">
      <c r="A93" s="42"/>
      <c r="B93" s="42"/>
      <c r="C93" s="42"/>
      <c r="D93" s="42"/>
      <c r="E93" s="42"/>
      <c r="F93" s="42"/>
      <c r="G93" s="42"/>
      <c r="H93" s="42"/>
      <c r="I93" s="42"/>
    </row>
    <row r="94" spans="1:9" x14ac:dyDescent="0.2">
      <c r="A94" s="42"/>
      <c r="B94" s="42"/>
      <c r="C94" s="42"/>
      <c r="D94" s="42"/>
      <c r="E94" s="42"/>
      <c r="F94" s="42"/>
      <c r="G94" s="42"/>
      <c r="H94" s="42"/>
      <c r="I94" s="42"/>
    </row>
    <row r="95" spans="1:9" x14ac:dyDescent="0.2">
      <c r="A95" s="42"/>
      <c r="B95" s="42"/>
      <c r="C95" s="42"/>
      <c r="D95" s="42"/>
      <c r="E95" s="42"/>
      <c r="F95" s="42"/>
      <c r="G95" s="42"/>
      <c r="H95" s="42"/>
      <c r="I95" s="42"/>
    </row>
    <row r="96" spans="1:9" x14ac:dyDescent="0.2">
      <c r="A96" s="42"/>
      <c r="B96" s="42"/>
      <c r="C96" s="42"/>
      <c r="D96" s="42"/>
      <c r="E96" s="42"/>
      <c r="F96" s="42"/>
      <c r="G96" s="42"/>
      <c r="H96" s="42"/>
      <c r="I96" s="42"/>
    </row>
    <row r="97" spans="2:14" ht="13.5" thickBot="1" x14ac:dyDescent="0.25">
      <c r="B97" s="42"/>
      <c r="C97" s="42"/>
      <c r="D97" s="42"/>
      <c r="E97" s="42"/>
      <c r="F97" s="42"/>
      <c r="G97" s="42"/>
      <c r="H97" s="42"/>
      <c r="I97" s="42"/>
    </row>
    <row r="98" spans="2:14" ht="12" customHeight="1" x14ac:dyDescent="0.2">
      <c r="B98" s="49"/>
      <c r="C98" s="378">
        <v>2017</v>
      </c>
      <c r="D98" s="378"/>
      <c r="E98" s="378"/>
      <c r="F98" s="378"/>
      <c r="G98" s="378"/>
      <c r="H98" s="50"/>
      <c r="J98" s="131" t="s">
        <v>69</v>
      </c>
      <c r="K98" s="127" t="s">
        <v>202</v>
      </c>
      <c r="L98" s="131" t="s">
        <v>203</v>
      </c>
      <c r="M98" s="131" t="s">
        <v>204</v>
      </c>
      <c r="N98" s="131" t="s">
        <v>205</v>
      </c>
    </row>
    <row r="99" spans="2:14" ht="12.75" customHeight="1" x14ac:dyDescent="0.2">
      <c r="B99" s="51"/>
      <c r="C99" s="379"/>
      <c r="D99" s="379"/>
      <c r="E99" s="379"/>
      <c r="F99" s="379"/>
      <c r="G99" s="379"/>
      <c r="H99" s="52"/>
      <c r="J99" s="132" t="s">
        <v>112</v>
      </c>
      <c r="K99" s="128" t="s">
        <v>112</v>
      </c>
      <c r="L99" s="132" t="s">
        <v>112</v>
      </c>
      <c r="M99" s="132" t="s">
        <v>112</v>
      </c>
      <c r="N99" s="132" t="s">
        <v>112</v>
      </c>
    </row>
    <row r="100" spans="2:14" ht="15" x14ac:dyDescent="0.25">
      <c r="B100" s="51"/>
      <c r="C100" s="448" t="s">
        <v>108</v>
      </c>
      <c r="D100" s="448"/>
      <c r="E100" s="448"/>
      <c r="F100" s="448"/>
      <c r="G100" s="448"/>
      <c r="H100" s="52"/>
      <c r="J100" s="133">
        <v>0</v>
      </c>
      <c r="K100" s="129">
        <f t="shared" ref="K100:K101" si="11">+$G$103</f>
        <v>150370.11648117</v>
      </c>
      <c r="L100" s="133">
        <v>0</v>
      </c>
      <c r="M100" s="133">
        <f>+L100+K100</f>
        <v>150370.11648117</v>
      </c>
      <c r="N100" s="133">
        <f>+J100-M100</f>
        <v>-150370.11648117</v>
      </c>
    </row>
    <row r="101" spans="2:14" ht="15" x14ac:dyDescent="0.25">
      <c r="B101" s="51"/>
      <c r="C101" s="449" t="s">
        <v>111</v>
      </c>
      <c r="D101" s="449"/>
      <c r="E101" s="449"/>
      <c r="F101" s="449"/>
      <c r="G101" s="268" t="s">
        <v>112</v>
      </c>
      <c r="H101" s="52"/>
      <c r="J101" s="133">
        <f>+J102*0.4</f>
        <v>437935.72671032045</v>
      </c>
      <c r="K101" s="129">
        <f t="shared" si="11"/>
        <v>150370.11648117</v>
      </c>
      <c r="L101" s="133">
        <f>+L102*0.4</f>
        <v>377787.68011785246</v>
      </c>
      <c r="M101" s="133">
        <f>+L101+K101</f>
        <v>528157.79659902246</v>
      </c>
      <c r="N101" s="133">
        <f t="shared" ref="N101:N104" si="12">+J101-M101</f>
        <v>-90222.069888702012</v>
      </c>
    </row>
    <row r="102" spans="2:14" ht="15" x14ac:dyDescent="0.25">
      <c r="B102" s="51"/>
      <c r="C102" s="377" t="s">
        <v>115</v>
      </c>
      <c r="D102" s="377"/>
      <c r="E102" s="377"/>
      <c r="F102" s="377"/>
      <c r="G102" s="44">
        <f>+'ER OPTIMISTA'!H17+'ER OPTIMISTA'!H34</f>
        <v>1454979.3906405002</v>
      </c>
      <c r="H102" s="52"/>
      <c r="J102" s="133">
        <f>+E120</f>
        <v>1094839.3167758011</v>
      </c>
      <c r="K102" s="129">
        <f>+$G$103</f>
        <v>150370.11648117</v>
      </c>
      <c r="L102" s="133">
        <f>+J102-K102</f>
        <v>944469.20029463107</v>
      </c>
      <c r="M102" s="133">
        <f t="shared" ref="M102:M104" si="13">+L102+K102</f>
        <v>1094839.3167758011</v>
      </c>
      <c r="N102" s="133">
        <f t="shared" si="12"/>
        <v>0</v>
      </c>
    </row>
    <row r="103" spans="2:14" ht="15" x14ac:dyDescent="0.25">
      <c r="B103" s="51"/>
      <c r="C103" s="377" t="s">
        <v>117</v>
      </c>
      <c r="D103" s="377"/>
      <c r="E103" s="377"/>
      <c r="F103" s="377"/>
      <c r="G103" s="44">
        <f>+'ER OPTIMISTA'!H18+'ER OPTIMISTA'!H32+'ER OPTIMISTA'!H42</f>
        <v>150370.11648117</v>
      </c>
      <c r="H103" s="52"/>
      <c r="J103" s="133">
        <f>+J102*120%</f>
        <v>1313807.1801309614</v>
      </c>
      <c r="K103" s="129">
        <f t="shared" ref="K103:K104" si="14">+$G$103</f>
        <v>150370.11648117</v>
      </c>
      <c r="L103" s="133">
        <f>+L102*120%</f>
        <v>1133363.0403535573</v>
      </c>
      <c r="M103" s="133">
        <f t="shared" si="13"/>
        <v>1283733.1568347274</v>
      </c>
      <c r="N103" s="133">
        <f t="shared" si="12"/>
        <v>30074.023296233965</v>
      </c>
    </row>
    <row r="104" spans="2:14" ht="15" x14ac:dyDescent="0.25">
      <c r="B104" s="51"/>
      <c r="C104" s="377" t="s">
        <v>116</v>
      </c>
      <c r="D104" s="377"/>
      <c r="E104" s="377"/>
      <c r="F104" s="377"/>
      <c r="G104" s="44">
        <f>+'ER OPTIMISTA'!H13</f>
        <v>1686628.4697000002</v>
      </c>
      <c r="H104" s="52"/>
      <c r="J104" s="126">
        <f>+J102*1.85</f>
        <v>2025452.7360352322</v>
      </c>
      <c r="K104" s="130">
        <f t="shared" si="14"/>
        <v>150370.11648117</v>
      </c>
      <c r="L104" s="126">
        <f>+L102*1.85</f>
        <v>1747268.0205450675</v>
      </c>
      <c r="M104" s="126">
        <f t="shared" si="13"/>
        <v>1897638.1370262376</v>
      </c>
      <c r="N104" s="126">
        <f t="shared" si="12"/>
        <v>127814.59900899464</v>
      </c>
    </row>
    <row r="105" spans="2:14" x14ac:dyDescent="0.2">
      <c r="B105" s="51"/>
      <c r="C105" s="42"/>
      <c r="D105" s="42"/>
      <c r="E105" s="42"/>
      <c r="F105" s="42"/>
      <c r="G105" s="42"/>
      <c r="H105" s="52"/>
    </row>
    <row r="106" spans="2:14" x14ac:dyDescent="0.2">
      <c r="B106" s="51"/>
      <c r="C106" s="42"/>
      <c r="D106" s="41" t="s">
        <v>109</v>
      </c>
      <c r="E106" s="376" t="s">
        <v>110</v>
      </c>
      <c r="F106" s="376"/>
      <c r="G106" s="376"/>
      <c r="H106" s="52"/>
    </row>
    <row r="107" spans="2:14" x14ac:dyDescent="0.2">
      <c r="B107" s="51"/>
      <c r="C107" s="42"/>
      <c r="D107" s="42"/>
      <c r="E107" s="43">
        <v>1</v>
      </c>
      <c r="F107" s="42" t="s">
        <v>113</v>
      </c>
      <c r="G107" s="43" t="s">
        <v>114</v>
      </c>
      <c r="H107" s="52"/>
    </row>
    <row r="108" spans="2:14" x14ac:dyDescent="0.2">
      <c r="B108" s="51"/>
      <c r="C108" s="42"/>
      <c r="D108" s="45"/>
      <c r="E108" s="42"/>
      <c r="F108" s="41"/>
      <c r="G108" s="46" t="s">
        <v>116</v>
      </c>
      <c r="H108" s="52"/>
    </row>
    <row r="109" spans="2:14" x14ac:dyDescent="0.2">
      <c r="B109" s="51"/>
      <c r="C109" s="42"/>
      <c r="D109" s="47"/>
      <c r="E109" s="42"/>
      <c r="F109" s="42"/>
      <c r="G109" s="42"/>
      <c r="H109" s="52"/>
    </row>
    <row r="110" spans="2:14" x14ac:dyDescent="0.2">
      <c r="B110" s="51"/>
      <c r="C110" s="42"/>
      <c r="D110" s="41" t="s">
        <v>109</v>
      </c>
      <c r="E110" s="375">
        <f>+G103</f>
        <v>150370.11648117</v>
      </c>
      <c r="F110" s="376"/>
      <c r="G110" s="376"/>
      <c r="H110" s="52"/>
    </row>
    <row r="111" spans="2:14" x14ac:dyDescent="0.2">
      <c r="B111" s="51"/>
      <c r="C111" s="42"/>
      <c r="D111" s="42"/>
      <c r="E111" s="43">
        <v>1</v>
      </c>
      <c r="F111" s="42" t="s">
        <v>113</v>
      </c>
      <c r="G111" s="48">
        <f>+G102</f>
        <v>1454979.3906405002</v>
      </c>
      <c r="H111" s="52"/>
    </row>
    <row r="112" spans="2:14" x14ac:dyDescent="0.2">
      <c r="B112" s="51"/>
      <c r="C112" s="42"/>
      <c r="D112" s="41"/>
      <c r="E112" s="42"/>
      <c r="F112" s="41"/>
      <c r="G112" s="125">
        <f>+G104</f>
        <v>1686628.4697000002</v>
      </c>
      <c r="H112" s="52"/>
    </row>
    <row r="113" spans="1:9" x14ac:dyDescent="0.2">
      <c r="B113" s="51"/>
      <c r="C113" s="42"/>
      <c r="D113" s="42"/>
      <c r="E113" s="42"/>
      <c r="F113" s="42"/>
      <c r="G113" s="42"/>
      <c r="H113" s="52"/>
    </row>
    <row r="114" spans="1:9" x14ac:dyDescent="0.2">
      <c r="B114" s="51"/>
      <c r="C114" s="42"/>
      <c r="D114" s="41" t="s">
        <v>109</v>
      </c>
      <c r="E114" s="375">
        <f>+E110</f>
        <v>150370.11648117</v>
      </c>
      <c r="F114" s="375"/>
      <c r="G114" s="375"/>
      <c r="H114" s="52"/>
    </row>
    <row r="115" spans="1:9" x14ac:dyDescent="0.2">
      <c r="B115" s="51"/>
      <c r="C115" s="42"/>
      <c r="D115" s="42"/>
      <c r="E115" s="43">
        <v>1</v>
      </c>
      <c r="F115" s="42" t="s">
        <v>113</v>
      </c>
      <c r="G115" s="48">
        <f>+G111/G112</f>
        <v>0.8626555384181892</v>
      </c>
      <c r="H115" s="52"/>
    </row>
    <row r="116" spans="1:9" x14ac:dyDescent="0.2">
      <c r="B116" s="51"/>
      <c r="C116" s="42"/>
      <c r="D116" s="41"/>
      <c r="E116" s="41"/>
      <c r="F116" s="41"/>
      <c r="G116" s="41"/>
      <c r="H116" s="52"/>
    </row>
    <row r="117" spans="1:9" x14ac:dyDescent="0.2">
      <c r="B117" s="51"/>
      <c r="C117" s="42"/>
      <c r="D117" s="41" t="s">
        <v>109</v>
      </c>
      <c r="E117" s="375">
        <f>+E114</f>
        <v>150370.11648117</v>
      </c>
      <c r="F117" s="375"/>
      <c r="G117" s="375"/>
      <c r="H117" s="52"/>
    </row>
    <row r="118" spans="1:9" x14ac:dyDescent="0.2">
      <c r="B118" s="51"/>
      <c r="C118" s="42"/>
      <c r="D118" s="41"/>
      <c r="E118" s="374">
        <f>+E115-G115</f>
        <v>0.1373444615818108</v>
      </c>
      <c r="F118" s="374"/>
      <c r="G118" s="374"/>
      <c r="H118" s="52"/>
    </row>
    <row r="119" spans="1:9" x14ac:dyDescent="0.2">
      <c r="B119" s="51"/>
      <c r="C119" s="42"/>
      <c r="D119" s="41"/>
      <c r="E119" s="41"/>
      <c r="F119" s="41"/>
      <c r="G119" s="41"/>
      <c r="H119" s="52"/>
    </row>
    <row r="120" spans="1:9" x14ac:dyDescent="0.2">
      <c r="B120" s="51"/>
      <c r="C120" s="42"/>
      <c r="D120" s="41" t="s">
        <v>109</v>
      </c>
      <c r="E120" s="373">
        <f>+E117/E118</f>
        <v>1094839.3167758011</v>
      </c>
      <c r="F120" s="373"/>
      <c r="G120" s="373"/>
      <c r="H120" s="52"/>
    </row>
    <row r="121" spans="1:9" ht="13.5" thickBot="1" x14ac:dyDescent="0.25">
      <c r="B121" s="53"/>
      <c r="C121" s="54"/>
      <c r="D121" s="54"/>
      <c r="E121" s="54"/>
      <c r="F121" s="54"/>
      <c r="G121" s="54"/>
      <c r="H121" s="55"/>
    </row>
    <row r="122" spans="1:9" x14ac:dyDescent="0.2">
      <c r="A122" s="42"/>
      <c r="B122" s="42"/>
      <c r="C122" s="42"/>
      <c r="D122" s="42"/>
      <c r="E122" s="42"/>
      <c r="F122" s="42"/>
      <c r="G122" s="42"/>
      <c r="H122" s="42"/>
      <c r="I122" s="42"/>
    </row>
    <row r="123" spans="1:9" x14ac:dyDescent="0.2">
      <c r="A123" s="42"/>
      <c r="B123" s="42"/>
      <c r="C123" s="42"/>
      <c r="D123" s="42"/>
      <c r="E123" s="42"/>
      <c r="F123" s="42"/>
      <c r="G123" s="42"/>
      <c r="H123" s="42"/>
      <c r="I123" s="42"/>
    </row>
    <row r="124" spans="1:9" x14ac:dyDescent="0.2">
      <c r="A124" s="42"/>
      <c r="B124" s="42"/>
      <c r="C124" s="42"/>
      <c r="D124" s="42"/>
      <c r="E124" s="42"/>
      <c r="F124" s="42"/>
      <c r="G124" s="42"/>
      <c r="H124" s="42"/>
      <c r="I124" s="42"/>
    </row>
    <row r="125" spans="1:9" x14ac:dyDescent="0.2">
      <c r="A125" s="42"/>
      <c r="B125" s="42"/>
      <c r="C125" s="42"/>
      <c r="D125" s="42"/>
      <c r="E125" s="42"/>
      <c r="F125" s="42"/>
      <c r="G125" s="42"/>
      <c r="H125" s="42"/>
      <c r="I125" s="42"/>
    </row>
    <row r="126" spans="1:9" x14ac:dyDescent="0.2">
      <c r="A126" s="42"/>
      <c r="B126" s="42"/>
      <c r="C126" s="42"/>
      <c r="D126" s="42"/>
      <c r="E126" s="42"/>
      <c r="F126" s="42"/>
      <c r="G126" s="42"/>
      <c r="H126" s="42"/>
      <c r="I126" s="42"/>
    </row>
    <row r="127" spans="1:9" x14ac:dyDescent="0.2">
      <c r="A127" s="42"/>
      <c r="B127" s="42"/>
      <c r="C127" s="42"/>
      <c r="D127" s="42"/>
      <c r="E127" s="42"/>
      <c r="F127" s="42"/>
      <c r="G127" s="42"/>
      <c r="H127" s="42"/>
      <c r="I127" s="42"/>
    </row>
    <row r="128" spans="1:9" x14ac:dyDescent="0.2">
      <c r="A128" s="42"/>
      <c r="B128" s="42"/>
      <c r="C128" s="42"/>
      <c r="D128" s="42"/>
      <c r="E128" s="42"/>
      <c r="F128" s="42"/>
      <c r="G128" s="42"/>
      <c r="H128" s="42"/>
      <c r="I128" s="42"/>
    </row>
    <row r="129" spans="2:14" ht="13.5" thickBot="1" x14ac:dyDescent="0.25">
      <c r="B129" s="42"/>
      <c r="C129" s="42"/>
      <c r="D129" s="42"/>
      <c r="E129" s="42"/>
      <c r="F129" s="42"/>
      <c r="G129" s="42"/>
      <c r="H129" s="42"/>
      <c r="I129" s="42"/>
    </row>
    <row r="130" spans="2:14" ht="12.75" customHeight="1" x14ac:dyDescent="0.2">
      <c r="B130" s="49"/>
      <c r="C130" s="378">
        <v>2018</v>
      </c>
      <c r="D130" s="378"/>
      <c r="E130" s="378"/>
      <c r="F130" s="378"/>
      <c r="G130" s="378"/>
      <c r="H130" s="50"/>
      <c r="J130" s="131" t="s">
        <v>69</v>
      </c>
      <c r="K130" s="127" t="s">
        <v>202</v>
      </c>
      <c r="L130" s="131" t="s">
        <v>203</v>
      </c>
      <c r="M130" s="131" t="s">
        <v>204</v>
      </c>
      <c r="N130" s="131" t="s">
        <v>205</v>
      </c>
    </row>
    <row r="131" spans="2:14" ht="12.75" customHeight="1" x14ac:dyDescent="0.2">
      <c r="B131" s="51"/>
      <c r="C131" s="379"/>
      <c r="D131" s="379"/>
      <c r="E131" s="379"/>
      <c r="F131" s="379"/>
      <c r="G131" s="379"/>
      <c r="H131" s="52"/>
      <c r="J131" s="132" t="s">
        <v>112</v>
      </c>
      <c r="K131" s="128" t="s">
        <v>112</v>
      </c>
      <c r="L131" s="132" t="s">
        <v>112</v>
      </c>
      <c r="M131" s="132" t="s">
        <v>112</v>
      </c>
      <c r="N131" s="132" t="s">
        <v>112</v>
      </c>
    </row>
    <row r="132" spans="2:14" ht="15" x14ac:dyDescent="0.25">
      <c r="B132" s="51"/>
      <c r="C132" s="448" t="s">
        <v>108</v>
      </c>
      <c r="D132" s="448"/>
      <c r="E132" s="448"/>
      <c r="F132" s="448"/>
      <c r="G132" s="448"/>
      <c r="H132" s="52"/>
      <c r="J132" s="133">
        <v>0</v>
      </c>
      <c r="K132" s="129">
        <f>+$G$135</f>
        <v>153907.09397616159</v>
      </c>
      <c r="L132" s="133">
        <v>0</v>
      </c>
      <c r="M132" s="133">
        <f>+L132+K132</f>
        <v>153907.09397616159</v>
      </c>
      <c r="N132" s="133">
        <f>+J132-M132</f>
        <v>-153907.09397616159</v>
      </c>
    </row>
    <row r="133" spans="2:14" ht="15" x14ac:dyDescent="0.25">
      <c r="B133" s="51"/>
      <c r="C133" s="449" t="s">
        <v>111</v>
      </c>
      <c r="D133" s="449"/>
      <c r="E133" s="449"/>
      <c r="F133" s="449"/>
      <c r="G133" s="268" t="s">
        <v>112</v>
      </c>
      <c r="H133" s="52"/>
      <c r="J133" s="133">
        <f>+J134*0.4</f>
        <v>446172.75137233309</v>
      </c>
      <c r="K133" s="129">
        <f t="shared" ref="K133:K136" si="15">+$G$135</f>
        <v>153907.09397616159</v>
      </c>
      <c r="L133" s="133">
        <f>+L134*0.4</f>
        <v>384609.91378186847</v>
      </c>
      <c r="M133" s="133">
        <f>+L133+K133</f>
        <v>538517.00775803009</v>
      </c>
      <c r="N133" s="133">
        <f t="shared" ref="N133:N136" si="16">+J133-M133</f>
        <v>-92344.256385696994</v>
      </c>
    </row>
    <row r="134" spans="2:14" ht="15" x14ac:dyDescent="0.25">
      <c r="B134" s="51"/>
      <c r="C134" s="377" t="s">
        <v>115</v>
      </c>
      <c r="D134" s="377"/>
      <c r="E134" s="377"/>
      <c r="F134" s="377"/>
      <c r="G134" s="44">
        <f>+'ER OPTIMISTA'!I17+'ER OPTIMISTA'!I34</f>
        <v>1962775.4905010595</v>
      </c>
      <c r="H134" s="52"/>
      <c r="J134" s="133">
        <f>+E152</f>
        <v>1115431.8784308326</v>
      </c>
      <c r="K134" s="129">
        <f t="shared" si="15"/>
        <v>153907.09397616159</v>
      </c>
      <c r="L134" s="133">
        <f>+J134-K134</f>
        <v>961524.78445467108</v>
      </c>
      <c r="M134" s="133">
        <f t="shared" ref="M134:M136" si="17">+L134+K134</f>
        <v>1115431.8784308326</v>
      </c>
      <c r="N134" s="133">
        <f t="shared" si="16"/>
        <v>0</v>
      </c>
    </row>
    <row r="135" spans="2:14" ht="15" x14ac:dyDescent="0.25">
      <c r="B135" s="51"/>
      <c r="C135" s="377" t="s">
        <v>117</v>
      </c>
      <c r="D135" s="377"/>
      <c r="E135" s="377"/>
      <c r="F135" s="377"/>
      <c r="G135" s="44">
        <f>+'ER OPTIMISTA'!I18+'ER OPTIMISTA'!I32+'ER OPTIMISTA'!I42</f>
        <v>153907.09397616159</v>
      </c>
      <c r="H135" s="52"/>
      <c r="J135" s="133">
        <f>+J134*120%</f>
        <v>1338518.2541169992</v>
      </c>
      <c r="K135" s="129">
        <f t="shared" si="15"/>
        <v>153907.09397616159</v>
      </c>
      <c r="L135" s="133">
        <f>+L134*120%</f>
        <v>1153829.7413456053</v>
      </c>
      <c r="M135" s="133">
        <f t="shared" si="17"/>
        <v>1307736.835321767</v>
      </c>
      <c r="N135" s="133">
        <f t="shared" si="16"/>
        <v>30781.418795232195</v>
      </c>
    </row>
    <row r="136" spans="2:14" ht="15" x14ac:dyDescent="0.25">
      <c r="B136" s="51"/>
      <c r="C136" s="377" t="s">
        <v>116</v>
      </c>
      <c r="D136" s="377"/>
      <c r="E136" s="377"/>
      <c r="F136" s="377"/>
      <c r="G136" s="44">
        <f>+'ER OPTIMISTA'!I13</f>
        <v>2276948.4340949999</v>
      </c>
      <c r="H136" s="52"/>
      <c r="J136" s="126">
        <f>+J134*1.85</f>
        <v>2063548.9750970404</v>
      </c>
      <c r="K136" s="130">
        <f t="shared" si="15"/>
        <v>153907.09397616159</v>
      </c>
      <c r="L136" s="126">
        <f>+L134*1.85</f>
        <v>1778820.8512411416</v>
      </c>
      <c r="M136" s="126">
        <f t="shared" si="17"/>
        <v>1932727.9452173032</v>
      </c>
      <c r="N136" s="126">
        <f t="shared" si="16"/>
        <v>130821.02987973718</v>
      </c>
    </row>
    <row r="137" spans="2:14" x14ac:dyDescent="0.2">
      <c r="B137" s="51"/>
      <c r="C137" s="42"/>
      <c r="D137" s="42"/>
      <c r="E137" s="42"/>
      <c r="F137" s="42"/>
      <c r="G137" s="42"/>
      <c r="H137" s="52"/>
    </row>
    <row r="138" spans="2:14" x14ac:dyDescent="0.2">
      <c r="B138" s="51"/>
      <c r="C138" s="42"/>
      <c r="D138" s="41" t="s">
        <v>109</v>
      </c>
      <c r="E138" s="376" t="s">
        <v>110</v>
      </c>
      <c r="F138" s="376"/>
      <c r="G138" s="376"/>
      <c r="H138" s="52"/>
    </row>
    <row r="139" spans="2:14" x14ac:dyDescent="0.2">
      <c r="B139" s="51"/>
      <c r="C139" s="42"/>
      <c r="D139" s="42"/>
      <c r="E139" s="43">
        <v>1</v>
      </c>
      <c r="F139" s="42" t="s">
        <v>113</v>
      </c>
      <c r="G139" s="43" t="s">
        <v>114</v>
      </c>
      <c r="H139" s="52"/>
    </row>
    <row r="140" spans="2:14" x14ac:dyDescent="0.2">
      <c r="B140" s="51"/>
      <c r="C140" s="42"/>
      <c r="D140" s="45"/>
      <c r="E140" s="42"/>
      <c r="F140" s="41"/>
      <c r="G140" s="46" t="s">
        <v>116</v>
      </c>
      <c r="H140" s="52"/>
    </row>
    <row r="141" spans="2:14" x14ac:dyDescent="0.2">
      <c r="B141" s="51"/>
      <c r="C141" s="42"/>
      <c r="D141" s="47"/>
      <c r="E141" s="42"/>
      <c r="F141" s="42"/>
      <c r="G141" s="42"/>
      <c r="H141" s="52"/>
    </row>
    <row r="142" spans="2:14" x14ac:dyDescent="0.2">
      <c r="B142" s="51"/>
      <c r="C142" s="42"/>
      <c r="D142" s="41" t="s">
        <v>109</v>
      </c>
      <c r="E142" s="375">
        <f>+G135</f>
        <v>153907.09397616159</v>
      </c>
      <c r="F142" s="376"/>
      <c r="G142" s="376"/>
      <c r="H142" s="52"/>
    </row>
    <row r="143" spans="2:14" x14ac:dyDescent="0.2">
      <c r="B143" s="51"/>
      <c r="C143" s="42"/>
      <c r="D143" s="42"/>
      <c r="E143" s="43">
        <v>1</v>
      </c>
      <c r="F143" s="42" t="s">
        <v>113</v>
      </c>
      <c r="G143" s="48">
        <f>+G134</f>
        <v>1962775.4905010595</v>
      </c>
      <c r="H143" s="52"/>
    </row>
    <row r="144" spans="2:14" x14ac:dyDescent="0.2">
      <c r="B144" s="51"/>
      <c r="C144" s="42"/>
      <c r="D144" s="41"/>
      <c r="E144" s="42"/>
      <c r="F144" s="41"/>
      <c r="G144" s="125">
        <f>+G136</f>
        <v>2276948.4340949999</v>
      </c>
      <c r="H144" s="52"/>
    </row>
    <row r="145" spans="2:8" x14ac:dyDescent="0.2">
      <c r="B145" s="51"/>
      <c r="C145" s="42"/>
      <c r="D145" s="42"/>
      <c r="E145" s="42"/>
      <c r="F145" s="42"/>
      <c r="G145" s="42"/>
      <c r="H145" s="52"/>
    </row>
    <row r="146" spans="2:8" x14ac:dyDescent="0.2">
      <c r="B146" s="51"/>
      <c r="C146" s="42"/>
      <c r="D146" s="41" t="s">
        <v>109</v>
      </c>
      <c r="E146" s="375">
        <f>+E142</f>
        <v>153907.09397616159</v>
      </c>
      <c r="F146" s="375"/>
      <c r="G146" s="375"/>
      <c r="H146" s="52"/>
    </row>
    <row r="147" spans="2:8" x14ac:dyDescent="0.2">
      <c r="B147" s="51"/>
      <c r="C147" s="42"/>
      <c r="D147" s="42"/>
      <c r="E147" s="43">
        <v>1</v>
      </c>
      <c r="F147" s="42" t="s">
        <v>113</v>
      </c>
      <c r="G147" s="48">
        <f>+G143/G144</f>
        <v>0.86202017626331873</v>
      </c>
      <c r="H147" s="52"/>
    </row>
    <row r="148" spans="2:8" x14ac:dyDescent="0.2">
      <c r="B148" s="51"/>
      <c r="C148" s="42"/>
      <c r="D148" s="41"/>
      <c r="E148" s="41"/>
      <c r="F148" s="41"/>
      <c r="G148" s="41"/>
      <c r="H148" s="52"/>
    </row>
    <row r="149" spans="2:8" x14ac:dyDescent="0.2">
      <c r="B149" s="51"/>
      <c r="C149" s="42"/>
      <c r="D149" s="41" t="s">
        <v>109</v>
      </c>
      <c r="E149" s="375">
        <f>+E146</f>
        <v>153907.09397616159</v>
      </c>
      <c r="F149" s="375"/>
      <c r="G149" s="375"/>
      <c r="H149" s="52"/>
    </row>
    <row r="150" spans="2:8" x14ac:dyDescent="0.2">
      <c r="B150" s="51"/>
      <c r="C150" s="42"/>
      <c r="D150" s="41"/>
      <c r="E150" s="374">
        <f>+E147-G147</f>
        <v>0.13797982373668127</v>
      </c>
      <c r="F150" s="374"/>
      <c r="G150" s="374"/>
      <c r="H150" s="52"/>
    </row>
    <row r="151" spans="2:8" x14ac:dyDescent="0.2">
      <c r="B151" s="51"/>
      <c r="C151" s="42"/>
      <c r="D151" s="41"/>
      <c r="E151" s="41"/>
      <c r="F151" s="41"/>
      <c r="G151" s="41"/>
      <c r="H151" s="52"/>
    </row>
    <row r="152" spans="2:8" x14ac:dyDescent="0.2">
      <c r="B152" s="51"/>
      <c r="C152" s="42"/>
      <c r="D152" s="41" t="s">
        <v>109</v>
      </c>
      <c r="E152" s="373">
        <f>+E149/E150</f>
        <v>1115431.8784308326</v>
      </c>
      <c r="F152" s="373"/>
      <c r="G152" s="373"/>
      <c r="H152" s="52"/>
    </row>
    <row r="153" spans="2:8" ht="13.5" thickBot="1" x14ac:dyDescent="0.25">
      <c r="B153" s="53"/>
      <c r="C153" s="54"/>
      <c r="D153" s="54"/>
      <c r="E153" s="54"/>
      <c r="F153" s="54"/>
      <c r="G153" s="54"/>
      <c r="H153" s="55"/>
    </row>
  </sheetData>
  <mergeCells count="60">
    <mergeCell ref="C2:G3"/>
    <mergeCell ref="C34:G35"/>
    <mergeCell ref="C66:G67"/>
    <mergeCell ref="C4:G4"/>
    <mergeCell ref="C36:G36"/>
    <mergeCell ref="C5:F5"/>
    <mergeCell ref="C37:F37"/>
    <mergeCell ref="C6:F6"/>
    <mergeCell ref="C38:F38"/>
    <mergeCell ref="C70:F70"/>
    <mergeCell ref="C7:F7"/>
    <mergeCell ref="C39:F39"/>
    <mergeCell ref="C71:F71"/>
    <mergeCell ref="C8:F8"/>
    <mergeCell ref="C40:F40"/>
    <mergeCell ref="E10:G10"/>
    <mergeCell ref="E14:G14"/>
    <mergeCell ref="E18:G18"/>
    <mergeCell ref="E22:G22"/>
    <mergeCell ref="E54:G54"/>
    <mergeCell ref="C68:G68"/>
    <mergeCell ref="C69:F69"/>
    <mergeCell ref="C72:F72"/>
    <mergeCell ref="C98:G99"/>
    <mergeCell ref="C130:G131"/>
    <mergeCell ref="E21:G21"/>
    <mergeCell ref="E53:G53"/>
    <mergeCell ref="E85:G85"/>
    <mergeCell ref="E24:G24"/>
    <mergeCell ref="E56:G56"/>
    <mergeCell ref="E88:G88"/>
    <mergeCell ref="E120:G120"/>
    <mergeCell ref="E42:G42"/>
    <mergeCell ref="E74:G74"/>
    <mergeCell ref="E46:G46"/>
    <mergeCell ref="E78:G78"/>
    <mergeCell ref="E50:G50"/>
    <mergeCell ref="E82:G82"/>
    <mergeCell ref="E152:G152"/>
    <mergeCell ref="E110:G110"/>
    <mergeCell ref="E142:G142"/>
    <mergeCell ref="E106:G106"/>
    <mergeCell ref="E138:G138"/>
    <mergeCell ref="E114:G114"/>
    <mergeCell ref="E146:G146"/>
    <mergeCell ref="E118:G118"/>
    <mergeCell ref="E150:G150"/>
    <mergeCell ref="E117:G117"/>
    <mergeCell ref="E149:G149"/>
    <mergeCell ref="E86:G86"/>
    <mergeCell ref="C104:F104"/>
    <mergeCell ref="C136:F136"/>
    <mergeCell ref="C103:F103"/>
    <mergeCell ref="C135:F135"/>
    <mergeCell ref="C100:G100"/>
    <mergeCell ref="C132:G132"/>
    <mergeCell ref="C101:F101"/>
    <mergeCell ref="C133:F133"/>
    <mergeCell ref="C102:F102"/>
    <mergeCell ref="C134:F134"/>
  </mergeCells>
  <pageMargins left="0.7" right="0.7" top="0.75" bottom="0.75" header="0.3" footer="0.3"/>
  <pageSetup orientation="portrait" r:id="rId1"/>
  <ignoredErrors>
    <ignoredError sqref="K37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</sheetPr>
  <dimension ref="B1:M103"/>
  <sheetViews>
    <sheetView showGridLines="0" topLeftCell="A67" zoomScale="85" zoomScaleNormal="85" workbookViewId="0">
      <selection activeCell="F98" sqref="F98"/>
    </sheetView>
  </sheetViews>
  <sheetFormatPr defaultRowHeight="15" x14ac:dyDescent="0.25"/>
  <cols>
    <col min="1" max="1" width="1.75" customWidth="1"/>
    <col min="2" max="2" width="15.625" customWidth="1"/>
    <col min="3" max="20" width="14.375" customWidth="1"/>
  </cols>
  <sheetData>
    <row r="1" spans="2:13" ht="9.75" customHeight="1" thickBot="1" x14ac:dyDescent="0.3"/>
    <row r="2" spans="2:13" ht="15.75" thickBot="1" x14ac:dyDescent="0.3">
      <c r="B2" s="252"/>
      <c r="C2" s="252"/>
      <c r="D2" s="165"/>
      <c r="E2" s="165"/>
      <c r="G2" s="461" t="s">
        <v>248</v>
      </c>
      <c r="H2" s="462"/>
      <c r="I2" s="462"/>
      <c r="J2" s="462"/>
      <c r="K2" s="462"/>
      <c r="L2" s="463"/>
      <c r="M2" s="166"/>
    </row>
    <row r="3" spans="2:13" ht="15.75" thickBot="1" x14ac:dyDescent="0.3">
      <c r="B3" s="450" t="s">
        <v>250</v>
      </c>
      <c r="C3" s="464"/>
      <c r="D3" s="465"/>
      <c r="E3" s="173"/>
      <c r="G3" s="169" t="s">
        <v>242</v>
      </c>
      <c r="H3" s="170" t="s">
        <v>243</v>
      </c>
      <c r="I3" s="170" t="s">
        <v>244</v>
      </c>
      <c r="J3" s="170" t="s">
        <v>245</v>
      </c>
      <c r="K3" s="170" t="s">
        <v>246</v>
      </c>
      <c r="L3" s="171" t="s">
        <v>247</v>
      </c>
    </row>
    <row r="4" spans="2:13" x14ac:dyDescent="0.25">
      <c r="B4" s="466" t="s">
        <v>206</v>
      </c>
      <c r="C4" s="467"/>
      <c r="D4" s="468"/>
      <c r="E4" s="173"/>
      <c r="G4" s="156">
        <v>1</v>
      </c>
      <c r="H4" s="165">
        <f>+D5</f>
        <v>0</v>
      </c>
      <c r="I4" s="165" t="e">
        <f>+$D$9</f>
        <v>#NUM!</v>
      </c>
      <c r="J4" s="165">
        <f>+H4*($D$6/12)</f>
        <v>0</v>
      </c>
      <c r="K4" s="165" t="e">
        <f>+I4-J4</f>
        <v>#NUM!</v>
      </c>
      <c r="L4" s="135" t="e">
        <f>+H4-K4</f>
        <v>#NUM!</v>
      </c>
      <c r="M4" s="166"/>
    </row>
    <row r="5" spans="2:13" x14ac:dyDescent="0.25">
      <c r="B5" s="426" t="s">
        <v>207</v>
      </c>
      <c r="C5" s="427"/>
      <c r="D5" s="135">
        <f>[4]OPTIMISTA!$H$12</f>
        <v>0</v>
      </c>
      <c r="E5" s="165"/>
      <c r="G5" s="156">
        <v>2</v>
      </c>
      <c r="H5" s="165" t="e">
        <f t="shared" ref="H5:H51" si="0">IF(L4&lt;=0.5,0,L4)</f>
        <v>#NUM!</v>
      </c>
      <c r="I5" s="165" t="e">
        <f t="shared" ref="I5:I51" si="1">IF(L4&lt;=0.5,0,I4)</f>
        <v>#NUM!</v>
      </c>
      <c r="J5" s="165" t="e">
        <f>+H5*($D$6/12)</f>
        <v>#NUM!</v>
      </c>
      <c r="K5" s="165" t="e">
        <f t="shared" ref="K5:K63" si="2">+I5-J5</f>
        <v>#NUM!</v>
      </c>
      <c r="L5" s="135" t="e">
        <f t="shared" ref="L5:L63" si="3">+H5-K5</f>
        <v>#NUM!</v>
      </c>
      <c r="M5" s="166"/>
    </row>
    <row r="6" spans="2:13" x14ac:dyDescent="0.25">
      <c r="B6" s="426" t="s">
        <v>208</v>
      </c>
      <c r="C6" s="427"/>
      <c r="D6" s="157">
        <f>[4]OPTIMISTA!$H$13</f>
        <v>0</v>
      </c>
      <c r="E6" s="172"/>
      <c r="G6" s="156">
        <v>3</v>
      </c>
      <c r="H6" s="165" t="e">
        <f t="shared" si="0"/>
        <v>#NUM!</v>
      </c>
      <c r="I6" s="165" t="e">
        <f t="shared" si="1"/>
        <v>#NUM!</v>
      </c>
      <c r="J6" s="165" t="e">
        <f t="shared" ref="J6:J63" si="4">+H6*($D$6/12)</f>
        <v>#NUM!</v>
      </c>
      <c r="K6" s="165" t="e">
        <f t="shared" si="2"/>
        <v>#NUM!</v>
      </c>
      <c r="L6" s="135" t="e">
        <f t="shared" si="3"/>
        <v>#NUM!</v>
      </c>
      <c r="M6" s="166"/>
    </row>
    <row r="7" spans="2:13" ht="15.75" thickBot="1" x14ac:dyDescent="0.3">
      <c r="B7" s="392" t="s">
        <v>251</v>
      </c>
      <c r="C7" s="393"/>
      <c r="D7" s="138">
        <f>[4]OPTIMISTA!$H$14</f>
        <v>0</v>
      </c>
      <c r="E7" s="165"/>
      <c r="G7" s="156">
        <v>4</v>
      </c>
      <c r="H7" s="165" t="e">
        <f t="shared" si="0"/>
        <v>#NUM!</v>
      </c>
      <c r="I7" s="165" t="e">
        <f t="shared" si="1"/>
        <v>#NUM!</v>
      </c>
      <c r="J7" s="165" t="e">
        <f t="shared" si="4"/>
        <v>#NUM!</v>
      </c>
      <c r="K7" s="165" t="e">
        <f t="shared" si="2"/>
        <v>#NUM!</v>
      </c>
      <c r="L7" s="135" t="e">
        <f t="shared" si="3"/>
        <v>#NUM!</v>
      </c>
      <c r="M7" s="166"/>
    </row>
    <row r="8" spans="2:13" x14ac:dyDescent="0.25">
      <c r="B8" s="428"/>
      <c r="C8" s="429"/>
      <c r="D8" s="137"/>
      <c r="E8" s="2"/>
      <c r="G8" s="156">
        <v>5</v>
      </c>
      <c r="H8" s="165" t="e">
        <f t="shared" si="0"/>
        <v>#NUM!</v>
      </c>
      <c r="I8" s="165" t="e">
        <f t="shared" si="1"/>
        <v>#NUM!</v>
      </c>
      <c r="J8" s="165" t="e">
        <f t="shared" si="4"/>
        <v>#NUM!</v>
      </c>
      <c r="K8" s="165" t="e">
        <f t="shared" si="2"/>
        <v>#NUM!</v>
      </c>
      <c r="L8" s="135" t="e">
        <f t="shared" si="3"/>
        <v>#NUM!</v>
      </c>
      <c r="M8" s="166"/>
    </row>
    <row r="9" spans="2:13" x14ac:dyDescent="0.25">
      <c r="B9" s="426" t="s">
        <v>209</v>
      </c>
      <c r="C9" s="427"/>
      <c r="D9" s="135" t="e">
        <f>-PMT(D6/12,D7*12,D5)</f>
        <v>#NUM!</v>
      </c>
      <c r="E9" s="165"/>
      <c r="G9" s="156">
        <v>6</v>
      </c>
      <c r="H9" s="165" t="e">
        <f t="shared" si="0"/>
        <v>#NUM!</v>
      </c>
      <c r="I9" s="165" t="e">
        <f t="shared" si="1"/>
        <v>#NUM!</v>
      </c>
      <c r="J9" s="165" t="e">
        <f t="shared" si="4"/>
        <v>#NUM!</v>
      </c>
      <c r="K9" s="165" t="e">
        <f t="shared" si="2"/>
        <v>#NUM!</v>
      </c>
      <c r="L9" s="135" t="e">
        <f t="shared" si="3"/>
        <v>#NUM!</v>
      </c>
      <c r="M9" s="166"/>
    </row>
    <row r="10" spans="2:13" x14ac:dyDescent="0.25">
      <c r="B10" s="426" t="s">
        <v>210</v>
      </c>
      <c r="C10" s="427"/>
      <c r="D10" s="135" t="e">
        <f>+D9*12</f>
        <v>#NUM!</v>
      </c>
      <c r="E10" s="165"/>
      <c r="G10" s="156">
        <v>7</v>
      </c>
      <c r="H10" s="165" t="e">
        <f t="shared" si="0"/>
        <v>#NUM!</v>
      </c>
      <c r="I10" s="165" t="e">
        <f t="shared" si="1"/>
        <v>#NUM!</v>
      </c>
      <c r="J10" s="165" t="e">
        <f t="shared" si="4"/>
        <v>#NUM!</v>
      </c>
      <c r="K10" s="165" t="e">
        <f t="shared" si="2"/>
        <v>#NUM!</v>
      </c>
      <c r="L10" s="135" t="e">
        <f t="shared" si="3"/>
        <v>#NUM!</v>
      </c>
      <c r="M10" s="166"/>
    </row>
    <row r="11" spans="2:13" x14ac:dyDescent="0.25">
      <c r="B11" s="426" t="s">
        <v>211</v>
      </c>
      <c r="C11" s="427"/>
      <c r="D11" s="135" t="e">
        <f>+D12-D5</f>
        <v>#NUM!</v>
      </c>
      <c r="E11" s="165"/>
      <c r="G11" s="156">
        <v>8</v>
      </c>
      <c r="H11" s="165" t="e">
        <f t="shared" si="0"/>
        <v>#NUM!</v>
      </c>
      <c r="I11" s="165" t="e">
        <f t="shared" si="1"/>
        <v>#NUM!</v>
      </c>
      <c r="J11" s="165" t="e">
        <f t="shared" si="4"/>
        <v>#NUM!</v>
      </c>
      <c r="K11" s="165" t="e">
        <f t="shared" si="2"/>
        <v>#NUM!</v>
      </c>
      <c r="L11" s="135" t="e">
        <f t="shared" si="3"/>
        <v>#NUM!</v>
      </c>
      <c r="M11" s="166"/>
    </row>
    <row r="12" spans="2:13" ht="15.75" thickBot="1" x14ac:dyDescent="0.3">
      <c r="B12" s="392" t="s">
        <v>252</v>
      </c>
      <c r="C12" s="393"/>
      <c r="D12" s="138" t="e">
        <f>+D10*D7</f>
        <v>#NUM!</v>
      </c>
      <c r="E12" s="165"/>
      <c r="G12" s="156">
        <v>9</v>
      </c>
      <c r="H12" s="165" t="e">
        <f t="shared" si="0"/>
        <v>#NUM!</v>
      </c>
      <c r="I12" s="165" t="e">
        <f t="shared" si="1"/>
        <v>#NUM!</v>
      </c>
      <c r="J12" s="165" t="e">
        <f t="shared" si="4"/>
        <v>#NUM!</v>
      </c>
      <c r="K12" s="165" t="e">
        <f t="shared" si="2"/>
        <v>#NUM!</v>
      </c>
      <c r="L12" s="135" t="e">
        <f t="shared" si="3"/>
        <v>#NUM!</v>
      </c>
      <c r="M12" s="166"/>
    </row>
    <row r="13" spans="2:13" x14ac:dyDescent="0.25">
      <c r="B13" s="252"/>
      <c r="C13" s="252"/>
      <c r="D13" s="165"/>
      <c r="E13" s="165"/>
      <c r="G13" s="156">
        <v>10</v>
      </c>
      <c r="H13" s="165" t="e">
        <f t="shared" si="0"/>
        <v>#NUM!</v>
      </c>
      <c r="I13" s="165" t="e">
        <f t="shared" si="1"/>
        <v>#NUM!</v>
      </c>
      <c r="J13" s="165" t="e">
        <f t="shared" si="4"/>
        <v>#NUM!</v>
      </c>
      <c r="K13" s="165" t="e">
        <f t="shared" si="2"/>
        <v>#NUM!</v>
      </c>
      <c r="L13" s="135" t="e">
        <f t="shared" si="3"/>
        <v>#NUM!</v>
      </c>
      <c r="M13" s="166"/>
    </row>
    <row r="14" spans="2:13" ht="15.75" thickBot="1" x14ac:dyDescent="0.3">
      <c r="B14" s="252"/>
      <c r="C14" s="252"/>
      <c r="D14" s="165"/>
      <c r="E14" s="165"/>
      <c r="G14" s="156">
        <v>11</v>
      </c>
      <c r="H14" s="165" t="e">
        <f t="shared" si="0"/>
        <v>#NUM!</v>
      </c>
      <c r="I14" s="165" t="e">
        <f t="shared" si="1"/>
        <v>#NUM!</v>
      </c>
      <c r="J14" s="165" t="e">
        <f t="shared" si="4"/>
        <v>#NUM!</v>
      </c>
      <c r="K14" s="165" t="e">
        <f t="shared" si="2"/>
        <v>#NUM!</v>
      </c>
      <c r="L14" s="135" t="e">
        <f t="shared" si="3"/>
        <v>#NUM!</v>
      </c>
      <c r="M14" s="166"/>
    </row>
    <row r="15" spans="2:13" ht="15.75" thickBot="1" x14ac:dyDescent="0.3">
      <c r="B15" s="256"/>
      <c r="C15" s="257">
        <v>2016</v>
      </c>
      <c r="D15" s="258">
        <v>2017</v>
      </c>
      <c r="E15" s="259">
        <v>2018</v>
      </c>
      <c r="G15" s="156">
        <v>12</v>
      </c>
      <c r="H15" s="165" t="e">
        <f t="shared" si="0"/>
        <v>#NUM!</v>
      </c>
      <c r="I15" s="165" t="e">
        <f t="shared" si="1"/>
        <v>#NUM!</v>
      </c>
      <c r="J15" s="165" t="e">
        <f t="shared" si="4"/>
        <v>#NUM!</v>
      </c>
      <c r="K15" s="165" t="e">
        <f t="shared" si="2"/>
        <v>#NUM!</v>
      </c>
      <c r="L15" s="135" t="e">
        <f t="shared" si="3"/>
        <v>#NUM!</v>
      </c>
      <c r="M15" s="166"/>
    </row>
    <row r="16" spans="2:13" x14ac:dyDescent="0.25">
      <c r="B16" s="251" t="s">
        <v>249</v>
      </c>
      <c r="C16" s="174" t="e">
        <f>SUM(J4:J15)</f>
        <v>#NUM!</v>
      </c>
      <c r="D16" s="165" t="e">
        <f>SUM(J16:J27)</f>
        <v>#NUM!</v>
      </c>
      <c r="E16" s="135" t="e">
        <f>SUM(J28:J39)</f>
        <v>#NUM!</v>
      </c>
      <c r="G16" s="156">
        <v>13</v>
      </c>
      <c r="H16" s="165" t="e">
        <f t="shared" si="0"/>
        <v>#NUM!</v>
      </c>
      <c r="I16" s="165" t="e">
        <f t="shared" si="1"/>
        <v>#NUM!</v>
      </c>
      <c r="J16" s="165" t="e">
        <f t="shared" si="4"/>
        <v>#NUM!</v>
      </c>
      <c r="K16" s="165" t="e">
        <f t="shared" si="2"/>
        <v>#NUM!</v>
      </c>
      <c r="L16" s="135" t="e">
        <f t="shared" si="3"/>
        <v>#NUM!</v>
      </c>
      <c r="M16" s="166"/>
    </row>
    <row r="17" spans="2:13" ht="15.75" thickBot="1" x14ac:dyDescent="0.3">
      <c r="B17" s="250" t="s">
        <v>253</v>
      </c>
      <c r="C17" s="175" t="e">
        <f>SUM(K4:K15)</f>
        <v>#NUM!</v>
      </c>
      <c r="D17" s="167" t="e">
        <f>SUM(K16:K27)</f>
        <v>#NUM!</v>
      </c>
      <c r="E17" s="138" t="e">
        <f>SUM(K28:K39)</f>
        <v>#NUM!</v>
      </c>
      <c r="G17" s="156">
        <v>14</v>
      </c>
      <c r="H17" s="165" t="e">
        <f t="shared" si="0"/>
        <v>#NUM!</v>
      </c>
      <c r="I17" s="165" t="e">
        <f t="shared" si="1"/>
        <v>#NUM!</v>
      </c>
      <c r="J17" s="165" t="e">
        <f t="shared" si="4"/>
        <v>#NUM!</v>
      </c>
      <c r="K17" s="165" t="e">
        <f t="shared" si="2"/>
        <v>#NUM!</v>
      </c>
      <c r="L17" s="135" t="e">
        <f t="shared" si="3"/>
        <v>#NUM!</v>
      </c>
      <c r="M17" s="166"/>
    </row>
    <row r="18" spans="2:13" ht="15.75" thickBot="1" x14ac:dyDescent="0.3">
      <c r="B18" s="176" t="s">
        <v>79</v>
      </c>
      <c r="C18" s="181" t="e">
        <f>SUM(C16:C17)</f>
        <v>#NUM!</v>
      </c>
      <c r="D18" s="181" t="e">
        <f t="shared" ref="D18:E18" si="5">SUM(D16:D17)</f>
        <v>#NUM!</v>
      </c>
      <c r="E18" s="182" t="e">
        <f t="shared" si="5"/>
        <v>#NUM!</v>
      </c>
      <c r="G18" s="156">
        <v>15</v>
      </c>
      <c r="H18" s="165" t="e">
        <f t="shared" si="0"/>
        <v>#NUM!</v>
      </c>
      <c r="I18" s="165" t="e">
        <f t="shared" si="1"/>
        <v>#NUM!</v>
      </c>
      <c r="J18" s="165" t="e">
        <f t="shared" si="4"/>
        <v>#NUM!</v>
      </c>
      <c r="K18" s="165" t="e">
        <f t="shared" si="2"/>
        <v>#NUM!</v>
      </c>
      <c r="L18" s="135" t="e">
        <f t="shared" si="3"/>
        <v>#NUM!</v>
      </c>
      <c r="M18" s="166"/>
    </row>
    <row r="19" spans="2:13" x14ac:dyDescent="0.25">
      <c r="B19" s="252"/>
      <c r="C19" s="174"/>
      <c r="D19" s="174"/>
      <c r="E19" s="174"/>
      <c r="G19" s="156">
        <v>16</v>
      </c>
      <c r="H19" s="165" t="e">
        <f t="shared" si="0"/>
        <v>#NUM!</v>
      </c>
      <c r="I19" s="165" t="e">
        <f t="shared" si="1"/>
        <v>#NUM!</v>
      </c>
      <c r="J19" s="165" t="e">
        <f t="shared" si="4"/>
        <v>#NUM!</v>
      </c>
      <c r="K19" s="165" t="e">
        <f t="shared" si="2"/>
        <v>#NUM!</v>
      </c>
      <c r="L19" s="135" t="e">
        <f t="shared" si="3"/>
        <v>#NUM!</v>
      </c>
      <c r="M19" s="166"/>
    </row>
    <row r="20" spans="2:13" x14ac:dyDescent="0.25">
      <c r="B20" s="252"/>
      <c r="C20" s="252"/>
      <c r="D20" s="165"/>
      <c r="E20" s="165"/>
      <c r="G20" s="156">
        <v>17</v>
      </c>
      <c r="H20" s="165" t="e">
        <f t="shared" si="0"/>
        <v>#NUM!</v>
      </c>
      <c r="I20" s="165" t="e">
        <f t="shared" si="1"/>
        <v>#NUM!</v>
      </c>
      <c r="J20" s="165" t="e">
        <f t="shared" si="4"/>
        <v>#NUM!</v>
      </c>
      <c r="K20" s="165" t="e">
        <f t="shared" si="2"/>
        <v>#NUM!</v>
      </c>
      <c r="L20" s="135" t="e">
        <f t="shared" si="3"/>
        <v>#NUM!</v>
      </c>
      <c r="M20" s="166"/>
    </row>
    <row r="21" spans="2:13" x14ac:dyDescent="0.25">
      <c r="B21" s="252"/>
      <c r="C21" s="252"/>
      <c r="D21" s="165"/>
      <c r="E21" s="165"/>
      <c r="G21" s="156">
        <v>18</v>
      </c>
      <c r="H21" s="165" t="e">
        <f t="shared" si="0"/>
        <v>#NUM!</v>
      </c>
      <c r="I21" s="165" t="e">
        <f t="shared" si="1"/>
        <v>#NUM!</v>
      </c>
      <c r="J21" s="165" t="e">
        <f t="shared" si="4"/>
        <v>#NUM!</v>
      </c>
      <c r="K21" s="165" t="e">
        <f t="shared" si="2"/>
        <v>#NUM!</v>
      </c>
      <c r="L21" s="135" t="e">
        <f t="shared" si="3"/>
        <v>#NUM!</v>
      </c>
      <c r="M21" s="166"/>
    </row>
    <row r="22" spans="2:13" x14ac:dyDescent="0.25">
      <c r="B22" s="252"/>
      <c r="C22" s="252"/>
      <c r="D22" s="165"/>
      <c r="E22" s="165"/>
      <c r="G22" s="156">
        <v>19</v>
      </c>
      <c r="H22" s="165" t="e">
        <f t="shared" si="0"/>
        <v>#NUM!</v>
      </c>
      <c r="I22" s="165" t="e">
        <f t="shared" si="1"/>
        <v>#NUM!</v>
      </c>
      <c r="J22" s="165" t="e">
        <f t="shared" si="4"/>
        <v>#NUM!</v>
      </c>
      <c r="K22" s="165" t="e">
        <f t="shared" si="2"/>
        <v>#NUM!</v>
      </c>
      <c r="L22" s="135" t="e">
        <f t="shared" si="3"/>
        <v>#NUM!</v>
      </c>
      <c r="M22" s="166"/>
    </row>
    <row r="23" spans="2:13" x14ac:dyDescent="0.25">
      <c r="B23" s="252"/>
      <c r="C23" s="252"/>
      <c r="D23" s="165"/>
      <c r="E23" s="165"/>
      <c r="G23" s="156">
        <v>20</v>
      </c>
      <c r="H23" s="165" t="e">
        <f t="shared" si="0"/>
        <v>#NUM!</v>
      </c>
      <c r="I23" s="165" t="e">
        <f t="shared" si="1"/>
        <v>#NUM!</v>
      </c>
      <c r="J23" s="165" t="e">
        <f t="shared" si="4"/>
        <v>#NUM!</v>
      </c>
      <c r="K23" s="165" t="e">
        <f t="shared" si="2"/>
        <v>#NUM!</v>
      </c>
      <c r="L23" s="135" t="e">
        <f t="shared" si="3"/>
        <v>#NUM!</v>
      </c>
      <c r="M23" s="166"/>
    </row>
    <row r="24" spans="2:13" x14ac:dyDescent="0.25">
      <c r="B24" s="252"/>
      <c r="C24" s="252"/>
      <c r="D24" s="165"/>
      <c r="E24" s="165"/>
      <c r="G24" s="156">
        <v>21</v>
      </c>
      <c r="H24" s="165" t="e">
        <f t="shared" si="0"/>
        <v>#NUM!</v>
      </c>
      <c r="I24" s="165" t="e">
        <f t="shared" si="1"/>
        <v>#NUM!</v>
      </c>
      <c r="J24" s="165" t="e">
        <f t="shared" si="4"/>
        <v>#NUM!</v>
      </c>
      <c r="K24" s="165" t="e">
        <f t="shared" si="2"/>
        <v>#NUM!</v>
      </c>
      <c r="L24" s="135" t="e">
        <f t="shared" si="3"/>
        <v>#NUM!</v>
      </c>
      <c r="M24" s="166"/>
    </row>
    <row r="25" spans="2:13" x14ac:dyDescent="0.25">
      <c r="B25" s="252"/>
      <c r="C25" s="252"/>
      <c r="D25" s="165"/>
      <c r="E25" s="165"/>
      <c r="G25" s="156">
        <v>22</v>
      </c>
      <c r="H25" s="165" t="e">
        <f t="shared" si="0"/>
        <v>#NUM!</v>
      </c>
      <c r="I25" s="165" t="e">
        <f t="shared" si="1"/>
        <v>#NUM!</v>
      </c>
      <c r="J25" s="165" t="e">
        <f t="shared" si="4"/>
        <v>#NUM!</v>
      </c>
      <c r="K25" s="165" t="e">
        <f t="shared" si="2"/>
        <v>#NUM!</v>
      </c>
      <c r="L25" s="135" t="e">
        <f t="shared" si="3"/>
        <v>#NUM!</v>
      </c>
      <c r="M25" s="166"/>
    </row>
    <row r="26" spans="2:13" x14ac:dyDescent="0.25">
      <c r="B26" s="252"/>
      <c r="C26" s="252"/>
      <c r="D26" s="165"/>
      <c r="E26" s="165"/>
      <c r="G26" s="156">
        <v>23</v>
      </c>
      <c r="H26" s="165" t="e">
        <f t="shared" si="0"/>
        <v>#NUM!</v>
      </c>
      <c r="I26" s="165" t="e">
        <f t="shared" si="1"/>
        <v>#NUM!</v>
      </c>
      <c r="J26" s="165" t="e">
        <f t="shared" si="4"/>
        <v>#NUM!</v>
      </c>
      <c r="K26" s="165" t="e">
        <f t="shared" si="2"/>
        <v>#NUM!</v>
      </c>
      <c r="L26" s="135" t="e">
        <f t="shared" si="3"/>
        <v>#NUM!</v>
      </c>
      <c r="M26" s="166"/>
    </row>
    <row r="27" spans="2:13" x14ac:dyDescent="0.25">
      <c r="B27" s="252"/>
      <c r="C27" s="252"/>
      <c r="D27" s="165"/>
      <c r="E27" s="165"/>
      <c r="G27" s="156">
        <v>24</v>
      </c>
      <c r="H27" s="165" t="e">
        <f t="shared" si="0"/>
        <v>#NUM!</v>
      </c>
      <c r="I27" s="165" t="e">
        <f t="shared" si="1"/>
        <v>#NUM!</v>
      </c>
      <c r="J27" s="165" t="e">
        <f t="shared" si="4"/>
        <v>#NUM!</v>
      </c>
      <c r="K27" s="165" t="e">
        <f t="shared" si="2"/>
        <v>#NUM!</v>
      </c>
      <c r="L27" s="135" t="e">
        <f>+H27-K27</f>
        <v>#NUM!</v>
      </c>
      <c r="M27" s="166"/>
    </row>
    <row r="28" spans="2:13" x14ac:dyDescent="0.25">
      <c r="B28" s="252"/>
      <c r="C28" s="252"/>
      <c r="D28" s="165"/>
      <c r="E28" s="165"/>
      <c r="G28" s="156">
        <v>25</v>
      </c>
      <c r="H28" s="165" t="e">
        <f t="shared" si="0"/>
        <v>#NUM!</v>
      </c>
      <c r="I28" s="165" t="e">
        <f t="shared" si="1"/>
        <v>#NUM!</v>
      </c>
      <c r="J28" s="165" t="e">
        <f t="shared" si="4"/>
        <v>#NUM!</v>
      </c>
      <c r="K28" s="165" t="e">
        <f t="shared" si="2"/>
        <v>#NUM!</v>
      </c>
      <c r="L28" s="135" t="e">
        <f t="shared" si="3"/>
        <v>#NUM!</v>
      </c>
      <c r="M28" s="166"/>
    </row>
    <row r="29" spans="2:13" x14ac:dyDescent="0.25">
      <c r="B29" s="252"/>
      <c r="C29" s="252"/>
      <c r="D29" s="165"/>
      <c r="E29" s="165"/>
      <c r="G29" s="156">
        <v>26</v>
      </c>
      <c r="H29" s="165" t="e">
        <f t="shared" si="0"/>
        <v>#NUM!</v>
      </c>
      <c r="I29" s="165" t="e">
        <f t="shared" si="1"/>
        <v>#NUM!</v>
      </c>
      <c r="J29" s="165" t="e">
        <f t="shared" si="4"/>
        <v>#NUM!</v>
      </c>
      <c r="K29" s="165" t="e">
        <f t="shared" si="2"/>
        <v>#NUM!</v>
      </c>
      <c r="L29" s="135" t="e">
        <f t="shared" si="3"/>
        <v>#NUM!</v>
      </c>
      <c r="M29" s="166"/>
    </row>
    <row r="30" spans="2:13" x14ac:dyDescent="0.25">
      <c r="B30" s="252"/>
      <c r="C30" s="252"/>
      <c r="D30" s="165"/>
      <c r="E30" s="165"/>
      <c r="G30" s="156">
        <v>27</v>
      </c>
      <c r="H30" s="165" t="e">
        <f t="shared" si="0"/>
        <v>#NUM!</v>
      </c>
      <c r="I30" s="165" t="e">
        <f t="shared" si="1"/>
        <v>#NUM!</v>
      </c>
      <c r="J30" s="165" t="e">
        <f t="shared" si="4"/>
        <v>#NUM!</v>
      </c>
      <c r="K30" s="165" t="e">
        <f t="shared" si="2"/>
        <v>#NUM!</v>
      </c>
      <c r="L30" s="135" t="e">
        <f t="shared" si="3"/>
        <v>#NUM!</v>
      </c>
      <c r="M30" s="166"/>
    </row>
    <row r="31" spans="2:13" x14ac:dyDescent="0.25">
      <c r="B31" s="252"/>
      <c r="C31" s="252"/>
      <c r="D31" s="165"/>
      <c r="E31" s="165"/>
      <c r="G31" s="156">
        <v>28</v>
      </c>
      <c r="H31" s="165" t="e">
        <f t="shared" si="0"/>
        <v>#NUM!</v>
      </c>
      <c r="I31" s="165" t="e">
        <f t="shared" si="1"/>
        <v>#NUM!</v>
      </c>
      <c r="J31" s="165" t="e">
        <f t="shared" si="4"/>
        <v>#NUM!</v>
      </c>
      <c r="K31" s="165" t="e">
        <f t="shared" si="2"/>
        <v>#NUM!</v>
      </c>
      <c r="L31" s="135" t="e">
        <f t="shared" si="3"/>
        <v>#NUM!</v>
      </c>
      <c r="M31" s="166"/>
    </row>
    <row r="32" spans="2:13" x14ac:dyDescent="0.25">
      <c r="B32" s="252"/>
      <c r="C32" s="252"/>
      <c r="D32" s="165"/>
      <c r="E32" s="165"/>
      <c r="G32" s="156">
        <v>29</v>
      </c>
      <c r="H32" s="165" t="e">
        <f t="shared" si="0"/>
        <v>#NUM!</v>
      </c>
      <c r="I32" s="165" t="e">
        <f t="shared" si="1"/>
        <v>#NUM!</v>
      </c>
      <c r="J32" s="165" t="e">
        <f t="shared" si="4"/>
        <v>#NUM!</v>
      </c>
      <c r="K32" s="165" t="e">
        <f t="shared" si="2"/>
        <v>#NUM!</v>
      </c>
      <c r="L32" s="135" t="e">
        <f t="shared" si="3"/>
        <v>#NUM!</v>
      </c>
      <c r="M32" s="166"/>
    </row>
    <row r="33" spans="2:13" x14ac:dyDescent="0.25">
      <c r="B33" s="252"/>
      <c r="C33" s="252"/>
      <c r="D33" s="165"/>
      <c r="E33" s="165"/>
      <c r="G33" s="156">
        <v>30</v>
      </c>
      <c r="H33" s="165" t="e">
        <f t="shared" si="0"/>
        <v>#NUM!</v>
      </c>
      <c r="I33" s="165" t="e">
        <f t="shared" si="1"/>
        <v>#NUM!</v>
      </c>
      <c r="J33" s="165" t="e">
        <f t="shared" si="4"/>
        <v>#NUM!</v>
      </c>
      <c r="K33" s="165" t="e">
        <f t="shared" si="2"/>
        <v>#NUM!</v>
      </c>
      <c r="L33" s="135" t="e">
        <f t="shared" si="3"/>
        <v>#NUM!</v>
      </c>
      <c r="M33" s="166"/>
    </row>
    <row r="34" spans="2:13" x14ac:dyDescent="0.25">
      <c r="B34" s="252"/>
      <c r="C34" s="252"/>
      <c r="D34" s="165"/>
      <c r="E34" s="165"/>
      <c r="G34" s="156">
        <v>31</v>
      </c>
      <c r="H34" s="165" t="e">
        <f t="shared" si="0"/>
        <v>#NUM!</v>
      </c>
      <c r="I34" s="165" t="e">
        <f t="shared" si="1"/>
        <v>#NUM!</v>
      </c>
      <c r="J34" s="165" t="e">
        <f t="shared" si="4"/>
        <v>#NUM!</v>
      </c>
      <c r="K34" s="165" t="e">
        <f t="shared" si="2"/>
        <v>#NUM!</v>
      </c>
      <c r="L34" s="135" t="e">
        <f t="shared" si="3"/>
        <v>#NUM!</v>
      </c>
      <c r="M34" s="166"/>
    </row>
    <row r="35" spans="2:13" x14ac:dyDescent="0.25">
      <c r="B35" s="252"/>
      <c r="C35" s="252"/>
      <c r="D35" s="165"/>
      <c r="E35" s="165"/>
      <c r="G35" s="156">
        <v>32</v>
      </c>
      <c r="H35" s="165" t="e">
        <f t="shared" si="0"/>
        <v>#NUM!</v>
      </c>
      <c r="I35" s="165" t="e">
        <f t="shared" si="1"/>
        <v>#NUM!</v>
      </c>
      <c r="J35" s="165" t="e">
        <f t="shared" si="4"/>
        <v>#NUM!</v>
      </c>
      <c r="K35" s="165" t="e">
        <f t="shared" si="2"/>
        <v>#NUM!</v>
      </c>
      <c r="L35" s="135" t="e">
        <f t="shared" si="3"/>
        <v>#NUM!</v>
      </c>
      <c r="M35" s="166"/>
    </row>
    <row r="36" spans="2:13" x14ac:dyDescent="0.25">
      <c r="B36" s="252"/>
      <c r="C36" s="252"/>
      <c r="D36" s="165"/>
      <c r="E36" s="165"/>
      <c r="G36" s="156">
        <v>33</v>
      </c>
      <c r="H36" s="165" t="e">
        <f t="shared" si="0"/>
        <v>#NUM!</v>
      </c>
      <c r="I36" s="165" t="e">
        <f t="shared" si="1"/>
        <v>#NUM!</v>
      </c>
      <c r="J36" s="165" t="e">
        <f t="shared" si="4"/>
        <v>#NUM!</v>
      </c>
      <c r="K36" s="165" t="e">
        <f t="shared" si="2"/>
        <v>#NUM!</v>
      </c>
      <c r="L36" s="135" t="e">
        <f t="shared" si="3"/>
        <v>#NUM!</v>
      </c>
      <c r="M36" s="166"/>
    </row>
    <row r="37" spans="2:13" x14ac:dyDescent="0.25">
      <c r="B37" s="252"/>
      <c r="C37" s="252"/>
      <c r="D37" s="165"/>
      <c r="E37" s="165"/>
      <c r="G37" s="156">
        <v>34</v>
      </c>
      <c r="H37" s="165" t="e">
        <f t="shared" si="0"/>
        <v>#NUM!</v>
      </c>
      <c r="I37" s="165" t="e">
        <f t="shared" si="1"/>
        <v>#NUM!</v>
      </c>
      <c r="J37" s="165" t="e">
        <f t="shared" si="4"/>
        <v>#NUM!</v>
      </c>
      <c r="K37" s="165" t="e">
        <f t="shared" si="2"/>
        <v>#NUM!</v>
      </c>
      <c r="L37" s="135" t="e">
        <f t="shared" si="3"/>
        <v>#NUM!</v>
      </c>
      <c r="M37" s="166"/>
    </row>
    <row r="38" spans="2:13" x14ac:dyDescent="0.25">
      <c r="B38" s="252"/>
      <c r="C38" s="252"/>
      <c r="D38" s="165"/>
      <c r="E38" s="165"/>
      <c r="G38" s="156">
        <v>35</v>
      </c>
      <c r="H38" s="165" t="e">
        <f t="shared" si="0"/>
        <v>#NUM!</v>
      </c>
      <c r="I38" s="165" t="e">
        <f t="shared" si="1"/>
        <v>#NUM!</v>
      </c>
      <c r="J38" s="165" t="e">
        <f t="shared" si="4"/>
        <v>#NUM!</v>
      </c>
      <c r="K38" s="165" t="e">
        <f t="shared" si="2"/>
        <v>#NUM!</v>
      </c>
      <c r="L38" s="135" t="e">
        <f t="shared" si="3"/>
        <v>#NUM!</v>
      </c>
      <c r="M38" s="166"/>
    </row>
    <row r="39" spans="2:13" x14ac:dyDescent="0.25">
      <c r="B39" s="252"/>
      <c r="C39" s="252"/>
      <c r="D39" s="165"/>
      <c r="E39" s="165"/>
      <c r="G39" s="156">
        <v>36</v>
      </c>
      <c r="H39" s="165" t="e">
        <f t="shared" si="0"/>
        <v>#NUM!</v>
      </c>
      <c r="I39" s="165" t="e">
        <f t="shared" si="1"/>
        <v>#NUM!</v>
      </c>
      <c r="J39" s="165" t="e">
        <f t="shared" si="4"/>
        <v>#NUM!</v>
      </c>
      <c r="K39" s="165" t="e">
        <f t="shared" si="2"/>
        <v>#NUM!</v>
      </c>
      <c r="L39" s="135" t="e">
        <f t="shared" si="3"/>
        <v>#NUM!</v>
      </c>
      <c r="M39" s="166"/>
    </row>
    <row r="40" spans="2:13" x14ac:dyDescent="0.25">
      <c r="B40" s="252"/>
      <c r="C40" s="252"/>
      <c r="D40" s="165"/>
      <c r="E40" s="165"/>
      <c r="G40" s="156">
        <v>37</v>
      </c>
      <c r="H40" s="165" t="e">
        <f t="shared" si="0"/>
        <v>#NUM!</v>
      </c>
      <c r="I40" s="165" t="e">
        <f t="shared" si="1"/>
        <v>#NUM!</v>
      </c>
      <c r="J40" s="165" t="e">
        <f t="shared" si="4"/>
        <v>#NUM!</v>
      </c>
      <c r="K40" s="165" t="e">
        <f t="shared" si="2"/>
        <v>#NUM!</v>
      </c>
      <c r="L40" s="135" t="e">
        <f t="shared" si="3"/>
        <v>#NUM!</v>
      </c>
      <c r="M40" s="166"/>
    </row>
    <row r="41" spans="2:13" x14ac:dyDescent="0.25">
      <c r="B41" s="252"/>
      <c r="C41" s="252"/>
      <c r="D41" s="165"/>
      <c r="E41" s="165"/>
      <c r="G41" s="156">
        <v>38</v>
      </c>
      <c r="H41" s="165" t="e">
        <f t="shared" si="0"/>
        <v>#NUM!</v>
      </c>
      <c r="I41" s="165" t="e">
        <f t="shared" si="1"/>
        <v>#NUM!</v>
      </c>
      <c r="J41" s="165" t="e">
        <f t="shared" si="4"/>
        <v>#NUM!</v>
      </c>
      <c r="K41" s="165" t="e">
        <f t="shared" si="2"/>
        <v>#NUM!</v>
      </c>
      <c r="L41" s="135" t="e">
        <f t="shared" si="3"/>
        <v>#NUM!</v>
      </c>
    </row>
    <row r="42" spans="2:13" x14ac:dyDescent="0.25">
      <c r="B42" s="252"/>
      <c r="C42" s="252"/>
      <c r="D42" s="165"/>
      <c r="E42" s="165"/>
      <c r="G42" s="156">
        <v>39</v>
      </c>
      <c r="H42" s="165" t="e">
        <f t="shared" si="0"/>
        <v>#NUM!</v>
      </c>
      <c r="I42" s="165" t="e">
        <f t="shared" si="1"/>
        <v>#NUM!</v>
      </c>
      <c r="J42" s="165" t="e">
        <f t="shared" si="4"/>
        <v>#NUM!</v>
      </c>
      <c r="K42" s="165" t="e">
        <f t="shared" si="2"/>
        <v>#NUM!</v>
      </c>
      <c r="L42" s="135" t="e">
        <f t="shared" si="3"/>
        <v>#NUM!</v>
      </c>
    </row>
    <row r="43" spans="2:13" x14ac:dyDescent="0.25">
      <c r="B43" s="252"/>
      <c r="C43" s="252"/>
      <c r="D43" s="165"/>
      <c r="E43" s="165"/>
      <c r="G43" s="156">
        <v>40</v>
      </c>
      <c r="H43" s="165" t="e">
        <f t="shared" si="0"/>
        <v>#NUM!</v>
      </c>
      <c r="I43" s="165" t="e">
        <f t="shared" si="1"/>
        <v>#NUM!</v>
      </c>
      <c r="J43" s="165" t="e">
        <f t="shared" si="4"/>
        <v>#NUM!</v>
      </c>
      <c r="K43" s="165" t="e">
        <f t="shared" si="2"/>
        <v>#NUM!</v>
      </c>
      <c r="L43" s="135" t="e">
        <f t="shared" si="3"/>
        <v>#NUM!</v>
      </c>
    </row>
    <row r="44" spans="2:13" x14ac:dyDescent="0.25">
      <c r="B44" s="252"/>
      <c r="C44" s="252"/>
      <c r="D44" s="165"/>
      <c r="E44" s="165"/>
      <c r="G44" s="156">
        <v>41</v>
      </c>
      <c r="H44" s="165" t="e">
        <f t="shared" si="0"/>
        <v>#NUM!</v>
      </c>
      <c r="I44" s="165" t="e">
        <f t="shared" si="1"/>
        <v>#NUM!</v>
      </c>
      <c r="J44" s="165" t="e">
        <f t="shared" si="4"/>
        <v>#NUM!</v>
      </c>
      <c r="K44" s="165" t="e">
        <f t="shared" si="2"/>
        <v>#NUM!</v>
      </c>
      <c r="L44" s="135" t="e">
        <f t="shared" si="3"/>
        <v>#NUM!</v>
      </c>
    </row>
    <row r="45" spans="2:13" x14ac:dyDescent="0.25">
      <c r="B45" s="252"/>
      <c r="C45" s="252"/>
      <c r="D45" s="165"/>
      <c r="E45" s="165"/>
      <c r="G45" s="156">
        <v>42</v>
      </c>
      <c r="H45" s="165" t="e">
        <f t="shared" si="0"/>
        <v>#NUM!</v>
      </c>
      <c r="I45" s="165" t="e">
        <f t="shared" si="1"/>
        <v>#NUM!</v>
      </c>
      <c r="J45" s="165" t="e">
        <f t="shared" si="4"/>
        <v>#NUM!</v>
      </c>
      <c r="K45" s="165" t="e">
        <f t="shared" si="2"/>
        <v>#NUM!</v>
      </c>
      <c r="L45" s="135" t="e">
        <f t="shared" si="3"/>
        <v>#NUM!</v>
      </c>
    </row>
    <row r="46" spans="2:13" x14ac:dyDescent="0.25">
      <c r="B46" s="252"/>
      <c r="C46" s="252"/>
      <c r="D46" s="165"/>
      <c r="E46" s="165"/>
      <c r="G46" s="156">
        <v>43</v>
      </c>
      <c r="H46" s="165" t="e">
        <f t="shared" si="0"/>
        <v>#NUM!</v>
      </c>
      <c r="I46" s="165" t="e">
        <f t="shared" si="1"/>
        <v>#NUM!</v>
      </c>
      <c r="J46" s="165" t="e">
        <f t="shared" si="4"/>
        <v>#NUM!</v>
      </c>
      <c r="K46" s="165" t="e">
        <f t="shared" si="2"/>
        <v>#NUM!</v>
      </c>
      <c r="L46" s="135" t="e">
        <f t="shared" si="3"/>
        <v>#NUM!</v>
      </c>
    </row>
    <row r="47" spans="2:13" x14ac:dyDescent="0.25">
      <c r="B47" s="252"/>
      <c r="C47" s="252"/>
      <c r="D47" s="165"/>
      <c r="E47" s="165"/>
      <c r="G47" s="156">
        <v>44</v>
      </c>
      <c r="H47" s="165" t="e">
        <f t="shared" si="0"/>
        <v>#NUM!</v>
      </c>
      <c r="I47" s="165" t="e">
        <f t="shared" si="1"/>
        <v>#NUM!</v>
      </c>
      <c r="J47" s="165" t="e">
        <f t="shared" si="4"/>
        <v>#NUM!</v>
      </c>
      <c r="K47" s="165" t="e">
        <f t="shared" si="2"/>
        <v>#NUM!</v>
      </c>
      <c r="L47" s="135" t="e">
        <f t="shared" si="3"/>
        <v>#NUM!</v>
      </c>
    </row>
    <row r="48" spans="2:13" x14ac:dyDescent="0.25">
      <c r="B48" s="252"/>
      <c r="C48" s="252"/>
      <c r="D48" s="165"/>
      <c r="E48" s="165"/>
      <c r="G48" s="156">
        <v>45</v>
      </c>
      <c r="H48" s="165" t="e">
        <f t="shared" si="0"/>
        <v>#NUM!</v>
      </c>
      <c r="I48" s="165" t="e">
        <f t="shared" si="1"/>
        <v>#NUM!</v>
      </c>
      <c r="J48" s="165" t="e">
        <f t="shared" si="4"/>
        <v>#NUM!</v>
      </c>
      <c r="K48" s="165" t="e">
        <f t="shared" si="2"/>
        <v>#NUM!</v>
      </c>
      <c r="L48" s="135" t="e">
        <f t="shared" si="3"/>
        <v>#NUM!</v>
      </c>
    </row>
    <row r="49" spans="2:12" x14ac:dyDescent="0.25">
      <c r="B49" s="252"/>
      <c r="C49" s="252"/>
      <c r="D49" s="165"/>
      <c r="E49" s="165"/>
      <c r="G49" s="156">
        <v>46</v>
      </c>
      <c r="H49" s="165" t="e">
        <f t="shared" si="0"/>
        <v>#NUM!</v>
      </c>
      <c r="I49" s="165" t="e">
        <f t="shared" si="1"/>
        <v>#NUM!</v>
      </c>
      <c r="J49" s="165" t="e">
        <f t="shared" si="4"/>
        <v>#NUM!</v>
      </c>
      <c r="K49" s="165" t="e">
        <f t="shared" si="2"/>
        <v>#NUM!</v>
      </c>
      <c r="L49" s="135" t="e">
        <f t="shared" si="3"/>
        <v>#NUM!</v>
      </c>
    </row>
    <row r="50" spans="2:12" x14ac:dyDescent="0.25">
      <c r="B50" s="252"/>
      <c r="C50" s="252"/>
      <c r="D50" s="165"/>
      <c r="E50" s="165"/>
      <c r="G50" s="156">
        <v>47</v>
      </c>
      <c r="H50" s="165" t="e">
        <f t="shared" si="0"/>
        <v>#NUM!</v>
      </c>
      <c r="I50" s="165" t="e">
        <f t="shared" si="1"/>
        <v>#NUM!</v>
      </c>
      <c r="J50" s="165" t="e">
        <f t="shared" si="4"/>
        <v>#NUM!</v>
      </c>
      <c r="K50" s="165" t="e">
        <f t="shared" si="2"/>
        <v>#NUM!</v>
      </c>
      <c r="L50" s="135" t="e">
        <f t="shared" si="3"/>
        <v>#NUM!</v>
      </c>
    </row>
    <row r="51" spans="2:12" x14ac:dyDescent="0.25">
      <c r="B51" s="252"/>
      <c r="C51" s="252"/>
      <c r="D51" s="165"/>
      <c r="E51" s="165"/>
      <c r="G51" s="156">
        <v>48</v>
      </c>
      <c r="H51" s="165" t="e">
        <f t="shared" si="0"/>
        <v>#NUM!</v>
      </c>
      <c r="I51" s="165" t="e">
        <f t="shared" si="1"/>
        <v>#NUM!</v>
      </c>
      <c r="J51" s="165" t="e">
        <f t="shared" si="4"/>
        <v>#NUM!</v>
      </c>
      <c r="K51" s="165" t="e">
        <f t="shared" si="2"/>
        <v>#NUM!</v>
      </c>
      <c r="L51" s="135" t="e">
        <f t="shared" si="3"/>
        <v>#NUM!</v>
      </c>
    </row>
    <row r="52" spans="2:12" x14ac:dyDescent="0.25">
      <c r="B52" s="252"/>
      <c r="C52" s="252"/>
      <c r="D52" s="165"/>
      <c r="E52" s="165"/>
      <c r="G52" s="156">
        <v>49</v>
      </c>
      <c r="H52" s="165" t="e">
        <f>IF(L51&lt;=0.5,0,L51)</f>
        <v>#NUM!</v>
      </c>
      <c r="I52" s="165" t="e">
        <f>IF(L51&lt;=0.5,0,I51)</f>
        <v>#NUM!</v>
      </c>
      <c r="J52" s="165" t="e">
        <f t="shared" si="4"/>
        <v>#NUM!</v>
      </c>
      <c r="K52" s="165" t="e">
        <f t="shared" si="2"/>
        <v>#NUM!</v>
      </c>
      <c r="L52" s="135" t="e">
        <f t="shared" si="3"/>
        <v>#NUM!</v>
      </c>
    </row>
    <row r="53" spans="2:12" x14ac:dyDescent="0.25">
      <c r="B53" s="252"/>
      <c r="C53" s="252"/>
      <c r="D53" s="165"/>
      <c r="E53" s="165"/>
      <c r="G53" s="156">
        <v>50</v>
      </c>
      <c r="H53" s="165" t="e">
        <f t="shared" ref="H53:H63" si="6">IF(L52&lt;=0.5,0,L52)</f>
        <v>#NUM!</v>
      </c>
      <c r="I53" s="165" t="e">
        <f t="shared" ref="I53:I63" si="7">IF(L52&lt;=0.5,0,I52)</f>
        <v>#NUM!</v>
      </c>
      <c r="J53" s="165" t="e">
        <f t="shared" si="4"/>
        <v>#NUM!</v>
      </c>
      <c r="K53" s="165" t="e">
        <f t="shared" si="2"/>
        <v>#NUM!</v>
      </c>
      <c r="L53" s="135" t="e">
        <f t="shared" si="3"/>
        <v>#NUM!</v>
      </c>
    </row>
    <row r="54" spans="2:12" x14ac:dyDescent="0.25">
      <c r="B54" s="252"/>
      <c r="C54" s="252"/>
      <c r="D54" s="165"/>
      <c r="E54" s="165"/>
      <c r="G54" s="156">
        <v>51</v>
      </c>
      <c r="H54" s="165" t="e">
        <f t="shared" si="6"/>
        <v>#NUM!</v>
      </c>
      <c r="I54" s="165" t="e">
        <f t="shared" si="7"/>
        <v>#NUM!</v>
      </c>
      <c r="J54" s="165" t="e">
        <f t="shared" si="4"/>
        <v>#NUM!</v>
      </c>
      <c r="K54" s="165" t="e">
        <f t="shared" si="2"/>
        <v>#NUM!</v>
      </c>
      <c r="L54" s="135" t="e">
        <f t="shared" si="3"/>
        <v>#NUM!</v>
      </c>
    </row>
    <row r="55" spans="2:12" x14ac:dyDescent="0.25">
      <c r="B55" s="252"/>
      <c r="C55" s="252"/>
      <c r="D55" s="165"/>
      <c r="E55" s="165"/>
      <c r="G55" s="156">
        <v>52</v>
      </c>
      <c r="H55" s="165" t="e">
        <f t="shared" si="6"/>
        <v>#NUM!</v>
      </c>
      <c r="I55" s="165" t="e">
        <f t="shared" si="7"/>
        <v>#NUM!</v>
      </c>
      <c r="J55" s="165" t="e">
        <f t="shared" si="4"/>
        <v>#NUM!</v>
      </c>
      <c r="K55" s="165" t="e">
        <f t="shared" si="2"/>
        <v>#NUM!</v>
      </c>
      <c r="L55" s="135" t="e">
        <f t="shared" si="3"/>
        <v>#NUM!</v>
      </c>
    </row>
    <row r="56" spans="2:12" x14ac:dyDescent="0.25">
      <c r="B56" s="252"/>
      <c r="C56" s="252"/>
      <c r="D56" s="165"/>
      <c r="E56" s="165"/>
      <c r="G56" s="156">
        <v>53</v>
      </c>
      <c r="H56" s="165" t="e">
        <f t="shared" si="6"/>
        <v>#NUM!</v>
      </c>
      <c r="I56" s="165" t="e">
        <f t="shared" si="7"/>
        <v>#NUM!</v>
      </c>
      <c r="J56" s="165" t="e">
        <f t="shared" si="4"/>
        <v>#NUM!</v>
      </c>
      <c r="K56" s="165" t="e">
        <f t="shared" si="2"/>
        <v>#NUM!</v>
      </c>
      <c r="L56" s="135" t="e">
        <f t="shared" si="3"/>
        <v>#NUM!</v>
      </c>
    </row>
    <row r="57" spans="2:12" x14ac:dyDescent="0.25">
      <c r="B57" s="252"/>
      <c r="C57" s="252"/>
      <c r="D57" s="165"/>
      <c r="E57" s="165"/>
      <c r="G57" s="156">
        <v>54</v>
      </c>
      <c r="H57" s="165" t="e">
        <f t="shared" si="6"/>
        <v>#NUM!</v>
      </c>
      <c r="I57" s="165" t="e">
        <f t="shared" si="7"/>
        <v>#NUM!</v>
      </c>
      <c r="J57" s="165" t="e">
        <f t="shared" si="4"/>
        <v>#NUM!</v>
      </c>
      <c r="K57" s="165" t="e">
        <f t="shared" si="2"/>
        <v>#NUM!</v>
      </c>
      <c r="L57" s="135" t="e">
        <f t="shared" si="3"/>
        <v>#NUM!</v>
      </c>
    </row>
    <row r="58" spans="2:12" x14ac:dyDescent="0.25">
      <c r="B58" s="252"/>
      <c r="C58" s="252"/>
      <c r="D58" s="165"/>
      <c r="E58" s="165"/>
      <c r="G58" s="156">
        <v>55</v>
      </c>
      <c r="H58" s="165" t="e">
        <f t="shared" si="6"/>
        <v>#NUM!</v>
      </c>
      <c r="I58" s="165" t="e">
        <f t="shared" si="7"/>
        <v>#NUM!</v>
      </c>
      <c r="J58" s="165" t="e">
        <f t="shared" si="4"/>
        <v>#NUM!</v>
      </c>
      <c r="K58" s="165" t="e">
        <f t="shared" si="2"/>
        <v>#NUM!</v>
      </c>
      <c r="L58" s="135" t="e">
        <f t="shared" si="3"/>
        <v>#NUM!</v>
      </c>
    </row>
    <row r="59" spans="2:12" x14ac:dyDescent="0.25">
      <c r="B59" s="252"/>
      <c r="C59" s="252"/>
      <c r="D59" s="165"/>
      <c r="E59" s="165"/>
      <c r="G59" s="156">
        <v>56</v>
      </c>
      <c r="H59" s="165" t="e">
        <f t="shared" si="6"/>
        <v>#NUM!</v>
      </c>
      <c r="I59" s="165" t="e">
        <f t="shared" si="7"/>
        <v>#NUM!</v>
      </c>
      <c r="J59" s="165" t="e">
        <f t="shared" si="4"/>
        <v>#NUM!</v>
      </c>
      <c r="K59" s="165" t="e">
        <f t="shared" si="2"/>
        <v>#NUM!</v>
      </c>
      <c r="L59" s="135" t="e">
        <f t="shared" si="3"/>
        <v>#NUM!</v>
      </c>
    </row>
    <row r="60" spans="2:12" x14ac:dyDescent="0.25">
      <c r="B60" s="252"/>
      <c r="C60" s="252"/>
      <c r="D60" s="165"/>
      <c r="E60" s="165"/>
      <c r="G60" s="156">
        <v>57</v>
      </c>
      <c r="H60" s="165" t="e">
        <f t="shared" si="6"/>
        <v>#NUM!</v>
      </c>
      <c r="I60" s="165" t="e">
        <f t="shared" si="7"/>
        <v>#NUM!</v>
      </c>
      <c r="J60" s="165" t="e">
        <f t="shared" si="4"/>
        <v>#NUM!</v>
      </c>
      <c r="K60" s="165" t="e">
        <f t="shared" si="2"/>
        <v>#NUM!</v>
      </c>
      <c r="L60" s="135" t="e">
        <f t="shared" si="3"/>
        <v>#NUM!</v>
      </c>
    </row>
    <row r="61" spans="2:12" x14ac:dyDescent="0.25">
      <c r="B61" s="252"/>
      <c r="C61" s="252"/>
      <c r="D61" s="165"/>
      <c r="E61" s="165"/>
      <c r="G61" s="156">
        <v>58</v>
      </c>
      <c r="H61" s="165" t="e">
        <f t="shared" si="6"/>
        <v>#NUM!</v>
      </c>
      <c r="I61" s="165" t="e">
        <f t="shared" si="7"/>
        <v>#NUM!</v>
      </c>
      <c r="J61" s="165" t="e">
        <f t="shared" si="4"/>
        <v>#NUM!</v>
      </c>
      <c r="K61" s="165" t="e">
        <f t="shared" si="2"/>
        <v>#NUM!</v>
      </c>
      <c r="L61" s="135" t="e">
        <f t="shared" si="3"/>
        <v>#NUM!</v>
      </c>
    </row>
    <row r="62" spans="2:12" x14ac:dyDescent="0.25">
      <c r="B62" s="252"/>
      <c r="C62" s="252"/>
      <c r="D62" s="165"/>
      <c r="E62" s="165"/>
      <c r="G62" s="156">
        <v>59</v>
      </c>
      <c r="H62" s="165" t="e">
        <f t="shared" si="6"/>
        <v>#NUM!</v>
      </c>
      <c r="I62" s="165" t="e">
        <f t="shared" si="7"/>
        <v>#NUM!</v>
      </c>
      <c r="J62" s="165" t="e">
        <f t="shared" si="4"/>
        <v>#NUM!</v>
      </c>
      <c r="K62" s="165" t="e">
        <f t="shared" si="2"/>
        <v>#NUM!</v>
      </c>
      <c r="L62" s="135" t="e">
        <f t="shared" si="3"/>
        <v>#NUM!</v>
      </c>
    </row>
    <row r="63" spans="2:12" ht="15.75" thickBot="1" x14ac:dyDescent="0.3">
      <c r="B63" s="252"/>
      <c r="C63" s="252"/>
      <c r="D63" s="165"/>
      <c r="E63" s="165"/>
      <c r="G63" s="168">
        <v>60</v>
      </c>
      <c r="H63" s="167" t="e">
        <f t="shared" si="6"/>
        <v>#NUM!</v>
      </c>
      <c r="I63" s="167" t="e">
        <f t="shared" si="7"/>
        <v>#NUM!</v>
      </c>
      <c r="J63" s="167" t="e">
        <f t="shared" si="4"/>
        <v>#NUM!</v>
      </c>
      <c r="K63" s="167" t="e">
        <f t="shared" si="2"/>
        <v>#NUM!</v>
      </c>
      <c r="L63" s="138" t="e">
        <f t="shared" si="3"/>
        <v>#NUM!</v>
      </c>
    </row>
    <row r="65" spans="2:5" ht="15.75" thickBot="1" x14ac:dyDescent="0.3"/>
    <row r="66" spans="2:5" x14ac:dyDescent="0.25">
      <c r="B66" s="452" t="s">
        <v>212</v>
      </c>
      <c r="C66" s="453"/>
      <c r="D66" s="453"/>
      <c r="E66" s="454"/>
    </row>
    <row r="67" spans="2:5" ht="15.75" thickBot="1" x14ac:dyDescent="0.3">
      <c r="B67" s="458"/>
      <c r="C67" s="459"/>
      <c r="D67" s="459"/>
      <c r="E67" s="460"/>
    </row>
    <row r="68" spans="2:5" x14ac:dyDescent="0.25">
      <c r="B68" s="415" t="s">
        <v>213</v>
      </c>
      <c r="C68" s="417" t="s">
        <v>214</v>
      </c>
      <c r="D68" s="417" t="s">
        <v>215</v>
      </c>
      <c r="E68" s="419" t="s">
        <v>216</v>
      </c>
    </row>
    <row r="69" spans="2:5" x14ac:dyDescent="0.25">
      <c r="B69" s="416"/>
      <c r="C69" s="418"/>
      <c r="D69" s="418"/>
      <c r="E69" s="420"/>
    </row>
    <row r="70" spans="2:5" x14ac:dyDescent="0.25">
      <c r="B70" s="410" t="s">
        <v>217</v>
      </c>
      <c r="C70" s="403" t="s">
        <v>218</v>
      </c>
      <c r="D70" s="404">
        <f>[4]OPTIMISTA!$D$12</f>
        <v>0</v>
      </c>
      <c r="E70" s="405">
        <f>+D70*5%</f>
        <v>0</v>
      </c>
    </row>
    <row r="71" spans="2:5" x14ac:dyDescent="0.25">
      <c r="B71" s="410"/>
      <c r="C71" s="403"/>
      <c r="D71" s="403"/>
      <c r="E71" s="405"/>
    </row>
    <row r="72" spans="2:5" x14ac:dyDescent="0.25">
      <c r="B72" s="411" t="s">
        <v>219</v>
      </c>
      <c r="C72" s="403" t="s">
        <v>220</v>
      </c>
      <c r="D72" s="404">
        <f>[4]OPTIMISTA!$D$13</f>
        <v>0</v>
      </c>
      <c r="E72" s="405">
        <f>+D72*10%</f>
        <v>0</v>
      </c>
    </row>
    <row r="73" spans="2:5" x14ac:dyDescent="0.25">
      <c r="B73" s="411"/>
      <c r="C73" s="403"/>
      <c r="D73" s="403"/>
      <c r="E73" s="405"/>
    </row>
    <row r="74" spans="2:5" x14ac:dyDescent="0.25">
      <c r="B74" s="402" t="s">
        <v>221</v>
      </c>
      <c r="C74" s="403" t="s">
        <v>222</v>
      </c>
      <c r="D74" s="404">
        <f>[4]OPTIMISTA!$D$14</f>
        <v>0</v>
      </c>
      <c r="E74" s="405">
        <f>+D74*20%</f>
        <v>0</v>
      </c>
    </row>
    <row r="75" spans="2:5" x14ac:dyDescent="0.25">
      <c r="B75" s="402"/>
      <c r="C75" s="403"/>
      <c r="D75" s="403"/>
      <c r="E75" s="405"/>
    </row>
    <row r="76" spans="2:5" x14ac:dyDescent="0.25">
      <c r="B76" s="406" t="s">
        <v>223</v>
      </c>
      <c r="C76" s="403" t="s">
        <v>224</v>
      </c>
      <c r="D76" s="404">
        <f>[4]OPTIMISTA!$D$15</f>
        <v>0</v>
      </c>
      <c r="E76" s="405">
        <f>+D76*33%</f>
        <v>0</v>
      </c>
    </row>
    <row r="77" spans="2:5" ht="15.75" thickBot="1" x14ac:dyDescent="0.3">
      <c r="B77" s="407"/>
      <c r="C77" s="408"/>
      <c r="D77" s="408"/>
      <c r="E77" s="409"/>
    </row>
    <row r="78" spans="2:5" ht="15.75" thickBot="1" x14ac:dyDescent="0.3">
      <c r="B78" s="161"/>
      <c r="C78" s="162" t="s">
        <v>79</v>
      </c>
      <c r="D78" s="163">
        <f>SUM(D70:D77)</f>
        <v>0</v>
      </c>
      <c r="E78" s="164">
        <f>SUM(E70:E77)</f>
        <v>0</v>
      </c>
    </row>
    <row r="80" spans="2:5" ht="15.75" thickBot="1" x14ac:dyDescent="0.3"/>
    <row r="81" spans="2:13" x14ac:dyDescent="0.25">
      <c r="B81" s="452" t="s">
        <v>230</v>
      </c>
      <c r="C81" s="453"/>
      <c r="D81" s="454"/>
      <c r="E81" s="452" t="s">
        <v>231</v>
      </c>
      <c r="F81" s="453"/>
      <c r="G81" s="454"/>
      <c r="H81" s="452" t="s">
        <v>232</v>
      </c>
      <c r="I81" s="453"/>
      <c r="J81" s="454"/>
      <c r="K81" s="452" t="s">
        <v>233</v>
      </c>
      <c r="L81" s="453"/>
      <c r="M81" s="454"/>
    </row>
    <row r="82" spans="2:13" x14ac:dyDescent="0.25">
      <c r="B82" s="455"/>
      <c r="C82" s="456"/>
      <c r="D82" s="457"/>
      <c r="E82" s="455"/>
      <c r="F82" s="456"/>
      <c r="G82" s="457"/>
      <c r="H82" s="455"/>
      <c r="I82" s="456"/>
      <c r="J82" s="457"/>
      <c r="K82" s="455"/>
      <c r="L82" s="456"/>
      <c r="M82" s="457"/>
    </row>
    <row r="83" spans="2:13" x14ac:dyDescent="0.25">
      <c r="B83" s="140" t="s">
        <v>225</v>
      </c>
      <c r="C83" s="2"/>
      <c r="D83" s="135">
        <f>+[4]OPTIMISTA!$L$12</f>
        <v>0</v>
      </c>
      <c r="E83" s="140" t="s">
        <v>225</v>
      </c>
      <c r="F83" s="2"/>
      <c r="G83" s="135">
        <f>+[4]OPTIMISTA!$L$13</f>
        <v>0</v>
      </c>
      <c r="H83" s="140" t="s">
        <v>225</v>
      </c>
      <c r="I83" s="2"/>
      <c r="J83" s="135">
        <f>[4]OPTIMISTA!$L$14</f>
        <v>0</v>
      </c>
      <c r="K83" s="140" t="s">
        <v>225</v>
      </c>
      <c r="L83" s="2"/>
      <c r="M83" s="135">
        <f>[4]OPTIMISTA!$L$15</f>
        <v>0</v>
      </c>
    </row>
    <row r="84" spans="2:13" x14ac:dyDescent="0.25">
      <c r="B84" s="140" t="s">
        <v>226</v>
      </c>
      <c r="C84" s="2"/>
      <c r="D84" s="135">
        <f>+D83*11.15%</f>
        <v>0</v>
      </c>
      <c r="E84" s="140" t="s">
        <v>226</v>
      </c>
      <c r="F84" s="2"/>
      <c r="G84" s="135">
        <f t="shared" ref="G84" si="8">+G83*11.15%</f>
        <v>0</v>
      </c>
      <c r="H84" s="140" t="s">
        <v>226</v>
      </c>
      <c r="I84" s="2"/>
      <c r="J84" s="135">
        <f t="shared" ref="J84" si="9">+J83*11.15%</f>
        <v>0</v>
      </c>
      <c r="K84" s="140" t="s">
        <v>226</v>
      </c>
      <c r="L84" s="2"/>
      <c r="M84" s="135">
        <f t="shared" ref="M84" si="10">+M83*11.15%</f>
        <v>0</v>
      </c>
    </row>
    <row r="85" spans="2:13" x14ac:dyDescent="0.25">
      <c r="B85" s="140" t="s">
        <v>227</v>
      </c>
      <c r="C85" s="2"/>
      <c r="D85" s="135">
        <f>D83</f>
        <v>0</v>
      </c>
      <c r="E85" s="140" t="s">
        <v>227</v>
      </c>
      <c r="F85" s="2"/>
      <c r="G85" s="135">
        <f t="shared" ref="G85" si="11">G83</f>
        <v>0</v>
      </c>
      <c r="H85" s="140" t="s">
        <v>227</v>
      </c>
      <c r="I85" s="2"/>
      <c r="J85" s="135">
        <f t="shared" ref="J85" si="12">J83</f>
        <v>0</v>
      </c>
      <c r="K85" s="140" t="s">
        <v>227</v>
      </c>
      <c r="L85" s="2"/>
      <c r="M85" s="135">
        <f t="shared" ref="M85" si="13">M83</f>
        <v>0</v>
      </c>
    </row>
    <row r="86" spans="2:13" x14ac:dyDescent="0.25">
      <c r="B86" s="140" t="s">
        <v>228</v>
      </c>
      <c r="C86" s="2"/>
      <c r="D86" s="135">
        <v>366</v>
      </c>
      <c r="E86" s="140" t="s">
        <v>228</v>
      </c>
      <c r="F86" s="2"/>
      <c r="G86" s="135">
        <f>+D86</f>
        <v>366</v>
      </c>
      <c r="H86" s="140" t="s">
        <v>228</v>
      </c>
      <c r="I86" s="2"/>
      <c r="J86" s="135">
        <f>G86</f>
        <v>366</v>
      </c>
      <c r="K86" s="140" t="s">
        <v>228</v>
      </c>
      <c r="L86" s="2"/>
      <c r="M86" s="135">
        <f>J86</f>
        <v>366</v>
      </c>
    </row>
    <row r="87" spans="2:13" x14ac:dyDescent="0.25">
      <c r="B87" s="140" t="s">
        <v>238</v>
      </c>
      <c r="C87" s="2"/>
      <c r="D87" s="135">
        <f>+D83*1%</f>
        <v>0</v>
      </c>
      <c r="E87" s="140" t="s">
        <v>238</v>
      </c>
      <c r="F87" s="2"/>
      <c r="G87" s="135">
        <f t="shared" ref="G87" si="14">+G83*1%</f>
        <v>0</v>
      </c>
      <c r="H87" s="140" t="s">
        <v>238</v>
      </c>
      <c r="I87" s="2"/>
      <c r="J87" s="135">
        <f t="shared" ref="J87" si="15">+J83*1%</f>
        <v>0</v>
      </c>
      <c r="K87" s="140" t="s">
        <v>238</v>
      </c>
      <c r="L87" s="2"/>
      <c r="M87" s="135">
        <f t="shared" ref="M87" si="16">+M83*1%</f>
        <v>0</v>
      </c>
    </row>
    <row r="88" spans="2:13" ht="15.75" thickBot="1" x14ac:dyDescent="0.3">
      <c r="B88" s="141" t="s">
        <v>229</v>
      </c>
      <c r="C88" s="142"/>
      <c r="D88" s="138">
        <f>D83*8.33%</f>
        <v>0</v>
      </c>
      <c r="E88" s="141" t="s">
        <v>229</v>
      </c>
      <c r="F88" s="142"/>
      <c r="G88" s="138">
        <f t="shared" ref="G88" si="17">G83*8.33%</f>
        <v>0</v>
      </c>
      <c r="H88" s="141" t="s">
        <v>229</v>
      </c>
      <c r="I88" s="142"/>
      <c r="J88" s="138">
        <f t="shared" ref="J88" si="18">J83*8.33%</f>
        <v>0</v>
      </c>
      <c r="K88" s="141" t="s">
        <v>229</v>
      </c>
      <c r="L88" s="142"/>
      <c r="M88" s="138">
        <f t="shared" ref="M88" si="19">M83*8.33%</f>
        <v>0</v>
      </c>
    </row>
    <row r="89" spans="2:13" x14ac:dyDescent="0.25">
      <c r="B89" s="400" t="s">
        <v>236</v>
      </c>
      <c r="C89" s="401"/>
      <c r="D89" s="158">
        <f>IF(D83=0,0,+((D83+D84+D87)*12)+D85+D86)</f>
        <v>0</v>
      </c>
      <c r="E89" s="400" t="s">
        <v>236</v>
      </c>
      <c r="F89" s="401"/>
      <c r="G89" s="158">
        <f>IF(G83=0,0,+((G83+G84+G87)*12)+G85+G86)</f>
        <v>0</v>
      </c>
      <c r="H89" s="400" t="s">
        <v>236</v>
      </c>
      <c r="I89" s="401"/>
      <c r="J89" s="158">
        <f>IF(J83=0,0,+((J83+J84+J87)*12)+J85+J86)</f>
        <v>0</v>
      </c>
      <c r="K89" s="400" t="s">
        <v>236</v>
      </c>
      <c r="L89" s="401"/>
      <c r="M89" s="158">
        <f>IF(M83=0,0,+((M83+M84+M87)*12)+M85+M86)</f>
        <v>0</v>
      </c>
    </row>
    <row r="90" spans="2:13" ht="15.75" thickBot="1" x14ac:dyDescent="0.3">
      <c r="B90" s="382" t="s">
        <v>237</v>
      </c>
      <c r="C90" s="383"/>
      <c r="D90" s="138">
        <f>IF(D83=0,0,+D89+(D88*12))</f>
        <v>0</v>
      </c>
      <c r="E90" s="382" t="s">
        <v>237</v>
      </c>
      <c r="F90" s="383"/>
      <c r="G90" s="138">
        <f>IF(G83=0,0,+G89+(G88*12))</f>
        <v>0</v>
      </c>
      <c r="H90" s="382" t="s">
        <v>237</v>
      </c>
      <c r="I90" s="383"/>
      <c r="J90" s="138">
        <f>IF(J83=0,0,+J89+(J88*12))</f>
        <v>0</v>
      </c>
      <c r="K90" s="382" t="s">
        <v>237</v>
      </c>
      <c r="L90" s="383"/>
      <c r="M90" s="138">
        <f>IF(M83=0,0,+M89+(M88*12))</f>
        <v>0</v>
      </c>
    </row>
    <row r="91" spans="2:13" ht="15.75" thickBot="1" x14ac:dyDescent="0.3">
      <c r="B91" s="183"/>
      <c r="C91" s="183"/>
      <c r="D91" s="165"/>
      <c r="E91" s="183"/>
      <c r="F91" s="183"/>
      <c r="G91" s="165"/>
      <c r="H91" s="183"/>
      <c r="I91" s="183"/>
      <c r="J91" s="165"/>
      <c r="K91" s="183"/>
      <c r="L91" s="183"/>
      <c r="M91" s="165"/>
    </row>
    <row r="92" spans="2:13" x14ac:dyDescent="0.25">
      <c r="B92" s="390" t="s">
        <v>255</v>
      </c>
      <c r="C92" s="391"/>
      <c r="D92" s="184">
        <f>+D89+G89+J89+M89</f>
        <v>0</v>
      </c>
      <c r="E92" s="183"/>
      <c r="F92" s="183"/>
      <c r="G92" s="165"/>
      <c r="H92" s="183"/>
      <c r="I92" s="183"/>
      <c r="J92" s="165"/>
      <c r="K92" s="183"/>
      <c r="L92" s="183"/>
      <c r="M92" s="165"/>
    </row>
    <row r="93" spans="2:13" ht="15.75" thickBot="1" x14ac:dyDescent="0.3">
      <c r="B93" s="392" t="s">
        <v>256</v>
      </c>
      <c r="C93" s="393"/>
      <c r="D93" s="185">
        <f>(D90+G90+J90+M90)-D92</f>
        <v>0</v>
      </c>
      <c r="E93" s="183"/>
      <c r="F93" s="183"/>
      <c r="G93" s="165"/>
      <c r="H93" s="183"/>
      <c r="I93" s="183"/>
      <c r="J93" s="165"/>
      <c r="K93" s="183"/>
      <c r="L93" s="183"/>
      <c r="M93" s="165"/>
    </row>
    <row r="94" spans="2:13" x14ac:dyDescent="0.25">
      <c r="B94" s="183"/>
      <c r="C94" s="183"/>
      <c r="D94" s="165"/>
      <c r="E94" s="183"/>
      <c r="F94" s="183"/>
      <c r="G94" s="165"/>
      <c r="H94" s="183"/>
      <c r="I94" s="183"/>
      <c r="J94" s="165"/>
      <c r="K94" s="183"/>
      <c r="L94" s="183"/>
      <c r="M94" s="165"/>
    </row>
    <row r="96" spans="2:13" ht="15.75" thickBot="1" x14ac:dyDescent="0.3"/>
    <row r="97" spans="2:6" x14ac:dyDescent="0.25">
      <c r="B97" s="450" t="s">
        <v>239</v>
      </c>
      <c r="C97" s="451"/>
      <c r="D97" s="260">
        <v>2016</v>
      </c>
      <c r="E97" s="260">
        <v>2017</v>
      </c>
      <c r="F97" s="261">
        <v>2018</v>
      </c>
    </row>
    <row r="98" spans="2:6" x14ac:dyDescent="0.25">
      <c r="B98" s="386" t="s">
        <v>240</v>
      </c>
      <c r="C98" s="387"/>
      <c r="D98" s="135">
        <f>+[4]OPTIMISTA!$D$18</f>
        <v>0</v>
      </c>
      <c r="E98" s="135">
        <f>+[4]OPTIMISTA!$E$18</f>
        <v>0</v>
      </c>
      <c r="F98" s="135">
        <f>+[4]OPTIMISTA!$F$18</f>
        <v>0</v>
      </c>
    </row>
    <row r="99" spans="2:6" ht="15.75" thickBot="1" x14ac:dyDescent="0.3">
      <c r="B99" s="388" t="s">
        <v>241</v>
      </c>
      <c r="C99" s="389"/>
      <c r="D99" s="138">
        <f>[4]OPTIMISTA!$D$19</f>
        <v>0</v>
      </c>
      <c r="E99" s="138">
        <f>[4]OPTIMISTA!$E$19</f>
        <v>0</v>
      </c>
      <c r="F99" s="138">
        <f>[4]OPTIMISTA!$F$19</f>
        <v>0</v>
      </c>
    </row>
    <row r="103" spans="2:6" x14ac:dyDescent="0.25">
      <c r="E103" s="165"/>
      <c r="F103" s="2"/>
    </row>
  </sheetData>
  <mergeCells count="49">
    <mergeCell ref="B66:E67"/>
    <mergeCell ref="G2:L2"/>
    <mergeCell ref="B3:D3"/>
    <mergeCell ref="B4:D4"/>
    <mergeCell ref="B5:C5"/>
    <mergeCell ref="B6:C6"/>
    <mergeCell ref="B7:C7"/>
    <mergeCell ref="B8:C8"/>
    <mergeCell ref="B9:C9"/>
    <mergeCell ref="B10:C10"/>
    <mergeCell ref="B11:C11"/>
    <mergeCell ref="B12:C12"/>
    <mergeCell ref="B68:B69"/>
    <mergeCell ref="C68:C69"/>
    <mergeCell ref="D68:D69"/>
    <mergeCell ref="E68:E69"/>
    <mergeCell ref="B70:B71"/>
    <mergeCell ref="C70:C71"/>
    <mergeCell ref="D70:D71"/>
    <mergeCell ref="E70:E71"/>
    <mergeCell ref="B72:B73"/>
    <mergeCell ref="C72:C73"/>
    <mergeCell ref="D72:D73"/>
    <mergeCell ref="E72:E73"/>
    <mergeCell ref="B74:B75"/>
    <mergeCell ref="C74:C75"/>
    <mergeCell ref="D74:D75"/>
    <mergeCell ref="E74:E75"/>
    <mergeCell ref="B76:B77"/>
    <mergeCell ref="C76:C77"/>
    <mergeCell ref="D76:D77"/>
    <mergeCell ref="E76:E77"/>
    <mergeCell ref="B81:D82"/>
    <mergeCell ref="E81:G82"/>
    <mergeCell ref="H90:I90"/>
    <mergeCell ref="K90:L90"/>
    <mergeCell ref="B92:C92"/>
    <mergeCell ref="B93:C93"/>
    <mergeCell ref="H81:J82"/>
    <mergeCell ref="K81:M82"/>
    <mergeCell ref="B89:C89"/>
    <mergeCell ref="E89:F89"/>
    <mergeCell ref="H89:I89"/>
    <mergeCell ref="K89:L89"/>
    <mergeCell ref="B97:C97"/>
    <mergeCell ref="B98:C98"/>
    <mergeCell ref="B99:C99"/>
    <mergeCell ref="B90:C90"/>
    <mergeCell ref="E90:F9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7030A0"/>
  </sheetPr>
  <dimension ref="A1:N70"/>
  <sheetViews>
    <sheetView showGridLines="0" workbookViewId="0">
      <selection activeCell="F25" sqref="F25"/>
    </sheetView>
  </sheetViews>
  <sheetFormatPr defaultColWidth="9.125" defaultRowHeight="15" x14ac:dyDescent="0.25"/>
  <cols>
    <col min="1" max="1" width="8.375" customWidth="1"/>
    <col min="3" max="3" width="29.625" customWidth="1"/>
    <col min="4" max="4" width="13.75" customWidth="1"/>
    <col min="5" max="5" width="14.25" customWidth="1"/>
    <col min="6" max="10" width="11.625" bestFit="1" customWidth="1"/>
    <col min="11" max="11" width="10.125" bestFit="1" customWidth="1"/>
  </cols>
  <sheetData>
    <row r="1" spans="1:14" x14ac:dyDescent="0.25">
      <c r="A1" s="469" t="s">
        <v>0</v>
      </c>
      <c r="B1" s="470"/>
      <c r="C1" s="470"/>
      <c r="D1" s="470"/>
      <c r="E1" s="470"/>
      <c r="F1" s="470"/>
      <c r="G1" s="470"/>
      <c r="H1" s="470"/>
      <c r="I1" s="76"/>
      <c r="J1" s="76"/>
    </row>
    <row r="2" spans="1:14" x14ac:dyDescent="0.25">
      <c r="A2" s="469" t="s">
        <v>261</v>
      </c>
      <c r="B2" s="470"/>
      <c r="C2" s="470"/>
      <c r="D2" s="470"/>
      <c r="E2" s="470"/>
      <c r="F2" s="470"/>
      <c r="G2" s="470"/>
      <c r="H2" s="470"/>
      <c r="I2" s="76"/>
      <c r="J2" s="76"/>
    </row>
    <row r="3" spans="1:14" x14ac:dyDescent="0.25">
      <c r="A3" s="1"/>
      <c r="B3" s="2"/>
      <c r="C3" s="2"/>
      <c r="D3" s="2"/>
      <c r="E3" s="2"/>
      <c r="I3" s="2"/>
      <c r="J3" s="2"/>
    </row>
    <row r="4" spans="1:14" x14ac:dyDescent="0.25">
      <c r="A4" s="2"/>
      <c r="B4" s="2"/>
      <c r="C4" s="2"/>
      <c r="D4" s="117">
        <v>2014</v>
      </c>
      <c r="E4" s="117">
        <v>2015</v>
      </c>
      <c r="F4" s="117">
        <v>2016</v>
      </c>
      <c r="G4" s="117">
        <v>2017</v>
      </c>
      <c r="H4" s="117">
        <v>2018</v>
      </c>
      <c r="I4" s="117"/>
      <c r="J4" s="117"/>
    </row>
    <row r="5" spans="1:14" ht="15" customHeight="1" x14ac:dyDescent="0.25">
      <c r="A5" s="2"/>
      <c r="B5" s="2"/>
      <c r="C5" s="2"/>
      <c r="D5" s="117" t="s">
        <v>2</v>
      </c>
      <c r="E5" s="117" t="s">
        <v>2</v>
      </c>
      <c r="F5" s="117" t="s">
        <v>2</v>
      </c>
      <c r="G5" s="117" t="s">
        <v>2</v>
      </c>
      <c r="H5" s="117" t="s">
        <v>2</v>
      </c>
      <c r="I5" s="117"/>
      <c r="J5" s="117"/>
      <c r="L5" s="123"/>
      <c r="M5" s="123"/>
      <c r="N5" s="123"/>
    </row>
    <row r="6" spans="1:14" x14ac:dyDescent="0.25">
      <c r="A6" s="6" t="s">
        <v>3</v>
      </c>
      <c r="B6" s="2"/>
      <c r="C6" s="2"/>
      <c r="D6" s="2"/>
      <c r="E6" s="2"/>
      <c r="I6" s="2"/>
      <c r="J6" s="2"/>
      <c r="L6" s="123"/>
      <c r="M6" s="123"/>
      <c r="N6" s="123"/>
    </row>
    <row r="7" spans="1:14" x14ac:dyDescent="0.25">
      <c r="A7" s="6" t="s">
        <v>4</v>
      </c>
      <c r="B7" s="2"/>
      <c r="C7" s="2"/>
      <c r="D7" s="2"/>
      <c r="E7" s="2"/>
      <c r="I7" s="2"/>
      <c r="J7" s="2"/>
      <c r="L7" s="57"/>
      <c r="M7" s="57"/>
      <c r="N7" s="57"/>
    </row>
    <row r="8" spans="1:14" x14ac:dyDescent="0.25">
      <c r="A8" s="2"/>
      <c r="B8" s="2" t="s">
        <v>5</v>
      </c>
      <c r="C8" s="2"/>
      <c r="D8" s="69">
        <v>19144.22</v>
      </c>
      <c r="E8" s="69">
        <v>254.36</v>
      </c>
      <c r="F8" s="28">
        <f>+'FLUJO DE CAJA PESIMISTA'!B29</f>
        <v>-13067.027552999891</v>
      </c>
      <c r="G8" s="28">
        <f>+'FLUJO DE CAJA PESIMISTA'!C29</f>
        <v>-27779.01880304607</v>
      </c>
      <c r="H8" s="28">
        <f>+'FLUJO DE CAJA PESIMISTA'!D29</f>
        <v>-50212.284970999797</v>
      </c>
      <c r="I8" s="29"/>
      <c r="J8" s="29"/>
      <c r="L8" s="57"/>
      <c r="M8" s="57"/>
      <c r="N8" s="57"/>
    </row>
    <row r="9" spans="1:14" x14ac:dyDescent="0.25">
      <c r="A9" s="2"/>
      <c r="B9" s="2"/>
      <c r="C9" s="2"/>
      <c r="D9" s="8"/>
      <c r="E9" s="8"/>
      <c r="F9" s="27"/>
      <c r="G9" s="27"/>
      <c r="H9" s="27"/>
      <c r="I9" s="29"/>
      <c r="J9" s="29"/>
    </row>
    <row r="10" spans="1:14" x14ac:dyDescent="0.25">
      <c r="A10" s="2"/>
      <c r="B10" s="6" t="s">
        <v>6</v>
      </c>
      <c r="C10" s="2"/>
      <c r="D10" s="8">
        <f>+D8</f>
        <v>19144.22</v>
      </c>
      <c r="E10" s="8">
        <f>+E8</f>
        <v>254.36</v>
      </c>
      <c r="F10" s="27">
        <f>+F8</f>
        <v>-13067.027552999891</v>
      </c>
      <c r="G10" s="27">
        <f t="shared" ref="G10:H10" si="0">+G8</f>
        <v>-27779.01880304607</v>
      </c>
      <c r="H10" s="27">
        <f t="shared" si="0"/>
        <v>-50212.284970999797</v>
      </c>
      <c r="I10" s="29"/>
      <c r="J10" s="29"/>
    </row>
    <row r="11" spans="1:14" x14ac:dyDescent="0.25">
      <c r="A11" s="2"/>
      <c r="B11" s="2"/>
      <c r="C11" s="2"/>
      <c r="D11" s="8"/>
      <c r="E11" s="8"/>
      <c r="F11" s="27"/>
      <c r="G11" s="27"/>
      <c r="H11" s="27"/>
      <c r="I11" s="29"/>
      <c r="J11" s="29"/>
    </row>
    <row r="12" spans="1:14" x14ac:dyDescent="0.25">
      <c r="A12" s="2"/>
      <c r="B12" s="2" t="s">
        <v>7</v>
      </c>
      <c r="C12" s="2"/>
      <c r="D12" s="8">
        <f>D13-D14</f>
        <v>295525.5</v>
      </c>
      <c r="E12" s="8">
        <f>+E13-E14</f>
        <v>250649.93</v>
      </c>
      <c r="F12" s="8">
        <f t="shared" ref="F12:H12" si="1">+F13-F14</f>
        <v>250649.93</v>
      </c>
      <c r="G12" s="8">
        <f t="shared" si="1"/>
        <v>250649.93</v>
      </c>
      <c r="H12" s="8">
        <f t="shared" si="1"/>
        <v>250649.93</v>
      </c>
      <c r="I12" s="29"/>
      <c r="J12" s="29"/>
    </row>
    <row r="13" spans="1:14" x14ac:dyDescent="0.25">
      <c r="A13" s="2"/>
      <c r="B13" s="2" t="s">
        <v>8</v>
      </c>
      <c r="C13" s="2"/>
      <c r="D13" s="8">
        <v>296047.21999999997</v>
      </c>
      <c r="E13" s="8">
        <v>252838.38</v>
      </c>
      <c r="F13" s="27">
        <f>+E13</f>
        <v>252838.38</v>
      </c>
      <c r="G13" s="27">
        <f t="shared" ref="G13:H13" si="2">+F13</f>
        <v>252838.38</v>
      </c>
      <c r="H13" s="27">
        <f t="shared" si="2"/>
        <v>252838.38</v>
      </c>
      <c r="I13" s="29"/>
      <c r="J13" s="29"/>
    </row>
    <row r="14" spans="1:14" x14ac:dyDescent="0.25">
      <c r="A14" s="2"/>
      <c r="B14" s="2" t="s">
        <v>9</v>
      </c>
      <c r="C14" s="2"/>
      <c r="D14" s="8">
        <v>521.72</v>
      </c>
      <c r="E14" s="8">
        <v>2188.4499999999998</v>
      </c>
      <c r="F14" s="27">
        <f>+E14</f>
        <v>2188.4499999999998</v>
      </c>
      <c r="G14" s="27">
        <f>+F14</f>
        <v>2188.4499999999998</v>
      </c>
      <c r="H14" s="27">
        <f>+G14</f>
        <v>2188.4499999999998</v>
      </c>
      <c r="I14" s="29"/>
      <c r="J14" s="29"/>
    </row>
    <row r="15" spans="1:14" x14ac:dyDescent="0.25">
      <c r="A15" s="2"/>
      <c r="B15" s="2" t="s">
        <v>10</v>
      </c>
      <c r="C15" s="2"/>
      <c r="D15" s="8">
        <v>53758.11</v>
      </c>
      <c r="E15" s="8">
        <v>18994.91</v>
      </c>
      <c r="F15" s="27">
        <f>+E15</f>
        <v>18994.91</v>
      </c>
      <c r="G15" s="27">
        <f t="shared" ref="G15:H16" si="3">+F15</f>
        <v>18994.91</v>
      </c>
      <c r="H15" s="27">
        <f t="shared" si="3"/>
        <v>18994.91</v>
      </c>
      <c r="I15" s="29"/>
      <c r="J15" s="29"/>
    </row>
    <row r="16" spans="1:14" x14ac:dyDescent="0.25">
      <c r="A16" s="2"/>
      <c r="B16" s="2" t="s">
        <v>11</v>
      </c>
      <c r="C16" s="2"/>
      <c r="D16" s="8">
        <v>18887.48</v>
      </c>
      <c r="E16" s="8">
        <v>9540.5300000000007</v>
      </c>
      <c r="F16" s="27">
        <f>+E16</f>
        <v>9540.5300000000007</v>
      </c>
      <c r="G16" s="27">
        <f t="shared" si="3"/>
        <v>9540.5300000000007</v>
      </c>
      <c r="H16" s="27">
        <f t="shared" si="3"/>
        <v>9540.5300000000007</v>
      </c>
      <c r="I16" s="29"/>
      <c r="J16" s="29"/>
    </row>
    <row r="17" spans="1:11" x14ac:dyDescent="0.25">
      <c r="A17" s="2"/>
      <c r="B17" s="2" t="s">
        <v>12</v>
      </c>
      <c r="C17" s="2"/>
      <c r="D17" s="8">
        <v>1898.43</v>
      </c>
      <c r="E17" s="8">
        <v>0</v>
      </c>
      <c r="F17" s="27">
        <v>0</v>
      </c>
      <c r="G17" s="27">
        <v>0</v>
      </c>
      <c r="H17" s="27">
        <v>0</v>
      </c>
      <c r="I17" s="29"/>
      <c r="J17" s="29"/>
    </row>
    <row r="18" spans="1:11" x14ac:dyDescent="0.25">
      <c r="A18" s="2"/>
      <c r="B18" s="2" t="s">
        <v>13</v>
      </c>
      <c r="C18" s="2"/>
      <c r="D18" s="69">
        <v>48536.12</v>
      </c>
      <c r="E18" s="69">
        <v>99158.22</v>
      </c>
      <c r="F18" s="28">
        <f>+E18</f>
        <v>99158.22</v>
      </c>
      <c r="G18" s="28">
        <f t="shared" ref="G18:H18" si="4">+F18</f>
        <v>99158.22</v>
      </c>
      <c r="H18" s="28">
        <f t="shared" si="4"/>
        <v>99158.22</v>
      </c>
      <c r="I18" s="29"/>
      <c r="J18" s="29"/>
    </row>
    <row r="19" spans="1:11" x14ac:dyDescent="0.25">
      <c r="A19" s="2"/>
      <c r="B19" s="2"/>
      <c r="C19" s="2"/>
      <c r="D19" s="8"/>
      <c r="E19" s="8"/>
      <c r="F19" s="27"/>
      <c r="G19" s="27"/>
      <c r="H19" s="27"/>
      <c r="I19" s="29"/>
      <c r="J19" s="29"/>
    </row>
    <row r="20" spans="1:11" x14ac:dyDescent="0.25">
      <c r="A20" s="2"/>
      <c r="B20" s="6" t="s">
        <v>14</v>
      </c>
      <c r="C20" s="2"/>
      <c r="D20" s="8">
        <f>SUM(D15:D18)+D12+D10</f>
        <v>437749.86</v>
      </c>
      <c r="E20" s="8">
        <f>SUM(E15:E18)+E12+E10</f>
        <v>378597.94999999995</v>
      </c>
      <c r="F20" s="8">
        <f t="shared" ref="F20:H20" si="5">SUM(F15:F18)+F12+F10</f>
        <v>365276.56244700006</v>
      </c>
      <c r="G20" s="8">
        <f>SUM(G15:G18)+G12+G10</f>
        <v>350564.57119695388</v>
      </c>
      <c r="H20" s="8">
        <f t="shared" si="5"/>
        <v>328131.30502900016</v>
      </c>
      <c r="I20" s="29"/>
      <c r="J20" s="29"/>
    </row>
    <row r="21" spans="1:11" x14ac:dyDescent="0.25">
      <c r="A21" s="2"/>
      <c r="B21" s="2"/>
      <c r="C21" s="2"/>
      <c r="D21" s="8"/>
      <c r="E21" s="8"/>
      <c r="F21" s="27"/>
      <c r="G21" s="27"/>
      <c r="H21" s="27"/>
      <c r="I21" s="29"/>
      <c r="J21" s="29"/>
    </row>
    <row r="22" spans="1:11" x14ac:dyDescent="0.25">
      <c r="A22" s="6" t="s">
        <v>15</v>
      </c>
      <c r="B22" s="2"/>
      <c r="C22" s="2"/>
      <c r="D22" s="8"/>
      <c r="E22" s="8"/>
      <c r="F22" s="27"/>
      <c r="G22" s="27"/>
      <c r="H22" s="27"/>
      <c r="I22" s="29"/>
      <c r="J22" s="29"/>
    </row>
    <row r="23" spans="1:11" x14ac:dyDescent="0.25">
      <c r="A23" s="6"/>
      <c r="B23" s="2" t="s">
        <v>16</v>
      </c>
      <c r="C23" s="2"/>
      <c r="D23" s="8">
        <f>+D24-D25</f>
        <v>120314.20999999999</v>
      </c>
      <c r="E23" s="8">
        <f>E24-E25</f>
        <v>102983.20999999999</v>
      </c>
      <c r="F23" s="27">
        <f>+F24-F25</f>
        <v>85652.209999999963</v>
      </c>
      <c r="G23" s="27">
        <f t="shared" ref="G23:H23" si="6">+G24-G25</f>
        <v>68321.209999999963</v>
      </c>
      <c r="H23" s="27">
        <f t="shared" si="6"/>
        <v>50990.209999999963</v>
      </c>
      <c r="I23" s="29"/>
      <c r="J23" s="29"/>
    </row>
    <row r="24" spans="1:11" x14ac:dyDescent="0.25">
      <c r="A24" s="2"/>
      <c r="B24" s="2" t="s">
        <v>17</v>
      </c>
      <c r="C24" s="2"/>
      <c r="D24" s="8">
        <v>360907.48</v>
      </c>
      <c r="E24" s="8">
        <v>360907.48</v>
      </c>
      <c r="F24" s="8">
        <f>+E24</f>
        <v>360907.48</v>
      </c>
      <c r="G24" s="8">
        <f t="shared" ref="G24:H24" si="7">+F24</f>
        <v>360907.48</v>
      </c>
      <c r="H24" s="8">
        <f t="shared" si="7"/>
        <v>360907.48</v>
      </c>
      <c r="I24" s="29"/>
      <c r="J24" s="29"/>
    </row>
    <row r="25" spans="1:11" x14ac:dyDescent="0.25">
      <c r="A25" s="2"/>
      <c r="B25" s="2" t="s">
        <v>18</v>
      </c>
      <c r="C25" s="2"/>
      <c r="D25" s="69">
        <v>240593.27</v>
      </c>
      <c r="E25" s="69">
        <v>257924.27</v>
      </c>
      <c r="F25" s="28">
        <f>+E25+'ER PESIMISTA'!G28</f>
        <v>275255.27</v>
      </c>
      <c r="G25" s="28">
        <f>+F25+'ER PESIMISTA'!H28</f>
        <v>292586.27</v>
      </c>
      <c r="H25" s="28">
        <f>+G25+'ER PESIMISTA'!I28</f>
        <v>309917.27</v>
      </c>
      <c r="I25" s="29"/>
      <c r="J25" s="29"/>
      <c r="K25" s="29"/>
    </row>
    <row r="26" spans="1:11" x14ac:dyDescent="0.25">
      <c r="A26" s="2"/>
      <c r="B26" s="2"/>
      <c r="C26" s="2"/>
      <c r="D26" s="8"/>
      <c r="E26" s="8"/>
      <c r="F26" s="27"/>
      <c r="G26" s="27"/>
      <c r="H26" s="27"/>
      <c r="I26" s="29"/>
      <c r="J26" s="29"/>
    </row>
    <row r="27" spans="1:11" x14ac:dyDescent="0.25">
      <c r="A27" s="2"/>
      <c r="B27" s="6" t="s">
        <v>19</v>
      </c>
      <c r="C27" s="2"/>
      <c r="D27" s="8">
        <f>D23</f>
        <v>120314.20999999999</v>
      </c>
      <c r="E27" s="8">
        <f>+E23</f>
        <v>102983.20999999999</v>
      </c>
      <c r="F27" s="27">
        <f>+F23</f>
        <v>85652.209999999963</v>
      </c>
      <c r="G27" s="27">
        <f t="shared" ref="G27:H27" si="8">+G23</f>
        <v>68321.209999999963</v>
      </c>
      <c r="H27" s="27">
        <f t="shared" si="8"/>
        <v>50990.209999999963</v>
      </c>
      <c r="I27" s="29"/>
      <c r="J27" s="29"/>
    </row>
    <row r="28" spans="1:11" x14ac:dyDescent="0.25">
      <c r="A28" s="2"/>
      <c r="B28" s="2"/>
      <c r="C28" s="2"/>
      <c r="D28" s="8"/>
      <c r="E28" s="8"/>
      <c r="F28" s="27"/>
      <c r="G28" s="27"/>
      <c r="H28" s="27"/>
      <c r="I28" s="29"/>
      <c r="J28" s="29"/>
    </row>
    <row r="29" spans="1:11" ht="15.75" thickBot="1" x14ac:dyDescent="0.3">
      <c r="A29" s="2"/>
      <c r="B29" s="6" t="s">
        <v>20</v>
      </c>
      <c r="C29" s="2"/>
      <c r="D29" s="71">
        <f>+D27+D20</f>
        <v>558064.06999999995</v>
      </c>
      <c r="E29" s="71">
        <f t="shared" ref="E29" si="9">+E27+E20</f>
        <v>481581.15999999992</v>
      </c>
      <c r="F29" s="9">
        <f>+F20+F27</f>
        <v>450928.77244700002</v>
      </c>
      <c r="G29" s="9">
        <f t="shared" ref="G29:H29" si="10">+G20+G27</f>
        <v>418885.78119695385</v>
      </c>
      <c r="H29" s="9">
        <f t="shared" si="10"/>
        <v>379121.51502900012</v>
      </c>
      <c r="I29" s="5"/>
      <c r="J29" s="5"/>
    </row>
    <row r="30" spans="1:11" ht="15.75" thickTop="1" x14ac:dyDescent="0.25">
      <c r="A30" s="2"/>
      <c r="B30" s="2"/>
      <c r="C30" s="2"/>
      <c r="D30" s="8"/>
      <c r="E30" s="8"/>
      <c r="F30" s="27"/>
      <c r="G30" s="27"/>
      <c r="H30" s="27"/>
      <c r="I30" s="29"/>
      <c r="J30" s="29"/>
    </row>
    <row r="31" spans="1:11" x14ac:dyDescent="0.25">
      <c r="A31" s="6" t="s">
        <v>21</v>
      </c>
      <c r="B31" s="2"/>
      <c r="C31" s="2"/>
      <c r="D31" s="8"/>
      <c r="E31" s="8"/>
      <c r="F31" s="27"/>
      <c r="G31" s="27"/>
      <c r="H31" s="27"/>
      <c r="I31" s="29"/>
      <c r="J31" s="29"/>
    </row>
    <row r="32" spans="1:11" x14ac:dyDescent="0.25">
      <c r="A32" s="6" t="s">
        <v>22</v>
      </c>
      <c r="B32" s="2"/>
      <c r="C32" s="2"/>
      <c r="D32" s="8"/>
      <c r="E32" s="8"/>
      <c r="F32" s="27"/>
      <c r="G32" s="27"/>
      <c r="H32" s="27"/>
      <c r="I32" s="29"/>
      <c r="J32" s="29"/>
    </row>
    <row r="33" spans="1:11" x14ac:dyDescent="0.25">
      <c r="A33" s="2"/>
      <c r="B33" s="2" t="s">
        <v>23</v>
      </c>
      <c r="C33" s="2"/>
      <c r="D33" s="8">
        <v>11469.47</v>
      </c>
      <c r="E33" s="8">
        <v>5783.8</v>
      </c>
      <c r="F33" s="8">
        <f>+E33</f>
        <v>5783.8</v>
      </c>
      <c r="G33" s="8">
        <f t="shared" ref="G33:H33" si="11">+F33</f>
        <v>5783.8</v>
      </c>
      <c r="H33" s="8">
        <f t="shared" si="11"/>
        <v>5783.8</v>
      </c>
      <c r="I33" s="29"/>
      <c r="J33" s="29"/>
    </row>
    <row r="34" spans="1:11" x14ac:dyDescent="0.25">
      <c r="A34" s="2"/>
      <c r="B34" s="2" t="s">
        <v>198</v>
      </c>
      <c r="C34" s="2"/>
      <c r="D34" s="8">
        <f>+'ER ESPERADO'!E46</f>
        <v>6716.1599999999844</v>
      </c>
      <c r="E34" s="8">
        <f>+'ER ESPERADO'!F46</f>
        <v>2088.904499999981</v>
      </c>
      <c r="F34" s="8">
        <f>+'ER PESIMISTA'!G46</f>
        <v>0</v>
      </c>
      <c r="G34" s="8">
        <f>+'ER PESIMISTA'!H46</f>
        <v>0</v>
      </c>
      <c r="H34" s="8">
        <f>+'ER PESIMISTA'!I46</f>
        <v>0</v>
      </c>
      <c r="I34" s="29"/>
      <c r="J34" s="29"/>
    </row>
    <row r="35" spans="1:11" x14ac:dyDescent="0.25">
      <c r="A35" s="2"/>
      <c r="B35" s="2" t="s">
        <v>24</v>
      </c>
      <c r="C35" s="2"/>
      <c r="D35" s="8">
        <v>8755.6299999999992</v>
      </c>
      <c r="E35" s="8">
        <v>3845.48</v>
      </c>
      <c r="F35" s="27">
        <f>+'ER PESIMISTA'!G54</f>
        <v>0</v>
      </c>
      <c r="G35" s="27">
        <f>+'ER PESIMISTA'!H54</f>
        <v>0</v>
      </c>
      <c r="H35" s="27">
        <f>+'ER PESIMISTA'!I54</f>
        <v>0</v>
      </c>
      <c r="I35" s="29"/>
      <c r="J35" s="29"/>
    </row>
    <row r="36" spans="1:11" x14ac:dyDescent="0.25">
      <c r="A36" s="2"/>
      <c r="B36" s="2" t="s">
        <v>25</v>
      </c>
      <c r="C36" s="2"/>
      <c r="D36" s="8">
        <v>3493.69</v>
      </c>
      <c r="E36" s="8">
        <v>0</v>
      </c>
      <c r="F36" s="8">
        <f>+E36</f>
        <v>0</v>
      </c>
      <c r="G36" s="8">
        <f t="shared" ref="G36:H36" si="12">+F36</f>
        <v>0</v>
      </c>
      <c r="H36" s="8">
        <f t="shared" si="12"/>
        <v>0</v>
      </c>
      <c r="I36" s="29"/>
      <c r="J36" s="29">
        <f>+G36-F36</f>
        <v>0</v>
      </c>
    </row>
    <row r="37" spans="1:11" x14ac:dyDescent="0.25">
      <c r="A37" s="2"/>
      <c r="B37" s="2" t="s">
        <v>26</v>
      </c>
      <c r="C37" s="2"/>
      <c r="D37" s="8">
        <v>278063.88</v>
      </c>
      <c r="E37" s="8">
        <v>118342.91</v>
      </c>
      <c r="F37" s="27">
        <f>+E37</f>
        <v>118342.91</v>
      </c>
      <c r="G37" s="27">
        <f t="shared" ref="G37:H38" si="13">+F37</f>
        <v>118342.91</v>
      </c>
      <c r="H37" s="27">
        <f t="shared" si="13"/>
        <v>118342.91</v>
      </c>
      <c r="I37" s="29"/>
      <c r="J37" s="29"/>
      <c r="K37" s="24"/>
    </row>
    <row r="38" spans="1:11" x14ac:dyDescent="0.25">
      <c r="A38" s="2"/>
      <c r="B38" s="2" t="s">
        <v>27</v>
      </c>
      <c r="C38" s="2"/>
      <c r="D38" s="8">
        <v>521.59</v>
      </c>
      <c r="E38" s="8">
        <v>840.01</v>
      </c>
      <c r="F38" s="8">
        <f>+E38</f>
        <v>840.01</v>
      </c>
      <c r="G38" s="8">
        <f t="shared" si="13"/>
        <v>840.01</v>
      </c>
      <c r="H38" s="8">
        <f t="shared" si="13"/>
        <v>840.01</v>
      </c>
      <c r="I38" s="29"/>
      <c r="J38" s="29"/>
    </row>
    <row r="39" spans="1:11" x14ac:dyDescent="0.25">
      <c r="A39" s="2"/>
      <c r="B39" s="2" t="s">
        <v>28</v>
      </c>
      <c r="C39" s="2"/>
      <c r="D39" s="8">
        <v>71412.73</v>
      </c>
      <c r="E39" s="8">
        <v>98264.34</v>
      </c>
      <c r="F39" s="8">
        <v>98264.34</v>
      </c>
      <c r="G39" s="8">
        <v>98264.34</v>
      </c>
      <c r="H39" s="8">
        <v>98264.34</v>
      </c>
      <c r="I39" s="29"/>
      <c r="J39" s="29"/>
    </row>
    <row r="40" spans="1:11" x14ac:dyDescent="0.25">
      <c r="A40" s="2"/>
      <c r="B40" s="2" t="s">
        <v>29</v>
      </c>
      <c r="C40" s="2"/>
      <c r="D40" s="69">
        <v>1467.95</v>
      </c>
      <c r="E40" s="69">
        <v>8807.2199999999993</v>
      </c>
      <c r="F40" s="69">
        <v>8807.2199999999993</v>
      </c>
      <c r="G40" s="69">
        <v>8807.2199999999993</v>
      </c>
      <c r="H40" s="69">
        <v>8807.2199999999993</v>
      </c>
      <c r="I40" s="29"/>
      <c r="J40" s="29"/>
    </row>
    <row r="41" spans="1:11" x14ac:dyDescent="0.25">
      <c r="A41" s="2"/>
      <c r="B41" s="2"/>
      <c r="C41" s="2"/>
      <c r="D41" s="8"/>
      <c r="E41" s="8"/>
      <c r="F41" s="27"/>
      <c r="G41" s="27"/>
      <c r="H41" s="27"/>
      <c r="I41" s="29"/>
      <c r="J41" s="29"/>
    </row>
    <row r="42" spans="1:11" x14ac:dyDescent="0.25">
      <c r="A42" s="2"/>
      <c r="B42" s="6" t="s">
        <v>30</v>
      </c>
      <c r="C42" s="2"/>
      <c r="D42" s="8">
        <f>SUM(D33:D41)</f>
        <v>381901.1</v>
      </c>
      <c r="E42" s="8">
        <f>SUM(E33:E41)</f>
        <v>237972.66449999998</v>
      </c>
      <c r="F42" s="27">
        <f>+F33+F34+F35+F36+F37+F38+F39+F40</f>
        <v>232038.28</v>
      </c>
      <c r="G42" s="27">
        <f t="shared" ref="G42:H42" si="14">+G33+G34+G35+G36+G37+G38+G39+G40</f>
        <v>232038.28</v>
      </c>
      <c r="H42" s="27">
        <f t="shared" si="14"/>
        <v>232038.28</v>
      </c>
      <c r="I42" s="29"/>
      <c r="J42" s="29"/>
    </row>
    <row r="43" spans="1:11" x14ac:dyDescent="0.25">
      <c r="A43" s="2"/>
      <c r="B43" s="2"/>
      <c r="C43" s="2"/>
      <c r="D43" s="8"/>
      <c r="E43" s="8"/>
      <c r="F43" s="27"/>
      <c r="G43" s="27"/>
      <c r="H43" s="27"/>
      <c r="I43" s="29"/>
      <c r="J43" s="29"/>
    </row>
    <row r="44" spans="1:11" x14ac:dyDescent="0.25">
      <c r="A44" s="6" t="s">
        <v>31</v>
      </c>
      <c r="B44" s="2"/>
      <c r="C44" s="2"/>
      <c r="D44" s="8"/>
      <c r="E44" s="8"/>
      <c r="F44" s="27"/>
      <c r="G44" s="27"/>
      <c r="H44" s="27"/>
      <c r="I44" s="29"/>
      <c r="J44" s="29"/>
    </row>
    <row r="45" spans="1:11" x14ac:dyDescent="0.25">
      <c r="A45" s="2"/>
      <c r="B45" s="2" t="s">
        <v>23</v>
      </c>
      <c r="C45" s="2"/>
      <c r="D45" s="8">
        <v>6370.82</v>
      </c>
      <c r="E45" s="8">
        <v>9009.4500000000007</v>
      </c>
      <c r="F45" s="8">
        <f>+E45</f>
        <v>9009.4500000000007</v>
      </c>
      <c r="G45" s="8">
        <f t="shared" ref="G45:H45" si="15">+F45</f>
        <v>9009.4500000000007</v>
      </c>
      <c r="H45" s="8">
        <f t="shared" si="15"/>
        <v>9009.4500000000007</v>
      </c>
      <c r="I45" s="29"/>
      <c r="J45" s="29"/>
    </row>
    <row r="46" spans="1:11" x14ac:dyDescent="0.25">
      <c r="A46" s="2"/>
      <c r="B46" s="2" t="s">
        <v>25</v>
      </c>
      <c r="C46" s="2"/>
      <c r="D46" s="8"/>
      <c r="E46" s="8"/>
      <c r="F46" s="8"/>
      <c r="G46" s="8"/>
      <c r="H46" s="8"/>
      <c r="I46" s="29"/>
      <c r="J46" s="29"/>
    </row>
    <row r="47" spans="1:11" x14ac:dyDescent="0.25">
      <c r="A47" s="2"/>
      <c r="B47" s="2" t="s">
        <v>32</v>
      </c>
      <c r="C47" s="2"/>
      <c r="D47" s="69">
        <v>0</v>
      </c>
      <c r="E47" s="69">
        <v>56580</v>
      </c>
      <c r="F47" s="69">
        <f>+E47</f>
        <v>56580</v>
      </c>
      <c r="G47" s="69">
        <f t="shared" ref="G47:H47" si="16">+F47</f>
        <v>56580</v>
      </c>
      <c r="H47" s="69">
        <f t="shared" si="16"/>
        <v>56580</v>
      </c>
      <c r="I47" s="29"/>
      <c r="J47" s="29"/>
    </row>
    <row r="48" spans="1:11" x14ac:dyDescent="0.25">
      <c r="A48" s="2"/>
      <c r="B48" s="2"/>
      <c r="C48" s="2"/>
      <c r="D48" s="8"/>
      <c r="E48" s="8"/>
      <c r="F48" s="27"/>
      <c r="G48" s="27"/>
      <c r="H48" s="27"/>
      <c r="I48" s="29"/>
      <c r="J48" s="29"/>
    </row>
    <row r="49" spans="1:11" x14ac:dyDescent="0.25">
      <c r="A49" s="2"/>
      <c r="B49" s="6" t="s">
        <v>33</v>
      </c>
      <c r="C49" s="2"/>
      <c r="D49" s="8">
        <f>SUM(D45:D48)</f>
        <v>6370.82</v>
      </c>
      <c r="E49" s="8">
        <f t="shared" ref="E49:G49" si="17">SUM(E45:E48)</f>
        <v>65589.45</v>
      </c>
      <c r="F49" s="8">
        <f>SUM(F45:F48)</f>
        <v>65589.45</v>
      </c>
      <c r="G49" s="8">
        <f t="shared" si="17"/>
        <v>65589.45</v>
      </c>
      <c r="H49" s="8">
        <f>SUM(H45:H48)</f>
        <v>65589.45</v>
      </c>
      <c r="I49" s="29"/>
      <c r="J49" s="29"/>
    </row>
    <row r="50" spans="1:11" x14ac:dyDescent="0.25">
      <c r="A50" s="2"/>
      <c r="B50" s="2"/>
      <c r="C50" s="2"/>
      <c r="D50" s="8"/>
      <c r="E50" s="8"/>
      <c r="F50" s="27"/>
      <c r="G50" s="27"/>
      <c r="H50" s="27"/>
      <c r="I50" s="29"/>
      <c r="J50" s="29"/>
    </row>
    <row r="51" spans="1:11" ht="15.75" thickBot="1" x14ac:dyDescent="0.3">
      <c r="A51" s="2"/>
      <c r="B51" s="6" t="s">
        <v>34</v>
      </c>
      <c r="C51" s="2"/>
      <c r="D51" s="71">
        <f>+D49+D42</f>
        <v>388271.92</v>
      </c>
      <c r="E51" s="71">
        <f t="shared" ref="E51:H51" si="18">+E49+E42</f>
        <v>303562.11449999997</v>
      </c>
      <c r="F51" s="71">
        <f>+F49+F42</f>
        <v>297627.73</v>
      </c>
      <c r="G51" s="71">
        <f>+G49+G42</f>
        <v>297627.73</v>
      </c>
      <c r="H51" s="71">
        <f t="shared" si="18"/>
        <v>297627.73</v>
      </c>
      <c r="I51" s="29"/>
      <c r="J51" s="29"/>
    </row>
    <row r="52" spans="1:11" ht="15.75" thickTop="1" x14ac:dyDescent="0.25">
      <c r="A52" s="2"/>
      <c r="B52" s="2"/>
      <c r="C52" s="2"/>
      <c r="D52" s="8"/>
      <c r="E52" s="8"/>
      <c r="F52" s="27"/>
      <c r="G52" s="27"/>
      <c r="H52" s="27"/>
      <c r="I52" s="29"/>
      <c r="J52" s="29"/>
    </row>
    <row r="53" spans="1:11" x14ac:dyDescent="0.25">
      <c r="A53" s="6" t="s">
        <v>35</v>
      </c>
      <c r="B53" s="2"/>
      <c r="C53" s="2"/>
      <c r="D53" s="8"/>
      <c r="E53" s="8"/>
      <c r="F53" s="27"/>
      <c r="G53" s="27"/>
      <c r="H53" s="27"/>
      <c r="I53" s="29"/>
      <c r="J53" s="29"/>
    </row>
    <row r="54" spans="1:11" x14ac:dyDescent="0.25">
      <c r="A54" s="2"/>
      <c r="B54" s="2" t="s">
        <v>36</v>
      </c>
      <c r="C54" s="2"/>
      <c r="D54" s="8">
        <v>6630</v>
      </c>
      <c r="E54" s="8">
        <v>25630</v>
      </c>
      <c r="F54" s="8">
        <f>+E54</f>
        <v>25630</v>
      </c>
      <c r="G54" s="8">
        <f t="shared" ref="G54:H54" si="19">+F54</f>
        <v>25630</v>
      </c>
      <c r="H54" s="8">
        <f t="shared" si="19"/>
        <v>25630</v>
      </c>
      <c r="I54" s="29"/>
      <c r="J54" s="29"/>
      <c r="K54" s="24"/>
    </row>
    <row r="55" spans="1:11" x14ac:dyDescent="0.25">
      <c r="A55" s="2"/>
      <c r="B55" s="2" t="s">
        <v>37</v>
      </c>
      <c r="C55" s="2"/>
      <c r="D55" s="8">
        <v>680.21</v>
      </c>
      <c r="E55" s="8">
        <v>680.21</v>
      </c>
      <c r="F55" s="8">
        <f>+E55</f>
        <v>680.21</v>
      </c>
      <c r="G55" s="8">
        <f t="shared" ref="G55:H55" si="20">+F55</f>
        <v>680.21</v>
      </c>
      <c r="H55" s="8">
        <f t="shared" si="20"/>
        <v>680.21</v>
      </c>
      <c r="I55" s="29"/>
      <c r="J55" s="29"/>
    </row>
    <row r="56" spans="1:11" x14ac:dyDescent="0.25">
      <c r="A56" s="2"/>
      <c r="B56" s="2" t="s">
        <v>38</v>
      </c>
      <c r="C56" s="2"/>
      <c r="D56" s="8">
        <v>34951.760000000002</v>
      </c>
      <c r="E56" s="8">
        <v>34951.760000000002</v>
      </c>
      <c r="F56" s="8">
        <f>+E56</f>
        <v>34951.760000000002</v>
      </c>
      <c r="G56" s="8">
        <f t="shared" ref="G56:H56" si="21">+F56</f>
        <v>34951.760000000002</v>
      </c>
      <c r="H56" s="8">
        <f t="shared" si="21"/>
        <v>34951.760000000002</v>
      </c>
      <c r="I56" s="29"/>
      <c r="J56" s="29"/>
    </row>
    <row r="57" spans="1:11" x14ac:dyDescent="0.25">
      <c r="A57" s="2"/>
      <c r="B57" s="2" t="s">
        <v>39</v>
      </c>
      <c r="C57" s="2"/>
      <c r="D57" s="8">
        <v>104943.74</v>
      </c>
      <c r="E57" s="8">
        <v>108765.43</v>
      </c>
      <c r="F57" s="27">
        <f>+E57+E58</f>
        <v>116757.07088999992</v>
      </c>
      <c r="G57" s="27">
        <f>+F57+F58</f>
        <v>92039.072446999853</v>
      </c>
      <c r="H57" s="27">
        <f t="shared" ref="H57" si="22">+G57+G58</f>
        <v>59996.081196953492</v>
      </c>
      <c r="I57" s="29"/>
      <c r="J57" s="29"/>
    </row>
    <row r="58" spans="1:11" x14ac:dyDescent="0.25">
      <c r="A58" s="2"/>
      <c r="B58" s="2" t="s">
        <v>40</v>
      </c>
      <c r="C58" s="2"/>
      <c r="D58" s="69">
        <f>'ER ESPERADO'!E56</f>
        <v>29302.598599999936</v>
      </c>
      <c r="E58" s="69">
        <f>'ER ESPERADO'!F56</f>
        <v>7991.6408899999178</v>
      </c>
      <c r="F58" s="69">
        <f>'ER PESIMISTA'!G56</f>
        <v>-24717.998443000066</v>
      </c>
      <c r="G58" s="69">
        <f>'ER PESIMISTA'!H56</f>
        <v>-32042.991250046362</v>
      </c>
      <c r="H58" s="69">
        <f>'ER PESIMISTA'!I56</f>
        <v>-39764.266167953807</v>
      </c>
      <c r="I58" s="29"/>
      <c r="J58" s="29"/>
    </row>
    <row r="59" spans="1:11" x14ac:dyDescent="0.25">
      <c r="A59" s="2"/>
      <c r="B59" s="2"/>
      <c r="C59" s="2"/>
      <c r="D59" s="8"/>
      <c r="E59" s="5"/>
      <c r="F59" s="27"/>
      <c r="G59" s="27"/>
      <c r="H59" s="27"/>
      <c r="I59" s="29"/>
      <c r="J59" s="29"/>
    </row>
    <row r="60" spans="1:11" ht="15.75" thickBot="1" x14ac:dyDescent="0.3">
      <c r="A60" s="2"/>
      <c r="B60" s="6" t="s">
        <v>41</v>
      </c>
      <c r="C60" s="2"/>
      <c r="D60" s="71">
        <f>SUM(D54:D59)</f>
        <v>176508.30859999996</v>
      </c>
      <c r="E60" s="9">
        <f>SUM(E54:E59)</f>
        <v>178019.04088999992</v>
      </c>
      <c r="F60" s="9">
        <f>+F54+F55+F56+F57+F58</f>
        <v>153301.04244699984</v>
      </c>
      <c r="G60" s="9">
        <f>+G54+G55+G56+G57+G58</f>
        <v>121258.05119695351</v>
      </c>
      <c r="H60" s="9">
        <f t="shared" ref="H60" si="23">+H54+H55+H56+H57+H58</f>
        <v>81493.785028999671</v>
      </c>
      <c r="I60" s="5"/>
      <c r="J60" s="5"/>
    </row>
    <row r="61" spans="1:11" ht="15.75" thickTop="1" x14ac:dyDescent="0.25">
      <c r="A61" s="2"/>
      <c r="B61" s="2"/>
      <c r="C61" s="2"/>
      <c r="D61" s="8"/>
      <c r="E61" s="5"/>
      <c r="F61" s="27"/>
      <c r="G61" s="27"/>
      <c r="H61" s="27"/>
      <c r="I61" s="29"/>
      <c r="J61" s="29"/>
    </row>
    <row r="62" spans="1:11" ht="15.75" thickBot="1" x14ac:dyDescent="0.3">
      <c r="A62" s="2"/>
      <c r="B62" s="6" t="s">
        <v>42</v>
      </c>
      <c r="C62" s="2"/>
      <c r="D62" s="71">
        <f>+D60+D51</f>
        <v>564780.22859999991</v>
      </c>
      <c r="E62" s="9">
        <f>E60+E51</f>
        <v>481581.15538999985</v>
      </c>
      <c r="F62" s="9">
        <f>+F60+F51</f>
        <v>450928.77244699979</v>
      </c>
      <c r="G62" s="155">
        <f>+G60+G51</f>
        <v>418885.7811969535</v>
      </c>
      <c r="H62" s="9">
        <f t="shared" ref="H62" si="24">+H60+H51</f>
        <v>379121.51502899965</v>
      </c>
      <c r="I62" s="5"/>
      <c r="J62" s="5"/>
    </row>
    <row r="63" spans="1:11" ht="15.75" thickTop="1" x14ac:dyDescent="0.25">
      <c r="F63" s="27"/>
      <c r="G63" s="27"/>
      <c r="H63" s="27"/>
      <c r="I63" s="27"/>
      <c r="J63" s="27"/>
    </row>
    <row r="65" spans="4:8" x14ac:dyDescent="0.25">
      <c r="E65" s="27"/>
    </row>
    <row r="66" spans="4:8" x14ac:dyDescent="0.25">
      <c r="D66" s="143" t="s">
        <v>234</v>
      </c>
      <c r="F66" s="144">
        <f>+F29-F62</f>
        <v>0</v>
      </c>
      <c r="G66" s="144">
        <f t="shared" ref="G66:H66" si="25">+G29-G62</f>
        <v>0</v>
      </c>
      <c r="H66" s="144">
        <f t="shared" si="25"/>
        <v>4.6566128730773926E-10</v>
      </c>
    </row>
    <row r="67" spans="4:8" x14ac:dyDescent="0.25">
      <c r="D67" s="143" t="s">
        <v>235</v>
      </c>
      <c r="F67" s="27"/>
      <c r="G67" s="27"/>
      <c r="H67" s="27"/>
    </row>
    <row r="68" spans="4:8" x14ac:dyDescent="0.25">
      <c r="F68" s="471" t="str">
        <f>IF(F66=0, "Resultado Ok", "La equivalencia Contable no se cumple")</f>
        <v>Resultado Ok</v>
      </c>
      <c r="G68" s="471" t="str">
        <f t="shared" ref="G68:H68" si="26">IF(G66=0, "Resultado Ok", "La equivalencia Contable no se cumple")</f>
        <v>Resultado Ok</v>
      </c>
      <c r="H68" s="471" t="str">
        <f t="shared" si="26"/>
        <v>La equivalencia Contable no se cumple</v>
      </c>
    </row>
    <row r="69" spans="4:8" x14ac:dyDescent="0.25">
      <c r="F69" s="471"/>
      <c r="G69" s="471"/>
      <c r="H69" s="471"/>
    </row>
    <row r="70" spans="4:8" x14ac:dyDescent="0.25">
      <c r="F70" s="471"/>
      <c r="G70" s="471"/>
      <c r="H70" s="471"/>
    </row>
  </sheetData>
  <mergeCells count="5">
    <mergeCell ref="A1:H1"/>
    <mergeCell ref="A2:H2"/>
    <mergeCell ref="F68:F70"/>
    <mergeCell ref="G68:G70"/>
    <mergeCell ref="H68:H70"/>
  </mergeCells>
  <conditionalFormatting sqref="F66:H66">
    <cfRule type="cellIs" dxfId="3" priority="1" operator="notBetween">
      <formula>-0.5</formula>
      <formula>0.5</formula>
    </cfRule>
    <cfRule type="cellIs" dxfId="2" priority="2" operator="between">
      <formula>-0.5</formula>
      <formula>0.5</formula>
    </cfRule>
  </conditionalFormatting>
  <pageMargins left="0.7" right="0.7" top="0.75" bottom="0.75" header="0.3" footer="0.3"/>
  <ignoredErrors>
    <ignoredError sqref="E62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7030A0"/>
  </sheetPr>
  <dimension ref="A1:P57"/>
  <sheetViews>
    <sheetView showGridLines="0" topLeftCell="A19" workbookViewId="0">
      <selection activeCell="J47" sqref="J47"/>
    </sheetView>
  </sheetViews>
  <sheetFormatPr defaultColWidth="9.125" defaultRowHeight="15" x14ac:dyDescent="0.25"/>
  <cols>
    <col min="4" max="4" width="16.75" customWidth="1"/>
    <col min="5" max="6" width="14.25" bestFit="1" customWidth="1"/>
    <col min="7" max="11" width="13.125" bestFit="1" customWidth="1"/>
    <col min="12" max="13" width="10.625" bestFit="1" customWidth="1"/>
    <col min="15" max="15" width="12.625" bestFit="1" customWidth="1"/>
    <col min="16" max="16" width="11.125" bestFit="1" customWidth="1"/>
  </cols>
  <sheetData>
    <row r="1" spans="1:16" x14ac:dyDescent="0.25">
      <c r="A1" s="469" t="s">
        <v>43</v>
      </c>
      <c r="B1" s="470"/>
      <c r="C1" s="470"/>
      <c r="D1" s="470"/>
      <c r="E1" s="470"/>
      <c r="F1" s="470"/>
      <c r="G1" s="470"/>
      <c r="H1" s="470"/>
      <c r="I1" s="470"/>
      <c r="J1" s="76"/>
      <c r="K1" s="76"/>
      <c r="L1" s="2"/>
      <c r="M1" s="2"/>
      <c r="N1" s="2"/>
      <c r="O1" s="2"/>
      <c r="P1" s="2"/>
    </row>
    <row r="2" spans="1:16" x14ac:dyDescent="0.25">
      <c r="A2" s="469" t="s">
        <v>284</v>
      </c>
      <c r="B2" s="470"/>
      <c r="C2" s="470"/>
      <c r="D2" s="470"/>
      <c r="E2" s="470"/>
      <c r="F2" s="470"/>
      <c r="G2" s="470"/>
      <c r="H2" s="470"/>
      <c r="I2" s="470"/>
      <c r="J2" s="76"/>
      <c r="K2" s="76"/>
      <c r="L2" s="2"/>
      <c r="M2" s="2"/>
      <c r="N2" s="2"/>
      <c r="O2" s="2"/>
      <c r="P2" s="2"/>
    </row>
    <row r="3" spans="1:16" x14ac:dyDescent="0.25">
      <c r="A3" s="11"/>
      <c r="B3" s="3"/>
      <c r="C3" s="3"/>
      <c r="D3" s="3"/>
      <c r="E3" s="3"/>
      <c r="F3" s="3"/>
      <c r="J3" s="2"/>
      <c r="K3" s="2"/>
      <c r="L3" s="2"/>
      <c r="M3" s="2"/>
      <c r="N3" s="2"/>
      <c r="O3" s="2"/>
      <c r="P3" s="2"/>
    </row>
    <row r="4" spans="1:16" x14ac:dyDescent="0.25">
      <c r="A4" s="2"/>
      <c r="B4" s="2"/>
      <c r="C4" s="2"/>
      <c r="D4" s="2"/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59"/>
      <c r="K4" s="2"/>
      <c r="L4" s="2"/>
      <c r="M4" s="2"/>
      <c r="N4" s="2"/>
      <c r="O4" s="59"/>
      <c r="P4" s="59"/>
    </row>
    <row r="5" spans="1:16" x14ac:dyDescent="0.25">
      <c r="A5" s="2"/>
      <c r="B5" s="2"/>
      <c r="C5" s="2"/>
      <c r="D5" s="2"/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59"/>
      <c r="K5" s="2"/>
      <c r="L5" s="2"/>
      <c r="M5" s="2"/>
      <c r="N5" s="2"/>
      <c r="O5" s="59"/>
      <c r="P5" s="59"/>
    </row>
    <row r="6" spans="1:16" x14ac:dyDescent="0.25">
      <c r="A6" s="6" t="s">
        <v>44</v>
      </c>
      <c r="B6" s="2"/>
      <c r="C6" s="2"/>
      <c r="D6" s="2"/>
      <c r="E6" s="2"/>
      <c r="F6" s="2"/>
      <c r="J6" s="2"/>
      <c r="K6" s="6"/>
      <c r="L6" s="2"/>
      <c r="M6" s="2"/>
      <c r="N6" s="2"/>
      <c r="O6" s="2"/>
      <c r="P6" s="2"/>
    </row>
    <row r="7" spans="1:16" x14ac:dyDescent="0.25">
      <c r="A7" s="6" t="s">
        <v>45</v>
      </c>
      <c r="B7" s="2"/>
      <c r="C7" s="2"/>
      <c r="D7" s="2"/>
      <c r="E7" s="2"/>
      <c r="F7" s="2"/>
      <c r="J7" s="2"/>
      <c r="K7" s="6"/>
      <c r="L7" s="2"/>
      <c r="M7" s="2"/>
      <c r="N7" s="2"/>
      <c r="O7" s="2"/>
      <c r="P7" s="2"/>
    </row>
    <row r="8" spans="1:16" x14ac:dyDescent="0.25">
      <c r="A8" s="2"/>
      <c r="B8" s="2" t="s">
        <v>46</v>
      </c>
      <c r="C8" s="2"/>
      <c r="D8" s="2"/>
      <c r="E8" s="5">
        <v>1709903.84</v>
      </c>
      <c r="F8" s="5">
        <v>925371.85</v>
      </c>
      <c r="G8" s="27">
        <f>+F8*SUPUESTOS!$C$20+'ER PESIMISTA'!F8</f>
        <v>925371.85</v>
      </c>
      <c r="H8" s="27">
        <f>+G8*SUPUESTOS!$G$20+'ER PESIMISTA'!G8</f>
        <v>925371.85</v>
      </c>
      <c r="I8" s="27">
        <f>+H8*SUPUESTOS!$K$20+'ER PESIMISTA'!H8</f>
        <v>925371.85</v>
      </c>
      <c r="J8" s="29"/>
      <c r="K8" s="60" t="s">
        <v>258</v>
      </c>
      <c r="L8" s="2"/>
      <c r="M8" s="2"/>
      <c r="N8" s="2"/>
      <c r="O8" s="5"/>
      <c r="P8" s="5"/>
    </row>
    <row r="9" spans="1:16" x14ac:dyDescent="0.25">
      <c r="A9" s="2"/>
      <c r="B9" s="2" t="s">
        <v>47</v>
      </c>
      <c r="C9" s="2"/>
      <c r="D9" s="2"/>
      <c r="E9" s="5">
        <v>1359.38</v>
      </c>
      <c r="F9" s="5">
        <v>3757.3</v>
      </c>
      <c r="G9" s="27">
        <f>+F9*SUPUESTOS!$C$20+'ER PESIMISTA'!F9</f>
        <v>3757.3</v>
      </c>
      <c r="H9" s="27">
        <f>+G9*SUPUESTOS!$G$20+'ER PESIMISTA'!G9</f>
        <v>3757.3</v>
      </c>
      <c r="I9" s="27">
        <f>+H9*SUPUESTOS!$K$20+'ER PESIMISTA'!H9</f>
        <v>3757.3</v>
      </c>
      <c r="J9" s="29"/>
      <c r="K9" s="12"/>
      <c r="L9" s="2"/>
      <c r="M9" s="2"/>
      <c r="N9" s="2"/>
      <c r="O9" s="5"/>
      <c r="P9" s="5"/>
    </row>
    <row r="10" spans="1:16" x14ac:dyDescent="0.25">
      <c r="A10" s="2"/>
      <c r="B10" s="2" t="s">
        <v>48</v>
      </c>
      <c r="C10" s="2"/>
      <c r="D10" s="2"/>
      <c r="E10" s="5">
        <v>676.59</v>
      </c>
      <c r="F10" s="5">
        <v>0</v>
      </c>
      <c r="G10" s="27">
        <f>+F10*SUPUESTOS!$C$20+'ER PESIMISTA'!F10</f>
        <v>0</v>
      </c>
      <c r="H10" s="27">
        <f>+G10*SUPUESTOS!$G$20+'ER PESIMISTA'!G10</f>
        <v>0</v>
      </c>
      <c r="I10" s="27">
        <f>+H10*SUPUESTOS!$K$20+'ER PESIMISTA'!H10</f>
        <v>0</v>
      </c>
      <c r="J10" s="29"/>
      <c r="K10" s="12"/>
      <c r="L10" s="2"/>
      <c r="M10" s="2"/>
      <c r="N10" s="2"/>
      <c r="O10" s="5"/>
      <c r="P10" s="5"/>
    </row>
    <row r="11" spans="1:16" x14ac:dyDescent="0.25">
      <c r="A11" s="2"/>
      <c r="B11" s="2" t="s">
        <v>49</v>
      </c>
      <c r="C11" s="2"/>
      <c r="D11" s="2"/>
      <c r="E11" s="7">
        <v>12789.19</v>
      </c>
      <c r="F11" s="7">
        <v>3681.43</v>
      </c>
      <c r="G11" s="28">
        <f>+F11*SUPUESTOS!$C$20+'ER PESIMISTA'!F11</f>
        <v>3681.43</v>
      </c>
      <c r="H11" s="28">
        <f>+G11*SUPUESTOS!$G$20+'ER PESIMISTA'!G11</f>
        <v>3681.43</v>
      </c>
      <c r="I11" s="28">
        <f>+H11*SUPUESTOS!$K$20+'ER PESIMISTA'!H11</f>
        <v>3681.43</v>
      </c>
      <c r="J11" s="29"/>
      <c r="K11" s="12"/>
      <c r="L11" s="2"/>
      <c r="M11" s="2"/>
      <c r="N11" s="2"/>
      <c r="O11" s="5"/>
      <c r="P11" s="5"/>
    </row>
    <row r="12" spans="1:16" x14ac:dyDescent="0.25">
      <c r="A12" s="2"/>
      <c r="B12" s="2"/>
      <c r="C12" s="2"/>
      <c r="D12" s="2"/>
      <c r="E12" s="5"/>
      <c r="F12" s="5"/>
      <c r="G12" s="27"/>
      <c r="H12" s="27"/>
      <c r="I12" s="27"/>
      <c r="J12" s="29"/>
      <c r="K12" s="12"/>
      <c r="L12" s="2"/>
      <c r="M12" s="2"/>
      <c r="N12" s="2"/>
      <c r="O12" s="5"/>
      <c r="P12" s="5"/>
    </row>
    <row r="13" spans="1:16" x14ac:dyDescent="0.25">
      <c r="A13" s="2"/>
      <c r="B13" s="6" t="s">
        <v>50</v>
      </c>
      <c r="C13" s="2"/>
      <c r="D13" s="2"/>
      <c r="E13" s="27">
        <f t="shared" ref="E13:F13" si="0">+E8+E9-E10-E11</f>
        <v>1697797.44</v>
      </c>
      <c r="F13" s="27">
        <f t="shared" si="0"/>
        <v>925447.72</v>
      </c>
      <c r="G13" s="27">
        <f>+G8+G9-G10-G11</f>
        <v>925447.72</v>
      </c>
      <c r="H13" s="27">
        <f t="shared" ref="H13:I13" si="1">+H8+H9-H10-H11</f>
        <v>925447.72</v>
      </c>
      <c r="I13" s="27">
        <f t="shared" si="1"/>
        <v>925447.72</v>
      </c>
      <c r="J13" s="29"/>
      <c r="K13" s="12"/>
      <c r="L13" s="6"/>
      <c r="M13" s="2"/>
      <c r="N13" s="2"/>
      <c r="O13" s="5"/>
      <c r="P13" s="5"/>
    </row>
    <row r="14" spans="1:16" x14ac:dyDescent="0.25">
      <c r="A14" s="2"/>
      <c r="B14" s="2"/>
      <c r="C14" s="2"/>
      <c r="D14" s="2"/>
      <c r="E14" s="5"/>
      <c r="F14" s="5"/>
      <c r="J14" s="29"/>
      <c r="K14" s="12"/>
      <c r="L14" s="2"/>
      <c r="M14" s="2"/>
      <c r="N14" s="2"/>
      <c r="O14" s="5"/>
      <c r="P14" s="5"/>
    </row>
    <row r="15" spans="1:16" x14ac:dyDescent="0.25">
      <c r="A15" s="6" t="s">
        <v>53</v>
      </c>
      <c r="B15" s="2"/>
      <c r="C15" s="2"/>
      <c r="D15" s="2"/>
      <c r="E15" s="5"/>
      <c r="F15" s="5"/>
      <c r="J15" s="29"/>
      <c r="L15" s="2"/>
      <c r="M15" s="2"/>
      <c r="N15" s="2"/>
      <c r="O15" s="5"/>
      <c r="P15" s="5"/>
    </row>
    <row r="16" spans="1:16" x14ac:dyDescent="0.25">
      <c r="A16" s="6" t="s">
        <v>54</v>
      </c>
      <c r="B16" s="2"/>
      <c r="C16" s="2"/>
      <c r="D16" s="2"/>
      <c r="E16" s="5"/>
      <c r="F16" s="5"/>
      <c r="J16" s="29"/>
      <c r="L16" s="2"/>
      <c r="M16" s="2"/>
      <c r="N16" s="2"/>
      <c r="O16" s="5"/>
      <c r="P16" s="5"/>
    </row>
    <row r="17" spans="1:16" x14ac:dyDescent="0.25">
      <c r="A17" s="2"/>
      <c r="B17" s="2" t="s">
        <v>55</v>
      </c>
      <c r="C17" s="2"/>
      <c r="D17" s="2"/>
      <c r="E17" s="8">
        <v>1529907.59</v>
      </c>
      <c r="F17" s="5">
        <v>764190.06</v>
      </c>
      <c r="G17" s="29">
        <f>+G13*SUPUESTOS!C21</f>
        <v>795885.0392</v>
      </c>
      <c r="H17" s="29">
        <f>+H13*SUPUESTOS!G21</f>
        <v>795885.0392</v>
      </c>
      <c r="I17" s="29">
        <f>+I13*SUPUESTOS!K21</f>
        <v>795885.0392</v>
      </c>
      <c r="J17" s="29"/>
      <c r="K17" s="217" t="s">
        <v>260</v>
      </c>
      <c r="L17" s="2"/>
      <c r="M17" s="2"/>
      <c r="N17" s="2"/>
      <c r="O17" s="8"/>
      <c r="P17" s="5"/>
    </row>
    <row r="18" spans="1:16" x14ac:dyDescent="0.25">
      <c r="A18" s="2"/>
      <c r="B18" s="2" t="s">
        <v>56</v>
      </c>
      <c r="C18" s="2"/>
      <c r="D18" s="2"/>
      <c r="E18" s="69">
        <v>28869.22</v>
      </c>
      <c r="F18" s="7">
        <v>12195.3</v>
      </c>
      <c r="G18" s="28">
        <f>+F18*SUPUESTOS!$C$19+'ER PESIMISTA'!F18</f>
        <v>12855.065729999998</v>
      </c>
      <c r="H18" s="28">
        <f>+G18*SUPUESTOS!$G$19+'ER PESIMISTA'!G18</f>
        <v>13550.524785992999</v>
      </c>
      <c r="I18" s="28">
        <f>+H18*SUPUESTOS!$K$19+'ER PESIMISTA'!H18</f>
        <v>14283.608176915221</v>
      </c>
      <c r="J18" s="2"/>
      <c r="K18" s="60" t="s">
        <v>105</v>
      </c>
      <c r="L18" s="2"/>
      <c r="M18" s="2"/>
      <c r="N18" s="2"/>
      <c r="O18" s="8"/>
      <c r="P18" s="5"/>
    </row>
    <row r="19" spans="1:16" x14ac:dyDescent="0.25">
      <c r="A19" s="2"/>
      <c r="B19" s="2"/>
      <c r="C19" s="2"/>
      <c r="D19" s="2"/>
      <c r="E19" s="5"/>
      <c r="F19" s="5"/>
      <c r="J19" s="5"/>
      <c r="K19" s="60"/>
      <c r="L19" s="2"/>
      <c r="M19" s="2"/>
      <c r="N19" s="2"/>
      <c r="O19" s="5"/>
      <c r="P19" s="5"/>
    </row>
    <row r="20" spans="1:16" x14ac:dyDescent="0.25">
      <c r="A20" s="2"/>
      <c r="B20" s="6" t="s">
        <v>57</v>
      </c>
      <c r="C20" s="2"/>
      <c r="D20" s="2"/>
      <c r="E20" s="5">
        <f>SUM(E17:E19)</f>
        <v>1558776.81</v>
      </c>
      <c r="F20" s="5">
        <f t="shared" ref="F20" si="2">SUM(F17:F19)</f>
        <v>776385.3600000001</v>
      </c>
      <c r="G20" s="27">
        <f>+G17+G18</f>
        <v>808740.10493000003</v>
      </c>
      <c r="H20" s="27">
        <f t="shared" ref="H20:I20" si="3">+H17+H18</f>
        <v>809435.56398599304</v>
      </c>
      <c r="I20" s="27">
        <f t="shared" si="3"/>
        <v>810168.64737691521</v>
      </c>
      <c r="J20" s="2"/>
      <c r="L20" s="6"/>
      <c r="M20" s="2"/>
      <c r="N20" s="2"/>
      <c r="O20" s="29"/>
      <c r="P20" s="29"/>
    </row>
    <row r="21" spans="1:16" x14ac:dyDescent="0.25">
      <c r="A21" s="2"/>
      <c r="B21" s="6"/>
      <c r="C21" s="2"/>
      <c r="D21" s="2"/>
      <c r="E21" s="5"/>
      <c r="F21" s="5"/>
      <c r="G21" s="27"/>
      <c r="H21" s="27"/>
      <c r="I21" s="27"/>
      <c r="J21" s="2"/>
      <c r="K21" s="12"/>
      <c r="L21" s="6"/>
      <c r="M21" s="2"/>
      <c r="N21" s="2"/>
      <c r="O21" s="5"/>
      <c r="P21" s="5"/>
    </row>
    <row r="22" spans="1:16" ht="15.75" thickBot="1" x14ac:dyDescent="0.3">
      <c r="A22" s="6" t="s">
        <v>118</v>
      </c>
      <c r="B22" s="6"/>
      <c r="C22" s="2"/>
      <c r="D22" s="2"/>
      <c r="E22" s="9">
        <f>+E13-E20</f>
        <v>139020.62999999989</v>
      </c>
      <c r="F22" s="9">
        <f t="shared" ref="F22:I22" si="4">+F13-F20</f>
        <v>149062.35999999987</v>
      </c>
      <c r="G22" s="9">
        <f t="shared" si="4"/>
        <v>116707.61506999994</v>
      </c>
      <c r="H22" s="9">
        <f t="shared" si="4"/>
        <v>116012.15601400693</v>
      </c>
      <c r="I22" s="9">
        <f t="shared" si="4"/>
        <v>115279.07262308476</v>
      </c>
      <c r="J22" s="2"/>
      <c r="K22" s="12"/>
      <c r="L22" s="2"/>
      <c r="M22" s="2"/>
      <c r="N22" s="2"/>
      <c r="O22" s="5"/>
      <c r="P22" s="5"/>
    </row>
    <row r="23" spans="1:16" ht="15.75" thickTop="1" x14ac:dyDescent="0.25">
      <c r="A23" s="2"/>
      <c r="B23" s="2"/>
      <c r="C23" s="2"/>
      <c r="D23" s="2"/>
      <c r="E23" s="5"/>
      <c r="F23" s="5"/>
      <c r="J23" s="29"/>
      <c r="K23" s="12"/>
      <c r="L23" s="2"/>
      <c r="M23" s="2"/>
      <c r="N23" s="2"/>
      <c r="O23" s="5"/>
      <c r="P23" s="5"/>
    </row>
    <row r="24" spans="1:16" x14ac:dyDescent="0.25">
      <c r="A24" s="6" t="s">
        <v>58</v>
      </c>
      <c r="B24" s="2"/>
      <c r="C24" s="2"/>
      <c r="D24" s="2"/>
      <c r="E24" s="5"/>
      <c r="F24" s="5"/>
      <c r="J24" s="29"/>
      <c r="L24" s="2"/>
      <c r="M24" s="2"/>
      <c r="N24" s="2"/>
      <c r="O24" s="5"/>
      <c r="P24" s="5"/>
    </row>
    <row r="25" spans="1:16" x14ac:dyDescent="0.25">
      <c r="A25" s="6" t="s">
        <v>59</v>
      </c>
      <c r="B25" s="2"/>
      <c r="C25" s="2"/>
      <c r="D25" s="2"/>
      <c r="E25" s="5"/>
      <c r="F25" s="5"/>
      <c r="J25" s="2"/>
      <c r="K25" s="60"/>
      <c r="L25" s="2"/>
      <c r="M25" s="2"/>
      <c r="N25" s="2"/>
      <c r="O25" s="5"/>
      <c r="P25" s="5"/>
    </row>
    <row r="26" spans="1:16" x14ac:dyDescent="0.25">
      <c r="A26" s="2"/>
      <c r="B26" s="2" t="s">
        <v>60</v>
      </c>
      <c r="C26" s="2"/>
      <c r="D26" s="2"/>
      <c r="E26" s="8">
        <v>71760.39</v>
      </c>
      <c r="F26" s="5">
        <v>75867.06</v>
      </c>
      <c r="G26" s="29">
        <f>(+F26*SUPUESTOS!$C$19+'ER PESIMISTA'!F26)</f>
        <v>79971.467946000004</v>
      </c>
      <c r="H26" s="29">
        <f>(+G26*SUPUESTOS!$G$19+'ER PESIMISTA'!G26)</f>
        <v>84297.924361878599</v>
      </c>
      <c r="I26" s="29">
        <f>(+H26*SUPUESTOS!$K$19+'ER PESIMISTA'!H26)</f>
        <v>88858.442069856232</v>
      </c>
      <c r="J26" s="29"/>
      <c r="K26" s="60" t="s">
        <v>105</v>
      </c>
      <c r="L26" s="2"/>
      <c r="M26" s="2"/>
      <c r="N26" s="2"/>
      <c r="O26" s="8"/>
      <c r="P26" s="5"/>
    </row>
    <row r="27" spans="1:16" x14ac:dyDescent="0.25">
      <c r="A27" s="2"/>
      <c r="B27" s="2" t="s">
        <v>61</v>
      </c>
      <c r="C27" s="2"/>
      <c r="D27" s="2"/>
      <c r="E27" s="8">
        <v>3600</v>
      </c>
      <c r="F27" s="5">
        <v>4666.8599999999997</v>
      </c>
      <c r="G27" s="29">
        <f>+F27*SUPUESTOS!$C$19+'ER PESIMISTA'!F27</f>
        <v>4919.3371259999994</v>
      </c>
      <c r="H27" s="29">
        <f>+G27*SUPUESTOS!$G$19+'ER PESIMISTA'!G27</f>
        <v>5185.4732645165996</v>
      </c>
      <c r="I27" s="29">
        <f>+H27*SUPUESTOS!$K$19+'ER PESIMISTA'!H27</f>
        <v>5466.0073681269478</v>
      </c>
      <c r="J27" s="2"/>
      <c r="K27" s="60" t="s">
        <v>105</v>
      </c>
      <c r="L27" s="2"/>
      <c r="M27" s="2"/>
      <c r="N27" s="2"/>
      <c r="O27" s="8"/>
      <c r="P27" s="5"/>
    </row>
    <row r="28" spans="1:16" x14ac:dyDescent="0.25">
      <c r="A28" s="2"/>
      <c r="B28" s="2" t="s">
        <v>62</v>
      </c>
      <c r="C28" s="2"/>
      <c r="D28" s="2"/>
      <c r="E28" s="8">
        <v>15718.79</v>
      </c>
      <c r="F28" s="5">
        <v>17331</v>
      </c>
      <c r="G28" s="29">
        <f>+F28</f>
        <v>17331</v>
      </c>
      <c r="H28" s="29">
        <f t="shared" ref="H28:I28" si="5">+G28</f>
        <v>17331</v>
      </c>
      <c r="I28" s="29">
        <f t="shared" si="5"/>
        <v>17331</v>
      </c>
      <c r="J28" s="2"/>
      <c r="L28" s="2"/>
      <c r="M28" s="2"/>
      <c r="N28" s="2"/>
      <c r="O28" s="8"/>
      <c r="P28" s="5"/>
    </row>
    <row r="29" spans="1:16" x14ac:dyDescent="0.25">
      <c r="A29" s="2"/>
      <c r="B29" s="2" t="s">
        <v>63</v>
      </c>
      <c r="C29" s="2"/>
      <c r="D29" s="2"/>
      <c r="E29" s="8">
        <v>10071.33</v>
      </c>
      <c r="F29" s="5">
        <v>3760.67</v>
      </c>
      <c r="G29" s="29">
        <f>+F29*SUPUESTOS!$C$19+'ER PESIMISTA'!F29</f>
        <v>3964.1222470000002</v>
      </c>
      <c r="H29" s="29">
        <f>+G29*SUPUESTOS!$G$19+'ER PESIMISTA'!G29</f>
        <v>4178.5812605627007</v>
      </c>
      <c r="I29" s="29">
        <f>+H29*SUPUESTOS!$K$19+'ER PESIMISTA'!H29</f>
        <v>4404.6425067591426</v>
      </c>
      <c r="J29" s="2"/>
      <c r="K29" s="60" t="s">
        <v>105</v>
      </c>
      <c r="L29" s="2"/>
      <c r="M29" s="2"/>
      <c r="N29" s="2"/>
      <c r="O29" s="8"/>
      <c r="P29" s="5"/>
    </row>
    <row r="30" spans="1:16" x14ac:dyDescent="0.25">
      <c r="A30" s="2"/>
      <c r="B30" s="2" t="s">
        <v>64</v>
      </c>
      <c r="C30" s="2"/>
      <c r="D30" s="2"/>
      <c r="E30" s="7">
        <v>25947.64</v>
      </c>
      <c r="F30" s="7">
        <v>27711.84</v>
      </c>
      <c r="G30" s="28">
        <f>+F30*SUPUESTOS!$C$19+'ER PESIMISTA'!F30</f>
        <v>29211.050544000002</v>
      </c>
      <c r="H30" s="28">
        <f>+G30*SUPUESTOS!$G$19+'ER PESIMISTA'!G30</f>
        <v>30791.368378430401</v>
      </c>
      <c r="I30" s="28">
        <f>+H30*SUPUESTOS!$K$19+'ER PESIMISTA'!H30</f>
        <v>32457.181407703487</v>
      </c>
      <c r="J30" s="29"/>
      <c r="K30" s="60" t="s">
        <v>105</v>
      </c>
      <c r="L30" s="2"/>
      <c r="M30" s="2"/>
      <c r="N30" s="2"/>
      <c r="O30" s="5"/>
      <c r="P30" s="5"/>
    </row>
    <row r="31" spans="1:16" x14ac:dyDescent="0.25">
      <c r="A31" s="2"/>
      <c r="B31" s="2"/>
      <c r="C31" s="2"/>
      <c r="D31" s="2"/>
      <c r="E31" s="5"/>
      <c r="F31" s="5"/>
      <c r="J31" s="29"/>
      <c r="L31" s="2"/>
      <c r="M31" s="2"/>
      <c r="N31" s="2"/>
      <c r="O31" s="5"/>
      <c r="P31" s="5"/>
    </row>
    <row r="32" spans="1:16" x14ac:dyDescent="0.25">
      <c r="A32" s="2"/>
      <c r="B32" s="6" t="s">
        <v>65</v>
      </c>
      <c r="C32" s="2"/>
      <c r="D32" s="2"/>
      <c r="E32" s="5">
        <f>SUM(E26:E31)</f>
        <v>127098.15</v>
      </c>
      <c r="F32" s="5">
        <f t="shared" ref="F32" si="6">SUM(F26:F31)</f>
        <v>129337.43</v>
      </c>
      <c r="G32" s="27">
        <f>+G26+G27+G28+G29+G30</f>
        <v>135396.97786300001</v>
      </c>
      <c r="H32" s="27">
        <f t="shared" ref="H32:I32" si="7">+H26+H27+H28+H29+H30</f>
        <v>141784.34726538829</v>
      </c>
      <c r="I32" s="27">
        <f t="shared" si="7"/>
        <v>148517.2733524458</v>
      </c>
      <c r="J32" s="29"/>
      <c r="L32" s="6"/>
      <c r="M32" s="2"/>
      <c r="N32" s="2"/>
      <c r="O32" s="5"/>
      <c r="P32" s="5"/>
    </row>
    <row r="33" spans="1:16" x14ac:dyDescent="0.25">
      <c r="A33" s="2"/>
      <c r="B33" s="2"/>
      <c r="C33" s="2"/>
      <c r="D33" s="2"/>
      <c r="E33" s="5"/>
      <c r="F33" s="5"/>
      <c r="J33" s="29"/>
      <c r="L33" s="2"/>
      <c r="M33" s="2"/>
      <c r="N33" s="2"/>
      <c r="O33" s="5"/>
      <c r="P33" s="5"/>
    </row>
    <row r="34" spans="1:16" x14ac:dyDescent="0.25">
      <c r="A34" s="6"/>
      <c r="B34" s="6" t="s">
        <v>66</v>
      </c>
      <c r="C34" s="2"/>
      <c r="D34" s="2"/>
      <c r="E34" s="5">
        <v>5901.95</v>
      </c>
      <c r="F34" s="5">
        <v>4246.5</v>
      </c>
      <c r="G34" s="27">
        <f>+F34*SUPUESTOS!$C$19+'ER PESIMISTA'!F34</f>
        <v>4476.2356499999996</v>
      </c>
      <c r="H34" s="27">
        <f>+G34*SUPUESTOS!$G$19+'ER PESIMISTA'!G34</f>
        <v>4718.3999986649997</v>
      </c>
      <c r="I34" s="27">
        <f>+H34*SUPUESTOS!$K$19+'ER PESIMISTA'!H34</f>
        <v>4973.6654385927759</v>
      </c>
      <c r="J34" s="29"/>
      <c r="K34" s="60" t="s">
        <v>105</v>
      </c>
      <c r="L34" s="6"/>
      <c r="M34" s="2"/>
      <c r="N34" s="2"/>
      <c r="O34" s="5"/>
      <c r="P34" s="5"/>
    </row>
    <row r="35" spans="1:16" x14ac:dyDescent="0.25">
      <c r="A35" s="6"/>
      <c r="B35" s="6"/>
      <c r="C35" s="2"/>
      <c r="D35" s="2"/>
      <c r="E35" s="5"/>
      <c r="F35" s="5"/>
      <c r="J35" s="2"/>
      <c r="K35" s="12"/>
      <c r="L35" s="6"/>
      <c r="M35" s="2"/>
      <c r="N35" s="2"/>
      <c r="O35" s="5"/>
      <c r="P35" s="5"/>
    </row>
    <row r="36" spans="1:16" ht="15.75" thickBot="1" x14ac:dyDescent="0.3">
      <c r="A36" s="6" t="s">
        <v>119</v>
      </c>
      <c r="B36" s="6"/>
      <c r="C36" s="2"/>
      <c r="D36" s="2"/>
      <c r="E36" s="9">
        <f>+E22-E32-E34</f>
        <v>6020.5299999998942</v>
      </c>
      <c r="F36" s="9">
        <f t="shared" ref="F36:I36" si="8">+F22-F32-F34</f>
        <v>15478.429999999877</v>
      </c>
      <c r="G36" s="9">
        <f t="shared" si="8"/>
        <v>-23165.598443000064</v>
      </c>
      <c r="H36" s="9">
        <f t="shared" si="8"/>
        <v>-30490.59125004636</v>
      </c>
      <c r="I36" s="9">
        <f t="shared" si="8"/>
        <v>-38211.866167953813</v>
      </c>
      <c r="J36" s="29"/>
      <c r="L36" s="6"/>
      <c r="M36" s="2"/>
      <c r="N36" s="2"/>
      <c r="O36" s="5"/>
      <c r="P36" s="5"/>
    </row>
    <row r="37" spans="1:16" ht="15.75" thickTop="1" x14ac:dyDescent="0.25">
      <c r="A37" s="6"/>
      <c r="B37" s="6"/>
      <c r="C37" s="2"/>
      <c r="D37" s="2"/>
      <c r="E37" s="5"/>
      <c r="F37" s="5"/>
      <c r="G37" s="5"/>
      <c r="H37" s="5"/>
      <c r="I37" s="5"/>
      <c r="J37" s="2"/>
      <c r="K37" s="12"/>
      <c r="L37" s="6"/>
      <c r="M37" s="2"/>
      <c r="N37" s="2"/>
      <c r="O37" s="5"/>
      <c r="P37" s="5"/>
    </row>
    <row r="38" spans="1:16" x14ac:dyDescent="0.25">
      <c r="A38" s="6"/>
      <c r="B38" s="6" t="s">
        <v>52</v>
      </c>
      <c r="C38" s="6"/>
      <c r="D38" s="2"/>
      <c r="E38" s="8">
        <v>45110.61</v>
      </c>
      <c r="F38" s="5">
        <v>487.55</v>
      </c>
      <c r="G38" s="29">
        <f>+F38*SUPUESTOS!$C$20+'ER PESIMISTA'!F38</f>
        <v>487.55</v>
      </c>
      <c r="H38" s="29">
        <f>+G38*SUPUESTOS!$G$20+'ER PESIMISTA'!G38</f>
        <v>487.55</v>
      </c>
      <c r="I38" s="29">
        <f>+H38*SUPUESTOS!$K$20+'ER PESIMISTA'!H38</f>
        <v>487.55</v>
      </c>
      <c r="J38" s="2"/>
      <c r="K38" s="60" t="s">
        <v>259</v>
      </c>
      <c r="L38" s="6"/>
      <c r="M38" s="6"/>
      <c r="N38" s="2"/>
      <c r="O38" s="8"/>
      <c r="P38" s="5"/>
    </row>
    <row r="39" spans="1:16" hidden="1" x14ac:dyDescent="0.25">
      <c r="A39" s="6"/>
      <c r="B39" s="6"/>
      <c r="C39" s="6"/>
      <c r="D39" s="2"/>
      <c r="E39" s="5"/>
      <c r="F39" s="5"/>
      <c r="G39" s="29"/>
      <c r="H39" s="29"/>
      <c r="I39" s="29"/>
      <c r="J39" s="2"/>
      <c r="K39" s="6"/>
      <c r="L39" s="6"/>
      <c r="M39" s="2"/>
      <c r="N39" s="2"/>
      <c r="O39" s="5"/>
      <c r="P39" s="5"/>
    </row>
    <row r="40" spans="1:16" hidden="1" x14ac:dyDescent="0.25">
      <c r="A40" s="2"/>
      <c r="B40" s="6" t="s">
        <v>131</v>
      </c>
      <c r="C40" s="2"/>
      <c r="D40" s="2"/>
      <c r="E40" s="5"/>
      <c r="F40" s="5"/>
      <c r="G40" s="27">
        <f>+F40*SUPUESTOS!$C$19+'ER PESIMISTA'!F40</f>
        <v>0</v>
      </c>
      <c r="H40" s="27">
        <f>+G40*SUPUESTOS!$G$19+'ER PESIMISTA'!G40</f>
        <v>0</v>
      </c>
      <c r="I40" s="27">
        <f>+H40*SUPUESTOS!$K$19+'ER PESIMISTA'!H40</f>
        <v>0</v>
      </c>
      <c r="J40" s="29"/>
      <c r="K40" s="2"/>
      <c r="L40" s="6"/>
      <c r="M40" s="2"/>
      <c r="N40" s="2"/>
      <c r="O40" s="5"/>
      <c r="P40" s="5"/>
    </row>
    <row r="41" spans="1:16" x14ac:dyDescent="0.25">
      <c r="A41" s="6"/>
      <c r="B41" s="6"/>
      <c r="C41" s="2"/>
      <c r="D41" s="2"/>
      <c r="E41" s="5"/>
      <c r="F41" s="5"/>
      <c r="J41" s="2"/>
      <c r="K41" s="6"/>
      <c r="L41" s="6"/>
      <c r="M41" s="2"/>
      <c r="N41" s="2"/>
      <c r="O41" s="5"/>
      <c r="P41" s="5"/>
    </row>
    <row r="42" spans="1:16" x14ac:dyDescent="0.25">
      <c r="A42" s="6"/>
      <c r="B42" s="6" t="s">
        <v>68</v>
      </c>
      <c r="C42" s="2"/>
      <c r="D42" s="2"/>
      <c r="E42" s="5">
        <v>6356.74</v>
      </c>
      <c r="F42" s="5">
        <v>2039.95</v>
      </c>
      <c r="G42" s="29">
        <f>+F42</f>
        <v>2039.95</v>
      </c>
      <c r="H42" s="29">
        <f>+F42</f>
        <v>2039.95</v>
      </c>
      <c r="I42" s="29">
        <f>F42</f>
        <v>2039.95</v>
      </c>
      <c r="J42" s="2"/>
      <c r="K42" s="6"/>
      <c r="L42" s="6"/>
      <c r="M42" s="2"/>
      <c r="N42" s="2"/>
      <c r="O42" s="5"/>
      <c r="P42" s="5"/>
    </row>
    <row r="43" spans="1:16" x14ac:dyDescent="0.25">
      <c r="A43" s="6"/>
      <c r="B43" s="6"/>
      <c r="C43" s="2"/>
      <c r="D43" s="2"/>
      <c r="E43" s="5"/>
      <c r="F43" s="5"/>
      <c r="J43" s="2"/>
      <c r="K43" s="6"/>
      <c r="L43" s="6"/>
      <c r="M43" s="2"/>
      <c r="N43" s="2"/>
      <c r="O43" s="5"/>
      <c r="P43" s="5"/>
    </row>
    <row r="44" spans="1:16" ht="15.75" thickBot="1" x14ac:dyDescent="0.3">
      <c r="A44" s="6" t="s">
        <v>120</v>
      </c>
      <c r="B44" s="6"/>
      <c r="C44" s="2"/>
      <c r="D44" s="2"/>
      <c r="E44" s="9">
        <f>+E36+E38-E42</f>
        <v>44774.3999999999</v>
      </c>
      <c r="F44" s="9">
        <f t="shared" ref="F44:I44" si="9">+F36+F38-F42</f>
        <v>13926.029999999875</v>
      </c>
      <c r="G44" s="9">
        <f t="shared" si="9"/>
        <v>-24717.998443000066</v>
      </c>
      <c r="H44" s="9">
        <f t="shared" si="9"/>
        <v>-32042.991250046362</v>
      </c>
      <c r="I44" s="9">
        <f t="shared" si="9"/>
        <v>-39764.266167953807</v>
      </c>
      <c r="J44" s="29"/>
      <c r="K44" s="6"/>
      <c r="L44" s="6"/>
      <c r="M44" s="2"/>
      <c r="N44" s="2"/>
      <c r="O44" s="5"/>
      <c r="P44" s="5"/>
    </row>
    <row r="45" spans="1:16" ht="15.75" thickTop="1" x14ac:dyDescent="0.25">
      <c r="A45" s="2"/>
      <c r="B45" s="2"/>
      <c r="C45" s="2"/>
      <c r="D45" s="2"/>
      <c r="E45" s="5"/>
      <c r="F45" s="5"/>
      <c r="J45" s="2"/>
      <c r="K45" s="6"/>
      <c r="L45" s="6"/>
      <c r="M45" s="2"/>
      <c r="N45" s="2"/>
      <c r="O45" s="5"/>
      <c r="P45" s="5"/>
    </row>
    <row r="46" spans="1:16" x14ac:dyDescent="0.25">
      <c r="A46" s="2"/>
      <c r="B46" s="6" t="s">
        <v>121</v>
      </c>
      <c r="C46" s="2"/>
      <c r="D46" s="2"/>
      <c r="E46" s="5">
        <f>+E44*0.15</f>
        <v>6716.1599999999844</v>
      </c>
      <c r="F46" s="5">
        <f t="shared" ref="F46" si="10">+F44*0.15</f>
        <v>2088.904499999981</v>
      </c>
      <c r="G46" s="5">
        <f>IF(G44*0.15&lt;0,0,G44*0.15)</f>
        <v>0</v>
      </c>
      <c r="H46" s="5">
        <f t="shared" ref="H46:I46" si="11">IF(H44*0.15&lt;0,0,H44*0.15)</f>
        <v>0</v>
      </c>
      <c r="I46" s="5">
        <f t="shared" si="11"/>
        <v>0</v>
      </c>
      <c r="J46" s="29"/>
      <c r="K46" s="6"/>
      <c r="L46" s="6"/>
      <c r="M46" s="2"/>
      <c r="N46" s="2"/>
      <c r="O46" s="5"/>
      <c r="P46" s="5"/>
    </row>
    <row r="47" spans="1:16" x14ac:dyDescent="0.25">
      <c r="A47" s="2"/>
      <c r="B47" s="6"/>
      <c r="C47" s="2"/>
      <c r="D47" s="2"/>
      <c r="E47" s="5"/>
      <c r="F47" s="5"/>
      <c r="G47" s="5"/>
      <c r="H47" s="5"/>
      <c r="I47" s="5"/>
      <c r="J47" s="2"/>
      <c r="K47" s="2"/>
      <c r="L47" s="2"/>
      <c r="M47" s="2"/>
      <c r="N47" s="2"/>
      <c r="O47" s="5"/>
      <c r="P47" s="5"/>
    </row>
    <row r="48" spans="1:16" ht="15.75" thickBot="1" x14ac:dyDescent="0.3">
      <c r="A48" s="6" t="s">
        <v>122</v>
      </c>
      <c r="B48" s="6"/>
      <c r="C48" s="2"/>
      <c r="D48" s="2"/>
      <c r="E48" s="9">
        <f>+E44-E46</f>
        <v>38058.239999999918</v>
      </c>
      <c r="F48" s="9">
        <f t="shared" ref="F48:I48" si="12">+F44-F46</f>
        <v>11837.125499999895</v>
      </c>
      <c r="G48" s="9">
        <f t="shared" si="12"/>
        <v>-24717.998443000066</v>
      </c>
      <c r="H48" s="9">
        <f t="shared" si="12"/>
        <v>-32042.991250046362</v>
      </c>
      <c r="I48" s="9">
        <f t="shared" si="12"/>
        <v>-39764.266167953807</v>
      </c>
      <c r="J48" s="29"/>
      <c r="K48" s="6"/>
      <c r="L48" s="2"/>
      <c r="M48" s="2"/>
      <c r="N48" s="2"/>
      <c r="O48" s="5"/>
      <c r="P48" s="5"/>
    </row>
    <row r="49" spans="1:16" ht="15.75" thickTop="1" x14ac:dyDescent="0.25">
      <c r="A49" s="2"/>
      <c r="B49" s="6"/>
      <c r="C49" s="2"/>
      <c r="D49" s="2"/>
      <c r="E49" s="5"/>
      <c r="F49" s="5"/>
      <c r="G49" s="5"/>
      <c r="H49" s="5"/>
      <c r="I49" s="5"/>
      <c r="J49" s="2"/>
      <c r="K49" s="2"/>
      <c r="L49" s="2"/>
      <c r="M49" s="2"/>
      <c r="N49" s="2"/>
      <c r="O49" s="5"/>
      <c r="P49" s="5"/>
    </row>
    <row r="50" spans="1:16" x14ac:dyDescent="0.25">
      <c r="A50" s="2"/>
      <c r="B50" s="6" t="s">
        <v>123</v>
      </c>
      <c r="C50" s="2"/>
      <c r="D50" s="2"/>
      <c r="E50" s="5">
        <v>1740.13</v>
      </c>
      <c r="F50" s="5">
        <v>5642.35</v>
      </c>
      <c r="G50" s="5">
        <f>+F50*SUPUESTOS!C19+F50</f>
        <v>5947.6011350000008</v>
      </c>
      <c r="H50" s="5">
        <f>+G50*SUPUESTOS!G19+G50</f>
        <v>6269.3663564035005</v>
      </c>
      <c r="I50" s="5">
        <f>+H50*SUPUESTOS!K19+H50</f>
        <v>6608.5390762849302</v>
      </c>
      <c r="J50" s="2"/>
      <c r="K50" s="2"/>
      <c r="L50" s="6"/>
      <c r="M50" s="2"/>
      <c r="N50" s="2"/>
      <c r="O50" s="5"/>
      <c r="P50" s="5"/>
    </row>
    <row r="51" spans="1:16" x14ac:dyDescent="0.25">
      <c r="A51" s="2"/>
      <c r="B51" s="6"/>
      <c r="C51" s="2"/>
      <c r="D51" s="2"/>
      <c r="E51" s="5"/>
      <c r="F51" s="5"/>
      <c r="G51" s="5"/>
      <c r="H51" s="5"/>
      <c r="I51" s="5"/>
      <c r="J51" s="2"/>
      <c r="K51" s="2"/>
      <c r="L51" s="6"/>
      <c r="M51" s="2"/>
      <c r="N51" s="2"/>
      <c r="O51" s="5"/>
      <c r="P51" s="5"/>
    </row>
    <row r="52" spans="1:16" ht="15.75" thickBot="1" x14ac:dyDescent="0.3">
      <c r="A52" s="6" t="s">
        <v>124</v>
      </c>
      <c r="B52" s="6"/>
      <c r="C52" s="2"/>
      <c r="D52" s="2"/>
      <c r="E52" s="9">
        <f>+E48+E50</f>
        <v>39798.369999999915</v>
      </c>
      <c r="F52" s="9">
        <f t="shared" ref="F52" si="13">+F48+F50</f>
        <v>17479.475499999895</v>
      </c>
      <c r="G52" s="9">
        <f>IF(G48&lt;0,0,G48+G50)</f>
        <v>0</v>
      </c>
      <c r="H52" s="9">
        <f t="shared" ref="H52:I52" si="14">IF(H48&lt;0,0,H48+H50)</f>
        <v>0</v>
      </c>
      <c r="I52" s="9">
        <f t="shared" si="14"/>
        <v>0</v>
      </c>
      <c r="J52" s="29"/>
      <c r="K52" s="6"/>
      <c r="L52" s="6"/>
      <c r="M52" s="2"/>
      <c r="N52" s="2"/>
      <c r="O52" s="5"/>
      <c r="P52" s="5"/>
    </row>
    <row r="53" spans="1:16" ht="15.75" thickTop="1" x14ac:dyDescent="0.25">
      <c r="A53" s="2"/>
      <c r="B53" s="6"/>
      <c r="C53" s="2"/>
      <c r="D53" s="2"/>
      <c r="E53" s="5"/>
      <c r="F53" s="5"/>
      <c r="J53" s="2"/>
      <c r="K53" s="2"/>
      <c r="L53" s="6"/>
      <c r="M53" s="2"/>
      <c r="N53" s="2"/>
      <c r="O53" s="5"/>
      <c r="P53" s="5"/>
    </row>
    <row r="54" spans="1:16" x14ac:dyDescent="0.25">
      <c r="A54" s="2"/>
      <c r="B54" s="6" t="s">
        <v>125</v>
      </c>
      <c r="C54" s="2"/>
      <c r="D54" s="2"/>
      <c r="E54" s="5">
        <f>+E52*0.22</f>
        <v>8755.6413999999822</v>
      </c>
      <c r="F54" s="5">
        <f>+F52*0.22</f>
        <v>3845.4846099999768</v>
      </c>
      <c r="G54" s="5">
        <f>IF(G52*0.22&lt;0,0,G52*0.22)</f>
        <v>0</v>
      </c>
      <c r="H54" s="5">
        <f>IF(H52*0.22&lt;0,0,H52*0.22)</f>
        <v>0</v>
      </c>
      <c r="I54" s="5">
        <f t="shared" ref="I54" si="15">IF(I52*0.22&lt;0,0,I52*0.22)</f>
        <v>0</v>
      </c>
      <c r="J54" s="5"/>
      <c r="K54" s="2"/>
      <c r="L54" s="6"/>
      <c r="M54" s="2"/>
      <c r="N54" s="2"/>
      <c r="O54" s="5"/>
      <c r="P54" s="5"/>
    </row>
    <row r="55" spans="1:16" x14ac:dyDescent="0.25">
      <c r="A55" s="2"/>
      <c r="B55" s="6"/>
      <c r="C55" s="2"/>
      <c r="D55" s="2"/>
      <c r="E55" s="5"/>
      <c r="F55" s="5"/>
      <c r="J55" s="2"/>
      <c r="K55" s="2"/>
      <c r="L55" s="6"/>
      <c r="M55" s="2"/>
      <c r="N55" s="2"/>
      <c r="O55" s="5"/>
      <c r="P55" s="5"/>
    </row>
    <row r="56" spans="1:16" ht="15.75" thickBot="1" x14ac:dyDescent="0.3">
      <c r="A56" s="6" t="s">
        <v>130</v>
      </c>
      <c r="B56" s="6"/>
      <c r="C56" s="2"/>
      <c r="D56" s="2"/>
      <c r="E56" s="9">
        <f>+E48-E54</f>
        <v>29302.598599999936</v>
      </c>
      <c r="F56" s="9">
        <f t="shared" ref="F56:I56" si="16">+F48-F54</f>
        <v>7991.6408899999178</v>
      </c>
      <c r="G56" s="9">
        <f>+G48-G54</f>
        <v>-24717.998443000066</v>
      </c>
      <c r="H56" s="9">
        <f>+H48-H54</f>
        <v>-32042.991250046362</v>
      </c>
      <c r="I56" s="9">
        <f t="shared" si="16"/>
        <v>-39764.266167953807</v>
      </c>
      <c r="J56" s="2"/>
      <c r="K56" s="6"/>
      <c r="L56" s="6"/>
      <c r="M56" s="2"/>
      <c r="N56" s="2"/>
      <c r="O56" s="5"/>
      <c r="P56" s="5"/>
    </row>
    <row r="57" spans="1:16" ht="15.75" thickTop="1" x14ac:dyDescent="0.25">
      <c r="J57" s="5"/>
      <c r="K57" s="5"/>
    </row>
  </sheetData>
  <mergeCells count="2">
    <mergeCell ref="A1:I1"/>
    <mergeCell ref="A2:I2"/>
  </mergeCells>
  <conditionalFormatting sqref="G56:I56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7030A0"/>
  </sheetPr>
  <dimension ref="A1:H33"/>
  <sheetViews>
    <sheetView showGridLines="0" zoomScaleNormal="100" workbookViewId="0">
      <selection activeCell="E19" sqref="E19"/>
    </sheetView>
  </sheetViews>
  <sheetFormatPr defaultColWidth="11.375" defaultRowHeight="12.75" x14ac:dyDescent="0.2"/>
  <cols>
    <col min="1" max="1" width="34.375" style="13" customWidth="1"/>
    <col min="2" max="2" width="17.375" style="13" customWidth="1"/>
    <col min="3" max="3" width="18" style="13" customWidth="1"/>
    <col min="4" max="4" width="16.375" style="13" customWidth="1"/>
    <col min="5" max="5" width="18" style="13" bestFit="1" customWidth="1"/>
    <col min="6" max="6" width="15.125" style="13" bestFit="1" customWidth="1"/>
    <col min="7" max="7" width="12.375" style="13" bestFit="1" customWidth="1"/>
    <col min="8" max="8" width="11.375" style="13"/>
    <col min="9" max="11" width="11.75" style="13" bestFit="1" customWidth="1"/>
    <col min="12" max="16384" width="11.375" style="13"/>
  </cols>
  <sheetData>
    <row r="1" spans="1:8" s="22" customFormat="1" x14ac:dyDescent="0.2">
      <c r="A1" s="472" t="s">
        <v>262</v>
      </c>
      <c r="B1" s="473"/>
      <c r="C1" s="473"/>
      <c r="D1" s="474"/>
      <c r="E1" s="122"/>
    </row>
    <row r="2" spans="1:8" s="22" customFormat="1" x14ac:dyDescent="0.2">
      <c r="A2" s="298" t="s">
        <v>75</v>
      </c>
      <c r="B2" s="300" t="s">
        <v>76</v>
      </c>
      <c r="C2" s="301"/>
      <c r="D2" s="302"/>
      <c r="E2" s="122"/>
    </row>
    <row r="3" spans="1:8" s="22" customFormat="1" x14ac:dyDescent="0.2">
      <c r="A3" s="299"/>
      <c r="B3" s="36">
        <v>2016</v>
      </c>
      <c r="C3" s="36">
        <v>2017</v>
      </c>
      <c r="D3" s="186">
        <v>2018</v>
      </c>
      <c r="E3" s="124"/>
      <c r="G3" s="14"/>
      <c r="H3" s="37"/>
    </row>
    <row r="4" spans="1:8" x14ac:dyDescent="0.2">
      <c r="A4" s="187" t="s">
        <v>77</v>
      </c>
      <c r="B4" s="15"/>
      <c r="C4" s="15"/>
      <c r="D4" s="188"/>
      <c r="E4" s="23"/>
    </row>
    <row r="5" spans="1:8" x14ac:dyDescent="0.2">
      <c r="A5" s="189" t="s">
        <v>78</v>
      </c>
      <c r="B5" s="16">
        <f>+'ER PESIMISTA'!G13</f>
        <v>925447.72</v>
      </c>
      <c r="C5" s="16">
        <f>+'ER PESIMISTA'!H13</f>
        <v>925447.72</v>
      </c>
      <c r="D5" s="190">
        <f>+'ER PESIMISTA'!I13</f>
        <v>925447.72</v>
      </c>
      <c r="E5" s="23"/>
    </row>
    <row r="6" spans="1:8" x14ac:dyDescent="0.2">
      <c r="A6" s="189" t="s">
        <v>187</v>
      </c>
      <c r="B6" s="120"/>
      <c r="C6" s="120"/>
      <c r="D6" s="192"/>
      <c r="E6" s="23"/>
    </row>
    <row r="7" spans="1:8" x14ac:dyDescent="0.2">
      <c r="A7" s="189" t="s">
        <v>184</v>
      </c>
      <c r="B7" s="16">
        <f>+'ER PESIMISTA'!G38</f>
        <v>487.55</v>
      </c>
      <c r="C7" s="16">
        <f>+'ER PESIMISTA'!H38</f>
        <v>487.55</v>
      </c>
      <c r="D7" s="190">
        <f>+'ER PESIMISTA'!I38</f>
        <v>487.55</v>
      </c>
    </row>
    <row r="8" spans="1:8" x14ac:dyDescent="0.2">
      <c r="A8" s="189" t="s">
        <v>190</v>
      </c>
      <c r="B8" s="120"/>
      <c r="C8" s="120"/>
      <c r="D8" s="192"/>
    </row>
    <row r="9" spans="1:8" x14ac:dyDescent="0.2">
      <c r="A9" s="191" t="s">
        <v>194</v>
      </c>
      <c r="B9" s="120">
        <f>SUM(B5:B8)</f>
        <v>925935.27</v>
      </c>
      <c r="C9" s="120">
        <f>SUM(C5:C8)</f>
        <v>925935.27</v>
      </c>
      <c r="D9" s="192">
        <f>SUM(D5:D8)</f>
        <v>925935.27</v>
      </c>
    </row>
    <row r="10" spans="1:8" x14ac:dyDescent="0.2">
      <c r="A10" s="187" t="s">
        <v>53</v>
      </c>
      <c r="B10" s="17"/>
      <c r="C10" s="17"/>
      <c r="D10" s="193"/>
    </row>
    <row r="11" spans="1:8" x14ac:dyDescent="0.2">
      <c r="A11" s="194" t="s">
        <v>189</v>
      </c>
      <c r="B11" s="18"/>
      <c r="C11" s="18"/>
      <c r="D11" s="195"/>
    </row>
    <row r="12" spans="1:8" x14ac:dyDescent="0.2">
      <c r="A12" s="189" t="s">
        <v>182</v>
      </c>
      <c r="B12" s="16">
        <f>+'ER PESIMISTA'!G17</f>
        <v>795885.0392</v>
      </c>
      <c r="C12" s="16">
        <f>+'ER PESIMISTA'!H17</f>
        <v>795885.0392</v>
      </c>
      <c r="D12" s="190">
        <f>+'ER PESIMISTA'!I17</f>
        <v>795885.0392</v>
      </c>
    </row>
    <row r="13" spans="1:8" x14ac:dyDescent="0.2">
      <c r="A13" s="189" t="s">
        <v>183</v>
      </c>
      <c r="B13" s="16">
        <f>+'ER PESIMISTA'!G18</f>
        <v>12855.065729999998</v>
      </c>
      <c r="C13" s="16">
        <f>+'ER PESIMISTA'!H18</f>
        <v>13550.524785992999</v>
      </c>
      <c r="D13" s="190">
        <f>+'ER PESIMISTA'!I18</f>
        <v>14283.608176915221</v>
      </c>
    </row>
    <row r="14" spans="1:8" x14ac:dyDescent="0.2">
      <c r="A14" s="194" t="s">
        <v>201</v>
      </c>
      <c r="B14" s="17">
        <f>+'ER PESIMISTA'!G32-'ER PESIMISTA'!G28</f>
        <v>118065.97786300001</v>
      </c>
      <c r="C14" s="17">
        <f>+'ER PESIMISTA'!H32-'ER PESIMISTA'!H28</f>
        <v>124453.34726538829</v>
      </c>
      <c r="D14" s="193">
        <f>+'ER PESIMISTA'!I32-'ER PESIMISTA'!I28</f>
        <v>131186.2733524458</v>
      </c>
    </row>
    <row r="15" spans="1:8" x14ac:dyDescent="0.2">
      <c r="A15" s="194" t="s">
        <v>185</v>
      </c>
      <c r="B15" s="18">
        <f>+'ER PESIMISTA'!G34</f>
        <v>4476.2356499999996</v>
      </c>
      <c r="C15" s="18">
        <f>+'ER PESIMISTA'!H34</f>
        <v>4718.3999986649997</v>
      </c>
      <c r="D15" s="195">
        <f>+'ER PESIMISTA'!I34</f>
        <v>4973.6654385927759</v>
      </c>
    </row>
    <row r="16" spans="1:8" x14ac:dyDescent="0.2">
      <c r="A16" s="194" t="s">
        <v>186</v>
      </c>
      <c r="B16" s="18">
        <f>+'ER PESIMISTA'!G42-B22</f>
        <v>2039.95</v>
      </c>
      <c r="C16" s="18">
        <f>+'ER PESIMISTA'!H42-C22</f>
        <v>2039.95</v>
      </c>
      <c r="D16" s="195">
        <f>+'ER PESIMISTA'!I42-D22</f>
        <v>2039.95</v>
      </c>
    </row>
    <row r="17" spans="1:6" x14ac:dyDescent="0.2">
      <c r="A17" s="194" t="s">
        <v>199</v>
      </c>
      <c r="B17" s="18">
        <f>+'ER PESIMISTA'!F54</f>
        <v>3845.4846099999768</v>
      </c>
      <c r="C17" s="18">
        <f>+'ER PESIMISTA'!G54</f>
        <v>0</v>
      </c>
      <c r="D17" s="195">
        <f>+'ER PESIMISTA'!H54</f>
        <v>0</v>
      </c>
      <c r="E17" s="21"/>
    </row>
    <row r="18" spans="1:6" x14ac:dyDescent="0.2">
      <c r="A18" s="194" t="s">
        <v>200</v>
      </c>
      <c r="B18" s="18">
        <f>+'ER PESIMISTA'!F46</f>
        <v>2088.904499999981</v>
      </c>
      <c r="C18" s="18">
        <f>+'ER PESIMISTA'!G46</f>
        <v>0</v>
      </c>
      <c r="D18" s="195">
        <f>+'ER PESIMISTA'!H46</f>
        <v>0</v>
      </c>
      <c r="E18" s="21"/>
    </row>
    <row r="19" spans="1:6" x14ac:dyDescent="0.2">
      <c r="A19" s="194" t="s">
        <v>188</v>
      </c>
      <c r="B19" s="17"/>
      <c r="C19" s="17"/>
      <c r="D19" s="193"/>
      <c r="E19" s="21"/>
    </row>
    <row r="20" spans="1:6" x14ac:dyDescent="0.2">
      <c r="A20" s="194"/>
      <c r="B20" s="18"/>
      <c r="C20" s="18"/>
      <c r="D20" s="195"/>
    </row>
    <row r="21" spans="1:6" x14ac:dyDescent="0.2">
      <c r="A21" s="194" t="s">
        <v>190</v>
      </c>
      <c r="B21" s="18"/>
      <c r="C21" s="18"/>
      <c r="D21" s="195"/>
    </row>
    <row r="22" spans="1:6" x14ac:dyDescent="0.2">
      <c r="A22" s="194" t="s">
        <v>191</v>
      </c>
      <c r="B22" s="17"/>
      <c r="C22" s="17"/>
      <c r="D22" s="193"/>
    </row>
    <row r="23" spans="1:6" x14ac:dyDescent="0.2">
      <c r="A23" s="194" t="s">
        <v>192</v>
      </c>
      <c r="B23" s="17"/>
      <c r="C23" s="17"/>
      <c r="D23" s="193"/>
    </row>
    <row r="24" spans="1:6" x14ac:dyDescent="0.2">
      <c r="A24" s="196" t="s">
        <v>195</v>
      </c>
      <c r="B24" s="20">
        <f>SUM(B11:B23)</f>
        <v>939256.65755299991</v>
      </c>
      <c r="C24" s="20">
        <f t="shared" ref="C24:D24" si="0">SUM(C11:C23)</f>
        <v>940647.2612500462</v>
      </c>
      <c r="D24" s="197">
        <f t="shared" si="0"/>
        <v>948368.53616795375</v>
      </c>
    </row>
    <row r="25" spans="1:6" x14ac:dyDescent="0.2">
      <c r="A25" s="198"/>
      <c r="B25" s="20"/>
      <c r="C25" s="20"/>
      <c r="D25" s="197"/>
      <c r="F25" s="119"/>
    </row>
    <row r="26" spans="1:6" x14ac:dyDescent="0.2">
      <c r="A26" s="199" t="s">
        <v>193</v>
      </c>
      <c r="B26" s="20">
        <f>B9-B24</f>
        <v>-13321.387552999891</v>
      </c>
      <c r="C26" s="20">
        <f>C9-C24</f>
        <v>-14711.99125004618</v>
      </c>
      <c r="D26" s="197">
        <f t="shared" ref="D26" si="1">D9-D24</f>
        <v>-22433.266167953727</v>
      </c>
      <c r="E26" s="119"/>
      <c r="F26" s="119"/>
    </row>
    <row r="27" spans="1:6" x14ac:dyDescent="0.2">
      <c r="A27" s="200"/>
      <c r="B27" s="19"/>
      <c r="C27" s="19"/>
      <c r="D27" s="201"/>
      <c r="E27" s="121"/>
    </row>
    <row r="28" spans="1:6" x14ac:dyDescent="0.2">
      <c r="A28" s="196" t="s">
        <v>196</v>
      </c>
      <c r="B28" s="19">
        <f>+'BG PESIMISTA'!E8</f>
        <v>254.36</v>
      </c>
      <c r="C28" s="19">
        <f>+'BG PESIMISTA'!F8</f>
        <v>-13067.027552999891</v>
      </c>
      <c r="D28" s="201">
        <f>+'BG PESIMISTA'!G8</f>
        <v>-27779.01880304607</v>
      </c>
      <c r="E28" s="121"/>
    </row>
    <row r="29" spans="1:6" s="22" customFormat="1" ht="13.5" thickBot="1" x14ac:dyDescent="0.25">
      <c r="A29" s="202" t="s">
        <v>197</v>
      </c>
      <c r="B29" s="203">
        <f>+B26+B28</f>
        <v>-13067.027552999891</v>
      </c>
      <c r="C29" s="203">
        <f>+C26+C28</f>
        <v>-27779.01880304607</v>
      </c>
      <c r="D29" s="204">
        <f t="shared" ref="D29" si="2">+D26+D28</f>
        <v>-50212.284970999797</v>
      </c>
    </row>
    <row r="31" spans="1:6" x14ac:dyDescent="0.2">
      <c r="B31" s="306" t="str">
        <f>IF(B29&gt;0,"Saldo Positivo","Solicitar Préstamo Bancario o Recuperar Cuentas por Cobrar")</f>
        <v>Solicitar Préstamo Bancario o Recuperar Cuentas por Cobrar</v>
      </c>
      <c r="C31" s="306" t="str">
        <f t="shared" ref="C31:D31" si="3">IF(C29&gt;0,"Saldo Positivo","Solicitar Préstamo Bancario o Recuperar Cuentas por Cobrar")</f>
        <v>Solicitar Préstamo Bancario o Recuperar Cuentas por Cobrar</v>
      </c>
      <c r="D31" s="306" t="str">
        <f t="shared" si="3"/>
        <v>Solicitar Préstamo Bancario o Recuperar Cuentas por Cobrar</v>
      </c>
    </row>
    <row r="32" spans="1:6" x14ac:dyDescent="0.2">
      <c r="B32" s="306"/>
      <c r="C32" s="306"/>
      <c r="D32" s="306"/>
    </row>
    <row r="33" spans="2:4" x14ac:dyDescent="0.2">
      <c r="B33" s="306"/>
      <c r="C33" s="306"/>
      <c r="D33" s="306"/>
    </row>
  </sheetData>
  <mergeCells count="6">
    <mergeCell ref="A2:A3"/>
    <mergeCell ref="A1:D1"/>
    <mergeCell ref="B2:D2"/>
    <mergeCell ref="B31:B33"/>
    <mergeCell ref="C31:C33"/>
    <mergeCell ref="D31:D33"/>
  </mergeCells>
  <conditionalFormatting sqref="B29:D29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rgb="FF7030A0"/>
  </sheetPr>
  <dimension ref="A1:AP115"/>
  <sheetViews>
    <sheetView showGridLines="0" zoomScaleNormal="100" workbookViewId="0">
      <selection activeCell="E11" sqref="E11:E12"/>
    </sheetView>
  </sheetViews>
  <sheetFormatPr defaultColWidth="11.375" defaultRowHeight="15" x14ac:dyDescent="0.25"/>
  <cols>
    <col min="1" max="1" width="3.875" style="84" customWidth="1"/>
    <col min="2" max="2" width="19.25" style="84" bestFit="1" customWidth="1"/>
    <col min="3" max="7" width="11.375" style="84"/>
    <col min="8" max="8" width="33.125" style="84" bestFit="1" customWidth="1"/>
    <col min="9" max="9" width="38.875" style="84" customWidth="1"/>
    <col min="10" max="10" width="15" style="84" bestFit="1" customWidth="1"/>
    <col min="11" max="11" width="27" style="84" customWidth="1"/>
    <col min="12" max="12" width="7.75" style="84" bestFit="1" customWidth="1"/>
    <col min="13" max="13" width="6.875" style="84" customWidth="1"/>
    <col min="14" max="14" width="7.875" style="84" customWidth="1"/>
    <col min="15" max="15" width="5" style="84" customWidth="1"/>
    <col min="16" max="16" width="4.875" style="84" customWidth="1"/>
    <col min="17" max="16384" width="11.375" style="84"/>
  </cols>
  <sheetData>
    <row r="1" spans="1:36" ht="20.25" x14ac:dyDescent="0.3">
      <c r="B1" s="475" t="s">
        <v>104</v>
      </c>
      <c r="C1" s="476"/>
      <c r="D1" s="476"/>
      <c r="E1" s="476"/>
      <c r="F1" s="476"/>
      <c r="G1" s="476"/>
      <c r="H1" s="476"/>
      <c r="I1" s="477"/>
      <c r="J1" s="85"/>
      <c r="K1" s="85"/>
      <c r="L1" s="85"/>
    </row>
    <row r="2" spans="1:36" x14ac:dyDescent="0.25">
      <c r="B2" s="109"/>
      <c r="C2" s="83"/>
      <c r="D2" s="83"/>
      <c r="E2" s="83"/>
      <c r="F2" s="83"/>
      <c r="G2" s="83"/>
      <c r="H2" s="83"/>
      <c r="I2" s="110"/>
      <c r="J2" s="83"/>
      <c r="K2" s="83"/>
      <c r="L2" s="83"/>
    </row>
    <row r="3" spans="1:36" x14ac:dyDescent="0.25">
      <c r="B3" s="30" t="s">
        <v>83</v>
      </c>
      <c r="C3" s="34">
        <v>2014</v>
      </c>
      <c r="D3" s="34">
        <v>2015</v>
      </c>
      <c r="E3" s="34">
        <v>2016</v>
      </c>
      <c r="F3" s="34">
        <v>2017</v>
      </c>
      <c r="G3" s="34">
        <v>2018</v>
      </c>
      <c r="H3" s="31" t="s">
        <v>84</v>
      </c>
      <c r="I3" s="31" t="s">
        <v>85</v>
      </c>
    </row>
    <row r="4" spans="1:36" x14ac:dyDescent="0.25">
      <c r="B4" s="104"/>
      <c r="C4" s="86"/>
      <c r="D4" s="86"/>
      <c r="E4" s="86"/>
      <c r="F4" s="86"/>
      <c r="G4" s="86"/>
      <c r="H4" s="83"/>
      <c r="I4" s="105"/>
    </row>
    <row r="5" spans="1:36" ht="15" customHeight="1" x14ac:dyDescent="0.25">
      <c r="B5" s="313" t="s">
        <v>133</v>
      </c>
      <c r="C5" s="315">
        <f>+'BG PESIMISTA'!D20-'BG PESIMISTA'!D42</f>
        <v>55848.760000000009</v>
      </c>
      <c r="D5" s="315">
        <f>+'BG PESIMISTA'!E20-'BG PESIMISTA'!E42</f>
        <v>140625.28549999997</v>
      </c>
      <c r="E5" s="315">
        <f>+'BG PESIMISTA'!F20-'BG PESIMISTA'!F42</f>
        <v>133238.28244700006</v>
      </c>
      <c r="F5" s="315">
        <f>+'BG PESIMISTA'!G20-'BG PESIMISTA'!G42</f>
        <v>118526.29119695388</v>
      </c>
      <c r="G5" s="315">
        <f>+'BG PESIMISTA'!H20-'BG PESIMISTA'!H42</f>
        <v>96093.025029000157</v>
      </c>
      <c r="H5" s="319" t="s">
        <v>134</v>
      </c>
      <c r="I5" s="317" t="s">
        <v>279</v>
      </c>
    </row>
    <row r="6" spans="1:36" x14ac:dyDescent="0.25">
      <c r="B6" s="314"/>
      <c r="C6" s="316"/>
      <c r="D6" s="316"/>
      <c r="E6" s="316"/>
      <c r="F6" s="316"/>
      <c r="G6" s="316"/>
      <c r="H6" s="320"/>
      <c r="I6" s="318"/>
    </row>
    <row r="7" spans="1:36" x14ac:dyDescent="0.25">
      <c r="B7" s="104"/>
      <c r="C7" s="87"/>
      <c r="D7" s="87"/>
      <c r="E7" s="87"/>
      <c r="F7" s="87"/>
      <c r="G7" s="87"/>
      <c r="H7" s="83"/>
      <c r="I7" s="106"/>
    </row>
    <row r="8" spans="1:36" ht="15" customHeight="1" x14ac:dyDescent="0.25">
      <c r="B8" s="313" t="s">
        <v>86</v>
      </c>
      <c r="C8" s="311">
        <f>+'BG PESIMISTA'!D20/'BG PESIMISTA'!D42</f>
        <v>1.1462388037112226</v>
      </c>
      <c r="D8" s="311">
        <f>+'BG PESIMISTA'!E20/'BG PESIMISTA'!E42</f>
        <v>1.5909304154553432</v>
      </c>
      <c r="E8" s="311">
        <f>+'BG PESIMISTA'!F20/'BG PESIMISTA'!F42</f>
        <v>1.574208197229354</v>
      </c>
      <c r="F8" s="311">
        <f>+'BG PESIMISTA'!G20/'BG PESIMISTA'!G42</f>
        <v>1.5108049033847082</v>
      </c>
      <c r="G8" s="311">
        <f>+'BG PESIMISTA'!H20/'BG PESIMISTA'!H42</f>
        <v>1.4141257426533249</v>
      </c>
      <c r="H8" s="32" t="s">
        <v>71</v>
      </c>
      <c r="I8" s="321" t="s">
        <v>280</v>
      </c>
    </row>
    <row r="9" spans="1:36" ht="22.5" customHeight="1" x14ac:dyDescent="0.25">
      <c r="B9" s="314"/>
      <c r="C9" s="312"/>
      <c r="D9" s="312"/>
      <c r="E9" s="312"/>
      <c r="F9" s="312"/>
      <c r="G9" s="312"/>
      <c r="H9" s="33" t="s">
        <v>87</v>
      </c>
      <c r="I9" s="322"/>
    </row>
    <row r="10" spans="1:36" x14ac:dyDescent="0.25">
      <c r="B10" s="104"/>
      <c r="C10" s="87"/>
      <c r="D10" s="87"/>
      <c r="E10" s="87"/>
      <c r="F10" s="87"/>
      <c r="G10" s="87"/>
      <c r="H10" s="83"/>
      <c r="I10" s="106"/>
    </row>
    <row r="11" spans="1:36" ht="15" customHeight="1" x14ac:dyDescent="0.25">
      <c r="B11" s="309" t="s">
        <v>135</v>
      </c>
      <c r="C11" s="311">
        <f>('BG PESIMISTA'!D20-'BG PESIMISTA'!D18)/'BG PESIMISTA'!D42</f>
        <v>1.0191479940749057</v>
      </c>
      <c r="D11" s="311">
        <f>('BG PESIMISTA'!E20-'BG PESIMISTA'!E18)/'BG PESIMISTA'!E42</f>
        <v>1.1742513812967792</v>
      </c>
      <c r="E11" s="311">
        <f>('BG PESIMISTA'!F20-'BG PESIMISTA'!F18)/'BG PESIMISTA'!F42</f>
        <v>1.1468725869154008</v>
      </c>
      <c r="F11" s="311">
        <f>('BG PESIMISTA'!G20-'BG PESIMISTA'!G18)/'BG PESIMISTA'!G42</f>
        <v>1.0834692930707548</v>
      </c>
      <c r="G11" s="311">
        <f>('BG PESIMISTA'!H20-'BG PESIMISTA'!H18)/'BG PESIMISTA'!H42</f>
        <v>0.98679013233937152</v>
      </c>
      <c r="H11" s="32" t="s">
        <v>136</v>
      </c>
      <c r="I11" s="321" t="s">
        <v>281</v>
      </c>
    </row>
    <row r="12" spans="1:36" ht="22.5" customHeight="1" x14ac:dyDescent="0.25">
      <c r="B12" s="310"/>
      <c r="C12" s="312"/>
      <c r="D12" s="312"/>
      <c r="E12" s="312"/>
      <c r="F12" s="312"/>
      <c r="G12" s="312"/>
      <c r="H12" s="33" t="s">
        <v>87</v>
      </c>
      <c r="I12" s="322"/>
    </row>
    <row r="15" spans="1:36" x14ac:dyDescent="0.2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</row>
    <row r="16" spans="1:36" ht="20.25" x14ac:dyDescent="0.3">
      <c r="A16" s="83"/>
      <c r="B16" s="475" t="s">
        <v>156</v>
      </c>
      <c r="C16" s="476"/>
      <c r="D16" s="476"/>
      <c r="E16" s="476"/>
      <c r="F16" s="476"/>
      <c r="G16" s="476"/>
      <c r="H16" s="476"/>
      <c r="I16" s="477"/>
      <c r="J16" s="85"/>
      <c r="K16" s="85"/>
      <c r="L16" s="85"/>
      <c r="M16" s="85"/>
      <c r="N16" s="85"/>
      <c r="O16" s="85"/>
      <c r="P16" s="85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</row>
    <row r="17" spans="1:34" x14ac:dyDescent="0.25">
      <c r="A17" s="83"/>
      <c r="B17" s="109"/>
      <c r="C17" s="83"/>
      <c r="D17" s="83"/>
      <c r="E17" s="83"/>
      <c r="F17" s="83"/>
      <c r="G17" s="83"/>
      <c r="H17" s="83"/>
      <c r="I17" s="110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</row>
    <row r="18" spans="1:34" s="83" customFormat="1" ht="15" customHeight="1" x14ac:dyDescent="0.2">
      <c r="B18" s="30" t="s">
        <v>83</v>
      </c>
      <c r="C18" s="34">
        <v>2014</v>
      </c>
      <c r="D18" s="34">
        <v>2015</v>
      </c>
      <c r="E18" s="34">
        <v>2016</v>
      </c>
      <c r="F18" s="34">
        <v>2017</v>
      </c>
      <c r="G18" s="34">
        <v>2018</v>
      </c>
      <c r="H18" s="31" t="s">
        <v>84</v>
      </c>
      <c r="I18" s="31" t="s">
        <v>85</v>
      </c>
      <c r="J18" s="103"/>
    </row>
    <row r="19" spans="1:34" s="83" customFormat="1" ht="9" customHeight="1" x14ac:dyDescent="0.2">
      <c r="B19" s="104"/>
      <c r="C19" s="86"/>
      <c r="D19" s="86"/>
      <c r="E19" s="86"/>
      <c r="F19" s="86"/>
      <c r="G19" s="86"/>
      <c r="I19" s="105"/>
    </row>
    <row r="20" spans="1:34" s="83" customFormat="1" ht="20.100000000000001" customHeight="1" x14ac:dyDescent="0.2">
      <c r="B20" s="326" t="s">
        <v>137</v>
      </c>
      <c r="C20" s="311">
        <f>'ER PESIMISTA'!E20/(('BG PESIMISTA'!D18+96345.96)/2)</f>
        <v>21.517869014580683</v>
      </c>
      <c r="D20" s="311">
        <f>+'ER PESIMISTA'!F20/(('BG PESIMISTA'!E18+'BG PESIMISTA'!D18)/2)</f>
        <v>10.513407081137979</v>
      </c>
      <c r="E20" s="311">
        <f>+'ER PESIMISTA'!G20/(('BG PESIMISTA'!F18+'BG PESIMISTA'!E18)/2)</f>
        <v>8.1560571068137371</v>
      </c>
      <c r="F20" s="311">
        <f>+'ER PESIMISTA'!H20/(('BG PESIMISTA'!G18+'BG PESIMISTA'!F18)/2)</f>
        <v>8.163070736707386</v>
      </c>
      <c r="G20" s="311">
        <f>+'ER PESIMISTA'!I20/(('BG PESIMISTA'!H18+'BG PESIMISTA'!G18)/2)</f>
        <v>8.1704638039782811</v>
      </c>
      <c r="H20" s="32" t="s">
        <v>138</v>
      </c>
      <c r="I20" s="321" t="s">
        <v>266</v>
      </c>
      <c r="J20" s="308"/>
    </row>
    <row r="21" spans="1:34" s="83" customFormat="1" ht="20.100000000000001" customHeight="1" x14ac:dyDescent="0.2">
      <c r="B21" s="327"/>
      <c r="C21" s="312"/>
      <c r="D21" s="312"/>
      <c r="E21" s="312"/>
      <c r="F21" s="312"/>
      <c r="G21" s="312"/>
      <c r="H21" s="33" t="s">
        <v>139</v>
      </c>
      <c r="I21" s="322"/>
      <c r="J21" s="308"/>
    </row>
    <row r="22" spans="1:34" s="83" customFormat="1" ht="9" customHeight="1" x14ac:dyDescent="0.2">
      <c r="B22" s="104"/>
      <c r="C22" s="87"/>
      <c r="D22" s="87"/>
      <c r="E22" s="87"/>
      <c r="F22" s="87"/>
      <c r="G22" s="87"/>
      <c r="I22" s="106"/>
    </row>
    <row r="23" spans="1:34" s="83" customFormat="1" ht="20.100000000000001" customHeight="1" x14ac:dyDescent="0.2">
      <c r="B23" s="326" t="s">
        <v>140</v>
      </c>
      <c r="C23" s="311">
        <f>365/C20</f>
        <v>16.962646243114179</v>
      </c>
      <c r="D23" s="311">
        <f t="shared" ref="D23:G23" si="0">365/D20</f>
        <v>34.717575109865535</v>
      </c>
      <c r="E23" s="311">
        <f t="shared" si="0"/>
        <v>44.752016227923605</v>
      </c>
      <c r="F23" s="311">
        <f t="shared" si="0"/>
        <v>44.713565736810523</v>
      </c>
      <c r="G23" s="311">
        <f t="shared" si="0"/>
        <v>44.673106540448515</v>
      </c>
      <c r="H23" s="32" t="s">
        <v>141</v>
      </c>
      <c r="I23" s="321" t="s">
        <v>267</v>
      </c>
      <c r="J23" s="308"/>
    </row>
    <row r="24" spans="1:34" s="83" customFormat="1" ht="20.100000000000001" customHeight="1" x14ac:dyDescent="0.2">
      <c r="B24" s="327"/>
      <c r="C24" s="312"/>
      <c r="D24" s="312"/>
      <c r="E24" s="312"/>
      <c r="F24" s="312"/>
      <c r="G24" s="312"/>
      <c r="H24" s="33" t="s">
        <v>137</v>
      </c>
      <c r="I24" s="322"/>
      <c r="J24" s="308"/>
    </row>
    <row r="25" spans="1:34" s="83" customFormat="1" ht="9" customHeight="1" x14ac:dyDescent="0.2">
      <c r="B25" s="104"/>
      <c r="C25" s="87"/>
      <c r="D25" s="87"/>
      <c r="E25" s="87"/>
      <c r="F25" s="87"/>
      <c r="G25" s="87"/>
      <c r="I25" s="106"/>
    </row>
    <row r="26" spans="1:34" s="83" customFormat="1" ht="20.100000000000001" customHeight="1" x14ac:dyDescent="0.2">
      <c r="B26" s="326" t="s">
        <v>142</v>
      </c>
      <c r="C26" s="311">
        <f>'ER PESIMISTA'!E13/'BG PESIMISTA'!D27</f>
        <v>14.111362573049352</v>
      </c>
      <c r="D26" s="311">
        <f>'ER PESIMISTA'!F13/'BG PESIMISTA'!E27</f>
        <v>8.9863941898878466</v>
      </c>
      <c r="E26" s="311">
        <f>'ER PESIMISTA'!G13/'BG PESIMISTA'!F27</f>
        <v>10.804715021363727</v>
      </c>
      <c r="F26" s="311">
        <f>'ER PESIMISTA'!H13/'BG PESIMISTA'!G27</f>
        <v>13.545540542973411</v>
      </c>
      <c r="G26" s="311">
        <f>'ER PESIMISTA'!I13/'BG PESIMISTA'!H27</f>
        <v>18.149517721146875</v>
      </c>
      <c r="H26" s="32" t="s">
        <v>143</v>
      </c>
      <c r="I26" s="321" t="s">
        <v>268</v>
      </c>
      <c r="J26" s="308"/>
    </row>
    <row r="27" spans="1:34" s="83" customFormat="1" ht="20.100000000000001" customHeight="1" x14ac:dyDescent="0.2">
      <c r="B27" s="327"/>
      <c r="C27" s="312"/>
      <c r="D27" s="312"/>
      <c r="E27" s="312"/>
      <c r="F27" s="312"/>
      <c r="G27" s="312"/>
      <c r="H27" s="33" t="s">
        <v>70</v>
      </c>
      <c r="I27" s="322"/>
      <c r="J27" s="308"/>
    </row>
    <row r="28" spans="1:34" s="83" customFormat="1" ht="9" customHeight="1" x14ac:dyDescent="0.2">
      <c r="B28" s="104"/>
      <c r="C28" s="87"/>
      <c r="D28" s="87"/>
      <c r="E28" s="87"/>
      <c r="F28" s="87"/>
      <c r="G28" s="87"/>
      <c r="I28" s="106"/>
    </row>
    <row r="29" spans="1:34" s="83" customFormat="1" ht="20.100000000000001" customHeight="1" x14ac:dyDescent="0.2">
      <c r="B29" s="309" t="s">
        <v>144</v>
      </c>
      <c r="C29" s="311">
        <f>'ER PESIMISTA'!E13/'BG PESIMISTA'!D29</f>
        <v>3.0422984228316294</v>
      </c>
      <c r="D29" s="311">
        <f>'ER PESIMISTA'!F13/'BG PESIMISTA'!E29</f>
        <v>1.9216858898716058</v>
      </c>
      <c r="E29" s="311">
        <f>'ER PESIMISTA'!G13/'BG PESIMISTA'!F29</f>
        <v>2.052314637138779</v>
      </c>
      <c r="F29" s="311">
        <f>'ER PESIMISTA'!H13/'BG PESIMISTA'!G29</f>
        <v>2.209308029877644</v>
      </c>
      <c r="G29" s="311">
        <f>'ER PESIMISTA'!I13/'BG PESIMISTA'!H29</f>
        <v>2.4410319206737969</v>
      </c>
      <c r="H29" s="32" t="s">
        <v>69</v>
      </c>
      <c r="I29" s="321" t="s">
        <v>269</v>
      </c>
      <c r="J29" s="308"/>
    </row>
    <row r="30" spans="1:34" s="83" customFormat="1" ht="20.100000000000001" customHeight="1" x14ac:dyDescent="0.2">
      <c r="B30" s="310"/>
      <c r="C30" s="312"/>
      <c r="D30" s="312"/>
      <c r="E30" s="312"/>
      <c r="F30" s="312"/>
      <c r="G30" s="312"/>
      <c r="H30" s="33" t="s">
        <v>145</v>
      </c>
      <c r="I30" s="322"/>
      <c r="J30" s="308"/>
    </row>
    <row r="31" spans="1:34" s="83" customFormat="1" ht="9" customHeight="1" x14ac:dyDescent="0.2">
      <c r="B31" s="104"/>
      <c r="C31" s="87"/>
      <c r="D31" s="87"/>
      <c r="E31" s="87"/>
      <c r="F31" s="87"/>
      <c r="G31" s="87"/>
      <c r="I31" s="106"/>
    </row>
    <row r="32" spans="1:34" s="83" customFormat="1" ht="20.100000000000001" customHeight="1" x14ac:dyDescent="0.2">
      <c r="B32" s="313" t="s">
        <v>146</v>
      </c>
      <c r="C32" s="311">
        <f>'ER PESIMISTA'!E13/'BG PESIMISTA'!D12</f>
        <v>5.745011648740971</v>
      </c>
      <c r="D32" s="311">
        <f>'ER PESIMISTA'!F13/'BG PESIMISTA'!E12</f>
        <v>3.6921922140572709</v>
      </c>
      <c r="E32" s="311">
        <f>'ER PESIMISTA'!G13/'BG PESIMISTA'!F12</f>
        <v>3.6921922140572709</v>
      </c>
      <c r="F32" s="311">
        <f>'ER PESIMISTA'!H13/'BG PESIMISTA'!G12</f>
        <v>3.6921922140572709</v>
      </c>
      <c r="G32" s="311">
        <f>'ER PESIMISTA'!I13/'BG PESIMISTA'!H12</f>
        <v>3.6921922140572709</v>
      </c>
      <c r="H32" s="32" t="s">
        <v>69</v>
      </c>
      <c r="I32" s="321" t="s">
        <v>270</v>
      </c>
      <c r="J32" s="308"/>
    </row>
    <row r="33" spans="1:34" s="83" customFormat="1" ht="20.100000000000001" customHeight="1" x14ac:dyDescent="0.2">
      <c r="B33" s="314"/>
      <c r="C33" s="312"/>
      <c r="D33" s="312"/>
      <c r="E33" s="312"/>
      <c r="F33" s="312"/>
      <c r="G33" s="312"/>
      <c r="H33" s="33" t="s">
        <v>7</v>
      </c>
      <c r="I33" s="322"/>
      <c r="J33" s="308"/>
    </row>
    <row r="34" spans="1:34" s="83" customFormat="1" ht="9" customHeight="1" x14ac:dyDescent="0.2">
      <c r="B34" s="104"/>
      <c r="C34" s="89"/>
      <c r="D34" s="89"/>
      <c r="E34" s="89"/>
      <c r="F34" s="89"/>
      <c r="G34" s="89"/>
      <c r="I34" s="106"/>
    </row>
    <row r="35" spans="1:34" s="83" customFormat="1" ht="20.100000000000001" customHeight="1" x14ac:dyDescent="0.2">
      <c r="B35" s="326" t="s">
        <v>147</v>
      </c>
      <c r="C35" s="311">
        <f>('BG PESIMISTA'!D12*365)/'ER PESIMISTA'!E13</f>
        <v>63.533378575479539</v>
      </c>
      <c r="D35" s="311">
        <f>('BG PESIMISTA'!E12*365)/'ER PESIMISTA'!F13</f>
        <v>98.857258462963202</v>
      </c>
      <c r="E35" s="311">
        <f>('BG PESIMISTA'!F12*365)/'ER PESIMISTA'!G13</f>
        <v>98.857258462963202</v>
      </c>
      <c r="F35" s="311">
        <f>('BG PESIMISTA'!G12*365)/'ER PESIMISTA'!H13</f>
        <v>98.857258462963202</v>
      </c>
      <c r="G35" s="311">
        <f>('BG PESIMISTA'!H12*365)/'ER PESIMISTA'!I13</f>
        <v>98.857258462963202</v>
      </c>
      <c r="H35" s="32" t="s">
        <v>148</v>
      </c>
      <c r="I35" s="321" t="s">
        <v>271</v>
      </c>
      <c r="J35" s="308"/>
    </row>
    <row r="36" spans="1:34" s="83" customFormat="1" ht="20.100000000000001" customHeight="1" x14ac:dyDescent="0.2">
      <c r="B36" s="327"/>
      <c r="C36" s="312"/>
      <c r="D36" s="312"/>
      <c r="E36" s="312"/>
      <c r="F36" s="312"/>
      <c r="G36" s="312"/>
      <c r="H36" s="100" t="s">
        <v>69</v>
      </c>
      <c r="I36" s="322"/>
      <c r="J36" s="308"/>
    </row>
    <row r="37" spans="1:34" s="83" customFormat="1" ht="9" customHeight="1" x14ac:dyDescent="0.2">
      <c r="B37" s="104"/>
      <c r="C37" s="89"/>
      <c r="D37" s="89"/>
      <c r="E37" s="89"/>
      <c r="F37" s="89"/>
      <c r="G37" s="89"/>
      <c r="I37" s="106"/>
    </row>
    <row r="38" spans="1:34" s="83" customFormat="1" ht="19.5" customHeight="1" x14ac:dyDescent="0.2">
      <c r="B38" s="326" t="s">
        <v>149</v>
      </c>
      <c r="C38" s="311">
        <f>('BG PESIMISTA'!D37*365)/'BG PESIMISTA'!D18</f>
        <v>2091.0883729478169</v>
      </c>
      <c r="D38" s="311">
        <f>('BG PESIMISTA'!E37*365)/'BG PESIMISTA'!E18</f>
        <v>435.61857151126753</v>
      </c>
      <c r="E38" s="311">
        <f>('BG PESIMISTA'!F37*365)/'BG PESIMISTA'!F18</f>
        <v>435.61857151126753</v>
      </c>
      <c r="F38" s="311">
        <f>('BG PESIMISTA'!G37*365)/'BG PESIMISTA'!G18</f>
        <v>435.61857151126753</v>
      </c>
      <c r="G38" s="311">
        <f>('BG PESIMISTA'!H37*365)/'BG PESIMISTA'!H18</f>
        <v>435.61857151126753</v>
      </c>
      <c r="H38" s="102" t="s">
        <v>150</v>
      </c>
      <c r="I38" s="321" t="s">
        <v>151</v>
      </c>
      <c r="J38" s="308"/>
    </row>
    <row r="39" spans="1:34" s="83" customFormat="1" ht="20.100000000000001" customHeight="1" x14ac:dyDescent="0.2">
      <c r="B39" s="327"/>
      <c r="C39" s="312"/>
      <c r="D39" s="312"/>
      <c r="E39" s="312"/>
      <c r="F39" s="312"/>
      <c r="G39" s="312"/>
      <c r="H39" s="101" t="s">
        <v>13</v>
      </c>
      <c r="I39" s="322"/>
      <c r="J39" s="308"/>
    </row>
    <row r="40" spans="1:34" s="83" customFormat="1" ht="9" customHeight="1" x14ac:dyDescent="0.2">
      <c r="B40" s="104"/>
      <c r="C40" s="89"/>
      <c r="D40" s="89"/>
      <c r="E40" s="89"/>
      <c r="F40" s="89"/>
      <c r="G40" s="89"/>
      <c r="I40" s="106"/>
    </row>
    <row r="41" spans="1:34" s="83" customFormat="1" ht="19.5" customHeight="1" x14ac:dyDescent="0.2">
      <c r="B41" s="326" t="s">
        <v>152</v>
      </c>
      <c r="C41" s="329">
        <f>('ER PESIMISTA'!E32+'ER PESIMISTA'!E34)/'ER PESIMISTA'!E13</f>
        <v>7.8336848004671278E-2</v>
      </c>
      <c r="D41" s="329">
        <f>('ER PESIMISTA'!F32+'ER PESIMISTA'!F34)/'ER PESIMISTA'!F13</f>
        <v>0.14434519326494208</v>
      </c>
      <c r="E41" s="329">
        <f>('ER PESIMISTA'!G32+'ER PESIMISTA'!G34)/'ER PESIMISTA'!G13</f>
        <v>0.15114112930441928</v>
      </c>
      <c r="F41" s="329">
        <f>('ER PESIMISTA'!H32+'ER PESIMISTA'!H34)/'ER PESIMISTA'!H13</f>
        <v>0.15830472548363217</v>
      </c>
      <c r="G41" s="329">
        <f>('ER PESIMISTA'!I32+'ER PESIMISTA'!I34)/'ER PESIMISTA'!I13</f>
        <v>0.16585587221614051</v>
      </c>
      <c r="H41" s="102" t="s">
        <v>154</v>
      </c>
      <c r="I41" s="321" t="s">
        <v>173</v>
      </c>
      <c r="J41" s="308"/>
    </row>
    <row r="42" spans="1:34" s="83" customFormat="1" ht="20.100000000000001" customHeight="1" x14ac:dyDescent="0.2">
      <c r="B42" s="327"/>
      <c r="C42" s="330"/>
      <c r="D42" s="330"/>
      <c r="E42" s="330"/>
      <c r="F42" s="330"/>
      <c r="G42" s="330"/>
      <c r="H42" s="101" t="s">
        <v>69</v>
      </c>
      <c r="I42" s="322"/>
      <c r="J42" s="308"/>
    </row>
    <row r="43" spans="1:34" s="83" customFormat="1" ht="9" customHeight="1" x14ac:dyDescent="0.2">
      <c r="B43" s="104"/>
      <c r="C43" s="239"/>
      <c r="D43" s="239"/>
      <c r="E43" s="239"/>
      <c r="F43" s="239"/>
      <c r="G43" s="239"/>
      <c r="I43" s="106"/>
    </row>
    <row r="44" spans="1:34" s="83" customFormat="1" ht="19.5" customHeight="1" x14ac:dyDescent="0.2">
      <c r="B44" s="326" t="s">
        <v>153</v>
      </c>
      <c r="C44" s="329">
        <f>('ER PESIMISTA'!E42/'ER PESIMISTA'!E13)</f>
        <v>3.744109780257414E-3</v>
      </c>
      <c r="D44" s="329">
        <f>('ER PESIMISTA'!F42/'ER PESIMISTA'!F13)</f>
        <v>2.2042844300270144E-3</v>
      </c>
      <c r="E44" s="329">
        <f>('ER PESIMISTA'!G42/'ER PESIMISTA'!G13)</f>
        <v>2.2042844300270144E-3</v>
      </c>
      <c r="F44" s="329">
        <f>('ER PESIMISTA'!H42/'ER PESIMISTA'!H13)</f>
        <v>2.2042844300270144E-3</v>
      </c>
      <c r="G44" s="329">
        <f>('ER PESIMISTA'!I42/'ER PESIMISTA'!I13)</f>
        <v>2.2042844300270144E-3</v>
      </c>
      <c r="H44" s="102" t="s">
        <v>155</v>
      </c>
      <c r="I44" s="321" t="s">
        <v>174</v>
      </c>
      <c r="J44" s="308"/>
    </row>
    <row r="45" spans="1:34" s="83" customFormat="1" ht="20.100000000000001" customHeight="1" x14ac:dyDescent="0.2">
      <c r="B45" s="327"/>
      <c r="C45" s="330"/>
      <c r="D45" s="330"/>
      <c r="E45" s="330"/>
      <c r="F45" s="330"/>
      <c r="G45" s="330"/>
      <c r="H45" s="101" t="s">
        <v>69</v>
      </c>
      <c r="I45" s="322"/>
      <c r="J45" s="308"/>
    </row>
    <row r="46" spans="1:34" x14ac:dyDescent="0.25">
      <c r="A46" s="93"/>
      <c r="B46" s="93"/>
      <c r="C46" s="93"/>
      <c r="D46" s="93"/>
      <c r="E46" s="93"/>
      <c r="F46" s="93"/>
      <c r="G46" s="93"/>
      <c r="H46" s="93"/>
      <c r="I46" s="93"/>
      <c r="J46" s="93"/>
    </row>
    <row r="47" spans="1:34" x14ac:dyDescent="0.25">
      <c r="A47" s="93"/>
      <c r="B47" s="93"/>
      <c r="C47" s="93"/>
      <c r="D47" s="93"/>
      <c r="E47" s="93"/>
      <c r="F47" s="93"/>
      <c r="G47" s="93"/>
      <c r="H47" s="93"/>
      <c r="I47" s="93"/>
      <c r="J47" s="93"/>
    </row>
    <row r="48" spans="1:34" ht="20.25" x14ac:dyDescent="0.3">
      <c r="A48" s="83"/>
      <c r="B48" s="475" t="s">
        <v>88</v>
      </c>
      <c r="C48" s="476"/>
      <c r="D48" s="476"/>
      <c r="E48" s="476"/>
      <c r="F48" s="476"/>
      <c r="G48" s="476"/>
      <c r="H48" s="476"/>
      <c r="I48" s="477"/>
      <c r="J48" s="85"/>
      <c r="K48" s="85"/>
      <c r="L48" s="85"/>
      <c r="M48" s="85"/>
      <c r="N48" s="85"/>
      <c r="O48" s="85"/>
      <c r="P48" s="85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</row>
    <row r="49" spans="1:42" x14ac:dyDescent="0.25">
      <c r="A49" s="83"/>
      <c r="B49" s="109"/>
      <c r="C49" s="83"/>
      <c r="D49" s="83"/>
      <c r="E49" s="83"/>
      <c r="F49" s="83"/>
      <c r="G49" s="83"/>
      <c r="H49" s="83"/>
      <c r="I49" s="110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</row>
    <row r="50" spans="1:42" ht="15" customHeight="1" x14ac:dyDescent="0.25">
      <c r="B50" s="35" t="s">
        <v>83</v>
      </c>
      <c r="C50" s="78">
        <v>2014</v>
      </c>
      <c r="D50" s="78">
        <v>2015</v>
      </c>
      <c r="E50" s="78">
        <v>2016</v>
      </c>
      <c r="F50" s="78">
        <v>2017</v>
      </c>
      <c r="G50" s="78">
        <v>2018</v>
      </c>
      <c r="H50" s="78" t="s">
        <v>84</v>
      </c>
      <c r="I50" s="78" t="s">
        <v>85</v>
      </c>
    </row>
    <row r="51" spans="1:42" ht="9" customHeight="1" x14ac:dyDescent="0.25">
      <c r="B51" s="104"/>
      <c r="C51" s="112"/>
      <c r="D51" s="112"/>
      <c r="E51" s="112"/>
      <c r="F51" s="112"/>
      <c r="G51" s="112"/>
      <c r="H51" s="93"/>
      <c r="I51" s="106"/>
    </row>
    <row r="52" spans="1:42" ht="20.100000000000001" customHeight="1" x14ac:dyDescent="0.25">
      <c r="B52" s="326" t="s">
        <v>157</v>
      </c>
      <c r="C52" s="311">
        <f>+'BG PESIMISTA'!D51/'BG PESIMISTA'!D29</f>
        <v>0.69574792729444135</v>
      </c>
      <c r="D52" s="311">
        <f>+'BG PESIMISTA'!E51/'BG PESIMISTA'!E29</f>
        <v>0.63034466402298628</v>
      </c>
      <c r="E52" s="311">
        <f>+'BG PESIMISTA'!F51/'BG PESIMISTA'!F29</f>
        <v>0.66003268849956054</v>
      </c>
      <c r="F52" s="311">
        <f>+'BG PESIMISTA'!G51/'BG PESIMISTA'!G29</f>
        <v>0.71052239861075606</v>
      </c>
      <c r="G52" s="311">
        <f>+'BG PESIMISTA'!H51/'BG PESIMISTA'!H29</f>
        <v>0.78504573916685672</v>
      </c>
      <c r="H52" s="32" t="s">
        <v>161</v>
      </c>
      <c r="I52" s="321" t="s">
        <v>272</v>
      </c>
      <c r="Q52" s="83"/>
    </row>
    <row r="53" spans="1:42" ht="20.100000000000001" customHeight="1" x14ac:dyDescent="0.25">
      <c r="B53" s="328"/>
      <c r="C53" s="312"/>
      <c r="D53" s="312"/>
      <c r="E53" s="312"/>
      <c r="F53" s="312"/>
      <c r="G53" s="312"/>
      <c r="H53" s="33" t="s">
        <v>145</v>
      </c>
      <c r="I53" s="322"/>
      <c r="Q53" s="83"/>
    </row>
    <row r="54" spans="1:42" ht="9" customHeight="1" x14ac:dyDescent="0.25">
      <c r="B54" s="113"/>
      <c r="C54" s="114"/>
      <c r="D54" s="114"/>
      <c r="E54" s="114"/>
      <c r="F54" s="114"/>
      <c r="G54" s="114"/>
      <c r="H54" s="93"/>
      <c r="I54" s="106"/>
      <c r="Q54" s="83"/>
    </row>
    <row r="55" spans="1:42" ht="20.100000000000001" customHeight="1" x14ac:dyDescent="0.25">
      <c r="B55" s="326" t="s">
        <v>158</v>
      </c>
      <c r="C55" s="311">
        <f>+'BG PESIMISTA'!D51/'BG PESIMISTA'!D60</f>
        <v>2.1997373555932431</v>
      </c>
      <c r="D55" s="311">
        <f>+'BG PESIMISTA'!E51/'BG PESIMISTA'!E60</f>
        <v>1.7052227277618837</v>
      </c>
      <c r="E55" s="311">
        <f>+'BG PESIMISTA'!F51/'BG PESIMISTA'!F60</f>
        <v>1.941459270264895</v>
      </c>
      <c r="F55" s="311">
        <f>+'BG PESIMISTA'!G51/'BG PESIMISTA'!G60</f>
        <v>2.4544987080204499</v>
      </c>
      <c r="G55" s="311">
        <f>+'BG PESIMISTA'!H51/'BG PESIMISTA'!H60</f>
        <v>3.6521524910652849</v>
      </c>
      <c r="H55" s="32" t="s">
        <v>162</v>
      </c>
      <c r="I55" s="321" t="s">
        <v>273</v>
      </c>
    </row>
    <row r="56" spans="1:42" ht="20.100000000000001" customHeight="1" x14ac:dyDescent="0.25">
      <c r="B56" s="328"/>
      <c r="C56" s="312"/>
      <c r="D56" s="312"/>
      <c r="E56" s="312"/>
      <c r="F56" s="312"/>
      <c r="G56" s="312"/>
      <c r="H56" s="33" t="s">
        <v>35</v>
      </c>
      <c r="I56" s="322"/>
    </row>
    <row r="57" spans="1:42" ht="9" customHeight="1" x14ac:dyDescent="0.25">
      <c r="B57" s="113"/>
      <c r="C57" s="114"/>
      <c r="D57" s="114"/>
      <c r="E57" s="114"/>
      <c r="F57" s="114"/>
      <c r="G57" s="114"/>
      <c r="H57" s="93"/>
      <c r="I57" s="106"/>
    </row>
    <row r="58" spans="1:42" ht="20.100000000000001" customHeight="1" x14ac:dyDescent="0.25">
      <c r="B58" s="326" t="s">
        <v>159</v>
      </c>
      <c r="C58" s="311">
        <f>'BG PESIMISTA'!D60/'BG PESIMISTA'!D27</f>
        <v>1.4670611941847931</v>
      </c>
      <c r="D58" s="311">
        <f>'BG PESIMISTA'!E60/'BG PESIMISTA'!E27</f>
        <v>1.728621984981823</v>
      </c>
      <c r="E58" s="311">
        <f>'BG PESIMISTA'!F60/'BG PESIMISTA'!F27</f>
        <v>1.7898083709340356</v>
      </c>
      <c r="F58" s="311">
        <f>'BG PESIMISTA'!G60/'BG PESIMISTA'!G27</f>
        <v>1.774822945860496</v>
      </c>
      <c r="G58" s="311">
        <f>'BG PESIMISTA'!H60/'BG PESIMISTA'!H27</f>
        <v>1.5982241498711169</v>
      </c>
      <c r="H58" s="32" t="s">
        <v>35</v>
      </c>
      <c r="I58" s="321" t="s">
        <v>175</v>
      </c>
    </row>
    <row r="59" spans="1:42" ht="20.100000000000001" customHeight="1" x14ac:dyDescent="0.25">
      <c r="B59" s="328"/>
      <c r="C59" s="312"/>
      <c r="D59" s="312"/>
      <c r="E59" s="312"/>
      <c r="F59" s="312"/>
      <c r="G59" s="312"/>
      <c r="H59" s="33" t="s">
        <v>163</v>
      </c>
      <c r="I59" s="322"/>
    </row>
    <row r="60" spans="1:42" ht="9" customHeight="1" x14ac:dyDescent="0.25">
      <c r="B60" s="113"/>
      <c r="C60" s="114"/>
      <c r="D60" s="114"/>
      <c r="E60" s="114"/>
      <c r="F60" s="114"/>
      <c r="G60" s="114"/>
      <c r="H60" s="93"/>
      <c r="I60" s="106"/>
    </row>
    <row r="61" spans="1:42" ht="20.100000000000001" customHeight="1" x14ac:dyDescent="0.25">
      <c r="B61" s="326" t="s">
        <v>95</v>
      </c>
      <c r="C61" s="311">
        <f>'BG PESIMISTA'!D29/'BG PESIMISTA'!D60</f>
        <v>3.1616872566870207</v>
      </c>
      <c r="D61" s="311">
        <f>'BG PESIMISTA'!E29/'BG PESIMISTA'!E60</f>
        <v>2.7052227536579903</v>
      </c>
      <c r="E61" s="311">
        <f>'BG PESIMISTA'!F29/'BG PESIMISTA'!F60</f>
        <v>2.9414592702648963</v>
      </c>
      <c r="F61" s="311">
        <f>'BG PESIMISTA'!G29/'BG PESIMISTA'!G60</f>
        <v>3.454498708020453</v>
      </c>
      <c r="G61" s="311">
        <f>'BG PESIMISTA'!H29/'BG PESIMISTA'!H60</f>
        <v>4.6521524910652907</v>
      </c>
      <c r="H61" s="32" t="s">
        <v>145</v>
      </c>
      <c r="I61" s="321" t="s">
        <v>282</v>
      </c>
    </row>
    <row r="62" spans="1:42" ht="20.100000000000001" customHeight="1" x14ac:dyDescent="0.25">
      <c r="B62" s="328"/>
      <c r="C62" s="312"/>
      <c r="D62" s="312"/>
      <c r="E62" s="312"/>
      <c r="F62" s="312"/>
      <c r="G62" s="312"/>
      <c r="H62" s="33" t="s">
        <v>35</v>
      </c>
      <c r="I62" s="322"/>
    </row>
    <row r="63" spans="1:42" ht="9" customHeight="1" x14ac:dyDescent="0.25">
      <c r="B63" s="113"/>
      <c r="C63" s="114"/>
      <c r="D63" s="114"/>
      <c r="E63" s="114"/>
      <c r="F63" s="114"/>
      <c r="G63" s="114"/>
      <c r="H63" s="93"/>
      <c r="I63" s="106"/>
    </row>
    <row r="64" spans="1:42" ht="20.100000000000001" customHeight="1" x14ac:dyDescent="0.25">
      <c r="B64" s="326" t="s">
        <v>160</v>
      </c>
      <c r="C64" s="311">
        <f>('ER PESIMISTA'!E44/'BG PESIMISTA'!D60)/(('ER PESIMISTA'!E44+'ER PESIMISTA'!E42)/'BG PESIMISTA'!D29)</f>
        <v>2.7686190823401806</v>
      </c>
      <c r="D64" s="311">
        <f>('ER PESIMISTA'!F44/'BG PESIMISTA'!E60)/(('ER PESIMISTA'!F44+'ER PESIMISTA'!F42)/'BG PESIMISTA'!E29)</f>
        <v>2.3595803842998513</v>
      </c>
      <c r="E64" s="311">
        <f>('ER PESIMISTA'!G44/'BG PESIMISTA'!F60)/(('ER PESIMISTA'!G44+'ER PESIMISTA'!G42)/'BG PESIMISTA'!F29)</f>
        <v>3.2060512545998185</v>
      </c>
      <c r="F64" s="311">
        <f>('ER PESIMISTA'!H44/'BG PESIMISTA'!G60)/(('ER PESIMISTA'!H44+'ER PESIMISTA'!H42)/'BG PESIMISTA'!G29)</f>
        <v>3.6893750520782551</v>
      </c>
      <c r="G64" s="311">
        <f>('ER PESIMISTA'!I44/'BG PESIMISTA'!H60)/(('ER PESIMISTA'!I44+'ER PESIMISTA'!I42)/'BG PESIMISTA'!H29)</f>
        <v>4.903718574646426</v>
      </c>
      <c r="H64" s="32" t="s">
        <v>165</v>
      </c>
      <c r="I64" s="321"/>
    </row>
    <row r="65" spans="2:16" ht="20.100000000000001" customHeight="1" x14ac:dyDescent="0.25">
      <c r="B65" s="328"/>
      <c r="C65" s="312"/>
      <c r="D65" s="312"/>
      <c r="E65" s="312"/>
      <c r="F65" s="312"/>
      <c r="G65" s="312"/>
      <c r="H65" s="33" t="s">
        <v>164</v>
      </c>
      <c r="I65" s="322"/>
    </row>
    <row r="66" spans="2:16" s="93" customFormat="1" x14ac:dyDescent="0.25">
      <c r="K66" s="88"/>
    </row>
    <row r="67" spans="2:16" s="93" customFormat="1" ht="15.75" customHeight="1" x14ac:dyDescent="0.25">
      <c r="K67" s="88"/>
    </row>
    <row r="68" spans="2:16" s="93" customFormat="1" x14ac:dyDescent="0.25">
      <c r="K68" s="88"/>
    </row>
    <row r="69" spans="2:16" ht="20.25" x14ac:dyDescent="0.3">
      <c r="B69" s="479" t="s">
        <v>73</v>
      </c>
      <c r="C69" s="480"/>
      <c r="D69" s="480"/>
      <c r="E69" s="480"/>
      <c r="F69" s="480"/>
      <c r="G69" s="480"/>
      <c r="H69" s="480"/>
      <c r="I69" s="481"/>
      <c r="J69" s="85"/>
      <c r="K69" s="85"/>
      <c r="L69" s="85"/>
      <c r="M69" s="85"/>
      <c r="N69" s="85"/>
      <c r="O69" s="85"/>
      <c r="P69" s="85"/>
    </row>
    <row r="70" spans="2:16" x14ac:dyDescent="0.25">
      <c r="B70" s="107"/>
      <c r="C70" s="93"/>
      <c r="D70" s="93"/>
      <c r="E70" s="93"/>
      <c r="F70" s="93"/>
      <c r="G70" s="93"/>
      <c r="H70" s="93"/>
      <c r="I70" s="108"/>
    </row>
    <row r="71" spans="2:16" ht="15" customHeight="1" x14ac:dyDescent="0.25">
      <c r="B71" s="35" t="s">
        <v>83</v>
      </c>
      <c r="C71" s="78">
        <v>2014</v>
      </c>
      <c r="D71" s="78">
        <v>2015</v>
      </c>
      <c r="E71" s="78">
        <v>2016</v>
      </c>
      <c r="F71" s="78">
        <v>2017</v>
      </c>
      <c r="G71" s="78">
        <v>2018</v>
      </c>
      <c r="H71" s="78" t="s">
        <v>84</v>
      </c>
      <c r="I71" s="31" t="s">
        <v>85</v>
      </c>
    </row>
    <row r="72" spans="2:16" ht="12" customHeight="1" x14ac:dyDescent="0.25">
      <c r="B72" s="104"/>
      <c r="C72" s="112"/>
      <c r="D72" s="112"/>
      <c r="E72" s="112"/>
      <c r="F72" s="112"/>
      <c r="G72" s="112"/>
      <c r="H72" s="93"/>
      <c r="I72" s="105"/>
    </row>
    <row r="73" spans="2:16" ht="20.100000000000001" customHeight="1" x14ac:dyDescent="0.25">
      <c r="B73" s="326" t="s">
        <v>166</v>
      </c>
      <c r="C73" s="329">
        <f>'ER PESIMISTA'!E22/'ER PESIMISTA'!E13</f>
        <v>8.1882930628049411E-2</v>
      </c>
      <c r="D73" s="329">
        <f>'ER PESIMISTA'!F22/'ER PESIMISTA'!F13</f>
        <v>0.16107053567542409</v>
      </c>
      <c r="E73" s="329">
        <f>'ER PESIMISTA'!G22/'ER PESIMISTA'!G13</f>
        <v>0.12610935501575382</v>
      </c>
      <c r="F73" s="329">
        <f>'ER PESIMISTA'!H22/'ER PESIMISTA'!H13</f>
        <v>0.12535787112210611</v>
      </c>
      <c r="G73" s="329">
        <f>'ER PESIMISTA'!I22/'ER PESIMISTA'!I13</f>
        <v>0.1245657319498121</v>
      </c>
      <c r="H73" s="32" t="s">
        <v>118</v>
      </c>
      <c r="I73" s="331" t="s">
        <v>274</v>
      </c>
    </row>
    <row r="74" spans="2:16" ht="20.100000000000001" customHeight="1" x14ac:dyDescent="0.25">
      <c r="B74" s="328"/>
      <c r="C74" s="330"/>
      <c r="D74" s="330"/>
      <c r="E74" s="330"/>
      <c r="F74" s="330"/>
      <c r="G74" s="330"/>
      <c r="H74" s="33" t="s">
        <v>69</v>
      </c>
      <c r="I74" s="332"/>
    </row>
    <row r="75" spans="2:16" ht="12" customHeight="1" x14ac:dyDescent="0.25">
      <c r="B75" s="104"/>
      <c r="C75" s="240"/>
      <c r="D75" s="240"/>
      <c r="E75" s="240"/>
      <c r="F75" s="240"/>
      <c r="G75" s="240"/>
      <c r="H75" s="93"/>
      <c r="I75" s="106"/>
    </row>
    <row r="76" spans="2:16" ht="20.100000000000001" customHeight="1" x14ac:dyDescent="0.25">
      <c r="B76" s="326" t="s">
        <v>167</v>
      </c>
      <c r="C76" s="329">
        <f>'ER PESIMISTA'!E36/'ER PESIMISTA'!E13</f>
        <v>3.5460826233781424E-3</v>
      </c>
      <c r="D76" s="329">
        <f>'ER PESIMISTA'!F36/'ER PESIMISTA'!F13</f>
        <v>1.6725342410482007E-2</v>
      </c>
      <c r="E76" s="329">
        <f>'ER PESIMISTA'!G36/'ER PESIMISTA'!G13</f>
        <v>-2.5031774288665452E-2</v>
      </c>
      <c r="F76" s="329">
        <f>'ER PESIMISTA'!H36/'ER PESIMISTA'!H13</f>
        <v>-3.2946854361526078E-2</v>
      </c>
      <c r="G76" s="329">
        <f>'ER PESIMISTA'!I36/'ER PESIMISTA'!I13</f>
        <v>-4.1290140266328407E-2</v>
      </c>
      <c r="H76" s="32" t="s">
        <v>128</v>
      </c>
      <c r="I76" s="331" t="s">
        <v>275</v>
      </c>
    </row>
    <row r="77" spans="2:16" ht="20.100000000000001" customHeight="1" x14ac:dyDescent="0.25">
      <c r="B77" s="328"/>
      <c r="C77" s="330"/>
      <c r="D77" s="330"/>
      <c r="E77" s="330"/>
      <c r="F77" s="330"/>
      <c r="G77" s="330"/>
      <c r="H77" s="33" t="s">
        <v>69</v>
      </c>
      <c r="I77" s="332"/>
    </row>
    <row r="78" spans="2:16" ht="12" customHeight="1" x14ac:dyDescent="0.25">
      <c r="B78" s="104"/>
      <c r="C78" s="240"/>
      <c r="D78" s="240"/>
      <c r="E78" s="240"/>
      <c r="F78" s="240"/>
      <c r="G78" s="240"/>
      <c r="H78" s="93"/>
      <c r="I78" s="106"/>
    </row>
    <row r="79" spans="2:16" ht="20.100000000000001" customHeight="1" x14ac:dyDescent="0.25">
      <c r="B79" s="326" t="s">
        <v>168</v>
      </c>
      <c r="C79" s="329">
        <f>'ER PESIMISTA'!E56/'ER PESIMISTA'!E13</f>
        <v>1.7259184110914868E-2</v>
      </c>
      <c r="D79" s="329">
        <f>'ER PESIMISTA'!F56/'ER PESIMISTA'!F13</f>
        <v>8.6354320371548575E-3</v>
      </c>
      <c r="E79" s="329">
        <f>'ER PESIMISTA'!G56/'ER PESIMISTA'!G13</f>
        <v>-2.6709232632827779E-2</v>
      </c>
      <c r="F79" s="329">
        <f>'ER PESIMISTA'!H56/'ER PESIMISTA'!H13</f>
        <v>-3.4624312705688401E-2</v>
      </c>
      <c r="G79" s="329">
        <f>'ER PESIMISTA'!I56/'ER PESIMISTA'!I13</f>
        <v>-4.2967598610490723E-2</v>
      </c>
      <c r="H79" s="32" t="s">
        <v>130</v>
      </c>
      <c r="I79" s="331" t="s">
        <v>276</v>
      </c>
    </row>
    <row r="80" spans="2:16" ht="20.100000000000001" customHeight="1" x14ac:dyDescent="0.25">
      <c r="B80" s="328"/>
      <c r="C80" s="330"/>
      <c r="D80" s="330"/>
      <c r="E80" s="330"/>
      <c r="F80" s="330"/>
      <c r="G80" s="330"/>
      <c r="H80" s="33" t="s">
        <v>69</v>
      </c>
      <c r="I80" s="332"/>
    </row>
    <row r="81" spans="2:16" ht="12" customHeight="1" x14ac:dyDescent="0.25">
      <c r="B81" s="104"/>
      <c r="C81" s="240"/>
      <c r="D81" s="240"/>
      <c r="E81" s="240"/>
      <c r="F81" s="240"/>
      <c r="G81" s="240"/>
      <c r="H81" s="93"/>
      <c r="I81" s="106"/>
    </row>
    <row r="82" spans="2:16" ht="20.100000000000001" customHeight="1" x14ac:dyDescent="0.25">
      <c r="B82" s="326" t="s">
        <v>169</v>
      </c>
      <c r="C82" s="329">
        <f>'ER PESIMISTA'!E56/'BG PESIMISTA'!D29</f>
        <v>5.2507588599997018E-2</v>
      </c>
      <c r="D82" s="329">
        <f>'ER PESIMISTA'!F56/'BG PESIMISTA'!E29</f>
        <v>1.6594587898745704E-2</v>
      </c>
      <c r="E82" s="329">
        <f>'ER PESIMISTA'!G56/'BG PESIMISTA'!F29</f>
        <v>-5.4815749079097184E-2</v>
      </c>
      <c r="F82" s="329">
        <f>'ER PESIMISTA'!H56/'BG PESIMISTA'!G29</f>
        <v>-7.6495772089671926E-2</v>
      </c>
      <c r="G82" s="329">
        <f>'ER PESIMISTA'!I56/'BG PESIMISTA'!H29</f>
        <v>-0.10488527976290694</v>
      </c>
      <c r="H82" s="32" t="s">
        <v>130</v>
      </c>
      <c r="I82" s="321" t="s">
        <v>277</v>
      </c>
    </row>
    <row r="83" spans="2:16" ht="20.100000000000001" customHeight="1" x14ac:dyDescent="0.25">
      <c r="B83" s="328"/>
      <c r="C83" s="330"/>
      <c r="D83" s="330"/>
      <c r="E83" s="330"/>
      <c r="F83" s="330"/>
      <c r="G83" s="330"/>
      <c r="H83" s="33" t="s">
        <v>171</v>
      </c>
      <c r="I83" s="322"/>
    </row>
    <row r="84" spans="2:16" x14ac:dyDescent="0.25">
      <c r="B84" s="107"/>
      <c r="C84" s="240"/>
      <c r="D84" s="240"/>
      <c r="E84" s="240"/>
      <c r="F84" s="240"/>
      <c r="G84" s="240"/>
      <c r="H84" s="93"/>
      <c r="I84" s="106"/>
    </row>
    <row r="85" spans="2:16" ht="20.100000000000001" customHeight="1" x14ac:dyDescent="0.25">
      <c r="B85" s="326" t="s">
        <v>170</v>
      </c>
      <c r="C85" s="329">
        <f>+'ER PESIMISTA'!E56/'BG PESIMISTA'!D60</f>
        <v>0.16601257375597525</v>
      </c>
      <c r="D85" s="329">
        <f>+'ER PESIMISTA'!F56/'BG PESIMISTA'!E60</f>
        <v>4.489205677126442E-2</v>
      </c>
      <c r="E85" s="329">
        <f>+'ER PESIMISTA'!G56/'BG PESIMISTA'!F60</f>
        <v>-0.16123829328522488</v>
      </c>
      <c r="F85" s="329">
        <f>+'ER PESIMISTA'!H56/'BG PESIMISTA'!G60</f>
        <v>-0.26425454585279867</v>
      </c>
      <c r="G85" s="329">
        <f>+'ER PESIMISTA'!I56/'BG PESIMISTA'!H60</f>
        <v>-0.48794231552508749</v>
      </c>
      <c r="H85" s="32" t="s">
        <v>130</v>
      </c>
      <c r="I85" s="321" t="s">
        <v>278</v>
      </c>
    </row>
    <row r="86" spans="2:16" ht="20.100000000000001" customHeight="1" x14ac:dyDescent="0.25">
      <c r="B86" s="328"/>
      <c r="C86" s="330"/>
      <c r="D86" s="330"/>
      <c r="E86" s="330"/>
      <c r="F86" s="330"/>
      <c r="G86" s="330"/>
      <c r="H86" s="33" t="s">
        <v>172</v>
      </c>
      <c r="I86" s="322"/>
    </row>
    <row r="89" spans="2:16" s="91" customFormat="1" x14ac:dyDescent="0.25"/>
    <row r="90" spans="2:16" ht="20.25" x14ac:dyDescent="0.3">
      <c r="B90" s="478" t="s">
        <v>103</v>
      </c>
      <c r="C90" s="478"/>
      <c r="D90" s="478"/>
      <c r="E90" s="478"/>
      <c r="F90" s="478"/>
      <c r="G90" s="478"/>
      <c r="H90" s="478"/>
      <c r="I90" s="478"/>
      <c r="J90" s="478"/>
      <c r="K90" s="478"/>
      <c r="L90" s="478"/>
      <c r="M90" s="85"/>
      <c r="N90" s="85"/>
      <c r="O90" s="85"/>
      <c r="P90" s="85"/>
    </row>
    <row r="91" spans="2:16" x14ac:dyDescent="0.25">
      <c r="M91" s="93"/>
      <c r="N91" s="93"/>
    </row>
    <row r="92" spans="2:16" x14ac:dyDescent="0.25">
      <c r="D92" s="92"/>
      <c r="E92" s="92"/>
      <c r="F92" s="92"/>
      <c r="G92" s="92"/>
      <c r="H92" s="92"/>
      <c r="I92" s="92"/>
      <c r="J92" s="92"/>
      <c r="K92" s="92"/>
      <c r="M92" s="93"/>
      <c r="N92" s="93"/>
    </row>
    <row r="93" spans="2:16" x14ac:dyDescent="0.25">
      <c r="C93" s="93"/>
      <c r="D93" s="93"/>
      <c r="E93" s="358" t="s">
        <v>90</v>
      </c>
      <c r="F93" s="359"/>
      <c r="G93" s="360"/>
      <c r="H93" s="367" t="s">
        <v>91</v>
      </c>
      <c r="I93" s="368"/>
      <c r="J93" s="368"/>
      <c r="K93" s="368"/>
      <c r="L93" s="369"/>
      <c r="M93" s="116"/>
      <c r="N93" s="116"/>
    </row>
    <row r="94" spans="2:16" x14ac:dyDescent="0.25">
      <c r="E94" s="361"/>
      <c r="F94" s="362"/>
      <c r="G94" s="363"/>
      <c r="H94" s="78">
        <v>2014</v>
      </c>
      <c r="I94" s="78">
        <v>2015</v>
      </c>
      <c r="J94" s="78">
        <v>2016</v>
      </c>
      <c r="K94" s="78">
        <v>2017</v>
      </c>
      <c r="L94" s="78">
        <v>2018</v>
      </c>
    </row>
    <row r="95" spans="2:16" x14ac:dyDescent="0.25">
      <c r="H95" s="94"/>
      <c r="I95" s="94"/>
      <c r="J95" s="94"/>
      <c r="K95" s="94"/>
      <c r="L95" s="94"/>
    </row>
    <row r="96" spans="2:16" x14ac:dyDescent="0.25">
      <c r="B96" s="333" t="s">
        <v>92</v>
      </c>
      <c r="C96" s="340" t="s">
        <v>93</v>
      </c>
      <c r="D96" s="341"/>
      <c r="E96" s="344" t="s">
        <v>69</v>
      </c>
      <c r="F96" s="345"/>
      <c r="G96" s="346"/>
      <c r="H96" s="338">
        <f>+'ER PESIMISTA'!E13/'BG PESIMISTA'!D29</f>
        <v>3.0422984228316294</v>
      </c>
      <c r="I96" s="338">
        <f>+'ER PESIMISTA'!F13/'BG PESIMISTA'!E29</f>
        <v>1.9216858898716058</v>
      </c>
      <c r="J96" s="338">
        <f>+'ER PESIMISTA'!G13/'BG PESIMISTA'!F29</f>
        <v>2.052314637138779</v>
      </c>
      <c r="K96" s="338">
        <f>+'ER PESIMISTA'!H13/'BG PESIMISTA'!G29</f>
        <v>2.209308029877644</v>
      </c>
      <c r="L96" s="338">
        <f>+'ER PESIMISTA'!I13/'BG PESIMISTA'!H29</f>
        <v>2.4410319206737969</v>
      </c>
    </row>
    <row r="97" spans="2:13" x14ac:dyDescent="0.25">
      <c r="B97" s="334"/>
      <c r="C97" s="342"/>
      <c r="D97" s="343"/>
      <c r="E97" s="347" t="s">
        <v>3</v>
      </c>
      <c r="F97" s="348"/>
      <c r="G97" s="349"/>
      <c r="H97" s="339"/>
      <c r="I97" s="339"/>
      <c r="J97" s="339"/>
      <c r="K97" s="339"/>
      <c r="L97" s="339"/>
    </row>
    <row r="98" spans="2:13" x14ac:dyDescent="0.25">
      <c r="B98" s="334"/>
      <c r="C98" s="95"/>
      <c r="D98" s="95"/>
      <c r="E98" s="96"/>
      <c r="F98" s="96"/>
      <c r="G98" s="96"/>
      <c r="H98" s="97" t="s">
        <v>72</v>
      </c>
      <c r="I98" s="97" t="s">
        <v>72</v>
      </c>
      <c r="J98" s="97" t="s">
        <v>72</v>
      </c>
      <c r="K98" s="97" t="s">
        <v>72</v>
      </c>
      <c r="L98" s="97" t="s">
        <v>72</v>
      </c>
    </row>
    <row r="99" spans="2:13" x14ac:dyDescent="0.25">
      <c r="B99" s="334"/>
      <c r="C99" s="340" t="s">
        <v>94</v>
      </c>
      <c r="D99" s="341"/>
      <c r="E99" s="344" t="s">
        <v>176</v>
      </c>
      <c r="F99" s="345"/>
      <c r="G99" s="346"/>
      <c r="H99" s="338">
        <f>('ER PESIMISTA'!E44+'ER PESIMISTA'!E42)/'ER PESIMISTA'!E13</f>
        <v>3.0116160382477605E-2</v>
      </c>
      <c r="I99" s="338">
        <f>('ER PESIMISTA'!F44+'ER PESIMISTA'!F42)/'ER PESIMISTA'!F13</f>
        <v>1.7252168496346695E-2</v>
      </c>
      <c r="J99" s="338">
        <f>('ER PESIMISTA'!G44+'ER PESIMISTA'!G42)/'ER PESIMISTA'!G13</f>
        <v>-2.4504948202800764E-2</v>
      </c>
      <c r="K99" s="338">
        <f>('ER PESIMISTA'!H44+'ER PESIMISTA'!H42)/'ER PESIMISTA'!H13</f>
        <v>-3.2420028275661386E-2</v>
      </c>
      <c r="L99" s="338">
        <f>('ER PESIMISTA'!I44+'ER PESIMISTA'!I42)/'ER PESIMISTA'!I13</f>
        <v>-4.0763314180463715E-2</v>
      </c>
    </row>
    <row r="100" spans="2:13" x14ac:dyDescent="0.25">
      <c r="B100" s="335"/>
      <c r="C100" s="342"/>
      <c r="D100" s="343"/>
      <c r="E100" s="347" t="s">
        <v>69</v>
      </c>
      <c r="F100" s="348"/>
      <c r="G100" s="349"/>
      <c r="H100" s="339"/>
      <c r="I100" s="339"/>
      <c r="J100" s="339"/>
      <c r="K100" s="339"/>
      <c r="L100" s="339"/>
    </row>
    <row r="101" spans="2:13" x14ac:dyDescent="0.25">
      <c r="C101" s="95"/>
      <c r="D101" s="95"/>
      <c r="E101" s="96"/>
      <c r="F101" s="96"/>
      <c r="G101" s="96"/>
      <c r="H101" s="97" t="s">
        <v>72</v>
      </c>
      <c r="I101" s="97" t="s">
        <v>72</v>
      </c>
      <c r="J101" s="97" t="s">
        <v>72</v>
      </c>
      <c r="K101" s="97" t="s">
        <v>72</v>
      </c>
      <c r="L101" s="97" t="s">
        <v>72</v>
      </c>
    </row>
    <row r="102" spans="2:13" x14ac:dyDescent="0.25">
      <c r="B102" s="333" t="s">
        <v>89</v>
      </c>
      <c r="C102" s="340" t="s">
        <v>95</v>
      </c>
      <c r="D102" s="341"/>
      <c r="E102" s="81" t="s">
        <v>96</v>
      </c>
      <c r="F102" s="336" t="s">
        <v>72</v>
      </c>
      <c r="G102" s="82" t="s">
        <v>177</v>
      </c>
      <c r="H102" s="338">
        <f>+C64</f>
        <v>2.7686190823401806</v>
      </c>
      <c r="I102" s="338">
        <f>+D64</f>
        <v>2.3595803842998513</v>
      </c>
      <c r="J102" s="338">
        <f>+E64</f>
        <v>3.2060512545998185</v>
      </c>
      <c r="K102" s="338">
        <f>+F64</f>
        <v>3.6893750520782551</v>
      </c>
      <c r="L102" s="338">
        <f>+G64</f>
        <v>4.903718574646426</v>
      </c>
    </row>
    <row r="103" spans="2:13" x14ac:dyDescent="0.25">
      <c r="B103" s="334"/>
      <c r="C103" s="342"/>
      <c r="D103" s="343"/>
      <c r="E103" s="79" t="s">
        <v>97</v>
      </c>
      <c r="F103" s="337"/>
      <c r="G103" s="80" t="s">
        <v>178</v>
      </c>
      <c r="H103" s="339"/>
      <c r="I103" s="339"/>
      <c r="J103" s="339"/>
      <c r="K103" s="339"/>
      <c r="L103" s="339"/>
    </row>
    <row r="104" spans="2:13" x14ac:dyDescent="0.25">
      <c r="B104" s="334"/>
      <c r="C104" s="95"/>
      <c r="D104" s="95"/>
      <c r="E104" s="96"/>
      <c r="F104" s="96"/>
      <c r="G104" s="96"/>
      <c r="H104" s="97" t="s">
        <v>72</v>
      </c>
      <c r="I104" s="97" t="s">
        <v>72</v>
      </c>
      <c r="J104" s="97" t="s">
        <v>72</v>
      </c>
      <c r="K104" s="97" t="s">
        <v>72</v>
      </c>
      <c r="L104" s="97" t="s">
        <v>72</v>
      </c>
    </row>
    <row r="105" spans="2:13" x14ac:dyDescent="0.25">
      <c r="B105" s="334"/>
      <c r="C105" s="340" t="s">
        <v>98</v>
      </c>
      <c r="D105" s="341"/>
      <c r="E105" s="344" t="s">
        <v>130</v>
      </c>
      <c r="F105" s="345"/>
      <c r="G105" s="346"/>
      <c r="H105" s="338">
        <f>+'ER PESIMISTA'!E56/'ER PESIMISTA'!E44</f>
        <v>0.65444983294025161</v>
      </c>
      <c r="I105" s="338">
        <f>+'ER PESIMISTA'!F56/'ER PESIMISTA'!F44</f>
        <v>0.57386354115279015</v>
      </c>
      <c r="J105" s="338">
        <f>+'ER PESIMISTA'!G56/'ER PESIMISTA'!G44</f>
        <v>1</v>
      </c>
      <c r="K105" s="338">
        <f>+'ER PESIMISTA'!H56/'ER PESIMISTA'!H44</f>
        <v>1</v>
      </c>
      <c r="L105" s="338">
        <f>+'ER PESIMISTA'!I56/'ER PESIMISTA'!I44</f>
        <v>1</v>
      </c>
      <c r="M105" s="370"/>
    </row>
    <row r="106" spans="2:13" x14ac:dyDescent="0.25">
      <c r="B106" s="335"/>
      <c r="C106" s="342"/>
      <c r="D106" s="343"/>
      <c r="E106" s="347" t="s">
        <v>179</v>
      </c>
      <c r="F106" s="348"/>
      <c r="G106" s="349"/>
      <c r="H106" s="339"/>
      <c r="I106" s="339"/>
      <c r="J106" s="339"/>
      <c r="K106" s="339"/>
      <c r="L106" s="339"/>
      <c r="M106" s="370"/>
    </row>
    <row r="107" spans="2:13" x14ac:dyDescent="0.25">
      <c r="C107" s="98"/>
      <c r="D107" s="98"/>
      <c r="H107" s="99" t="s">
        <v>74</v>
      </c>
      <c r="I107" s="99" t="s">
        <v>74</v>
      </c>
      <c r="J107" s="99" t="s">
        <v>74</v>
      </c>
      <c r="K107" s="99" t="s">
        <v>74</v>
      </c>
      <c r="L107" s="99" t="s">
        <v>74</v>
      </c>
    </row>
    <row r="108" spans="2:13" x14ac:dyDescent="0.25">
      <c r="C108" s="340" t="s">
        <v>99</v>
      </c>
      <c r="D108" s="341"/>
      <c r="E108" s="344" t="s">
        <v>180</v>
      </c>
      <c r="F108" s="345"/>
      <c r="G108" s="346"/>
      <c r="H108" s="338">
        <f>H96*H99*H102*H105</f>
        <v>0.16601257375597525</v>
      </c>
      <c r="I108" s="338">
        <f>I96*I99*I102*I105</f>
        <v>4.4892056771264427E-2</v>
      </c>
      <c r="J108" s="338">
        <f>J96*J99*J102*J105</f>
        <v>-0.16123829328522485</v>
      </c>
      <c r="K108" s="338">
        <f>K96*K99*K102*K105</f>
        <v>-0.26425454585279867</v>
      </c>
      <c r="L108" s="338">
        <f>L96*L99*L102*L105</f>
        <v>-0.48794231552508754</v>
      </c>
    </row>
    <row r="109" spans="2:13" x14ac:dyDescent="0.25">
      <c r="C109" s="342"/>
      <c r="D109" s="343"/>
      <c r="E109" s="347" t="s">
        <v>100</v>
      </c>
      <c r="F109" s="348"/>
      <c r="G109" s="349"/>
      <c r="H109" s="371"/>
      <c r="I109" s="371"/>
      <c r="J109" s="371"/>
      <c r="K109" s="372"/>
      <c r="L109" s="372"/>
    </row>
    <row r="110" spans="2:13" x14ac:dyDescent="0.25">
      <c r="C110" s="98"/>
      <c r="D110" s="98"/>
      <c r="H110" s="99" t="s">
        <v>74</v>
      </c>
      <c r="I110" s="99" t="s">
        <v>101</v>
      </c>
      <c r="J110" s="99" t="s">
        <v>101</v>
      </c>
      <c r="K110" s="99" t="s">
        <v>101</v>
      </c>
      <c r="L110" s="99" t="s">
        <v>101</v>
      </c>
    </row>
    <row r="111" spans="2:13" x14ac:dyDescent="0.25">
      <c r="C111" s="340" t="s">
        <v>102</v>
      </c>
      <c r="D111" s="341"/>
      <c r="E111" s="353" t="s">
        <v>181</v>
      </c>
      <c r="F111" s="354"/>
      <c r="G111" s="355"/>
      <c r="H111" s="356">
        <f>H108</f>
        <v>0.16601257375597525</v>
      </c>
      <c r="I111" s="356">
        <f>I108</f>
        <v>4.4892056771264427E-2</v>
      </c>
      <c r="J111" s="356">
        <f>J108</f>
        <v>-0.16123829328522485</v>
      </c>
      <c r="K111" s="356">
        <f>K108</f>
        <v>-0.26425454585279867</v>
      </c>
      <c r="L111" s="356">
        <f>L108</f>
        <v>-0.48794231552508754</v>
      </c>
    </row>
    <row r="112" spans="2:13" x14ac:dyDescent="0.25">
      <c r="C112" s="342"/>
      <c r="D112" s="343"/>
      <c r="E112" s="342" t="s">
        <v>100</v>
      </c>
      <c r="F112" s="337"/>
      <c r="G112" s="343"/>
      <c r="H112" s="357"/>
      <c r="I112" s="357"/>
      <c r="J112" s="357"/>
      <c r="K112" s="357"/>
      <c r="L112" s="357"/>
    </row>
    <row r="115" spans="4:5" x14ac:dyDescent="0.25">
      <c r="D115" s="115"/>
      <c r="E115" s="115"/>
    </row>
  </sheetData>
  <mergeCells count="221">
    <mergeCell ref="E76:E77"/>
    <mergeCell ref="F76:F77"/>
    <mergeCell ref="G76:G77"/>
    <mergeCell ref="I76:I77"/>
    <mergeCell ref="B52:B53"/>
    <mergeCell ref="C52:C53"/>
    <mergeCell ref="D52:D53"/>
    <mergeCell ref="E52:E53"/>
    <mergeCell ref="F52:F53"/>
    <mergeCell ref="G52:G53"/>
    <mergeCell ref="I52:I53"/>
    <mergeCell ref="B55:B56"/>
    <mergeCell ref="C55:C56"/>
    <mergeCell ref="D55:D56"/>
    <mergeCell ref="E55:E56"/>
    <mergeCell ref="F55:F56"/>
    <mergeCell ref="G55:G56"/>
    <mergeCell ref="I55:I56"/>
    <mergeCell ref="I61:I62"/>
    <mergeCell ref="B64:B65"/>
    <mergeCell ref="C64:C65"/>
    <mergeCell ref="D64:D65"/>
    <mergeCell ref="E64:E65"/>
    <mergeCell ref="F64:F65"/>
    <mergeCell ref="I32:I33"/>
    <mergeCell ref="J32:J33"/>
    <mergeCell ref="E20:E21"/>
    <mergeCell ref="F20:F21"/>
    <mergeCell ref="G20:G21"/>
    <mergeCell ref="I20:I21"/>
    <mergeCell ref="J20:J21"/>
    <mergeCell ref="B23:B24"/>
    <mergeCell ref="C23:C24"/>
    <mergeCell ref="D23:D24"/>
    <mergeCell ref="E23:E24"/>
    <mergeCell ref="F23:F24"/>
    <mergeCell ref="G23:G24"/>
    <mergeCell ref="I23:I24"/>
    <mergeCell ref="B20:B21"/>
    <mergeCell ref="C20:C21"/>
    <mergeCell ref="D20:D21"/>
    <mergeCell ref="B32:B33"/>
    <mergeCell ref="C32:C33"/>
    <mergeCell ref="D32:D33"/>
    <mergeCell ref="E32:E33"/>
    <mergeCell ref="F32:F33"/>
    <mergeCell ref="G32:G33"/>
    <mergeCell ref="J23:J24"/>
    <mergeCell ref="B5:B6"/>
    <mergeCell ref="C5:C6"/>
    <mergeCell ref="D5:D6"/>
    <mergeCell ref="E5:E6"/>
    <mergeCell ref="F5:F6"/>
    <mergeCell ref="G5:G6"/>
    <mergeCell ref="H5:H6"/>
    <mergeCell ref="I5:I6"/>
    <mergeCell ref="B1:I1"/>
    <mergeCell ref="F8:F9"/>
    <mergeCell ref="G8:G9"/>
    <mergeCell ref="I8:I9"/>
    <mergeCell ref="B11:B12"/>
    <mergeCell ref="C11:C12"/>
    <mergeCell ref="D11:D12"/>
    <mergeCell ref="E11:E12"/>
    <mergeCell ref="F11:F12"/>
    <mergeCell ref="G11:G12"/>
    <mergeCell ref="I11:I12"/>
    <mergeCell ref="B8:B9"/>
    <mergeCell ref="C8:C9"/>
    <mergeCell ref="D8:D9"/>
    <mergeCell ref="E8:E9"/>
    <mergeCell ref="B26:B27"/>
    <mergeCell ref="C26:C27"/>
    <mergeCell ref="D26:D27"/>
    <mergeCell ref="E26:E27"/>
    <mergeCell ref="F26:F27"/>
    <mergeCell ref="G26:G27"/>
    <mergeCell ref="I26:I27"/>
    <mergeCell ref="J26:J27"/>
    <mergeCell ref="B29:B30"/>
    <mergeCell ref="C29:C30"/>
    <mergeCell ref="D29:D30"/>
    <mergeCell ref="E29:E30"/>
    <mergeCell ref="F29:F30"/>
    <mergeCell ref="G29:G30"/>
    <mergeCell ref="I29:I30"/>
    <mergeCell ref="J29:J30"/>
    <mergeCell ref="I38:I39"/>
    <mergeCell ref="J38:J39"/>
    <mergeCell ref="B35:B36"/>
    <mergeCell ref="C35:C36"/>
    <mergeCell ref="D35:D36"/>
    <mergeCell ref="E35:E36"/>
    <mergeCell ref="F35:F36"/>
    <mergeCell ref="G35:G36"/>
    <mergeCell ref="I35:I36"/>
    <mergeCell ref="J35:J36"/>
    <mergeCell ref="B38:B39"/>
    <mergeCell ref="C38:C39"/>
    <mergeCell ref="D38:D39"/>
    <mergeCell ref="E38:E39"/>
    <mergeCell ref="F38:F39"/>
    <mergeCell ref="G38:G39"/>
    <mergeCell ref="B41:B42"/>
    <mergeCell ref="C41:C42"/>
    <mergeCell ref="D41:D42"/>
    <mergeCell ref="E41:E42"/>
    <mergeCell ref="F41:F42"/>
    <mergeCell ref="G41:G42"/>
    <mergeCell ref="I41:I42"/>
    <mergeCell ref="J41:J42"/>
    <mergeCell ref="B48:I48"/>
    <mergeCell ref="B44:B45"/>
    <mergeCell ref="C44:C45"/>
    <mergeCell ref="D44:D45"/>
    <mergeCell ref="E44:E45"/>
    <mergeCell ref="F44:F45"/>
    <mergeCell ref="G44:G45"/>
    <mergeCell ref="I44:I45"/>
    <mergeCell ref="J44:J45"/>
    <mergeCell ref="G64:G65"/>
    <mergeCell ref="I64:I65"/>
    <mergeCell ref="B58:B59"/>
    <mergeCell ref="C58:C59"/>
    <mergeCell ref="D58:D59"/>
    <mergeCell ref="E58:E59"/>
    <mergeCell ref="F58:F59"/>
    <mergeCell ref="G58:G59"/>
    <mergeCell ref="I58:I59"/>
    <mergeCell ref="B69:I69"/>
    <mergeCell ref="B61:B62"/>
    <mergeCell ref="C61:C62"/>
    <mergeCell ref="D61:D62"/>
    <mergeCell ref="E61:E62"/>
    <mergeCell ref="F61:F62"/>
    <mergeCell ref="G61:G62"/>
    <mergeCell ref="B85:B86"/>
    <mergeCell ref="C85:C86"/>
    <mergeCell ref="D85:D86"/>
    <mergeCell ref="E85:E86"/>
    <mergeCell ref="F85:F86"/>
    <mergeCell ref="G85:G86"/>
    <mergeCell ref="I85:I86"/>
    <mergeCell ref="B73:B74"/>
    <mergeCell ref="C73:C74"/>
    <mergeCell ref="D73:D74"/>
    <mergeCell ref="E73:E74"/>
    <mergeCell ref="F73:F74"/>
    <mergeCell ref="G73:G74"/>
    <mergeCell ref="I73:I74"/>
    <mergeCell ref="B76:B77"/>
    <mergeCell ref="C76:C77"/>
    <mergeCell ref="D76:D77"/>
    <mergeCell ref="B79:B80"/>
    <mergeCell ref="C79:C80"/>
    <mergeCell ref="D79:D80"/>
    <mergeCell ref="E79:E80"/>
    <mergeCell ref="F79:F80"/>
    <mergeCell ref="G79:G80"/>
    <mergeCell ref="I79:I80"/>
    <mergeCell ref="B82:B83"/>
    <mergeCell ref="C82:C83"/>
    <mergeCell ref="D82:D83"/>
    <mergeCell ref="E82:E83"/>
    <mergeCell ref="F82:F83"/>
    <mergeCell ref="G82:G83"/>
    <mergeCell ref="I82:I83"/>
    <mergeCell ref="H96:H97"/>
    <mergeCell ref="I96:I97"/>
    <mergeCell ref="J96:J97"/>
    <mergeCell ref="K96:K97"/>
    <mergeCell ref="L96:L97"/>
    <mergeCell ref="E97:G97"/>
    <mergeCell ref="C99:D100"/>
    <mergeCell ref="E99:G99"/>
    <mergeCell ref="H99:H100"/>
    <mergeCell ref="I99:I100"/>
    <mergeCell ref="J99:J100"/>
    <mergeCell ref="K99:K100"/>
    <mergeCell ref="L99:L100"/>
    <mergeCell ref="E100:G100"/>
    <mergeCell ref="M105:M106"/>
    <mergeCell ref="B102:B106"/>
    <mergeCell ref="C102:D103"/>
    <mergeCell ref="F102:F103"/>
    <mergeCell ref="H102:H103"/>
    <mergeCell ref="I102:I103"/>
    <mergeCell ref="J102:J103"/>
    <mergeCell ref="K102:K103"/>
    <mergeCell ref="L102:L103"/>
    <mergeCell ref="C105:D106"/>
    <mergeCell ref="E105:G105"/>
    <mergeCell ref="H105:H106"/>
    <mergeCell ref="I105:I106"/>
    <mergeCell ref="J105:J106"/>
    <mergeCell ref="K105:K106"/>
    <mergeCell ref="L105:L106"/>
    <mergeCell ref="B16:I16"/>
    <mergeCell ref="B90:L90"/>
    <mergeCell ref="C111:D112"/>
    <mergeCell ref="E111:G111"/>
    <mergeCell ref="H111:H112"/>
    <mergeCell ref="I111:I112"/>
    <mergeCell ref="J111:J112"/>
    <mergeCell ref="K111:K112"/>
    <mergeCell ref="L111:L112"/>
    <mergeCell ref="E112:G112"/>
    <mergeCell ref="H93:L93"/>
    <mergeCell ref="E93:G94"/>
    <mergeCell ref="E109:G109"/>
    <mergeCell ref="L108:L109"/>
    <mergeCell ref="K108:K109"/>
    <mergeCell ref="J108:J109"/>
    <mergeCell ref="I108:I109"/>
    <mergeCell ref="H108:H109"/>
    <mergeCell ref="E108:G108"/>
    <mergeCell ref="C108:D109"/>
    <mergeCell ref="E106:G106"/>
    <mergeCell ref="B96:B100"/>
    <mergeCell ref="C96:D97"/>
    <mergeCell ref="E96:G9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  <pageSetUpPr fitToPage="1"/>
  </sheetPr>
  <dimension ref="B1:N62"/>
  <sheetViews>
    <sheetView showGridLines="0" zoomScaleNormal="100" workbookViewId="0">
      <selection activeCell="I51" sqref="I51:J51"/>
    </sheetView>
  </sheetViews>
  <sheetFormatPr defaultColWidth="9.125" defaultRowHeight="15" x14ac:dyDescent="0.25"/>
  <cols>
    <col min="1" max="1" width="2.625" customWidth="1"/>
    <col min="2" max="2" width="8.375" customWidth="1"/>
    <col min="4" max="4" width="29.625" customWidth="1"/>
    <col min="5" max="5" width="13.75" customWidth="1"/>
    <col min="6" max="6" width="14.25" customWidth="1"/>
    <col min="7" max="7" width="10.75" bestFit="1" customWidth="1"/>
    <col min="8" max="11" width="10.875" bestFit="1" customWidth="1"/>
    <col min="13" max="13" width="11.125" bestFit="1" customWidth="1"/>
  </cols>
  <sheetData>
    <row r="1" spans="2:14" ht="15.75" thickBot="1" x14ac:dyDescent="0.3"/>
    <row r="2" spans="2:14" x14ac:dyDescent="0.25">
      <c r="B2" s="287" t="s">
        <v>0</v>
      </c>
      <c r="C2" s="288"/>
      <c r="D2" s="288"/>
      <c r="E2" s="288"/>
      <c r="F2" s="289"/>
      <c r="H2" s="293"/>
      <c r="I2" s="293"/>
      <c r="J2" s="293"/>
      <c r="K2" s="293"/>
      <c r="L2" s="293"/>
      <c r="M2" s="293"/>
      <c r="N2" s="293"/>
    </row>
    <row r="3" spans="2:14" x14ac:dyDescent="0.25">
      <c r="B3" s="290" t="s">
        <v>1</v>
      </c>
      <c r="C3" s="291"/>
      <c r="D3" s="291"/>
      <c r="E3" s="291"/>
      <c r="F3" s="292"/>
      <c r="H3" s="293"/>
      <c r="I3" s="293"/>
      <c r="J3" s="293"/>
      <c r="K3" s="293"/>
      <c r="L3" s="293"/>
      <c r="M3" s="293"/>
      <c r="N3" s="293"/>
    </row>
    <row r="4" spans="2:14" x14ac:dyDescent="0.25">
      <c r="B4" s="140"/>
      <c r="C4" s="2"/>
      <c r="D4" s="2"/>
      <c r="E4" s="2"/>
      <c r="F4" s="137"/>
      <c r="H4" s="63"/>
      <c r="I4" s="62"/>
      <c r="J4" s="62"/>
      <c r="K4" s="62"/>
      <c r="L4" s="62"/>
      <c r="M4" s="72"/>
      <c r="N4" s="73"/>
    </row>
    <row r="5" spans="2:14" x14ac:dyDescent="0.25">
      <c r="B5" s="140"/>
      <c r="C5" s="2"/>
      <c r="D5" s="2"/>
      <c r="E5" s="225">
        <v>2014</v>
      </c>
      <c r="F5" s="227">
        <v>2015</v>
      </c>
      <c r="G5" s="3"/>
      <c r="H5" s="63"/>
      <c r="I5" s="62"/>
      <c r="J5" s="62"/>
      <c r="K5" s="61"/>
      <c r="L5" s="61"/>
      <c r="M5" s="64"/>
      <c r="N5" s="64"/>
    </row>
    <row r="6" spans="2:14" x14ac:dyDescent="0.25">
      <c r="B6" s="140"/>
      <c r="C6" s="2"/>
      <c r="D6" s="2"/>
      <c r="E6" s="225" t="s">
        <v>2</v>
      </c>
      <c r="F6" s="227" t="s">
        <v>2</v>
      </c>
      <c r="G6" s="3"/>
      <c r="H6" s="63"/>
      <c r="I6" s="62"/>
      <c r="J6" s="62"/>
      <c r="K6" s="61"/>
      <c r="L6" s="61"/>
      <c r="M6" s="64"/>
      <c r="N6" s="64"/>
    </row>
    <row r="7" spans="2:14" x14ac:dyDescent="0.25">
      <c r="B7" s="224" t="s">
        <v>3</v>
      </c>
      <c r="C7" s="2"/>
      <c r="D7" s="2"/>
      <c r="E7" s="2"/>
      <c r="F7" s="137"/>
      <c r="H7" s="68"/>
      <c r="I7" s="62"/>
      <c r="J7" s="62"/>
      <c r="K7" s="62"/>
      <c r="L7" s="62"/>
      <c r="M7" s="62"/>
      <c r="N7" s="73"/>
    </row>
    <row r="8" spans="2:14" x14ac:dyDescent="0.25">
      <c r="B8" s="224" t="s">
        <v>4</v>
      </c>
      <c r="C8" s="2"/>
      <c r="D8" s="2"/>
      <c r="E8" s="2"/>
      <c r="F8" s="137"/>
      <c r="H8" s="285"/>
      <c r="I8" s="285"/>
      <c r="J8" s="62"/>
      <c r="K8" s="62"/>
      <c r="L8" s="62"/>
      <c r="M8" s="62"/>
      <c r="N8" s="73"/>
    </row>
    <row r="9" spans="2:14" x14ac:dyDescent="0.25">
      <c r="B9" s="140"/>
      <c r="C9" s="2" t="s">
        <v>5</v>
      </c>
      <c r="D9" s="2"/>
      <c r="E9" s="69">
        <v>19144.22</v>
      </c>
      <c r="F9" s="234">
        <v>254.36</v>
      </c>
      <c r="G9" s="2"/>
      <c r="H9" s="63"/>
      <c r="I9" s="63"/>
      <c r="J9" s="62"/>
      <c r="K9" s="65"/>
      <c r="L9" s="67"/>
      <c r="M9" s="65"/>
      <c r="N9" s="66"/>
    </row>
    <row r="10" spans="2:14" x14ac:dyDescent="0.25">
      <c r="B10" s="140"/>
      <c r="C10" s="2"/>
      <c r="D10" s="2"/>
      <c r="E10" s="8"/>
      <c r="F10" s="235"/>
      <c r="G10" s="2"/>
      <c r="H10" s="63"/>
      <c r="I10" s="62"/>
      <c r="J10" s="62"/>
      <c r="K10" s="62"/>
      <c r="L10" s="62"/>
      <c r="M10" s="62"/>
      <c r="N10" s="67"/>
    </row>
    <row r="11" spans="2:14" x14ac:dyDescent="0.25">
      <c r="B11" s="140"/>
      <c r="C11" s="6" t="s">
        <v>6</v>
      </c>
      <c r="D11" s="2"/>
      <c r="E11" s="8">
        <f>+E9</f>
        <v>19144.22</v>
      </c>
      <c r="F11" s="235">
        <f>+F9</f>
        <v>254.36</v>
      </c>
      <c r="G11" s="2"/>
      <c r="H11" s="63"/>
      <c r="I11" s="285"/>
      <c r="J11" s="285"/>
      <c r="K11" s="65"/>
      <c r="L11" s="67"/>
      <c r="M11" s="65"/>
      <c r="N11" s="66"/>
    </row>
    <row r="12" spans="2:14" x14ac:dyDescent="0.25">
      <c r="B12" s="140"/>
      <c r="C12" s="2"/>
      <c r="D12" s="2"/>
      <c r="E12" s="8"/>
      <c r="F12" s="235"/>
      <c r="G12" s="2"/>
      <c r="H12" s="63"/>
      <c r="I12" s="62"/>
      <c r="J12" s="62"/>
      <c r="K12" s="62"/>
      <c r="L12" s="62"/>
      <c r="M12" s="62"/>
      <c r="N12" s="67"/>
    </row>
    <row r="13" spans="2:14" x14ac:dyDescent="0.25">
      <c r="B13" s="140"/>
      <c r="C13" s="2" t="s">
        <v>7</v>
      </c>
      <c r="D13" s="2"/>
      <c r="E13" s="8">
        <f>E14-E15</f>
        <v>295525.5</v>
      </c>
      <c r="F13" s="235">
        <f>+F14-F15</f>
        <v>250649.93</v>
      </c>
      <c r="G13" s="2"/>
      <c r="H13" s="63"/>
      <c r="I13" s="286"/>
      <c r="J13" s="286"/>
      <c r="K13" s="65"/>
      <c r="L13" s="65"/>
      <c r="M13" s="65"/>
      <c r="N13" s="66"/>
    </row>
    <row r="14" spans="2:14" x14ac:dyDescent="0.25">
      <c r="B14" s="140"/>
      <c r="C14" s="2" t="s">
        <v>8</v>
      </c>
      <c r="D14" s="2"/>
      <c r="E14" s="8">
        <v>296047.21999999997</v>
      </c>
      <c r="F14" s="235">
        <v>252838.38</v>
      </c>
      <c r="G14" s="2"/>
      <c r="H14" s="63"/>
      <c r="I14" s="286"/>
      <c r="J14" s="286"/>
      <c r="K14" s="65"/>
      <c r="L14" s="65"/>
      <c r="M14" s="65"/>
      <c r="N14" s="66"/>
    </row>
    <row r="15" spans="2:14" x14ac:dyDescent="0.25">
      <c r="B15" s="140"/>
      <c r="C15" s="2" t="s">
        <v>9</v>
      </c>
      <c r="D15" s="2"/>
      <c r="E15" s="8">
        <v>521.72</v>
      </c>
      <c r="F15" s="235">
        <v>2188.4499999999998</v>
      </c>
      <c r="G15" s="2"/>
      <c r="H15" s="63"/>
      <c r="I15" s="286"/>
      <c r="J15" s="286"/>
      <c r="K15" s="67"/>
      <c r="L15" s="65"/>
      <c r="M15" s="65"/>
      <c r="N15" s="67"/>
    </row>
    <row r="16" spans="2:14" x14ac:dyDescent="0.25">
      <c r="B16" s="140"/>
      <c r="C16" s="2" t="s">
        <v>10</v>
      </c>
      <c r="D16" s="2"/>
      <c r="E16" s="8">
        <v>53758.11</v>
      </c>
      <c r="F16" s="235">
        <v>18994.91</v>
      </c>
      <c r="G16" s="2"/>
      <c r="H16" s="63"/>
      <c r="I16" s="286"/>
      <c r="J16" s="286"/>
      <c r="K16" s="65"/>
      <c r="L16" s="65"/>
      <c r="M16" s="65"/>
      <c r="N16" s="66"/>
    </row>
    <row r="17" spans="2:14" x14ac:dyDescent="0.25">
      <c r="B17" s="140"/>
      <c r="C17" s="2" t="s">
        <v>11</v>
      </c>
      <c r="D17" s="2"/>
      <c r="E17" s="8">
        <v>18887.48</v>
      </c>
      <c r="F17" s="235">
        <v>9540.5300000000007</v>
      </c>
      <c r="G17" s="2"/>
      <c r="H17" s="63"/>
      <c r="I17" s="286"/>
      <c r="J17" s="286"/>
      <c r="K17" s="65"/>
      <c r="L17" s="65"/>
      <c r="M17" s="65"/>
      <c r="N17" s="66"/>
    </row>
    <row r="18" spans="2:14" x14ac:dyDescent="0.25">
      <c r="B18" s="140"/>
      <c r="C18" s="2" t="s">
        <v>12</v>
      </c>
      <c r="D18" s="2"/>
      <c r="E18" s="8">
        <v>1898.43</v>
      </c>
      <c r="F18" s="235">
        <v>0</v>
      </c>
      <c r="G18" s="2"/>
      <c r="H18" s="63"/>
      <c r="I18" s="286"/>
      <c r="J18" s="286"/>
      <c r="K18" s="65"/>
      <c r="L18" s="67"/>
      <c r="M18" s="65"/>
      <c r="N18" s="66"/>
    </row>
    <row r="19" spans="2:14" x14ac:dyDescent="0.25">
      <c r="B19" s="140"/>
      <c r="C19" s="2" t="s">
        <v>13</v>
      </c>
      <c r="D19" s="2"/>
      <c r="E19" s="69">
        <v>48536.12</v>
      </c>
      <c r="F19" s="234">
        <v>99158.22</v>
      </c>
      <c r="G19" s="2"/>
      <c r="H19" s="63"/>
      <c r="I19" s="286"/>
      <c r="J19" s="286"/>
      <c r="K19" s="65"/>
      <c r="L19" s="65"/>
      <c r="M19" s="65"/>
      <c r="N19" s="66"/>
    </row>
    <row r="20" spans="2:14" x14ac:dyDescent="0.25">
      <c r="B20" s="140"/>
      <c r="C20" s="2"/>
      <c r="D20" s="2"/>
      <c r="E20" s="8"/>
      <c r="F20" s="235"/>
      <c r="G20" s="2"/>
      <c r="H20" s="63"/>
      <c r="I20" s="62"/>
      <c r="J20" s="62"/>
      <c r="K20" s="62"/>
      <c r="L20" s="62"/>
      <c r="M20" s="62"/>
      <c r="N20" s="67"/>
    </row>
    <row r="21" spans="2:14" x14ac:dyDescent="0.25">
      <c r="B21" s="140"/>
      <c r="C21" s="6" t="s">
        <v>14</v>
      </c>
      <c r="D21" s="2"/>
      <c r="E21" s="8">
        <f>SUM(E16:E19)+E13+E11</f>
        <v>437749.86</v>
      </c>
      <c r="F21" s="235">
        <f>SUM(F16:F19)+F13+F11</f>
        <v>378597.94999999995</v>
      </c>
      <c r="G21" s="2"/>
      <c r="H21" s="63"/>
      <c r="I21" s="285"/>
      <c r="J21" s="285"/>
      <c r="K21" s="65"/>
      <c r="L21" s="65"/>
      <c r="M21" s="65"/>
      <c r="N21" s="66"/>
    </row>
    <row r="22" spans="2:14" x14ac:dyDescent="0.25">
      <c r="B22" s="140"/>
      <c r="C22" s="2"/>
      <c r="D22" s="2"/>
      <c r="E22" s="8"/>
      <c r="F22" s="235"/>
      <c r="G22" s="2"/>
      <c r="H22" s="63"/>
      <c r="I22" s="62"/>
      <c r="J22" s="62"/>
      <c r="K22" s="62"/>
      <c r="L22" s="62"/>
      <c r="M22" s="62"/>
      <c r="N22" s="67"/>
    </row>
    <row r="23" spans="2:14" x14ac:dyDescent="0.25">
      <c r="B23" s="224" t="s">
        <v>15</v>
      </c>
      <c r="C23" s="2"/>
      <c r="D23" s="2"/>
      <c r="E23" s="8"/>
      <c r="F23" s="235"/>
      <c r="G23" s="2"/>
      <c r="H23" s="285"/>
      <c r="I23" s="285"/>
      <c r="J23" s="285"/>
      <c r="K23" s="62"/>
      <c r="L23" s="62"/>
      <c r="M23" s="62"/>
      <c r="N23" s="67"/>
    </row>
    <row r="24" spans="2:14" x14ac:dyDescent="0.25">
      <c r="B24" s="224"/>
      <c r="C24" s="2" t="s">
        <v>16</v>
      </c>
      <c r="D24" s="2"/>
      <c r="E24" s="8">
        <f>+E25-E26</f>
        <v>120314.20999999999</v>
      </c>
      <c r="F24" s="235">
        <f>F25-F26</f>
        <v>102983.20999999999</v>
      </c>
      <c r="G24" s="2"/>
      <c r="H24" s="68"/>
      <c r="I24" s="286"/>
      <c r="J24" s="286"/>
      <c r="K24" s="65"/>
      <c r="L24" s="65"/>
      <c r="M24" s="65"/>
      <c r="N24" s="66"/>
    </row>
    <row r="25" spans="2:14" x14ac:dyDescent="0.25">
      <c r="B25" s="140"/>
      <c r="C25" s="2" t="s">
        <v>17</v>
      </c>
      <c r="D25" s="2"/>
      <c r="E25" s="8">
        <v>360907.48</v>
      </c>
      <c r="F25" s="235">
        <v>360907.48</v>
      </c>
      <c r="G25" s="2"/>
      <c r="H25" s="63"/>
      <c r="I25" s="286"/>
      <c r="J25" s="286"/>
      <c r="K25" s="65"/>
      <c r="L25" s="65"/>
      <c r="M25" s="67"/>
      <c r="N25" s="66"/>
    </row>
    <row r="26" spans="2:14" x14ac:dyDescent="0.25">
      <c r="B26" s="140"/>
      <c r="C26" s="2" t="s">
        <v>18</v>
      </c>
      <c r="D26" s="2"/>
      <c r="E26" s="69">
        <v>240593.27</v>
      </c>
      <c r="F26" s="234">
        <v>257924.27</v>
      </c>
      <c r="G26" s="2"/>
      <c r="H26" s="63"/>
      <c r="I26" s="286"/>
      <c r="J26" s="286"/>
      <c r="K26" s="65"/>
      <c r="L26" s="65"/>
      <c r="M26" s="65"/>
      <c r="N26" s="66"/>
    </row>
    <row r="27" spans="2:14" x14ac:dyDescent="0.25">
      <c r="B27" s="140"/>
      <c r="C27" s="2"/>
      <c r="D27" s="2"/>
      <c r="E27" s="8"/>
      <c r="F27" s="235"/>
      <c r="G27" s="2"/>
      <c r="H27" s="63"/>
      <c r="I27" s="62"/>
      <c r="J27" s="62"/>
      <c r="K27" s="62"/>
      <c r="L27" s="62"/>
      <c r="M27" s="62"/>
      <c r="N27" s="67"/>
    </row>
    <row r="28" spans="2:14" x14ac:dyDescent="0.25">
      <c r="B28" s="140"/>
      <c r="C28" s="6" t="s">
        <v>19</v>
      </c>
      <c r="D28" s="2"/>
      <c r="E28" s="8">
        <f>E24</f>
        <v>120314.20999999999</v>
      </c>
      <c r="F28" s="235">
        <f>+F24</f>
        <v>102983.20999999999</v>
      </c>
      <c r="G28" s="2"/>
      <c r="H28" s="63"/>
      <c r="I28" s="285"/>
      <c r="J28" s="285"/>
      <c r="K28" s="65"/>
      <c r="L28" s="65"/>
      <c r="M28" s="65"/>
      <c r="N28" s="66"/>
    </row>
    <row r="29" spans="2:14" x14ac:dyDescent="0.25">
      <c r="B29" s="140"/>
      <c r="C29" s="2"/>
      <c r="D29" s="2"/>
      <c r="E29" s="8"/>
      <c r="F29" s="235"/>
      <c r="G29" s="2"/>
      <c r="H29" s="63"/>
      <c r="I29" s="62"/>
      <c r="J29" s="62"/>
      <c r="K29" s="62"/>
      <c r="L29" s="62"/>
      <c r="M29" s="62"/>
      <c r="N29" s="67"/>
    </row>
    <row r="30" spans="2:14" ht="15.75" thickBot="1" x14ac:dyDescent="0.3">
      <c r="B30" s="140"/>
      <c r="C30" s="6" t="s">
        <v>20</v>
      </c>
      <c r="D30" s="2"/>
      <c r="E30" s="71">
        <f>+E28+E21</f>
        <v>558064.06999999995</v>
      </c>
      <c r="F30" s="236">
        <f t="shared" ref="F30" si="0">+F28+F21</f>
        <v>481581.15999999992</v>
      </c>
      <c r="G30" s="2"/>
      <c r="H30" s="63"/>
      <c r="I30" s="285"/>
      <c r="J30" s="285"/>
      <c r="K30" s="65"/>
      <c r="L30" s="65"/>
      <c r="M30" s="65"/>
      <c r="N30" s="66"/>
    </row>
    <row r="31" spans="2:14" ht="15.75" thickTop="1" x14ac:dyDescent="0.25">
      <c r="B31" s="140"/>
      <c r="C31" s="2"/>
      <c r="D31" s="2"/>
      <c r="E31" s="8"/>
      <c r="F31" s="235"/>
      <c r="G31" s="2"/>
      <c r="H31" s="63"/>
      <c r="I31" s="62"/>
      <c r="J31" s="62"/>
      <c r="K31" s="62"/>
      <c r="L31" s="62"/>
      <c r="M31" s="62"/>
      <c r="N31" s="67"/>
    </row>
    <row r="32" spans="2:14" x14ac:dyDescent="0.25">
      <c r="B32" s="224" t="s">
        <v>21</v>
      </c>
      <c r="C32" s="2"/>
      <c r="D32" s="2"/>
      <c r="E32" s="8"/>
      <c r="F32" s="235"/>
      <c r="G32" s="2"/>
      <c r="H32" s="68"/>
      <c r="I32" s="62"/>
      <c r="J32" s="62"/>
      <c r="K32" s="62"/>
      <c r="L32" s="62"/>
      <c r="M32" s="62"/>
      <c r="N32" s="67"/>
    </row>
    <row r="33" spans="2:14" x14ac:dyDescent="0.25">
      <c r="B33" s="224" t="s">
        <v>22</v>
      </c>
      <c r="C33" s="2"/>
      <c r="D33" s="2"/>
      <c r="E33" s="8"/>
      <c r="F33" s="235"/>
      <c r="G33" s="2"/>
      <c r="H33" s="285"/>
      <c r="I33" s="285"/>
      <c r="J33" s="62"/>
      <c r="K33" s="62"/>
      <c r="L33" s="62"/>
      <c r="M33" s="62"/>
      <c r="N33" s="67"/>
    </row>
    <row r="34" spans="2:14" x14ac:dyDescent="0.25">
      <c r="B34" s="140"/>
      <c r="C34" s="2" t="s">
        <v>23</v>
      </c>
      <c r="D34" s="2"/>
      <c r="E34" s="8">
        <v>11469.47</v>
      </c>
      <c r="F34" s="235">
        <v>7872.7</v>
      </c>
      <c r="G34" s="2"/>
      <c r="H34" s="63"/>
      <c r="I34" s="286"/>
      <c r="J34" s="286"/>
      <c r="K34" s="65"/>
      <c r="L34" s="65"/>
      <c r="M34" s="65"/>
      <c r="N34" s="66"/>
    </row>
    <row r="35" spans="2:14" x14ac:dyDescent="0.25">
      <c r="B35" s="140"/>
      <c r="C35" s="2" t="s">
        <v>24</v>
      </c>
      <c r="D35" s="2"/>
      <c r="E35" s="8">
        <v>8755.6299999999992</v>
      </c>
      <c r="F35" s="235">
        <v>3845.48</v>
      </c>
      <c r="G35" s="2"/>
      <c r="H35" s="63"/>
      <c r="I35" s="286"/>
      <c r="J35" s="286"/>
      <c r="K35" s="67"/>
      <c r="L35" s="67"/>
      <c r="M35" s="67"/>
      <c r="N35" s="67"/>
    </row>
    <row r="36" spans="2:14" x14ac:dyDescent="0.25">
      <c r="B36" s="140"/>
      <c r="C36" s="2" t="s">
        <v>25</v>
      </c>
      <c r="D36" s="2"/>
      <c r="E36" s="8">
        <v>3493.69</v>
      </c>
      <c r="F36" s="235">
        <v>0</v>
      </c>
      <c r="G36" s="2"/>
      <c r="H36" s="63"/>
      <c r="I36" s="286"/>
      <c r="J36" s="286"/>
      <c r="K36" s="65"/>
      <c r="L36" s="65"/>
      <c r="M36" s="65"/>
      <c r="N36" s="66"/>
    </row>
    <row r="37" spans="2:14" x14ac:dyDescent="0.25">
      <c r="B37" s="140"/>
      <c r="C37" s="2" t="s">
        <v>26</v>
      </c>
      <c r="D37" s="2"/>
      <c r="E37" s="8">
        <v>278063.88</v>
      </c>
      <c r="F37" s="235">
        <v>118342.91</v>
      </c>
      <c r="G37" s="74"/>
      <c r="H37" s="63"/>
      <c r="I37" s="286"/>
      <c r="J37" s="286"/>
      <c r="K37" s="65"/>
      <c r="L37" s="67"/>
      <c r="M37" s="65"/>
      <c r="N37" s="66"/>
    </row>
    <row r="38" spans="2:14" x14ac:dyDescent="0.25">
      <c r="B38" s="140"/>
      <c r="C38" s="2" t="s">
        <v>27</v>
      </c>
      <c r="D38" s="2"/>
      <c r="E38" s="8">
        <v>521.59</v>
      </c>
      <c r="F38" s="235">
        <v>840.01</v>
      </c>
      <c r="G38" s="2"/>
      <c r="H38" s="63"/>
      <c r="I38" s="286"/>
      <c r="J38" s="286"/>
      <c r="K38" s="65"/>
      <c r="L38" s="65"/>
      <c r="M38" s="65"/>
      <c r="N38" s="66"/>
    </row>
    <row r="39" spans="2:14" x14ac:dyDescent="0.25">
      <c r="B39" s="140"/>
      <c r="C39" s="2" t="s">
        <v>28</v>
      </c>
      <c r="D39" s="2"/>
      <c r="E39" s="8">
        <v>71412.73</v>
      </c>
      <c r="F39" s="235">
        <v>98264.34</v>
      </c>
      <c r="G39" s="2"/>
      <c r="H39" s="63"/>
      <c r="I39" s="286"/>
      <c r="J39" s="286"/>
      <c r="K39" s="67"/>
      <c r="L39" s="67"/>
      <c r="M39" s="67"/>
      <c r="N39" s="66"/>
    </row>
    <row r="40" spans="2:14" x14ac:dyDescent="0.25">
      <c r="B40" s="140"/>
      <c r="C40" s="2" t="s">
        <v>29</v>
      </c>
      <c r="D40" s="2"/>
      <c r="E40" s="69">
        <v>1467.95</v>
      </c>
      <c r="F40" s="234">
        <v>8807.2199999999993</v>
      </c>
      <c r="G40" s="2"/>
      <c r="H40" s="63"/>
      <c r="I40" s="286"/>
      <c r="J40" s="286"/>
      <c r="K40" s="65"/>
      <c r="L40" s="65"/>
      <c r="M40" s="65"/>
      <c r="N40" s="66"/>
    </row>
    <row r="41" spans="2:14" x14ac:dyDescent="0.25">
      <c r="B41" s="140"/>
      <c r="C41" s="2"/>
      <c r="D41" s="2"/>
      <c r="E41" s="8"/>
      <c r="F41" s="235"/>
      <c r="G41" s="2"/>
      <c r="H41" s="63"/>
      <c r="I41" s="286"/>
      <c r="J41" s="286"/>
      <c r="K41" s="65"/>
      <c r="L41" s="65"/>
      <c r="M41" s="65"/>
      <c r="N41" s="67"/>
    </row>
    <row r="42" spans="2:14" x14ac:dyDescent="0.25">
      <c r="B42" s="140"/>
      <c r="C42" s="6" t="s">
        <v>30</v>
      </c>
      <c r="D42" s="2"/>
      <c r="E42" s="8">
        <f>SUM(E34:E41)</f>
        <v>375184.94</v>
      </c>
      <c r="F42" s="235">
        <f t="shared" ref="F42" si="1">SUM(F34:F41)</f>
        <v>237972.66</v>
      </c>
      <c r="G42" s="2"/>
      <c r="H42" s="63"/>
      <c r="I42" s="62"/>
      <c r="J42" s="62"/>
      <c r="K42" s="62"/>
      <c r="L42" s="62"/>
      <c r="M42" s="62"/>
      <c r="N42" s="67"/>
    </row>
    <row r="43" spans="2:14" x14ac:dyDescent="0.25">
      <c r="B43" s="140"/>
      <c r="C43" s="2"/>
      <c r="D43" s="2"/>
      <c r="E43" s="8"/>
      <c r="F43" s="235"/>
      <c r="G43" s="2"/>
      <c r="H43" s="63"/>
      <c r="I43" s="285"/>
      <c r="J43" s="285"/>
      <c r="K43" s="65"/>
      <c r="L43" s="65"/>
      <c r="M43" s="65"/>
      <c r="N43" s="66"/>
    </row>
    <row r="44" spans="2:14" x14ac:dyDescent="0.25">
      <c r="B44" s="224" t="s">
        <v>31</v>
      </c>
      <c r="C44" s="2"/>
      <c r="D44" s="2"/>
      <c r="E44" s="8"/>
      <c r="F44" s="235"/>
      <c r="G44" s="2"/>
      <c r="H44" s="63"/>
      <c r="I44" s="62"/>
      <c r="J44" s="62"/>
      <c r="K44" s="62"/>
      <c r="L44" s="62"/>
      <c r="M44" s="62"/>
      <c r="N44" s="67"/>
    </row>
    <row r="45" spans="2:14" x14ac:dyDescent="0.25">
      <c r="B45" s="140"/>
      <c r="C45" s="2" t="s">
        <v>23</v>
      </c>
      <c r="D45" s="2"/>
      <c r="E45" s="8">
        <v>6370.82</v>
      </c>
      <c r="F45" s="235">
        <v>9009.4500000000007</v>
      </c>
      <c r="G45" s="2"/>
      <c r="H45" s="285"/>
      <c r="I45" s="285"/>
      <c r="J45" s="285"/>
      <c r="K45" s="62"/>
      <c r="L45" s="62"/>
      <c r="M45" s="62"/>
      <c r="N45" s="67"/>
    </row>
    <row r="46" spans="2:14" x14ac:dyDescent="0.25">
      <c r="B46" s="140"/>
      <c r="C46" s="2" t="s">
        <v>32</v>
      </c>
      <c r="D46" s="2"/>
      <c r="E46" s="69">
        <v>0</v>
      </c>
      <c r="F46" s="234">
        <v>56580</v>
      </c>
      <c r="G46" s="2"/>
      <c r="H46" s="63"/>
      <c r="I46" s="286"/>
      <c r="J46" s="286"/>
      <c r="K46" s="65"/>
      <c r="L46" s="65"/>
      <c r="M46" s="65"/>
      <c r="N46" s="66"/>
    </row>
    <row r="47" spans="2:14" x14ac:dyDescent="0.25">
      <c r="B47" s="140"/>
      <c r="C47" s="2"/>
      <c r="D47" s="2"/>
      <c r="E47" s="8"/>
      <c r="F47" s="235"/>
      <c r="G47" s="2"/>
      <c r="H47" s="63"/>
      <c r="I47" s="286"/>
      <c r="J47" s="286"/>
      <c r="K47" s="67"/>
      <c r="L47" s="65"/>
      <c r="M47" s="65"/>
      <c r="N47" s="67"/>
    </row>
    <row r="48" spans="2:14" x14ac:dyDescent="0.25">
      <c r="B48" s="140"/>
      <c r="C48" s="6" t="s">
        <v>33</v>
      </c>
      <c r="D48" s="2"/>
      <c r="E48" s="8">
        <f>SUM(E45:E47)</f>
        <v>6370.82</v>
      </c>
      <c r="F48" s="235">
        <f t="shared" ref="F48" si="2">SUM(F45:F47)</f>
        <v>65589.45</v>
      </c>
      <c r="G48" s="2"/>
      <c r="H48" s="63"/>
      <c r="I48" s="62"/>
      <c r="J48" s="62"/>
      <c r="K48" s="62"/>
      <c r="L48" s="62"/>
      <c r="M48" s="62"/>
      <c r="N48" s="67"/>
    </row>
    <row r="49" spans="2:14" x14ac:dyDescent="0.25">
      <c r="B49" s="140"/>
      <c r="C49" s="2"/>
      <c r="D49" s="2"/>
      <c r="E49" s="8"/>
      <c r="F49" s="235"/>
      <c r="G49" s="2"/>
      <c r="H49" s="63"/>
      <c r="I49" s="285"/>
      <c r="J49" s="285"/>
      <c r="K49" s="65"/>
      <c r="L49" s="65"/>
      <c r="M49" s="65"/>
      <c r="N49" s="66"/>
    </row>
    <row r="50" spans="2:14" ht="15.75" thickBot="1" x14ac:dyDescent="0.3">
      <c r="B50" s="140"/>
      <c r="C50" s="6" t="s">
        <v>34</v>
      </c>
      <c r="D50" s="2"/>
      <c r="E50" s="71">
        <f>+E48+E42</f>
        <v>381555.76</v>
      </c>
      <c r="F50" s="236">
        <f t="shared" ref="F50" si="3">+F48+F42</f>
        <v>303562.11</v>
      </c>
      <c r="G50" s="2"/>
      <c r="H50" s="63"/>
      <c r="I50" s="62"/>
      <c r="J50" s="62"/>
      <c r="K50" s="62"/>
      <c r="L50" s="62"/>
      <c r="M50" s="62"/>
      <c r="N50" s="67"/>
    </row>
    <row r="51" spans="2:14" ht="15.75" thickTop="1" x14ac:dyDescent="0.25">
      <c r="B51" s="140"/>
      <c r="C51" s="2"/>
      <c r="D51" s="2"/>
      <c r="E51" s="8"/>
      <c r="F51" s="235"/>
      <c r="G51" s="2"/>
      <c r="H51" s="63"/>
      <c r="I51" s="285"/>
      <c r="J51" s="285"/>
      <c r="K51" s="65"/>
      <c r="L51" s="65"/>
      <c r="M51" s="65"/>
      <c r="N51" s="66"/>
    </row>
    <row r="52" spans="2:14" x14ac:dyDescent="0.25">
      <c r="B52" s="224" t="s">
        <v>35</v>
      </c>
      <c r="C52" s="2"/>
      <c r="D52" s="2"/>
      <c r="E52" s="8"/>
      <c r="F52" s="235"/>
      <c r="G52" s="2"/>
      <c r="H52" s="63"/>
      <c r="I52" s="62"/>
      <c r="J52" s="62"/>
      <c r="K52" s="62"/>
      <c r="L52" s="62"/>
      <c r="M52" s="62"/>
      <c r="N52" s="67"/>
    </row>
    <row r="53" spans="2:14" x14ac:dyDescent="0.25">
      <c r="B53" s="140"/>
      <c r="C53" s="2" t="s">
        <v>36</v>
      </c>
      <c r="D53" s="2"/>
      <c r="E53" s="8">
        <v>6630</v>
      </c>
      <c r="F53" s="235">
        <v>25630</v>
      </c>
      <c r="G53" s="75"/>
      <c r="H53" s="285"/>
      <c r="I53" s="285"/>
      <c r="J53" s="62"/>
      <c r="K53" s="62"/>
      <c r="L53" s="62"/>
      <c r="M53" s="62"/>
      <c r="N53" s="67"/>
    </row>
    <row r="54" spans="2:14" x14ac:dyDescent="0.25">
      <c r="B54" s="140"/>
      <c r="C54" s="2" t="s">
        <v>37</v>
      </c>
      <c r="D54" s="2"/>
      <c r="E54" s="8">
        <v>680.21</v>
      </c>
      <c r="F54" s="235">
        <v>680.21</v>
      </c>
      <c r="G54" s="2"/>
      <c r="H54" s="63"/>
      <c r="I54" s="286"/>
      <c r="J54" s="286"/>
      <c r="K54" s="65"/>
      <c r="L54" s="65"/>
      <c r="M54" s="65"/>
      <c r="N54" s="66"/>
    </row>
    <row r="55" spans="2:14" x14ac:dyDescent="0.25">
      <c r="B55" s="140"/>
      <c r="C55" s="2" t="s">
        <v>38</v>
      </c>
      <c r="D55" s="2"/>
      <c r="E55" s="8">
        <v>34951.760000000002</v>
      </c>
      <c r="F55" s="235">
        <v>34951.760000000002</v>
      </c>
      <c r="G55" s="2"/>
      <c r="H55" s="63"/>
      <c r="I55" s="286"/>
      <c r="J55" s="286"/>
      <c r="K55" s="67"/>
      <c r="L55" s="67"/>
      <c r="M55" s="67"/>
      <c r="N55" s="66"/>
    </row>
    <row r="56" spans="2:14" x14ac:dyDescent="0.25">
      <c r="B56" s="140"/>
      <c r="C56" s="2" t="s">
        <v>39</v>
      </c>
      <c r="D56" s="2"/>
      <c r="E56" s="8">
        <v>104943.74</v>
      </c>
      <c r="F56" s="235">
        <v>108765.43</v>
      </c>
      <c r="G56" s="2"/>
      <c r="H56" s="63"/>
      <c r="I56" s="63"/>
      <c r="J56" s="62"/>
      <c r="K56" s="65"/>
      <c r="L56" s="65"/>
      <c r="M56" s="67"/>
      <c r="N56" s="66"/>
    </row>
    <row r="57" spans="2:14" x14ac:dyDescent="0.25">
      <c r="B57" s="140"/>
      <c r="C57" s="2" t="s">
        <v>40</v>
      </c>
      <c r="D57" s="2"/>
      <c r="E57" s="69">
        <v>29302.6</v>
      </c>
      <c r="F57" s="234">
        <v>7991.65</v>
      </c>
      <c r="G57" s="2"/>
      <c r="H57" s="63"/>
      <c r="I57" s="286"/>
      <c r="J57" s="286"/>
      <c r="K57" s="65"/>
      <c r="L57" s="65"/>
      <c r="M57" s="65"/>
      <c r="N57" s="66"/>
    </row>
    <row r="58" spans="2:14" x14ac:dyDescent="0.25">
      <c r="B58" s="140"/>
      <c r="C58" s="2"/>
      <c r="D58" s="2"/>
      <c r="E58" s="8"/>
      <c r="F58" s="228"/>
      <c r="G58" s="2"/>
      <c r="H58" s="63"/>
      <c r="I58" s="286"/>
      <c r="J58" s="286"/>
      <c r="K58" s="65"/>
      <c r="L58" s="65"/>
      <c r="M58" s="65"/>
      <c r="N58" s="66"/>
    </row>
    <row r="59" spans="2:14" ht="15.75" thickBot="1" x14ac:dyDescent="0.3">
      <c r="B59" s="140"/>
      <c r="C59" s="6" t="s">
        <v>41</v>
      </c>
      <c r="D59" s="2"/>
      <c r="E59" s="71">
        <f>SUM(E53:E58)</f>
        <v>176508.31000000003</v>
      </c>
      <c r="F59" s="230">
        <f>SUM(F53:F58)</f>
        <v>178019.05</v>
      </c>
      <c r="G59" s="2"/>
      <c r="H59" s="63"/>
      <c r="I59" s="62"/>
      <c r="J59" s="62"/>
      <c r="K59" s="62"/>
      <c r="L59" s="62"/>
      <c r="M59" s="62"/>
      <c r="N59" s="67"/>
    </row>
    <row r="60" spans="2:14" ht="15.75" thickTop="1" x14ac:dyDescent="0.25">
      <c r="B60" s="140"/>
      <c r="C60" s="2"/>
      <c r="D60" s="2"/>
      <c r="E60" s="8"/>
      <c r="F60" s="228"/>
      <c r="G60" s="2"/>
      <c r="H60" s="63"/>
      <c r="I60" s="285"/>
      <c r="J60" s="285"/>
      <c r="K60" s="65"/>
      <c r="L60" s="65"/>
      <c r="M60" s="65"/>
      <c r="N60" s="66"/>
    </row>
    <row r="61" spans="2:14" ht="15.75" thickBot="1" x14ac:dyDescent="0.3">
      <c r="B61" s="141"/>
      <c r="C61" s="237" t="s">
        <v>42</v>
      </c>
      <c r="D61" s="142"/>
      <c r="E61" s="238">
        <f>+E59+E50</f>
        <v>558064.07000000007</v>
      </c>
      <c r="F61" s="233">
        <f>F59+F50</f>
        <v>481581.16</v>
      </c>
      <c r="G61" s="2"/>
      <c r="H61" s="63"/>
      <c r="I61" s="62"/>
      <c r="J61" s="62"/>
      <c r="K61" s="62"/>
      <c r="L61" s="62"/>
      <c r="M61" s="62"/>
      <c r="N61" s="67"/>
    </row>
    <row r="62" spans="2:14" x14ac:dyDescent="0.25">
      <c r="H62" s="63"/>
      <c r="I62" s="285"/>
      <c r="J62" s="285"/>
      <c r="K62" s="65"/>
      <c r="L62" s="65"/>
      <c r="M62" s="65"/>
      <c r="N62" s="66"/>
    </row>
  </sheetData>
  <mergeCells count="42">
    <mergeCell ref="B2:F2"/>
    <mergeCell ref="B3:F3"/>
    <mergeCell ref="H2:N2"/>
    <mergeCell ref="H3:N3"/>
    <mergeCell ref="H8:I8"/>
    <mergeCell ref="I11:J11"/>
    <mergeCell ref="I13:J13"/>
    <mergeCell ref="I14:J14"/>
    <mergeCell ref="I15:J15"/>
    <mergeCell ref="I16:J16"/>
    <mergeCell ref="I17:J17"/>
    <mergeCell ref="I18:J18"/>
    <mergeCell ref="I19:J19"/>
    <mergeCell ref="I21:J21"/>
    <mergeCell ref="H23:J23"/>
    <mergeCell ref="I24:J24"/>
    <mergeCell ref="I25:J25"/>
    <mergeCell ref="I26:J26"/>
    <mergeCell ref="I28:J28"/>
    <mergeCell ref="I30:J30"/>
    <mergeCell ref="H33:I33"/>
    <mergeCell ref="I34:J34"/>
    <mergeCell ref="I35:J35"/>
    <mergeCell ref="I36:J36"/>
    <mergeCell ref="I37:J37"/>
    <mergeCell ref="I38:J38"/>
    <mergeCell ref="I39:J39"/>
    <mergeCell ref="I40:J40"/>
    <mergeCell ref="I41:J41"/>
    <mergeCell ref="I43:J43"/>
    <mergeCell ref="H45:J45"/>
    <mergeCell ref="I46:J46"/>
    <mergeCell ref="I47:J47"/>
    <mergeCell ref="I49:J49"/>
    <mergeCell ref="I51:J51"/>
    <mergeCell ref="I60:J60"/>
    <mergeCell ref="I62:J62"/>
    <mergeCell ref="H53:I53"/>
    <mergeCell ref="I54:J54"/>
    <mergeCell ref="I55:J55"/>
    <mergeCell ref="I57:J57"/>
    <mergeCell ref="I58:J58"/>
  </mergeCells>
  <pageMargins left="0.7" right="0.7" top="0.75" bottom="0.75" header="0.3" footer="0.3"/>
  <pageSetup paperSize="9" scale="83" orientation="portrait" r:id="rId1"/>
  <ignoredErrors>
    <ignoredError sqref="E21:F21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7030A0"/>
  </sheetPr>
  <dimension ref="A1:Z153"/>
  <sheetViews>
    <sheetView showGridLines="0" topLeftCell="A36" zoomScaleNormal="100" workbookViewId="0">
      <selection activeCell="G60" sqref="G60"/>
    </sheetView>
  </sheetViews>
  <sheetFormatPr defaultColWidth="11.375" defaultRowHeight="12.75" x14ac:dyDescent="0.2"/>
  <cols>
    <col min="1" max="1" width="0.875" style="40" customWidth="1"/>
    <col min="2" max="2" width="2.875" style="40" customWidth="1"/>
    <col min="3" max="3" width="5.875" style="40" customWidth="1"/>
    <col min="4" max="4" width="4.75" style="40" customWidth="1"/>
    <col min="5" max="5" width="4.375" style="40" customWidth="1"/>
    <col min="6" max="6" width="2" style="40" bestFit="1" customWidth="1"/>
    <col min="7" max="7" width="24.375" style="40" bestFit="1" customWidth="1"/>
    <col min="8" max="8" width="3.125" style="40" customWidth="1"/>
    <col min="9" max="9" width="2.875" style="40" customWidth="1"/>
    <col min="10" max="11" width="15.875" style="40" customWidth="1"/>
    <col min="12" max="12" width="15.875" style="40" bestFit="1" customWidth="1"/>
    <col min="13" max="14" width="15.875" style="40" customWidth="1"/>
    <col min="15" max="16384" width="11.375" style="40"/>
  </cols>
  <sheetData>
    <row r="1" spans="2:26" ht="15.75" thickBot="1" x14ac:dyDescent="0.3">
      <c r="K1"/>
    </row>
    <row r="2" spans="2:26" ht="12.75" customHeight="1" x14ac:dyDescent="0.2">
      <c r="B2" s="49"/>
      <c r="C2" s="378">
        <v>2014</v>
      </c>
      <c r="D2" s="378"/>
      <c r="E2" s="378"/>
      <c r="F2" s="378"/>
      <c r="G2" s="378"/>
      <c r="H2" s="50"/>
      <c r="J2" s="131" t="s">
        <v>69</v>
      </c>
      <c r="K2" s="127" t="s">
        <v>202</v>
      </c>
      <c r="L2" s="131" t="s">
        <v>203</v>
      </c>
      <c r="M2" s="131" t="s">
        <v>204</v>
      </c>
      <c r="N2" s="131" t="s">
        <v>205</v>
      </c>
    </row>
    <row r="3" spans="2:26" ht="12.75" customHeight="1" x14ac:dyDescent="0.2">
      <c r="B3" s="51"/>
      <c r="C3" s="379"/>
      <c r="D3" s="379"/>
      <c r="E3" s="379"/>
      <c r="F3" s="379"/>
      <c r="G3" s="379"/>
      <c r="H3" s="52"/>
      <c r="J3" s="132" t="s">
        <v>112</v>
      </c>
      <c r="K3" s="128" t="s">
        <v>112</v>
      </c>
      <c r="L3" s="132" t="s">
        <v>112</v>
      </c>
      <c r="M3" s="132" t="s">
        <v>112</v>
      </c>
      <c r="N3" s="132" t="s">
        <v>112</v>
      </c>
    </row>
    <row r="4" spans="2:26" ht="15" customHeight="1" x14ac:dyDescent="0.25">
      <c r="B4" s="51"/>
      <c r="C4" s="482" t="s">
        <v>108</v>
      </c>
      <c r="D4" s="482"/>
      <c r="E4" s="482"/>
      <c r="F4" s="482"/>
      <c r="G4" s="482"/>
      <c r="H4" s="52"/>
      <c r="J4" s="133">
        <v>0</v>
      </c>
      <c r="K4" s="129">
        <f t="shared" ref="K4:K5" si="0">+$G$7</f>
        <v>162324.10999999999</v>
      </c>
      <c r="L4" s="133">
        <v>0</v>
      </c>
      <c r="M4" s="133">
        <f>+L4+K4</f>
        <v>162324.10999999999</v>
      </c>
      <c r="N4" s="133">
        <f>+J4-M4</f>
        <v>-162324.10999999999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2:26" ht="15" customHeight="1" x14ac:dyDescent="0.25">
      <c r="B5" s="51"/>
      <c r="C5" s="483" t="s">
        <v>111</v>
      </c>
      <c r="D5" s="483"/>
      <c r="E5" s="483"/>
      <c r="F5" s="483"/>
      <c r="G5" s="269" t="s">
        <v>112</v>
      </c>
      <c r="H5" s="52"/>
      <c r="J5" s="133">
        <f>+J6*0.4</f>
        <v>680528.50468035846</v>
      </c>
      <c r="K5" s="129">
        <f t="shared" si="0"/>
        <v>162324.10999999999</v>
      </c>
      <c r="L5" s="133">
        <f>+L6*0.4</f>
        <v>615598.86068035848</v>
      </c>
      <c r="M5" s="133">
        <f>+L5+K5</f>
        <v>777922.97068035847</v>
      </c>
      <c r="N5" s="133">
        <f t="shared" ref="N5:N8" si="1">+J5-M5</f>
        <v>-97394.466000000015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2:26" ht="15" customHeight="1" x14ac:dyDescent="0.25">
      <c r="B6" s="51"/>
      <c r="C6" s="377" t="s">
        <v>115</v>
      </c>
      <c r="D6" s="377"/>
      <c r="E6" s="377"/>
      <c r="F6" s="377"/>
      <c r="G6" s="44">
        <f>+'ER PESIMISTA'!E17+'ER PESIMISTA'!E34</f>
        <v>1535809.54</v>
      </c>
      <c r="H6" s="52"/>
      <c r="J6" s="133">
        <f>+E24</f>
        <v>1701321.2617008961</v>
      </c>
      <c r="K6" s="129">
        <f>+$G$7</f>
        <v>162324.10999999999</v>
      </c>
      <c r="L6" s="133">
        <f>+J6-K6</f>
        <v>1538997.1517008962</v>
      </c>
      <c r="M6" s="133">
        <f t="shared" ref="M6:M8" si="2">+L6+K6</f>
        <v>1701321.2617008961</v>
      </c>
      <c r="N6" s="133">
        <f t="shared" si="1"/>
        <v>0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2:26" ht="15" customHeight="1" x14ac:dyDescent="0.25">
      <c r="B7" s="51"/>
      <c r="C7" s="377" t="s">
        <v>117</v>
      </c>
      <c r="D7" s="377"/>
      <c r="E7" s="377"/>
      <c r="F7" s="377"/>
      <c r="G7" s="44">
        <f>+'ER PESIMISTA'!E32+'ER PESIMISTA'!E42+'ER PESIMISTA'!E18</f>
        <v>162324.10999999999</v>
      </c>
      <c r="H7" s="52"/>
      <c r="J7" s="133">
        <f>+J6*120%</f>
        <v>2041585.5140410753</v>
      </c>
      <c r="K7" s="129">
        <f t="shared" ref="K7:K8" si="3">+$G$7</f>
        <v>162324.10999999999</v>
      </c>
      <c r="L7" s="133">
        <f>+L6*120%</f>
        <v>1846796.5820410755</v>
      </c>
      <c r="M7" s="133">
        <f t="shared" si="2"/>
        <v>2009120.6920410753</v>
      </c>
      <c r="N7" s="133">
        <f t="shared" si="1"/>
        <v>32464.821999999927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2:26" ht="15" customHeight="1" x14ac:dyDescent="0.25">
      <c r="B8" s="51"/>
      <c r="C8" s="377" t="s">
        <v>116</v>
      </c>
      <c r="D8" s="377"/>
      <c r="E8" s="377"/>
      <c r="F8" s="377"/>
      <c r="G8" s="44">
        <f>+'ER PESIMISTA'!E13</f>
        <v>1697797.44</v>
      </c>
      <c r="H8" s="52"/>
      <c r="J8" s="126">
        <f>+J6*1.85</f>
        <v>3147444.334146658</v>
      </c>
      <c r="K8" s="130">
        <f t="shared" si="3"/>
        <v>162324.10999999999</v>
      </c>
      <c r="L8" s="126">
        <f>+L6*1.85</f>
        <v>2847144.7306466582</v>
      </c>
      <c r="M8" s="126">
        <f t="shared" si="2"/>
        <v>3009468.8406466581</v>
      </c>
      <c r="N8" s="126">
        <f t="shared" si="1"/>
        <v>137975.49349999987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2:26" x14ac:dyDescent="0.2">
      <c r="B9" s="51"/>
      <c r="C9" s="42"/>
      <c r="D9" s="42"/>
      <c r="E9" s="42"/>
      <c r="F9" s="42"/>
      <c r="G9" s="42"/>
      <c r="H9" s="5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x14ac:dyDescent="0.2">
      <c r="B10" s="51"/>
      <c r="C10" s="42"/>
      <c r="D10" s="41" t="s">
        <v>109</v>
      </c>
      <c r="E10" s="376" t="s">
        <v>110</v>
      </c>
      <c r="F10" s="376"/>
      <c r="G10" s="376"/>
      <c r="H10" s="5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x14ac:dyDescent="0.2">
      <c r="B11" s="51"/>
      <c r="C11" s="42"/>
      <c r="D11" s="42"/>
      <c r="E11" s="43">
        <v>1</v>
      </c>
      <c r="F11" s="42" t="s">
        <v>113</v>
      </c>
      <c r="G11" s="43" t="s">
        <v>114</v>
      </c>
      <c r="H11" s="5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x14ac:dyDescent="0.2">
      <c r="B12" s="51"/>
      <c r="C12" s="42"/>
      <c r="D12" s="45"/>
      <c r="E12" s="42"/>
      <c r="F12" s="41"/>
      <c r="G12" s="46" t="s">
        <v>116</v>
      </c>
      <c r="H12" s="5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x14ac:dyDescent="0.2">
      <c r="B13" s="51"/>
      <c r="C13" s="42"/>
      <c r="D13" s="47"/>
      <c r="E13" s="42"/>
      <c r="F13" s="42"/>
      <c r="G13" s="42"/>
      <c r="H13" s="5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x14ac:dyDescent="0.2">
      <c r="B14" s="51"/>
      <c r="C14" s="42"/>
      <c r="D14" s="41" t="s">
        <v>109</v>
      </c>
      <c r="E14" s="375">
        <f>+G7</f>
        <v>162324.10999999999</v>
      </c>
      <c r="F14" s="376"/>
      <c r="G14" s="376"/>
      <c r="H14" s="5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x14ac:dyDescent="0.2">
      <c r="B15" s="51"/>
      <c r="C15" s="42"/>
      <c r="D15" s="42"/>
      <c r="E15" s="43">
        <v>1</v>
      </c>
      <c r="F15" s="42" t="s">
        <v>113</v>
      </c>
      <c r="G15" s="48">
        <f>+G6</f>
        <v>1535809.54</v>
      </c>
      <c r="H15" s="5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x14ac:dyDescent="0.2">
      <c r="B16" s="51"/>
      <c r="C16" s="42"/>
      <c r="D16" s="41"/>
      <c r="E16" s="42"/>
      <c r="F16" s="41"/>
      <c r="G16" s="125">
        <f>+G8</f>
        <v>1697797.44</v>
      </c>
      <c r="H16" s="5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14" x14ac:dyDescent="0.2">
      <c r="B17" s="51"/>
      <c r="C17" s="42"/>
      <c r="D17" s="42"/>
      <c r="E17" s="42"/>
      <c r="F17" s="42"/>
      <c r="G17" s="42"/>
      <c r="H17" s="52"/>
      <c r="J17" s="42"/>
      <c r="K17" s="42"/>
      <c r="L17" s="42"/>
      <c r="M17" s="42"/>
      <c r="N17" s="42"/>
    </row>
    <row r="18" spans="1:14" x14ac:dyDescent="0.2">
      <c r="B18" s="51"/>
      <c r="C18" s="42"/>
      <c r="D18" s="41" t="s">
        <v>109</v>
      </c>
      <c r="E18" s="375">
        <f>+E14</f>
        <v>162324.10999999999</v>
      </c>
      <c r="F18" s="375"/>
      <c r="G18" s="375"/>
      <c r="H18" s="52"/>
    </row>
    <row r="19" spans="1:14" x14ac:dyDescent="0.2">
      <c r="B19" s="51"/>
      <c r="C19" s="42"/>
      <c r="D19" s="42"/>
      <c r="E19" s="43">
        <v>1</v>
      </c>
      <c r="F19" s="42" t="s">
        <v>113</v>
      </c>
      <c r="G19" s="48">
        <f>+G15/G16</f>
        <v>0.90458938376064468</v>
      </c>
      <c r="H19" s="52"/>
    </row>
    <row r="20" spans="1:14" x14ac:dyDescent="0.2">
      <c r="B20" s="51"/>
      <c r="C20" s="42"/>
      <c r="D20" s="41"/>
      <c r="E20" s="41"/>
      <c r="F20" s="41"/>
      <c r="G20" s="41"/>
      <c r="H20" s="52"/>
    </row>
    <row r="21" spans="1:14" x14ac:dyDescent="0.2">
      <c r="B21" s="51"/>
      <c r="C21" s="42"/>
      <c r="D21" s="41" t="s">
        <v>109</v>
      </c>
      <c r="E21" s="375">
        <f>+E18</f>
        <v>162324.10999999999</v>
      </c>
      <c r="F21" s="375"/>
      <c r="G21" s="375"/>
      <c r="H21" s="52"/>
    </row>
    <row r="22" spans="1:14" x14ac:dyDescent="0.2">
      <c r="B22" s="51"/>
      <c r="C22" s="42"/>
      <c r="D22" s="41"/>
      <c r="E22" s="374">
        <f>+E19-G19</f>
        <v>9.5410616239355317E-2</v>
      </c>
      <c r="F22" s="374"/>
      <c r="G22" s="374"/>
      <c r="H22" s="52"/>
    </row>
    <row r="23" spans="1:14" x14ac:dyDescent="0.2">
      <c r="B23" s="51"/>
      <c r="C23" s="42"/>
      <c r="D23" s="41"/>
      <c r="E23" s="41"/>
      <c r="F23" s="41"/>
      <c r="G23" s="41"/>
      <c r="H23" s="52"/>
    </row>
    <row r="24" spans="1:14" x14ac:dyDescent="0.2">
      <c r="B24" s="51"/>
      <c r="C24" s="42"/>
      <c r="D24" s="41" t="s">
        <v>109</v>
      </c>
      <c r="E24" s="373">
        <f>+E21/E22</f>
        <v>1701321.2617008961</v>
      </c>
      <c r="F24" s="373"/>
      <c r="G24" s="373"/>
      <c r="H24" s="52"/>
    </row>
    <row r="25" spans="1:14" ht="13.5" thickBot="1" x14ac:dyDescent="0.25">
      <c r="B25" s="53"/>
      <c r="C25" s="54"/>
      <c r="D25" s="54"/>
      <c r="E25" s="54"/>
      <c r="F25" s="54"/>
      <c r="G25" s="54"/>
      <c r="H25" s="55"/>
    </row>
    <row r="26" spans="1:14" x14ac:dyDescent="0.2">
      <c r="A26" s="42"/>
      <c r="B26" s="42"/>
      <c r="C26" s="42"/>
      <c r="D26" s="42"/>
      <c r="E26" s="42"/>
      <c r="F26" s="42"/>
      <c r="G26" s="42"/>
      <c r="H26" s="42"/>
      <c r="I26" s="42"/>
    </row>
    <row r="27" spans="1:14" x14ac:dyDescent="0.2">
      <c r="A27" s="42"/>
      <c r="B27" s="42"/>
      <c r="C27" s="42"/>
      <c r="D27" s="42"/>
      <c r="E27" s="42"/>
      <c r="F27" s="42"/>
      <c r="G27" s="42"/>
      <c r="H27" s="42"/>
      <c r="I27" s="42"/>
    </row>
    <row r="28" spans="1:14" x14ac:dyDescent="0.2">
      <c r="A28" s="42"/>
      <c r="B28" s="42"/>
      <c r="C28" s="42"/>
      <c r="D28" s="42"/>
      <c r="E28" s="42"/>
      <c r="F28" s="42"/>
      <c r="G28" s="42"/>
      <c r="H28" s="42"/>
      <c r="I28" s="42"/>
    </row>
    <row r="29" spans="1:14" x14ac:dyDescent="0.2">
      <c r="A29" s="42"/>
      <c r="B29" s="42"/>
      <c r="C29" s="42"/>
      <c r="D29" s="42"/>
      <c r="E29" s="42"/>
      <c r="F29" s="42"/>
      <c r="G29" s="42"/>
      <c r="H29" s="42"/>
      <c r="I29" s="42"/>
    </row>
    <row r="30" spans="1:14" x14ac:dyDescent="0.2">
      <c r="A30" s="42"/>
      <c r="B30" s="42"/>
      <c r="C30" s="42"/>
      <c r="D30" s="42"/>
      <c r="E30" s="42"/>
      <c r="F30" s="42"/>
      <c r="G30" s="42"/>
      <c r="H30" s="42"/>
      <c r="I30" s="42"/>
    </row>
    <row r="31" spans="1:14" x14ac:dyDescent="0.2">
      <c r="A31" s="42"/>
      <c r="B31" s="42"/>
      <c r="C31" s="42"/>
      <c r="D31" s="42"/>
      <c r="E31" s="42"/>
      <c r="F31" s="42"/>
      <c r="G31" s="42"/>
      <c r="H31" s="42"/>
      <c r="I31" s="42"/>
    </row>
    <row r="32" spans="1:14" x14ac:dyDescent="0.2">
      <c r="A32" s="42"/>
      <c r="B32" s="42"/>
      <c r="C32" s="42"/>
      <c r="D32" s="42"/>
      <c r="E32" s="42"/>
      <c r="F32" s="42"/>
      <c r="G32" s="42"/>
      <c r="H32" s="42"/>
      <c r="I32" s="42"/>
    </row>
    <row r="33" spans="1:14" ht="13.5" thickBot="1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14" ht="15" customHeight="1" x14ac:dyDescent="0.2">
      <c r="B34" s="49"/>
      <c r="C34" s="378">
        <v>2015</v>
      </c>
      <c r="D34" s="378"/>
      <c r="E34" s="378"/>
      <c r="F34" s="378"/>
      <c r="G34" s="378"/>
      <c r="H34" s="50"/>
      <c r="I34" s="51"/>
      <c r="J34" s="131" t="s">
        <v>69</v>
      </c>
      <c r="K34" s="127" t="s">
        <v>202</v>
      </c>
      <c r="L34" s="131" t="s">
        <v>203</v>
      </c>
      <c r="M34" s="131" t="s">
        <v>204</v>
      </c>
      <c r="N34" s="131" t="s">
        <v>205</v>
      </c>
    </row>
    <row r="35" spans="1:14" ht="15" customHeight="1" x14ac:dyDescent="0.2">
      <c r="B35" s="51"/>
      <c r="C35" s="379"/>
      <c r="D35" s="379"/>
      <c r="E35" s="379"/>
      <c r="F35" s="379"/>
      <c r="G35" s="379"/>
      <c r="H35" s="52"/>
      <c r="I35" s="51"/>
      <c r="J35" s="132" t="s">
        <v>112</v>
      </c>
      <c r="K35" s="128" t="s">
        <v>112</v>
      </c>
      <c r="L35" s="132" t="s">
        <v>112</v>
      </c>
      <c r="M35" s="132" t="s">
        <v>112</v>
      </c>
      <c r="N35" s="132" t="s">
        <v>112</v>
      </c>
    </row>
    <row r="36" spans="1:14" ht="15" x14ac:dyDescent="0.25">
      <c r="B36" s="51"/>
      <c r="C36" s="482" t="s">
        <v>108</v>
      </c>
      <c r="D36" s="482"/>
      <c r="E36" s="482"/>
      <c r="F36" s="482"/>
      <c r="G36" s="482"/>
      <c r="H36" s="52"/>
      <c r="I36" s="51"/>
      <c r="J36" s="133">
        <v>0</v>
      </c>
      <c r="K36" s="129">
        <f t="shared" ref="K36:K37" si="4">+$G$39</f>
        <v>143572.68</v>
      </c>
      <c r="L36" s="133">
        <v>0</v>
      </c>
      <c r="M36" s="133">
        <f>+L36+K36</f>
        <v>143572.68</v>
      </c>
      <c r="N36" s="133">
        <f>+J36-M36</f>
        <v>-143572.68</v>
      </c>
    </row>
    <row r="37" spans="1:14" ht="15" x14ac:dyDescent="0.25">
      <c r="B37" s="51"/>
      <c r="C37" s="483" t="s">
        <v>111</v>
      </c>
      <c r="D37" s="483"/>
      <c r="E37" s="483"/>
      <c r="F37" s="483"/>
      <c r="G37" s="269" t="s">
        <v>112</v>
      </c>
      <c r="H37" s="52"/>
      <c r="I37" s="51"/>
      <c r="J37" s="133">
        <f>+J38*0.4</f>
        <v>338495.70784723747</v>
      </c>
      <c r="K37" s="129">
        <f t="shared" si="4"/>
        <v>143572.68</v>
      </c>
      <c r="L37" s="133">
        <f>+L38*0.4</f>
        <v>281066.63584723743</v>
      </c>
      <c r="M37" s="133">
        <f>+L37+K37</f>
        <v>424639.31584723742</v>
      </c>
      <c r="N37" s="133">
        <f t="shared" ref="N37:N40" si="5">+J37-M37</f>
        <v>-86143.607999999949</v>
      </c>
    </row>
    <row r="38" spans="1:14" ht="15" x14ac:dyDescent="0.25">
      <c r="B38" s="51"/>
      <c r="C38" s="377" t="s">
        <v>115</v>
      </c>
      <c r="D38" s="377"/>
      <c r="E38" s="377"/>
      <c r="F38" s="377"/>
      <c r="G38" s="44">
        <f>+'ER PESIMISTA'!F17+'ER PESIMISTA'!F34</f>
        <v>768436.56</v>
      </c>
      <c r="H38" s="52"/>
      <c r="I38" s="51"/>
      <c r="J38" s="133">
        <f>+E56</f>
        <v>846239.26961809362</v>
      </c>
      <c r="K38" s="129">
        <f>+$G$39</f>
        <v>143572.68</v>
      </c>
      <c r="L38" s="133">
        <f>+J38-K38</f>
        <v>702666.58961809357</v>
      </c>
      <c r="M38" s="133">
        <f t="shared" ref="M38:M40" si="6">+L38+K38</f>
        <v>846239.2696180935</v>
      </c>
      <c r="N38" s="133">
        <f t="shared" si="5"/>
        <v>0</v>
      </c>
    </row>
    <row r="39" spans="1:14" ht="15" x14ac:dyDescent="0.25">
      <c r="B39" s="51"/>
      <c r="C39" s="377" t="s">
        <v>117</v>
      </c>
      <c r="D39" s="377"/>
      <c r="E39" s="377"/>
      <c r="F39" s="377"/>
      <c r="G39" s="44">
        <f>+'ER PESIMISTA'!F18+'ER PESIMISTA'!F32+'ER PESIMISTA'!F42</f>
        <v>143572.68</v>
      </c>
      <c r="H39" s="52"/>
      <c r="I39" s="51"/>
      <c r="J39" s="133">
        <f>+J38*120%</f>
        <v>1015487.1235417123</v>
      </c>
      <c r="K39" s="129">
        <f t="shared" ref="K39:K40" si="7">+$G$39</f>
        <v>143572.68</v>
      </c>
      <c r="L39" s="133">
        <f>+L38*120%</f>
        <v>843199.90754171228</v>
      </c>
      <c r="M39" s="133">
        <f t="shared" si="6"/>
        <v>986772.58754171222</v>
      </c>
      <c r="N39" s="133">
        <f t="shared" si="5"/>
        <v>28714.53600000008</v>
      </c>
    </row>
    <row r="40" spans="1:14" ht="15" x14ac:dyDescent="0.25">
      <c r="B40" s="51"/>
      <c r="C40" s="377" t="s">
        <v>116</v>
      </c>
      <c r="D40" s="377"/>
      <c r="E40" s="377"/>
      <c r="F40" s="377"/>
      <c r="G40" s="44">
        <f>+'ER PESIMISTA'!F13</f>
        <v>925447.72</v>
      </c>
      <c r="H40" s="52"/>
      <c r="I40" s="51"/>
      <c r="J40" s="126">
        <f>+J38*1.85</f>
        <v>1565542.6487934734</v>
      </c>
      <c r="K40" s="130">
        <f t="shared" si="7"/>
        <v>143572.68</v>
      </c>
      <c r="L40" s="126">
        <f>+L38*1.85</f>
        <v>1299933.1907934733</v>
      </c>
      <c r="M40" s="126">
        <f t="shared" si="6"/>
        <v>1443505.8707934732</v>
      </c>
      <c r="N40" s="126">
        <f t="shared" si="5"/>
        <v>122036.77800000017</v>
      </c>
    </row>
    <row r="41" spans="1:14" x14ac:dyDescent="0.2">
      <c r="B41" s="51"/>
      <c r="C41" s="42"/>
      <c r="D41" s="42"/>
      <c r="E41" s="42"/>
      <c r="F41" s="42"/>
      <c r="G41" s="42"/>
      <c r="H41" s="52"/>
      <c r="I41" s="51"/>
    </row>
    <row r="42" spans="1:14" x14ac:dyDescent="0.2">
      <c r="B42" s="51"/>
      <c r="C42" s="42"/>
      <c r="D42" s="41" t="s">
        <v>109</v>
      </c>
      <c r="E42" s="376" t="s">
        <v>110</v>
      </c>
      <c r="F42" s="376"/>
      <c r="G42" s="376"/>
      <c r="H42" s="52"/>
      <c r="I42" s="51"/>
    </row>
    <row r="43" spans="1:14" x14ac:dyDescent="0.2">
      <c r="B43" s="51"/>
      <c r="C43" s="42"/>
      <c r="D43" s="42"/>
      <c r="E43" s="43">
        <v>1</v>
      </c>
      <c r="F43" s="42" t="s">
        <v>113</v>
      </c>
      <c r="G43" s="43" t="s">
        <v>114</v>
      </c>
      <c r="H43" s="52"/>
      <c r="I43" s="51"/>
    </row>
    <row r="44" spans="1:14" x14ac:dyDescent="0.2">
      <c r="B44" s="51"/>
      <c r="C44" s="42"/>
      <c r="D44" s="45"/>
      <c r="E44" s="42"/>
      <c r="F44" s="41"/>
      <c r="G44" s="46" t="s">
        <v>116</v>
      </c>
      <c r="H44" s="52"/>
      <c r="I44" s="51"/>
    </row>
    <row r="45" spans="1:14" x14ac:dyDescent="0.2">
      <c r="B45" s="51"/>
      <c r="C45" s="42"/>
      <c r="D45" s="47"/>
      <c r="E45" s="42"/>
      <c r="F45" s="42"/>
      <c r="G45" s="42"/>
      <c r="H45" s="52"/>
      <c r="I45" s="51"/>
    </row>
    <row r="46" spans="1:14" x14ac:dyDescent="0.2">
      <c r="B46" s="51"/>
      <c r="C46" s="42"/>
      <c r="D46" s="41" t="s">
        <v>109</v>
      </c>
      <c r="E46" s="375">
        <f>+G39</f>
        <v>143572.68</v>
      </c>
      <c r="F46" s="376"/>
      <c r="G46" s="376"/>
      <c r="H46" s="52"/>
      <c r="I46" s="51"/>
    </row>
    <row r="47" spans="1:14" x14ac:dyDescent="0.2">
      <c r="B47" s="51"/>
      <c r="C47" s="42"/>
      <c r="D47" s="42"/>
      <c r="E47" s="43">
        <v>1</v>
      </c>
      <c r="F47" s="42" t="s">
        <v>113</v>
      </c>
      <c r="G47" s="48">
        <f>+G38</f>
        <v>768436.56</v>
      </c>
      <c r="H47" s="52"/>
      <c r="I47" s="51"/>
    </row>
    <row r="48" spans="1:14" x14ac:dyDescent="0.2">
      <c r="B48" s="51"/>
      <c r="C48" s="42"/>
      <c r="D48" s="41"/>
      <c r="E48" s="42"/>
      <c r="F48" s="41"/>
      <c r="G48" s="125">
        <f>+G40</f>
        <v>925447.72</v>
      </c>
      <c r="H48" s="52"/>
      <c r="I48" s="51"/>
    </row>
    <row r="49" spans="1:9" x14ac:dyDescent="0.2">
      <c r="B49" s="51"/>
      <c r="C49" s="42"/>
      <c r="D49" s="42"/>
      <c r="E49" s="42"/>
      <c r="F49" s="42"/>
      <c r="G49" s="42"/>
      <c r="H49" s="52"/>
      <c r="I49" s="51"/>
    </row>
    <row r="50" spans="1:9" x14ac:dyDescent="0.2">
      <c r="B50" s="51"/>
      <c r="C50" s="42"/>
      <c r="D50" s="41" t="s">
        <v>109</v>
      </c>
      <c r="E50" s="375">
        <f>+E46</f>
        <v>143572.68</v>
      </c>
      <c r="F50" s="375"/>
      <c r="G50" s="375"/>
      <c r="H50" s="52"/>
      <c r="I50" s="51"/>
    </row>
    <row r="51" spans="1:9" x14ac:dyDescent="0.2">
      <c r="B51" s="51"/>
      <c r="C51" s="42"/>
      <c r="D51" s="42"/>
      <c r="E51" s="43">
        <v>1</v>
      </c>
      <c r="F51" s="42" t="s">
        <v>113</v>
      </c>
      <c r="G51" s="48">
        <f>+G47/G48</f>
        <v>0.83034032435673411</v>
      </c>
      <c r="H51" s="52"/>
      <c r="I51" s="51"/>
    </row>
    <row r="52" spans="1:9" x14ac:dyDescent="0.2">
      <c r="B52" s="51"/>
      <c r="C52" s="42"/>
      <c r="D52" s="41"/>
      <c r="E52" s="41"/>
      <c r="F52" s="41"/>
      <c r="G52" s="41"/>
      <c r="H52" s="52"/>
      <c r="I52" s="51"/>
    </row>
    <row r="53" spans="1:9" x14ac:dyDescent="0.2">
      <c r="B53" s="51"/>
      <c r="C53" s="42"/>
      <c r="D53" s="41" t="s">
        <v>109</v>
      </c>
      <c r="E53" s="375">
        <f>+E50</f>
        <v>143572.68</v>
      </c>
      <c r="F53" s="375"/>
      <c r="G53" s="375"/>
      <c r="H53" s="52"/>
      <c r="I53" s="51"/>
    </row>
    <row r="54" spans="1:9" x14ac:dyDescent="0.2">
      <c r="B54" s="51"/>
      <c r="C54" s="42"/>
      <c r="D54" s="41"/>
      <c r="E54" s="374">
        <f>+E51-G51</f>
        <v>0.16965967564326589</v>
      </c>
      <c r="F54" s="374"/>
      <c r="G54" s="374"/>
      <c r="H54" s="52"/>
      <c r="I54" s="51"/>
    </row>
    <row r="55" spans="1:9" x14ac:dyDescent="0.2">
      <c r="B55" s="51"/>
      <c r="C55" s="42"/>
      <c r="D55" s="41"/>
      <c r="E55" s="41"/>
      <c r="F55" s="41"/>
      <c r="G55" s="41"/>
      <c r="H55" s="52"/>
      <c r="I55" s="51"/>
    </row>
    <row r="56" spans="1:9" x14ac:dyDescent="0.2">
      <c r="B56" s="51"/>
      <c r="C56" s="42"/>
      <c r="D56" s="41" t="s">
        <v>109</v>
      </c>
      <c r="E56" s="373">
        <f>+E53/E54</f>
        <v>846239.26961809362</v>
      </c>
      <c r="F56" s="373"/>
      <c r="G56" s="373"/>
      <c r="H56" s="52"/>
      <c r="I56" s="51"/>
    </row>
    <row r="57" spans="1:9" ht="13.5" thickBot="1" x14ac:dyDescent="0.25">
      <c r="B57" s="53"/>
      <c r="C57" s="54"/>
      <c r="D57" s="54"/>
      <c r="E57" s="54"/>
      <c r="F57" s="54"/>
      <c r="G57" s="54"/>
      <c r="H57" s="55"/>
      <c r="I57" s="51"/>
    </row>
    <row r="58" spans="1:9" x14ac:dyDescent="0.2">
      <c r="A58" s="42"/>
      <c r="B58" s="42"/>
      <c r="C58" s="42"/>
      <c r="D58" s="42"/>
      <c r="E58" s="42"/>
      <c r="F58" s="42"/>
      <c r="G58" s="42"/>
      <c r="H58" s="42"/>
      <c r="I58" s="42"/>
    </row>
    <row r="59" spans="1:9" x14ac:dyDescent="0.2">
      <c r="A59" s="42"/>
      <c r="B59" s="42"/>
      <c r="C59" s="42"/>
      <c r="D59" s="42"/>
      <c r="E59" s="42"/>
      <c r="F59" s="42"/>
      <c r="G59" s="42"/>
      <c r="H59" s="42"/>
      <c r="I59" s="42"/>
    </row>
    <row r="60" spans="1:9" x14ac:dyDescent="0.2">
      <c r="A60" s="42"/>
      <c r="B60" s="42"/>
      <c r="C60" s="42"/>
      <c r="D60" s="42"/>
      <c r="E60" s="42"/>
      <c r="F60" s="42"/>
      <c r="G60" s="42"/>
      <c r="H60" s="42"/>
      <c r="I60" s="42"/>
    </row>
    <row r="61" spans="1:9" x14ac:dyDescent="0.2">
      <c r="A61" s="42"/>
      <c r="B61" s="42"/>
      <c r="C61" s="42"/>
      <c r="D61" s="42"/>
      <c r="E61" s="42"/>
      <c r="F61" s="42"/>
      <c r="G61" s="42"/>
      <c r="H61" s="42"/>
      <c r="I61" s="42"/>
    </row>
    <row r="62" spans="1:9" x14ac:dyDescent="0.2">
      <c r="A62" s="42"/>
      <c r="B62" s="42"/>
      <c r="C62" s="42"/>
      <c r="D62" s="42"/>
      <c r="E62" s="42"/>
      <c r="F62" s="42"/>
      <c r="G62" s="42"/>
      <c r="H62" s="42"/>
      <c r="I62" s="42"/>
    </row>
    <row r="63" spans="1:9" x14ac:dyDescent="0.2">
      <c r="A63" s="42"/>
      <c r="B63" s="42"/>
      <c r="C63" s="42"/>
      <c r="D63" s="42"/>
      <c r="E63" s="42"/>
      <c r="F63" s="42"/>
      <c r="G63" s="42"/>
      <c r="H63" s="42"/>
      <c r="I63" s="42"/>
    </row>
    <row r="64" spans="1:9" x14ac:dyDescent="0.2">
      <c r="A64" s="42"/>
      <c r="B64" s="42"/>
      <c r="C64" s="42"/>
      <c r="D64" s="42"/>
      <c r="E64" s="42"/>
      <c r="F64" s="42"/>
      <c r="G64" s="42"/>
      <c r="H64" s="42"/>
      <c r="I64" s="42"/>
    </row>
    <row r="65" spans="1:14" ht="13.5" thickBot="1" x14ac:dyDescent="0.25">
      <c r="A65" s="42"/>
      <c r="B65" s="42"/>
      <c r="C65" s="42"/>
      <c r="D65" s="42"/>
      <c r="E65" s="42"/>
      <c r="F65" s="42"/>
      <c r="G65" s="42"/>
      <c r="H65" s="42"/>
      <c r="I65" s="42"/>
    </row>
    <row r="66" spans="1:14" ht="12.75" customHeight="1" x14ac:dyDescent="0.2">
      <c r="B66" s="49"/>
      <c r="C66" s="378">
        <v>2016</v>
      </c>
      <c r="D66" s="378"/>
      <c r="E66" s="378"/>
      <c r="F66" s="378"/>
      <c r="G66" s="378"/>
      <c r="H66" s="50"/>
      <c r="I66" s="51"/>
      <c r="J66" s="131" t="s">
        <v>69</v>
      </c>
      <c r="K66" s="127" t="s">
        <v>202</v>
      </c>
      <c r="L66" s="131" t="s">
        <v>203</v>
      </c>
      <c r="M66" s="131" t="s">
        <v>204</v>
      </c>
      <c r="N66" s="131" t="s">
        <v>205</v>
      </c>
    </row>
    <row r="67" spans="1:14" ht="12.75" customHeight="1" x14ac:dyDescent="0.2">
      <c r="B67" s="51"/>
      <c r="C67" s="379"/>
      <c r="D67" s="379"/>
      <c r="E67" s="379"/>
      <c r="F67" s="379"/>
      <c r="G67" s="379"/>
      <c r="H67" s="52"/>
      <c r="I67" s="51"/>
      <c r="J67" s="132" t="s">
        <v>112</v>
      </c>
      <c r="K67" s="128" t="s">
        <v>112</v>
      </c>
      <c r="L67" s="132" t="s">
        <v>112</v>
      </c>
      <c r="M67" s="132" t="s">
        <v>112</v>
      </c>
      <c r="N67" s="132" t="s">
        <v>112</v>
      </c>
    </row>
    <row r="68" spans="1:14" ht="15" x14ac:dyDescent="0.25">
      <c r="B68" s="51"/>
      <c r="C68" s="482" t="s">
        <v>108</v>
      </c>
      <c r="D68" s="482"/>
      <c r="E68" s="482"/>
      <c r="F68" s="482"/>
      <c r="G68" s="482"/>
      <c r="H68" s="52"/>
      <c r="I68" s="51"/>
      <c r="J68" s="133">
        <v>0</v>
      </c>
      <c r="K68" s="129">
        <f t="shared" ref="K68:K72" si="8">+$G$71</f>
        <v>150291.99359300002</v>
      </c>
      <c r="L68" s="133">
        <v>0</v>
      </c>
      <c r="M68" s="133">
        <f>+L68+K68</f>
        <v>150291.99359300002</v>
      </c>
      <c r="N68" s="133">
        <f>+J68-M68</f>
        <v>-150291.99359300002</v>
      </c>
    </row>
    <row r="69" spans="1:14" ht="15" x14ac:dyDescent="0.25">
      <c r="B69" s="51"/>
      <c r="C69" s="483" t="s">
        <v>111</v>
      </c>
      <c r="D69" s="483"/>
      <c r="E69" s="483"/>
      <c r="F69" s="483"/>
      <c r="G69" s="269" t="s">
        <v>112</v>
      </c>
      <c r="H69" s="52"/>
      <c r="I69" s="51"/>
      <c r="J69" s="133">
        <f>+J70*0.4</f>
        <v>444772.03789141844</v>
      </c>
      <c r="K69" s="129">
        <f t="shared" si="8"/>
        <v>150291.99359300002</v>
      </c>
      <c r="L69" s="133">
        <f>+L70*0.4</f>
        <v>384655.24045421841</v>
      </c>
      <c r="M69" s="133">
        <f>+L69+K69</f>
        <v>534947.23404721846</v>
      </c>
      <c r="N69" s="133">
        <f t="shared" ref="N69:N72" si="9">+J69-M69</f>
        <v>-90175.196155800018</v>
      </c>
    </row>
    <row r="70" spans="1:14" ht="15" x14ac:dyDescent="0.25">
      <c r="B70" s="51"/>
      <c r="C70" s="377" t="s">
        <v>115</v>
      </c>
      <c r="D70" s="377"/>
      <c r="E70" s="377"/>
      <c r="F70" s="377"/>
      <c r="G70" s="44">
        <f>+'ER PESIMISTA'!G17+'ER PESIMISTA'!G34</f>
        <v>800361.27485000005</v>
      </c>
      <c r="H70" s="52"/>
      <c r="I70" s="51"/>
      <c r="J70" s="133">
        <f>+E88</f>
        <v>1111930.094728546</v>
      </c>
      <c r="K70" s="129">
        <f>+$G$71</f>
        <v>150291.99359300002</v>
      </c>
      <c r="L70" s="133">
        <f>+J70-K70</f>
        <v>961638.10113554599</v>
      </c>
      <c r="M70" s="133">
        <f t="shared" ref="M70:M72" si="10">+L70+K70</f>
        <v>1111930.094728546</v>
      </c>
      <c r="N70" s="133">
        <f t="shared" si="9"/>
        <v>0</v>
      </c>
    </row>
    <row r="71" spans="1:14" ht="15" x14ac:dyDescent="0.25">
      <c r="B71" s="51"/>
      <c r="C71" s="377" t="s">
        <v>117</v>
      </c>
      <c r="D71" s="377"/>
      <c r="E71" s="377"/>
      <c r="F71" s="377"/>
      <c r="G71" s="44">
        <f>+'ER PESIMISTA'!G18+'ER PESIMISTA'!G32+'ER PESIMISTA'!G42</f>
        <v>150291.99359300002</v>
      </c>
      <c r="H71" s="52"/>
      <c r="I71" s="51"/>
      <c r="J71" s="133">
        <f>+J70*120%</f>
        <v>1334316.1136742551</v>
      </c>
      <c r="K71" s="129">
        <f t="shared" si="8"/>
        <v>150291.99359300002</v>
      </c>
      <c r="L71" s="133">
        <f>+L70*120%</f>
        <v>1153965.7213626551</v>
      </c>
      <c r="M71" s="133">
        <f t="shared" si="10"/>
        <v>1304257.7149556552</v>
      </c>
      <c r="N71" s="133">
        <f t="shared" si="9"/>
        <v>30058.398718599929</v>
      </c>
    </row>
    <row r="72" spans="1:14" ht="15" x14ac:dyDescent="0.25">
      <c r="B72" s="51"/>
      <c r="C72" s="377" t="s">
        <v>116</v>
      </c>
      <c r="D72" s="377"/>
      <c r="E72" s="377"/>
      <c r="F72" s="377"/>
      <c r="G72" s="44">
        <f>+'ER PESIMISTA'!G13</f>
        <v>925447.72</v>
      </c>
      <c r="H72" s="52"/>
      <c r="I72" s="51"/>
      <c r="J72" s="126">
        <f>+J70*1.85</f>
        <v>2057070.6752478101</v>
      </c>
      <c r="K72" s="130">
        <f t="shared" si="8"/>
        <v>150291.99359300002</v>
      </c>
      <c r="L72" s="126">
        <f>+L70*1.85</f>
        <v>1779030.4871007602</v>
      </c>
      <c r="M72" s="126">
        <f t="shared" si="10"/>
        <v>1929322.4806937603</v>
      </c>
      <c r="N72" s="126">
        <f t="shared" si="9"/>
        <v>127748.19455404975</v>
      </c>
    </row>
    <row r="73" spans="1:14" x14ac:dyDescent="0.2">
      <c r="B73" s="51"/>
      <c r="C73" s="42"/>
      <c r="D73" s="42"/>
      <c r="E73" s="42"/>
      <c r="F73" s="42"/>
      <c r="G73" s="42"/>
      <c r="H73" s="52"/>
      <c r="I73" s="51"/>
    </row>
    <row r="74" spans="1:14" x14ac:dyDescent="0.2">
      <c r="B74" s="51"/>
      <c r="C74" s="42"/>
      <c r="D74" s="41" t="s">
        <v>109</v>
      </c>
      <c r="E74" s="376" t="s">
        <v>110</v>
      </c>
      <c r="F74" s="376"/>
      <c r="G74" s="376"/>
      <c r="H74" s="52"/>
      <c r="I74" s="51"/>
    </row>
    <row r="75" spans="1:14" x14ac:dyDescent="0.2">
      <c r="B75" s="51"/>
      <c r="C75" s="42"/>
      <c r="D75" s="42"/>
      <c r="E75" s="43">
        <v>1</v>
      </c>
      <c r="F75" s="42" t="s">
        <v>113</v>
      </c>
      <c r="G75" s="43" t="s">
        <v>114</v>
      </c>
      <c r="H75" s="52"/>
      <c r="I75" s="51"/>
    </row>
    <row r="76" spans="1:14" x14ac:dyDescent="0.2">
      <c r="B76" s="51"/>
      <c r="C76" s="42"/>
      <c r="D76" s="45"/>
      <c r="E76" s="42"/>
      <c r="F76" s="41"/>
      <c r="G76" s="46" t="s">
        <v>116</v>
      </c>
      <c r="H76" s="52"/>
      <c r="I76" s="51"/>
    </row>
    <row r="77" spans="1:14" x14ac:dyDescent="0.2">
      <c r="B77" s="51"/>
      <c r="C77" s="42"/>
      <c r="D77" s="47"/>
      <c r="E77" s="42"/>
      <c r="F77" s="42"/>
      <c r="G77" s="42"/>
      <c r="H77" s="52"/>
      <c r="I77" s="51"/>
    </row>
    <row r="78" spans="1:14" x14ac:dyDescent="0.2">
      <c r="B78" s="51"/>
      <c r="C78" s="42"/>
      <c r="D78" s="41" t="s">
        <v>109</v>
      </c>
      <c r="E78" s="375">
        <f>+G71</f>
        <v>150291.99359300002</v>
      </c>
      <c r="F78" s="376"/>
      <c r="G78" s="376"/>
      <c r="H78" s="52"/>
      <c r="I78" s="51"/>
    </row>
    <row r="79" spans="1:14" x14ac:dyDescent="0.2">
      <c r="B79" s="51"/>
      <c r="C79" s="42"/>
      <c r="D79" s="42"/>
      <c r="E79" s="43">
        <v>1</v>
      </c>
      <c r="F79" s="42" t="s">
        <v>113</v>
      </c>
      <c r="G79" s="48">
        <f>+G70</f>
        <v>800361.27485000005</v>
      </c>
      <c r="H79" s="52"/>
      <c r="I79" s="51"/>
    </row>
    <row r="80" spans="1:14" x14ac:dyDescent="0.2">
      <c r="B80" s="51"/>
      <c r="C80" s="42"/>
      <c r="D80" s="41"/>
      <c r="E80" s="42"/>
      <c r="F80" s="41"/>
      <c r="G80" s="125">
        <f>+G72</f>
        <v>925447.72</v>
      </c>
      <c r="H80" s="52"/>
      <c r="I80" s="51"/>
    </row>
    <row r="81" spans="1:9" x14ac:dyDescent="0.2">
      <c r="B81" s="51"/>
      <c r="C81" s="42"/>
      <c r="D81" s="42"/>
      <c r="E81" s="42"/>
      <c r="F81" s="42"/>
      <c r="G81" s="42"/>
      <c r="H81" s="52"/>
      <c r="I81" s="51"/>
    </row>
    <row r="82" spans="1:9" x14ac:dyDescent="0.2">
      <c r="B82" s="51"/>
      <c r="C82" s="42"/>
      <c r="D82" s="41" t="s">
        <v>109</v>
      </c>
      <c r="E82" s="375">
        <f>+E78</f>
        <v>150291.99359300002</v>
      </c>
      <c r="F82" s="375"/>
      <c r="G82" s="375"/>
      <c r="H82" s="52"/>
      <c r="I82" s="51"/>
    </row>
    <row r="83" spans="1:9" x14ac:dyDescent="0.2">
      <c r="B83" s="51"/>
      <c r="C83" s="42"/>
      <c r="D83" s="42"/>
      <c r="E83" s="43">
        <v>1</v>
      </c>
      <c r="F83" s="42" t="s">
        <v>113</v>
      </c>
      <c r="G83" s="48">
        <f>+G79/G80</f>
        <v>0.86483683254414423</v>
      </c>
      <c r="H83" s="52"/>
      <c r="I83" s="51"/>
    </row>
    <row r="84" spans="1:9" x14ac:dyDescent="0.2">
      <c r="B84" s="51"/>
      <c r="C84" s="42"/>
      <c r="D84" s="41"/>
      <c r="E84" s="41"/>
      <c r="F84" s="41"/>
      <c r="G84" s="41"/>
      <c r="H84" s="52"/>
      <c r="I84" s="51"/>
    </row>
    <row r="85" spans="1:9" x14ac:dyDescent="0.2">
      <c r="B85" s="51"/>
      <c r="C85" s="42"/>
      <c r="D85" s="41" t="s">
        <v>109</v>
      </c>
      <c r="E85" s="375">
        <f>+E82</f>
        <v>150291.99359300002</v>
      </c>
      <c r="F85" s="375"/>
      <c r="G85" s="375"/>
      <c r="H85" s="52"/>
      <c r="I85" s="51"/>
    </row>
    <row r="86" spans="1:9" x14ac:dyDescent="0.2">
      <c r="B86" s="51"/>
      <c r="C86" s="42"/>
      <c r="D86" s="41"/>
      <c r="E86" s="374">
        <f>+E83-G83</f>
        <v>0.13516316745585577</v>
      </c>
      <c r="F86" s="374"/>
      <c r="G86" s="374"/>
      <c r="H86" s="52"/>
      <c r="I86" s="51"/>
    </row>
    <row r="87" spans="1:9" x14ac:dyDescent="0.2">
      <c r="B87" s="51"/>
      <c r="C87" s="42"/>
      <c r="D87" s="41"/>
      <c r="E87" s="41"/>
      <c r="F87" s="41"/>
      <c r="G87" s="41"/>
      <c r="H87" s="52"/>
      <c r="I87" s="51"/>
    </row>
    <row r="88" spans="1:9" x14ac:dyDescent="0.2">
      <c r="B88" s="51"/>
      <c r="C88" s="42"/>
      <c r="D88" s="41" t="s">
        <v>109</v>
      </c>
      <c r="E88" s="373">
        <f>+E85/E86</f>
        <v>1111930.094728546</v>
      </c>
      <c r="F88" s="373"/>
      <c r="G88" s="373"/>
      <c r="H88" s="52"/>
      <c r="I88" s="51"/>
    </row>
    <row r="89" spans="1:9" ht="13.5" thickBot="1" x14ac:dyDescent="0.25">
      <c r="B89" s="53"/>
      <c r="C89" s="54"/>
      <c r="D89" s="54"/>
      <c r="E89" s="54"/>
      <c r="F89" s="54"/>
      <c r="G89" s="54"/>
      <c r="H89" s="55"/>
      <c r="I89" s="51"/>
    </row>
    <row r="90" spans="1:9" x14ac:dyDescent="0.2">
      <c r="A90" s="42"/>
      <c r="B90" s="42"/>
      <c r="C90" s="42"/>
      <c r="D90" s="42"/>
      <c r="E90" s="42"/>
      <c r="F90" s="42"/>
      <c r="G90" s="42"/>
      <c r="H90" s="42"/>
      <c r="I90" s="42"/>
    </row>
    <row r="91" spans="1:9" x14ac:dyDescent="0.2">
      <c r="A91" s="42"/>
      <c r="B91" s="42"/>
      <c r="C91" s="42"/>
      <c r="D91" s="42"/>
      <c r="E91" s="42"/>
      <c r="F91" s="42"/>
      <c r="G91" s="42"/>
      <c r="H91" s="42"/>
      <c r="I91" s="42"/>
    </row>
    <row r="92" spans="1:9" x14ac:dyDescent="0.2">
      <c r="A92" s="42"/>
      <c r="B92" s="42"/>
      <c r="C92" s="42"/>
      <c r="D92" s="42"/>
      <c r="E92" s="42"/>
      <c r="F92" s="42"/>
      <c r="G92" s="42"/>
      <c r="H92" s="42"/>
      <c r="I92" s="42"/>
    </row>
    <row r="93" spans="1:9" x14ac:dyDescent="0.2">
      <c r="A93" s="42"/>
      <c r="B93" s="42"/>
      <c r="C93" s="42"/>
      <c r="D93" s="42"/>
      <c r="E93" s="42"/>
      <c r="F93" s="42"/>
      <c r="G93" s="42"/>
      <c r="H93" s="42"/>
      <c r="I93" s="42"/>
    </row>
    <row r="94" spans="1:9" x14ac:dyDescent="0.2">
      <c r="A94" s="42"/>
      <c r="B94" s="42"/>
      <c r="C94" s="42"/>
      <c r="D94" s="42"/>
      <c r="E94" s="42"/>
      <c r="F94" s="42"/>
      <c r="G94" s="42"/>
      <c r="H94" s="42"/>
      <c r="I94" s="42"/>
    </row>
    <row r="95" spans="1:9" x14ac:dyDescent="0.2">
      <c r="A95" s="42"/>
      <c r="B95" s="42"/>
      <c r="C95" s="42"/>
      <c r="D95" s="42"/>
      <c r="E95" s="42"/>
      <c r="F95" s="42"/>
      <c r="G95" s="42"/>
      <c r="H95" s="42"/>
      <c r="I95" s="42"/>
    </row>
    <row r="96" spans="1:9" x14ac:dyDescent="0.2">
      <c r="A96" s="42"/>
      <c r="B96" s="42"/>
      <c r="C96" s="42"/>
      <c r="D96" s="42"/>
      <c r="E96" s="42"/>
      <c r="F96" s="42"/>
      <c r="G96" s="42"/>
      <c r="H96" s="42"/>
      <c r="I96" s="42"/>
    </row>
    <row r="97" spans="2:14" ht="13.5" thickBot="1" x14ac:dyDescent="0.25">
      <c r="B97" s="42"/>
      <c r="C97" s="42"/>
      <c r="D97" s="42"/>
      <c r="E97" s="42"/>
      <c r="F97" s="42"/>
      <c r="G97" s="42"/>
      <c r="H97" s="42"/>
      <c r="I97" s="42"/>
    </row>
    <row r="98" spans="2:14" ht="12" customHeight="1" x14ac:dyDescent="0.2">
      <c r="B98" s="49"/>
      <c r="C98" s="378">
        <v>2017</v>
      </c>
      <c r="D98" s="378"/>
      <c r="E98" s="378"/>
      <c r="F98" s="378"/>
      <c r="G98" s="378"/>
      <c r="H98" s="50"/>
      <c r="J98" s="131" t="s">
        <v>69</v>
      </c>
      <c r="K98" s="127" t="s">
        <v>202</v>
      </c>
      <c r="L98" s="131" t="s">
        <v>203</v>
      </c>
      <c r="M98" s="131" t="s">
        <v>204</v>
      </c>
      <c r="N98" s="131" t="s">
        <v>205</v>
      </c>
    </row>
    <row r="99" spans="2:14" ht="12.75" customHeight="1" x14ac:dyDescent="0.2">
      <c r="B99" s="51"/>
      <c r="C99" s="379"/>
      <c r="D99" s="379"/>
      <c r="E99" s="379"/>
      <c r="F99" s="379"/>
      <c r="G99" s="379"/>
      <c r="H99" s="52"/>
      <c r="J99" s="132" t="s">
        <v>112</v>
      </c>
      <c r="K99" s="128" t="s">
        <v>112</v>
      </c>
      <c r="L99" s="132" t="s">
        <v>112</v>
      </c>
      <c r="M99" s="132" t="s">
        <v>112</v>
      </c>
      <c r="N99" s="132" t="s">
        <v>112</v>
      </c>
    </row>
    <row r="100" spans="2:14" ht="15" x14ac:dyDescent="0.25">
      <c r="B100" s="51"/>
      <c r="C100" s="482" t="s">
        <v>108</v>
      </c>
      <c r="D100" s="482"/>
      <c r="E100" s="482"/>
      <c r="F100" s="482"/>
      <c r="G100" s="482"/>
      <c r="H100" s="52"/>
      <c r="J100" s="133">
        <v>0</v>
      </c>
      <c r="K100" s="129">
        <f t="shared" ref="K100:K101" si="11">+$G$103</f>
        <v>157374.82205138131</v>
      </c>
      <c r="L100" s="133">
        <v>0</v>
      </c>
      <c r="M100" s="133">
        <f>+L100+K100</f>
        <v>157374.82205138131</v>
      </c>
      <c r="N100" s="133">
        <f>+J100-M100</f>
        <v>-157374.82205138131</v>
      </c>
    </row>
    <row r="101" spans="2:14" ht="15" x14ac:dyDescent="0.25">
      <c r="B101" s="51"/>
      <c r="C101" s="483" t="s">
        <v>111</v>
      </c>
      <c r="D101" s="483"/>
      <c r="E101" s="483"/>
      <c r="F101" s="483"/>
      <c r="G101" s="269" t="s">
        <v>112</v>
      </c>
      <c r="H101" s="52"/>
      <c r="J101" s="133">
        <f>+J102*0.4</f>
        <v>466636.25860320294</v>
      </c>
      <c r="K101" s="129">
        <f t="shared" si="11"/>
        <v>157374.82205138131</v>
      </c>
      <c r="L101" s="133">
        <f>+L102*0.4</f>
        <v>403686.3297826504</v>
      </c>
      <c r="M101" s="133">
        <f>+L101+K101</f>
        <v>561061.15183403168</v>
      </c>
      <c r="N101" s="133">
        <f t="shared" ref="N101:N104" si="12">+J101-M101</f>
        <v>-94424.893230828748</v>
      </c>
    </row>
    <row r="102" spans="2:14" ht="15" x14ac:dyDescent="0.25">
      <c r="B102" s="51"/>
      <c r="C102" s="377" t="s">
        <v>115</v>
      </c>
      <c r="D102" s="377"/>
      <c r="E102" s="377"/>
      <c r="F102" s="377"/>
      <c r="G102" s="44">
        <f>+'ER PESIMISTA'!H17+'ER PESIMISTA'!H34</f>
        <v>800603.43919866497</v>
      </c>
      <c r="H102" s="52"/>
      <c r="J102" s="133">
        <f>+E120</f>
        <v>1166590.6465080073</v>
      </c>
      <c r="K102" s="129">
        <f>+$G$103</f>
        <v>157374.82205138131</v>
      </c>
      <c r="L102" s="133">
        <f>+J102-K102</f>
        <v>1009215.824456626</v>
      </c>
      <c r="M102" s="133">
        <f t="shared" ref="M102:M104" si="13">+L102+K102</f>
        <v>1166590.6465080073</v>
      </c>
      <c r="N102" s="133">
        <f t="shared" si="12"/>
        <v>0</v>
      </c>
    </row>
    <row r="103" spans="2:14" ht="15" x14ac:dyDescent="0.25">
      <c r="B103" s="51"/>
      <c r="C103" s="377" t="s">
        <v>117</v>
      </c>
      <c r="D103" s="377"/>
      <c r="E103" s="377"/>
      <c r="F103" s="377"/>
      <c r="G103" s="44">
        <f>+'ER PESIMISTA'!H18+'ER PESIMISTA'!H32+'ER PESIMISTA'!H42</f>
        <v>157374.82205138131</v>
      </c>
      <c r="H103" s="52"/>
      <c r="J103" s="133">
        <f>+J102*120%</f>
        <v>1399908.7758096086</v>
      </c>
      <c r="K103" s="129">
        <f t="shared" ref="K103:K104" si="14">+$G$103</f>
        <v>157374.82205138131</v>
      </c>
      <c r="L103" s="133">
        <f>+L102*120%</f>
        <v>1211058.989347951</v>
      </c>
      <c r="M103" s="133">
        <f t="shared" si="13"/>
        <v>1368433.8113993322</v>
      </c>
      <c r="N103" s="133">
        <f t="shared" si="12"/>
        <v>31474.964410276385</v>
      </c>
    </row>
    <row r="104" spans="2:14" ht="15" x14ac:dyDescent="0.25">
      <c r="B104" s="51"/>
      <c r="C104" s="377" t="s">
        <v>116</v>
      </c>
      <c r="D104" s="377"/>
      <c r="E104" s="377"/>
      <c r="F104" s="377"/>
      <c r="G104" s="44">
        <f>+'ER PESIMISTA'!H13</f>
        <v>925447.72</v>
      </c>
      <c r="H104" s="52"/>
      <c r="J104" s="126">
        <f>+J102*1.85</f>
        <v>2158192.6960398136</v>
      </c>
      <c r="K104" s="130">
        <f t="shared" si="14"/>
        <v>157374.82205138131</v>
      </c>
      <c r="L104" s="126">
        <f>+L102*1.85</f>
        <v>1867049.2752447582</v>
      </c>
      <c r="M104" s="126">
        <f t="shared" si="13"/>
        <v>2024424.0972961395</v>
      </c>
      <c r="N104" s="126">
        <f t="shared" si="12"/>
        <v>133768.59874367411</v>
      </c>
    </row>
    <row r="105" spans="2:14" x14ac:dyDescent="0.2">
      <c r="B105" s="51"/>
      <c r="C105" s="42"/>
      <c r="D105" s="42"/>
      <c r="E105" s="42"/>
      <c r="F105" s="42"/>
      <c r="G105" s="42"/>
      <c r="H105" s="52"/>
    </row>
    <row r="106" spans="2:14" x14ac:dyDescent="0.2">
      <c r="B106" s="51"/>
      <c r="C106" s="42"/>
      <c r="D106" s="41" t="s">
        <v>109</v>
      </c>
      <c r="E106" s="376" t="s">
        <v>110</v>
      </c>
      <c r="F106" s="376"/>
      <c r="G106" s="376"/>
      <c r="H106" s="52"/>
    </row>
    <row r="107" spans="2:14" x14ac:dyDescent="0.2">
      <c r="B107" s="51"/>
      <c r="C107" s="42"/>
      <c r="D107" s="42"/>
      <c r="E107" s="43">
        <v>1</v>
      </c>
      <c r="F107" s="42" t="s">
        <v>113</v>
      </c>
      <c r="G107" s="43" t="s">
        <v>114</v>
      </c>
      <c r="H107" s="52"/>
    </row>
    <row r="108" spans="2:14" x14ac:dyDescent="0.2">
      <c r="B108" s="51"/>
      <c r="C108" s="42"/>
      <c r="D108" s="45"/>
      <c r="E108" s="42"/>
      <c r="F108" s="41"/>
      <c r="G108" s="46" t="s">
        <v>116</v>
      </c>
      <c r="H108" s="52"/>
    </row>
    <row r="109" spans="2:14" x14ac:dyDescent="0.2">
      <c r="B109" s="51"/>
      <c r="C109" s="42"/>
      <c r="D109" s="47"/>
      <c r="E109" s="42"/>
      <c r="F109" s="42"/>
      <c r="G109" s="42"/>
      <c r="H109" s="52"/>
    </row>
    <row r="110" spans="2:14" x14ac:dyDescent="0.2">
      <c r="B110" s="51"/>
      <c r="C110" s="42"/>
      <c r="D110" s="41" t="s">
        <v>109</v>
      </c>
      <c r="E110" s="375">
        <f>+G103</f>
        <v>157374.82205138131</v>
      </c>
      <c r="F110" s="376"/>
      <c r="G110" s="376"/>
      <c r="H110" s="52"/>
    </row>
    <row r="111" spans="2:14" x14ac:dyDescent="0.2">
      <c r="B111" s="51"/>
      <c r="C111" s="42"/>
      <c r="D111" s="42"/>
      <c r="E111" s="43">
        <v>1</v>
      </c>
      <c r="F111" s="42" t="s">
        <v>113</v>
      </c>
      <c r="G111" s="48">
        <f>+G102</f>
        <v>800603.43919866497</v>
      </c>
      <c r="H111" s="52"/>
    </row>
    <row r="112" spans="2:14" x14ac:dyDescent="0.2">
      <c r="B112" s="51"/>
      <c r="C112" s="42"/>
      <c r="D112" s="41"/>
      <c r="E112" s="42"/>
      <c r="F112" s="41"/>
      <c r="G112" s="125">
        <f>+G104</f>
        <v>925447.72</v>
      </c>
      <c r="H112" s="52"/>
    </row>
    <row r="113" spans="1:9" x14ac:dyDescent="0.2">
      <c r="B113" s="51"/>
      <c r="C113" s="42"/>
      <c r="D113" s="42"/>
      <c r="E113" s="42"/>
      <c r="F113" s="42"/>
      <c r="G113" s="42"/>
      <c r="H113" s="52"/>
    </row>
    <row r="114" spans="1:9" x14ac:dyDescent="0.2">
      <c r="B114" s="51"/>
      <c r="C114" s="42"/>
      <c r="D114" s="41" t="s">
        <v>109</v>
      </c>
      <c r="E114" s="375">
        <f>+E110</f>
        <v>157374.82205138131</v>
      </c>
      <c r="F114" s="375"/>
      <c r="G114" s="375"/>
      <c r="H114" s="52"/>
    </row>
    <row r="115" spans="1:9" x14ac:dyDescent="0.2">
      <c r="B115" s="51"/>
      <c r="C115" s="42"/>
      <c r="D115" s="42"/>
      <c r="E115" s="43">
        <v>1</v>
      </c>
      <c r="F115" s="42" t="s">
        <v>113</v>
      </c>
      <c r="G115" s="48">
        <f>+G111/G112</f>
        <v>0.86509850518478237</v>
      </c>
      <c r="H115" s="52"/>
    </row>
    <row r="116" spans="1:9" x14ac:dyDescent="0.2">
      <c r="B116" s="51"/>
      <c r="C116" s="42"/>
      <c r="D116" s="41"/>
      <c r="E116" s="41"/>
      <c r="F116" s="41"/>
      <c r="G116" s="41"/>
      <c r="H116" s="52"/>
    </row>
    <row r="117" spans="1:9" x14ac:dyDescent="0.2">
      <c r="B117" s="51"/>
      <c r="C117" s="42"/>
      <c r="D117" s="41" t="s">
        <v>109</v>
      </c>
      <c r="E117" s="375">
        <f>+E114</f>
        <v>157374.82205138131</v>
      </c>
      <c r="F117" s="375"/>
      <c r="G117" s="375"/>
      <c r="H117" s="52"/>
    </row>
    <row r="118" spans="1:9" x14ac:dyDescent="0.2">
      <c r="B118" s="51"/>
      <c r="C118" s="42"/>
      <c r="D118" s="41"/>
      <c r="E118" s="374">
        <f>+E115-G115</f>
        <v>0.13490149481521763</v>
      </c>
      <c r="F118" s="374"/>
      <c r="G118" s="374"/>
      <c r="H118" s="52"/>
    </row>
    <row r="119" spans="1:9" x14ac:dyDescent="0.2">
      <c r="B119" s="51"/>
      <c r="C119" s="42"/>
      <c r="D119" s="41"/>
      <c r="E119" s="41"/>
      <c r="F119" s="41"/>
      <c r="G119" s="41"/>
      <c r="H119" s="52"/>
    </row>
    <row r="120" spans="1:9" x14ac:dyDescent="0.2">
      <c r="B120" s="51"/>
      <c r="C120" s="42"/>
      <c r="D120" s="41" t="s">
        <v>109</v>
      </c>
      <c r="E120" s="373">
        <f>+E117/E118</f>
        <v>1166590.6465080073</v>
      </c>
      <c r="F120" s="373"/>
      <c r="G120" s="373"/>
      <c r="H120" s="52"/>
    </row>
    <row r="121" spans="1:9" ht="13.5" thickBot="1" x14ac:dyDescent="0.25">
      <c r="B121" s="53"/>
      <c r="C121" s="54"/>
      <c r="D121" s="54"/>
      <c r="E121" s="54"/>
      <c r="F121" s="54"/>
      <c r="G121" s="54"/>
      <c r="H121" s="55"/>
    </row>
    <row r="122" spans="1:9" x14ac:dyDescent="0.2">
      <c r="A122" s="42"/>
      <c r="B122" s="42"/>
      <c r="C122" s="42"/>
      <c r="D122" s="42"/>
      <c r="E122" s="42"/>
      <c r="F122" s="42"/>
      <c r="G122" s="42"/>
      <c r="H122" s="42"/>
      <c r="I122" s="42"/>
    </row>
    <row r="123" spans="1:9" x14ac:dyDescent="0.2">
      <c r="A123" s="42"/>
      <c r="B123" s="42"/>
      <c r="C123" s="42"/>
      <c r="D123" s="42"/>
      <c r="E123" s="42"/>
      <c r="F123" s="42"/>
      <c r="G123" s="42"/>
      <c r="H123" s="42"/>
      <c r="I123" s="42"/>
    </row>
    <row r="124" spans="1:9" x14ac:dyDescent="0.2">
      <c r="A124" s="42"/>
      <c r="B124" s="42"/>
      <c r="C124" s="42"/>
      <c r="D124" s="42"/>
      <c r="E124" s="42"/>
      <c r="F124" s="42"/>
      <c r="G124" s="42"/>
      <c r="H124" s="42"/>
      <c r="I124" s="42"/>
    </row>
    <row r="125" spans="1:9" x14ac:dyDescent="0.2">
      <c r="A125" s="42"/>
      <c r="B125" s="42"/>
      <c r="C125" s="42"/>
      <c r="D125" s="42"/>
      <c r="E125" s="42"/>
      <c r="F125" s="42"/>
      <c r="G125" s="42"/>
      <c r="H125" s="42"/>
      <c r="I125" s="42"/>
    </row>
    <row r="126" spans="1:9" x14ac:dyDescent="0.2">
      <c r="A126" s="42"/>
      <c r="B126" s="42"/>
      <c r="C126" s="42"/>
      <c r="D126" s="42"/>
      <c r="E126" s="42"/>
      <c r="F126" s="42"/>
      <c r="G126" s="42"/>
      <c r="H126" s="42"/>
      <c r="I126" s="42"/>
    </row>
    <row r="127" spans="1:9" x14ac:dyDescent="0.2">
      <c r="A127" s="42"/>
      <c r="B127" s="42"/>
      <c r="C127" s="42"/>
      <c r="D127" s="42"/>
      <c r="E127" s="42"/>
      <c r="F127" s="42"/>
      <c r="G127" s="42"/>
      <c r="H127" s="42"/>
      <c r="I127" s="42"/>
    </row>
    <row r="128" spans="1:9" x14ac:dyDescent="0.2">
      <c r="A128" s="42"/>
      <c r="B128" s="42"/>
      <c r="C128" s="42"/>
      <c r="D128" s="42"/>
      <c r="E128" s="42"/>
      <c r="F128" s="42"/>
      <c r="G128" s="42"/>
      <c r="H128" s="42"/>
      <c r="I128" s="42"/>
    </row>
    <row r="129" spans="2:14" ht="13.5" thickBot="1" x14ac:dyDescent="0.25">
      <c r="B129" s="42"/>
      <c r="C129" s="42"/>
      <c r="D129" s="42"/>
      <c r="E129" s="42"/>
      <c r="F129" s="42"/>
      <c r="G129" s="42"/>
      <c r="H129" s="42"/>
      <c r="I129" s="42"/>
    </row>
    <row r="130" spans="2:14" ht="12.75" customHeight="1" x14ac:dyDescent="0.2">
      <c r="B130" s="49"/>
      <c r="C130" s="378">
        <v>2018</v>
      </c>
      <c r="D130" s="378"/>
      <c r="E130" s="378"/>
      <c r="F130" s="378"/>
      <c r="G130" s="378"/>
      <c r="H130" s="50"/>
      <c r="J130" s="131" t="s">
        <v>69</v>
      </c>
      <c r="K130" s="127" t="s">
        <v>202</v>
      </c>
      <c r="L130" s="131" t="s">
        <v>203</v>
      </c>
      <c r="M130" s="131" t="s">
        <v>204</v>
      </c>
      <c r="N130" s="131" t="s">
        <v>205</v>
      </c>
    </row>
    <row r="131" spans="2:14" ht="12.75" customHeight="1" x14ac:dyDescent="0.2">
      <c r="B131" s="51"/>
      <c r="C131" s="379"/>
      <c r="D131" s="379"/>
      <c r="E131" s="379"/>
      <c r="F131" s="379"/>
      <c r="G131" s="379"/>
      <c r="H131" s="52"/>
      <c r="J131" s="132" t="s">
        <v>112</v>
      </c>
      <c r="K131" s="128" t="s">
        <v>112</v>
      </c>
      <c r="L131" s="132" t="s">
        <v>112</v>
      </c>
      <c r="M131" s="132" t="s">
        <v>112</v>
      </c>
      <c r="N131" s="132" t="s">
        <v>112</v>
      </c>
    </row>
    <row r="132" spans="2:14" ht="15" x14ac:dyDescent="0.25">
      <c r="B132" s="51"/>
      <c r="C132" s="482" t="s">
        <v>108</v>
      </c>
      <c r="D132" s="482"/>
      <c r="E132" s="482"/>
      <c r="F132" s="482"/>
      <c r="G132" s="482"/>
      <c r="H132" s="52"/>
      <c r="J132" s="133">
        <v>0</v>
      </c>
      <c r="K132" s="129">
        <f>+$G$135</f>
        <v>164840.83152936102</v>
      </c>
      <c r="L132" s="133">
        <v>0</v>
      </c>
      <c r="M132" s="133">
        <f>+L132+K132</f>
        <v>164840.83152936102</v>
      </c>
      <c r="N132" s="133">
        <f>+J132-M132</f>
        <v>-164840.83152936102</v>
      </c>
    </row>
    <row r="133" spans="2:14" ht="15" x14ac:dyDescent="0.25">
      <c r="B133" s="51"/>
      <c r="C133" s="483" t="s">
        <v>111</v>
      </c>
      <c r="D133" s="483"/>
      <c r="E133" s="483"/>
      <c r="F133" s="483"/>
      <c r="G133" s="269" t="s">
        <v>112</v>
      </c>
      <c r="H133" s="52"/>
      <c r="J133" s="133">
        <f>+J134*0.4</f>
        <v>489775.35060929874</v>
      </c>
      <c r="K133" s="129">
        <f t="shared" ref="K133:K136" si="15">+$G$135</f>
        <v>164840.83152936102</v>
      </c>
      <c r="L133" s="133">
        <f>+L134*0.4</f>
        <v>423839.01799755433</v>
      </c>
      <c r="M133" s="133">
        <f>+L133+K133</f>
        <v>588679.84952691535</v>
      </c>
      <c r="N133" s="133">
        <f t="shared" ref="N133:N136" si="16">+J133-M133</f>
        <v>-98904.498917616613</v>
      </c>
    </row>
    <row r="134" spans="2:14" ht="15" x14ac:dyDescent="0.25">
      <c r="B134" s="51"/>
      <c r="C134" s="377" t="s">
        <v>115</v>
      </c>
      <c r="D134" s="377"/>
      <c r="E134" s="377"/>
      <c r="F134" s="377"/>
      <c r="G134" s="44">
        <f>+'ER PESIMISTA'!I17+'ER PESIMISTA'!I34</f>
        <v>800858.70463859278</v>
      </c>
      <c r="H134" s="52"/>
      <c r="J134" s="133">
        <f>+E152</f>
        <v>1224438.3765232468</v>
      </c>
      <c r="K134" s="129">
        <f t="shared" si="15"/>
        <v>164840.83152936102</v>
      </c>
      <c r="L134" s="133">
        <f>+J134-K134</f>
        <v>1059597.5449938858</v>
      </c>
      <c r="M134" s="133">
        <f t="shared" ref="M134:M136" si="17">+L134+K134</f>
        <v>1224438.3765232468</v>
      </c>
      <c r="N134" s="133">
        <f t="shared" si="16"/>
        <v>0</v>
      </c>
    </row>
    <row r="135" spans="2:14" ht="15" x14ac:dyDescent="0.25">
      <c r="B135" s="51"/>
      <c r="C135" s="377" t="s">
        <v>117</v>
      </c>
      <c r="D135" s="377"/>
      <c r="E135" s="377"/>
      <c r="F135" s="377"/>
      <c r="G135" s="44">
        <f>+'ER PESIMISTA'!I18+'ER PESIMISTA'!I32+'ER PESIMISTA'!I42</f>
        <v>164840.83152936102</v>
      </c>
      <c r="H135" s="52"/>
      <c r="J135" s="133">
        <f>+J134*120%</f>
        <v>1469326.0518278962</v>
      </c>
      <c r="K135" s="129">
        <f t="shared" si="15"/>
        <v>164840.83152936102</v>
      </c>
      <c r="L135" s="133">
        <f>+L134*120%</f>
        <v>1271517.0539926628</v>
      </c>
      <c r="M135" s="133">
        <f t="shared" si="17"/>
        <v>1436357.8855220238</v>
      </c>
      <c r="N135" s="133">
        <f t="shared" si="16"/>
        <v>32968.166305872379</v>
      </c>
    </row>
    <row r="136" spans="2:14" ht="15" x14ac:dyDescent="0.25">
      <c r="B136" s="51"/>
      <c r="C136" s="377" t="s">
        <v>116</v>
      </c>
      <c r="D136" s="377"/>
      <c r="E136" s="377"/>
      <c r="F136" s="377"/>
      <c r="G136" s="44">
        <f>+'ER PESIMISTA'!I13</f>
        <v>925447.72</v>
      </c>
      <c r="H136" s="52"/>
      <c r="J136" s="126">
        <f>+J134*1.85</f>
        <v>2265210.9965680065</v>
      </c>
      <c r="K136" s="130">
        <f t="shared" si="15"/>
        <v>164840.83152936102</v>
      </c>
      <c r="L136" s="126">
        <f>+L134*1.85</f>
        <v>1960255.4582386888</v>
      </c>
      <c r="M136" s="126">
        <f t="shared" si="17"/>
        <v>2125096.28976805</v>
      </c>
      <c r="N136" s="126">
        <f t="shared" si="16"/>
        <v>140114.7067999565</v>
      </c>
    </row>
    <row r="137" spans="2:14" x14ac:dyDescent="0.2">
      <c r="B137" s="51"/>
      <c r="C137" s="42"/>
      <c r="D137" s="42"/>
      <c r="E137" s="42"/>
      <c r="F137" s="42"/>
      <c r="G137" s="42"/>
      <c r="H137" s="52"/>
    </row>
    <row r="138" spans="2:14" x14ac:dyDescent="0.2">
      <c r="B138" s="51"/>
      <c r="C138" s="42"/>
      <c r="D138" s="41" t="s">
        <v>109</v>
      </c>
      <c r="E138" s="376" t="s">
        <v>110</v>
      </c>
      <c r="F138" s="376"/>
      <c r="G138" s="376"/>
      <c r="H138" s="52"/>
    </row>
    <row r="139" spans="2:14" x14ac:dyDescent="0.2">
      <c r="B139" s="51"/>
      <c r="C139" s="42"/>
      <c r="D139" s="42"/>
      <c r="E139" s="43">
        <v>1</v>
      </c>
      <c r="F139" s="42" t="s">
        <v>113</v>
      </c>
      <c r="G139" s="43" t="s">
        <v>114</v>
      </c>
      <c r="H139" s="52"/>
    </row>
    <row r="140" spans="2:14" x14ac:dyDescent="0.2">
      <c r="B140" s="51"/>
      <c r="C140" s="42"/>
      <c r="D140" s="45"/>
      <c r="E140" s="42"/>
      <c r="F140" s="41"/>
      <c r="G140" s="46" t="s">
        <v>116</v>
      </c>
      <c r="H140" s="52"/>
    </row>
    <row r="141" spans="2:14" x14ac:dyDescent="0.2">
      <c r="B141" s="51"/>
      <c r="C141" s="42"/>
      <c r="D141" s="47"/>
      <c r="E141" s="42"/>
      <c r="F141" s="42"/>
      <c r="G141" s="42"/>
      <c r="H141" s="52"/>
    </row>
    <row r="142" spans="2:14" x14ac:dyDescent="0.2">
      <c r="B142" s="51"/>
      <c r="C142" s="42"/>
      <c r="D142" s="41" t="s">
        <v>109</v>
      </c>
      <c r="E142" s="375">
        <f>+G135</f>
        <v>164840.83152936102</v>
      </c>
      <c r="F142" s="376"/>
      <c r="G142" s="376"/>
      <c r="H142" s="52"/>
    </row>
    <row r="143" spans="2:14" x14ac:dyDescent="0.2">
      <c r="B143" s="51"/>
      <c r="C143" s="42"/>
      <c r="D143" s="42"/>
      <c r="E143" s="43">
        <v>1</v>
      </c>
      <c r="F143" s="42" t="s">
        <v>113</v>
      </c>
      <c r="G143" s="48">
        <f>+G134</f>
        <v>800858.70463859278</v>
      </c>
      <c r="H143" s="52"/>
    </row>
    <row r="144" spans="2:14" x14ac:dyDescent="0.2">
      <c r="B144" s="51"/>
      <c r="C144" s="42"/>
      <c r="D144" s="41"/>
      <c r="E144" s="42"/>
      <c r="F144" s="41"/>
      <c r="G144" s="125">
        <f>+G136</f>
        <v>925447.72</v>
      </c>
      <c r="H144" s="52"/>
    </row>
    <row r="145" spans="2:8" x14ac:dyDescent="0.2">
      <c r="B145" s="51"/>
      <c r="C145" s="42"/>
      <c r="D145" s="42"/>
      <c r="E145" s="42"/>
      <c r="F145" s="42"/>
      <c r="G145" s="42"/>
      <c r="H145" s="52"/>
    </row>
    <row r="146" spans="2:8" x14ac:dyDescent="0.2">
      <c r="B146" s="51"/>
      <c r="C146" s="42"/>
      <c r="D146" s="41" t="s">
        <v>109</v>
      </c>
      <c r="E146" s="375">
        <f>+E142</f>
        <v>164840.83152936102</v>
      </c>
      <c r="F146" s="375"/>
      <c r="G146" s="375"/>
      <c r="H146" s="52"/>
    </row>
    <row r="147" spans="2:8" x14ac:dyDescent="0.2">
      <c r="B147" s="51"/>
      <c r="C147" s="42"/>
      <c r="D147" s="42"/>
      <c r="E147" s="43">
        <v>1</v>
      </c>
      <c r="F147" s="42" t="s">
        <v>113</v>
      </c>
      <c r="G147" s="48">
        <f>+G143/G144</f>
        <v>0.8653743343152791</v>
      </c>
      <c r="H147" s="52"/>
    </row>
    <row r="148" spans="2:8" x14ac:dyDescent="0.2">
      <c r="B148" s="51"/>
      <c r="C148" s="42"/>
      <c r="D148" s="41"/>
      <c r="E148" s="41"/>
      <c r="F148" s="41"/>
      <c r="G148" s="41"/>
      <c r="H148" s="52"/>
    </row>
    <row r="149" spans="2:8" x14ac:dyDescent="0.2">
      <c r="B149" s="51"/>
      <c r="C149" s="42"/>
      <c r="D149" s="41" t="s">
        <v>109</v>
      </c>
      <c r="E149" s="375">
        <f>+E146</f>
        <v>164840.83152936102</v>
      </c>
      <c r="F149" s="375"/>
      <c r="G149" s="375"/>
      <c r="H149" s="52"/>
    </row>
    <row r="150" spans="2:8" x14ac:dyDescent="0.2">
      <c r="B150" s="51"/>
      <c r="C150" s="42"/>
      <c r="D150" s="41"/>
      <c r="E150" s="374">
        <f>+E147-G147</f>
        <v>0.1346256656847209</v>
      </c>
      <c r="F150" s="374"/>
      <c r="G150" s="374"/>
      <c r="H150" s="52"/>
    </row>
    <row r="151" spans="2:8" x14ac:dyDescent="0.2">
      <c r="B151" s="51"/>
      <c r="C151" s="42"/>
      <c r="D151" s="41"/>
      <c r="E151" s="41"/>
      <c r="F151" s="41"/>
      <c r="G151" s="41"/>
      <c r="H151" s="52"/>
    </row>
    <row r="152" spans="2:8" x14ac:dyDescent="0.2">
      <c r="B152" s="51"/>
      <c r="C152" s="42"/>
      <c r="D152" s="41" t="s">
        <v>109</v>
      </c>
      <c r="E152" s="373">
        <f>+E149/E150</f>
        <v>1224438.3765232468</v>
      </c>
      <c r="F152" s="373"/>
      <c r="G152" s="373"/>
      <c r="H152" s="52"/>
    </row>
    <row r="153" spans="2:8" ht="13.5" thickBot="1" x14ac:dyDescent="0.25">
      <c r="B153" s="53"/>
      <c r="C153" s="54"/>
      <c r="D153" s="54"/>
      <c r="E153" s="54"/>
      <c r="F153" s="54"/>
      <c r="G153" s="54"/>
      <c r="H153" s="55"/>
    </row>
  </sheetData>
  <mergeCells count="60">
    <mergeCell ref="C133:F133"/>
    <mergeCell ref="C134:F134"/>
    <mergeCell ref="C135:F135"/>
    <mergeCell ref="E150:G150"/>
    <mergeCell ref="E152:G152"/>
    <mergeCell ref="C136:F136"/>
    <mergeCell ref="E138:G138"/>
    <mergeCell ref="E142:G142"/>
    <mergeCell ref="E146:G146"/>
    <mergeCell ref="E149:G149"/>
    <mergeCell ref="E117:G117"/>
    <mergeCell ref="E118:G118"/>
    <mergeCell ref="E120:G120"/>
    <mergeCell ref="C130:G131"/>
    <mergeCell ref="C132:G132"/>
    <mergeCell ref="C103:F103"/>
    <mergeCell ref="C104:F104"/>
    <mergeCell ref="E106:G106"/>
    <mergeCell ref="E110:G110"/>
    <mergeCell ref="E114:G114"/>
    <mergeCell ref="E88:G88"/>
    <mergeCell ref="C98:G99"/>
    <mergeCell ref="C100:G100"/>
    <mergeCell ref="C101:F101"/>
    <mergeCell ref="C102:F102"/>
    <mergeCell ref="E74:G74"/>
    <mergeCell ref="E78:G78"/>
    <mergeCell ref="E82:G82"/>
    <mergeCell ref="E85:G85"/>
    <mergeCell ref="E86:G86"/>
    <mergeCell ref="C68:G68"/>
    <mergeCell ref="C69:F69"/>
    <mergeCell ref="C70:F70"/>
    <mergeCell ref="C71:F71"/>
    <mergeCell ref="C72:F72"/>
    <mergeCell ref="E50:G50"/>
    <mergeCell ref="E53:G53"/>
    <mergeCell ref="E54:G54"/>
    <mergeCell ref="E56:G56"/>
    <mergeCell ref="C66:G67"/>
    <mergeCell ref="C2:G3"/>
    <mergeCell ref="C4:G4"/>
    <mergeCell ref="C5:F5"/>
    <mergeCell ref="C6:F6"/>
    <mergeCell ref="C7:F7"/>
    <mergeCell ref="C8:F8"/>
    <mergeCell ref="E10:G10"/>
    <mergeCell ref="E14:G14"/>
    <mergeCell ref="E18:G18"/>
    <mergeCell ref="E21:G21"/>
    <mergeCell ref="C38:F38"/>
    <mergeCell ref="E46:G46"/>
    <mergeCell ref="E42:G42"/>
    <mergeCell ref="E22:G22"/>
    <mergeCell ref="E24:G24"/>
    <mergeCell ref="C34:G35"/>
    <mergeCell ref="C36:G36"/>
    <mergeCell ref="C37:F37"/>
    <mergeCell ref="C39:F39"/>
    <mergeCell ref="C40:F40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7030A0"/>
  </sheetPr>
  <dimension ref="B1:M103"/>
  <sheetViews>
    <sheetView showGridLines="0" topLeftCell="A57" zoomScale="70" zoomScaleNormal="70" workbookViewId="0">
      <selection activeCell="D92" sqref="D92"/>
    </sheetView>
  </sheetViews>
  <sheetFormatPr defaultRowHeight="15" x14ac:dyDescent="0.25"/>
  <cols>
    <col min="1" max="1" width="1.75" customWidth="1"/>
    <col min="2" max="2" width="15.625" customWidth="1"/>
    <col min="3" max="20" width="14.375" customWidth="1"/>
  </cols>
  <sheetData>
    <row r="1" spans="2:13" ht="9.75" customHeight="1" thickBot="1" x14ac:dyDescent="0.3"/>
    <row r="2" spans="2:13" ht="15.75" thickBot="1" x14ac:dyDescent="0.3">
      <c r="B2" s="252"/>
      <c r="C2" s="252"/>
      <c r="D2" s="165"/>
      <c r="E2" s="165"/>
      <c r="G2" s="495" t="s">
        <v>248</v>
      </c>
      <c r="H2" s="496"/>
      <c r="I2" s="496"/>
      <c r="J2" s="496"/>
      <c r="K2" s="496"/>
      <c r="L2" s="497"/>
      <c r="M2" s="166"/>
    </row>
    <row r="3" spans="2:13" ht="15.75" thickBot="1" x14ac:dyDescent="0.3">
      <c r="B3" s="484" t="s">
        <v>250</v>
      </c>
      <c r="C3" s="498"/>
      <c r="D3" s="499"/>
      <c r="E3" s="173"/>
      <c r="G3" s="169" t="s">
        <v>242</v>
      </c>
      <c r="H3" s="170" t="s">
        <v>243</v>
      </c>
      <c r="I3" s="170" t="s">
        <v>244</v>
      </c>
      <c r="J3" s="170" t="s">
        <v>245</v>
      </c>
      <c r="K3" s="170" t="s">
        <v>246</v>
      </c>
      <c r="L3" s="171" t="s">
        <v>247</v>
      </c>
    </row>
    <row r="4" spans="2:13" x14ac:dyDescent="0.25">
      <c r="B4" s="500" t="s">
        <v>206</v>
      </c>
      <c r="C4" s="501"/>
      <c r="D4" s="502"/>
      <c r="E4" s="173"/>
      <c r="G4" s="156">
        <v>1</v>
      </c>
      <c r="H4" s="165">
        <f>+D5</f>
        <v>0</v>
      </c>
      <c r="I4" s="165" t="e">
        <f>+$D$9</f>
        <v>#NUM!</v>
      </c>
      <c r="J4" s="165">
        <f>+H4*($D$6/12)</f>
        <v>0</v>
      </c>
      <c r="K4" s="165" t="e">
        <f>+I4-J4</f>
        <v>#NUM!</v>
      </c>
      <c r="L4" s="135" t="e">
        <f>+H4-K4</f>
        <v>#NUM!</v>
      </c>
      <c r="M4" s="166"/>
    </row>
    <row r="5" spans="2:13" x14ac:dyDescent="0.25">
      <c r="B5" s="426" t="s">
        <v>207</v>
      </c>
      <c r="C5" s="427"/>
      <c r="D5" s="135">
        <f>[4]PESIMISTA!$H$12</f>
        <v>0</v>
      </c>
      <c r="E5" s="165"/>
      <c r="G5" s="156">
        <v>2</v>
      </c>
      <c r="H5" s="165" t="e">
        <f t="shared" ref="H5:H51" si="0">IF(L4&lt;=0.5,0,L4)</f>
        <v>#NUM!</v>
      </c>
      <c r="I5" s="165" t="e">
        <f t="shared" ref="I5:I51" si="1">IF(L4&lt;=0.5,0,I4)</f>
        <v>#NUM!</v>
      </c>
      <c r="J5" s="165" t="e">
        <f>+H5*($D$6/12)</f>
        <v>#NUM!</v>
      </c>
      <c r="K5" s="165" t="e">
        <f t="shared" ref="K5:K63" si="2">+I5-J5</f>
        <v>#NUM!</v>
      </c>
      <c r="L5" s="135" t="e">
        <f t="shared" ref="L5:L63" si="3">+H5-K5</f>
        <v>#NUM!</v>
      </c>
      <c r="M5" s="166"/>
    </row>
    <row r="6" spans="2:13" x14ac:dyDescent="0.25">
      <c r="B6" s="426" t="s">
        <v>208</v>
      </c>
      <c r="C6" s="427"/>
      <c r="D6" s="157">
        <f>[4]PESIMISTA!$H$13</f>
        <v>0</v>
      </c>
      <c r="E6" s="172"/>
      <c r="G6" s="156">
        <v>3</v>
      </c>
      <c r="H6" s="165" t="e">
        <f t="shared" si="0"/>
        <v>#NUM!</v>
      </c>
      <c r="I6" s="165" t="e">
        <f t="shared" si="1"/>
        <v>#NUM!</v>
      </c>
      <c r="J6" s="165" t="e">
        <f t="shared" ref="J6:J63" si="4">+H6*($D$6/12)</f>
        <v>#NUM!</v>
      </c>
      <c r="K6" s="165" t="e">
        <f t="shared" si="2"/>
        <v>#NUM!</v>
      </c>
      <c r="L6" s="135" t="e">
        <f t="shared" si="3"/>
        <v>#NUM!</v>
      </c>
      <c r="M6" s="166"/>
    </row>
    <row r="7" spans="2:13" ht="15.75" thickBot="1" x14ac:dyDescent="0.3">
      <c r="B7" s="392" t="s">
        <v>251</v>
      </c>
      <c r="C7" s="393"/>
      <c r="D7" s="138">
        <f>[4]PESIMISTA!$H$14</f>
        <v>0</v>
      </c>
      <c r="E7" s="165"/>
      <c r="G7" s="156">
        <v>4</v>
      </c>
      <c r="H7" s="165" t="e">
        <f t="shared" si="0"/>
        <v>#NUM!</v>
      </c>
      <c r="I7" s="165" t="e">
        <f t="shared" si="1"/>
        <v>#NUM!</v>
      </c>
      <c r="J7" s="165" t="e">
        <f t="shared" si="4"/>
        <v>#NUM!</v>
      </c>
      <c r="K7" s="165" t="e">
        <f t="shared" si="2"/>
        <v>#NUM!</v>
      </c>
      <c r="L7" s="135" t="e">
        <f t="shared" si="3"/>
        <v>#NUM!</v>
      </c>
      <c r="M7" s="166"/>
    </row>
    <row r="8" spans="2:13" x14ac:dyDescent="0.25">
      <c r="B8" s="428"/>
      <c r="C8" s="429"/>
      <c r="D8" s="137"/>
      <c r="E8" s="2"/>
      <c r="G8" s="156">
        <v>5</v>
      </c>
      <c r="H8" s="165" t="e">
        <f t="shared" si="0"/>
        <v>#NUM!</v>
      </c>
      <c r="I8" s="165" t="e">
        <f t="shared" si="1"/>
        <v>#NUM!</v>
      </c>
      <c r="J8" s="165" t="e">
        <f t="shared" si="4"/>
        <v>#NUM!</v>
      </c>
      <c r="K8" s="165" t="e">
        <f t="shared" si="2"/>
        <v>#NUM!</v>
      </c>
      <c r="L8" s="135" t="e">
        <f t="shared" si="3"/>
        <v>#NUM!</v>
      </c>
      <c r="M8" s="166"/>
    </row>
    <row r="9" spans="2:13" x14ac:dyDescent="0.25">
      <c r="B9" s="426" t="s">
        <v>209</v>
      </c>
      <c r="C9" s="427"/>
      <c r="D9" s="135" t="e">
        <f>-PMT(D6/12,D7*12,D5)</f>
        <v>#NUM!</v>
      </c>
      <c r="E9" s="165"/>
      <c r="G9" s="156">
        <v>6</v>
      </c>
      <c r="H9" s="165" t="e">
        <f t="shared" si="0"/>
        <v>#NUM!</v>
      </c>
      <c r="I9" s="165" t="e">
        <f t="shared" si="1"/>
        <v>#NUM!</v>
      </c>
      <c r="J9" s="165" t="e">
        <f t="shared" si="4"/>
        <v>#NUM!</v>
      </c>
      <c r="K9" s="165" t="e">
        <f t="shared" si="2"/>
        <v>#NUM!</v>
      </c>
      <c r="L9" s="135" t="e">
        <f t="shared" si="3"/>
        <v>#NUM!</v>
      </c>
      <c r="M9" s="166"/>
    </row>
    <row r="10" spans="2:13" x14ac:dyDescent="0.25">
      <c r="B10" s="426" t="s">
        <v>210</v>
      </c>
      <c r="C10" s="427"/>
      <c r="D10" s="135" t="e">
        <f>+D9*12</f>
        <v>#NUM!</v>
      </c>
      <c r="E10" s="165"/>
      <c r="G10" s="156">
        <v>7</v>
      </c>
      <c r="H10" s="165" t="e">
        <f t="shared" si="0"/>
        <v>#NUM!</v>
      </c>
      <c r="I10" s="165" t="e">
        <f t="shared" si="1"/>
        <v>#NUM!</v>
      </c>
      <c r="J10" s="165" t="e">
        <f t="shared" si="4"/>
        <v>#NUM!</v>
      </c>
      <c r="K10" s="165" t="e">
        <f t="shared" si="2"/>
        <v>#NUM!</v>
      </c>
      <c r="L10" s="135" t="e">
        <f t="shared" si="3"/>
        <v>#NUM!</v>
      </c>
      <c r="M10" s="166"/>
    </row>
    <row r="11" spans="2:13" x14ac:dyDescent="0.25">
      <c r="B11" s="426" t="s">
        <v>211</v>
      </c>
      <c r="C11" s="427"/>
      <c r="D11" s="135" t="e">
        <f>+D12-D5</f>
        <v>#NUM!</v>
      </c>
      <c r="E11" s="165"/>
      <c r="G11" s="156">
        <v>8</v>
      </c>
      <c r="H11" s="165" t="e">
        <f t="shared" si="0"/>
        <v>#NUM!</v>
      </c>
      <c r="I11" s="165" t="e">
        <f t="shared" si="1"/>
        <v>#NUM!</v>
      </c>
      <c r="J11" s="165" t="e">
        <f t="shared" si="4"/>
        <v>#NUM!</v>
      </c>
      <c r="K11" s="165" t="e">
        <f t="shared" si="2"/>
        <v>#NUM!</v>
      </c>
      <c r="L11" s="135" t="e">
        <f t="shared" si="3"/>
        <v>#NUM!</v>
      </c>
      <c r="M11" s="166"/>
    </row>
    <row r="12" spans="2:13" ht="15.75" thickBot="1" x14ac:dyDescent="0.3">
      <c r="B12" s="392" t="s">
        <v>252</v>
      </c>
      <c r="C12" s="393"/>
      <c r="D12" s="138" t="e">
        <f>+D10*D7</f>
        <v>#NUM!</v>
      </c>
      <c r="E12" s="165"/>
      <c r="G12" s="156">
        <v>9</v>
      </c>
      <c r="H12" s="165" t="e">
        <f t="shared" si="0"/>
        <v>#NUM!</v>
      </c>
      <c r="I12" s="165" t="e">
        <f t="shared" si="1"/>
        <v>#NUM!</v>
      </c>
      <c r="J12" s="165" t="e">
        <f t="shared" si="4"/>
        <v>#NUM!</v>
      </c>
      <c r="K12" s="165" t="e">
        <f t="shared" si="2"/>
        <v>#NUM!</v>
      </c>
      <c r="L12" s="135" t="e">
        <f t="shared" si="3"/>
        <v>#NUM!</v>
      </c>
      <c r="M12" s="166"/>
    </row>
    <row r="13" spans="2:13" x14ac:dyDescent="0.25">
      <c r="B13" s="252"/>
      <c r="C13" s="252"/>
      <c r="D13" s="165"/>
      <c r="E13" s="165"/>
      <c r="G13" s="156">
        <v>10</v>
      </c>
      <c r="H13" s="165" t="e">
        <f t="shared" si="0"/>
        <v>#NUM!</v>
      </c>
      <c r="I13" s="165" t="e">
        <f t="shared" si="1"/>
        <v>#NUM!</v>
      </c>
      <c r="J13" s="165" t="e">
        <f t="shared" si="4"/>
        <v>#NUM!</v>
      </c>
      <c r="K13" s="165" t="e">
        <f t="shared" si="2"/>
        <v>#NUM!</v>
      </c>
      <c r="L13" s="135" t="e">
        <f t="shared" si="3"/>
        <v>#NUM!</v>
      </c>
      <c r="M13" s="166"/>
    </row>
    <row r="14" spans="2:13" ht="15.75" thickBot="1" x14ac:dyDescent="0.3">
      <c r="B14" s="252"/>
      <c r="C14" s="252"/>
      <c r="D14" s="165"/>
      <c r="E14" s="165"/>
      <c r="G14" s="156">
        <v>11</v>
      </c>
      <c r="H14" s="165" t="e">
        <f t="shared" si="0"/>
        <v>#NUM!</v>
      </c>
      <c r="I14" s="165" t="e">
        <f t="shared" si="1"/>
        <v>#NUM!</v>
      </c>
      <c r="J14" s="165" t="e">
        <f t="shared" si="4"/>
        <v>#NUM!</v>
      </c>
      <c r="K14" s="165" t="e">
        <f t="shared" si="2"/>
        <v>#NUM!</v>
      </c>
      <c r="L14" s="135" t="e">
        <f t="shared" si="3"/>
        <v>#NUM!</v>
      </c>
      <c r="M14" s="166"/>
    </row>
    <row r="15" spans="2:13" ht="15.75" thickBot="1" x14ac:dyDescent="0.3">
      <c r="B15" s="262"/>
      <c r="C15" s="263">
        <v>2016</v>
      </c>
      <c r="D15" s="264">
        <v>2017</v>
      </c>
      <c r="E15" s="265">
        <v>2018</v>
      </c>
      <c r="G15" s="156">
        <v>12</v>
      </c>
      <c r="H15" s="165" t="e">
        <f t="shared" si="0"/>
        <v>#NUM!</v>
      </c>
      <c r="I15" s="165" t="e">
        <f t="shared" si="1"/>
        <v>#NUM!</v>
      </c>
      <c r="J15" s="165" t="e">
        <f t="shared" si="4"/>
        <v>#NUM!</v>
      </c>
      <c r="K15" s="165" t="e">
        <f t="shared" si="2"/>
        <v>#NUM!</v>
      </c>
      <c r="L15" s="135" t="e">
        <f t="shared" si="3"/>
        <v>#NUM!</v>
      </c>
      <c r="M15" s="166"/>
    </row>
    <row r="16" spans="2:13" x14ac:dyDescent="0.25">
      <c r="B16" s="251" t="s">
        <v>249</v>
      </c>
      <c r="C16" s="174" t="e">
        <f>SUM(J4:J15)</f>
        <v>#NUM!</v>
      </c>
      <c r="D16" s="165" t="e">
        <f>SUM(J16:J27)</f>
        <v>#NUM!</v>
      </c>
      <c r="E16" s="135" t="e">
        <f>SUM(J28:J39)</f>
        <v>#NUM!</v>
      </c>
      <c r="G16" s="156">
        <v>13</v>
      </c>
      <c r="H16" s="165" t="e">
        <f t="shared" si="0"/>
        <v>#NUM!</v>
      </c>
      <c r="I16" s="165" t="e">
        <f t="shared" si="1"/>
        <v>#NUM!</v>
      </c>
      <c r="J16" s="165" t="e">
        <f t="shared" si="4"/>
        <v>#NUM!</v>
      </c>
      <c r="K16" s="165" t="e">
        <f t="shared" si="2"/>
        <v>#NUM!</v>
      </c>
      <c r="L16" s="135" t="e">
        <f t="shared" si="3"/>
        <v>#NUM!</v>
      </c>
      <c r="M16" s="166"/>
    </row>
    <row r="17" spans="2:13" ht="15.75" thickBot="1" x14ac:dyDescent="0.3">
      <c r="B17" s="250" t="s">
        <v>253</v>
      </c>
      <c r="C17" s="175" t="e">
        <f>SUM(K4:K15)</f>
        <v>#NUM!</v>
      </c>
      <c r="D17" s="167" t="e">
        <f>SUM(K16:K27)</f>
        <v>#NUM!</v>
      </c>
      <c r="E17" s="138" t="e">
        <f>SUM(K28:K39)</f>
        <v>#NUM!</v>
      </c>
      <c r="G17" s="156">
        <v>14</v>
      </c>
      <c r="H17" s="165" t="e">
        <f t="shared" si="0"/>
        <v>#NUM!</v>
      </c>
      <c r="I17" s="165" t="e">
        <f t="shared" si="1"/>
        <v>#NUM!</v>
      </c>
      <c r="J17" s="165" t="e">
        <f t="shared" si="4"/>
        <v>#NUM!</v>
      </c>
      <c r="K17" s="165" t="e">
        <f t="shared" si="2"/>
        <v>#NUM!</v>
      </c>
      <c r="L17" s="135" t="e">
        <f t="shared" si="3"/>
        <v>#NUM!</v>
      </c>
      <c r="M17" s="166"/>
    </row>
    <row r="18" spans="2:13" ht="15.75" thickBot="1" x14ac:dyDescent="0.3">
      <c r="B18" s="176" t="s">
        <v>79</v>
      </c>
      <c r="C18" s="181" t="e">
        <f>SUM(C16:C17)</f>
        <v>#NUM!</v>
      </c>
      <c r="D18" s="181" t="e">
        <f t="shared" ref="D18:E18" si="5">SUM(D16:D17)</f>
        <v>#NUM!</v>
      </c>
      <c r="E18" s="182" t="e">
        <f t="shared" si="5"/>
        <v>#NUM!</v>
      </c>
      <c r="G18" s="156">
        <v>15</v>
      </c>
      <c r="H18" s="165" t="e">
        <f t="shared" si="0"/>
        <v>#NUM!</v>
      </c>
      <c r="I18" s="165" t="e">
        <f t="shared" si="1"/>
        <v>#NUM!</v>
      </c>
      <c r="J18" s="165" t="e">
        <f t="shared" si="4"/>
        <v>#NUM!</v>
      </c>
      <c r="K18" s="165" t="e">
        <f t="shared" si="2"/>
        <v>#NUM!</v>
      </c>
      <c r="L18" s="135" t="e">
        <f t="shared" si="3"/>
        <v>#NUM!</v>
      </c>
      <c r="M18" s="166"/>
    </row>
    <row r="19" spans="2:13" x14ac:dyDescent="0.25">
      <c r="B19" s="252"/>
      <c r="C19" s="174"/>
      <c r="D19" s="174"/>
      <c r="E19" s="174"/>
      <c r="G19" s="156">
        <v>16</v>
      </c>
      <c r="H19" s="165" t="e">
        <f t="shared" si="0"/>
        <v>#NUM!</v>
      </c>
      <c r="I19" s="165" t="e">
        <f t="shared" si="1"/>
        <v>#NUM!</v>
      </c>
      <c r="J19" s="165" t="e">
        <f t="shared" si="4"/>
        <v>#NUM!</v>
      </c>
      <c r="K19" s="165" t="e">
        <f t="shared" si="2"/>
        <v>#NUM!</v>
      </c>
      <c r="L19" s="135" t="e">
        <f t="shared" si="3"/>
        <v>#NUM!</v>
      </c>
      <c r="M19" s="166"/>
    </row>
    <row r="20" spans="2:13" x14ac:dyDescent="0.25">
      <c r="B20" s="252"/>
      <c r="C20" s="252"/>
      <c r="D20" s="165"/>
      <c r="E20" s="165"/>
      <c r="G20" s="156">
        <v>17</v>
      </c>
      <c r="H20" s="165" t="e">
        <f t="shared" si="0"/>
        <v>#NUM!</v>
      </c>
      <c r="I20" s="165" t="e">
        <f t="shared" si="1"/>
        <v>#NUM!</v>
      </c>
      <c r="J20" s="165" t="e">
        <f t="shared" si="4"/>
        <v>#NUM!</v>
      </c>
      <c r="K20" s="165" t="e">
        <f t="shared" si="2"/>
        <v>#NUM!</v>
      </c>
      <c r="L20" s="135" t="e">
        <f t="shared" si="3"/>
        <v>#NUM!</v>
      </c>
      <c r="M20" s="166"/>
    </row>
    <row r="21" spans="2:13" x14ac:dyDescent="0.25">
      <c r="B21" s="252"/>
      <c r="C21" s="252"/>
      <c r="D21" s="165"/>
      <c r="E21" s="165"/>
      <c r="G21" s="156">
        <v>18</v>
      </c>
      <c r="H21" s="165" t="e">
        <f t="shared" si="0"/>
        <v>#NUM!</v>
      </c>
      <c r="I21" s="165" t="e">
        <f t="shared" si="1"/>
        <v>#NUM!</v>
      </c>
      <c r="J21" s="165" t="e">
        <f t="shared" si="4"/>
        <v>#NUM!</v>
      </c>
      <c r="K21" s="165" t="e">
        <f t="shared" si="2"/>
        <v>#NUM!</v>
      </c>
      <c r="L21" s="135" t="e">
        <f t="shared" si="3"/>
        <v>#NUM!</v>
      </c>
      <c r="M21" s="166"/>
    </row>
    <row r="22" spans="2:13" x14ac:dyDescent="0.25">
      <c r="B22" s="252"/>
      <c r="C22" s="252"/>
      <c r="D22" s="165"/>
      <c r="E22" s="165"/>
      <c r="G22" s="156">
        <v>19</v>
      </c>
      <c r="H22" s="165" t="e">
        <f t="shared" si="0"/>
        <v>#NUM!</v>
      </c>
      <c r="I22" s="165" t="e">
        <f t="shared" si="1"/>
        <v>#NUM!</v>
      </c>
      <c r="J22" s="165" t="e">
        <f t="shared" si="4"/>
        <v>#NUM!</v>
      </c>
      <c r="K22" s="165" t="e">
        <f t="shared" si="2"/>
        <v>#NUM!</v>
      </c>
      <c r="L22" s="135" t="e">
        <f t="shared" si="3"/>
        <v>#NUM!</v>
      </c>
      <c r="M22" s="166"/>
    </row>
    <row r="23" spans="2:13" x14ac:dyDescent="0.25">
      <c r="B23" s="252"/>
      <c r="C23" s="252"/>
      <c r="D23" s="165"/>
      <c r="E23" s="165"/>
      <c r="G23" s="156">
        <v>20</v>
      </c>
      <c r="H23" s="165" t="e">
        <f t="shared" si="0"/>
        <v>#NUM!</v>
      </c>
      <c r="I23" s="165" t="e">
        <f t="shared" si="1"/>
        <v>#NUM!</v>
      </c>
      <c r="J23" s="165" t="e">
        <f t="shared" si="4"/>
        <v>#NUM!</v>
      </c>
      <c r="K23" s="165" t="e">
        <f t="shared" si="2"/>
        <v>#NUM!</v>
      </c>
      <c r="L23" s="135" t="e">
        <f t="shared" si="3"/>
        <v>#NUM!</v>
      </c>
      <c r="M23" s="166"/>
    </row>
    <row r="24" spans="2:13" x14ac:dyDescent="0.25">
      <c r="B24" s="252"/>
      <c r="C24" s="252"/>
      <c r="D24" s="165"/>
      <c r="E24" s="165"/>
      <c r="G24" s="156">
        <v>21</v>
      </c>
      <c r="H24" s="165" t="e">
        <f t="shared" si="0"/>
        <v>#NUM!</v>
      </c>
      <c r="I24" s="165" t="e">
        <f t="shared" si="1"/>
        <v>#NUM!</v>
      </c>
      <c r="J24" s="165" t="e">
        <f t="shared" si="4"/>
        <v>#NUM!</v>
      </c>
      <c r="K24" s="165" t="e">
        <f t="shared" si="2"/>
        <v>#NUM!</v>
      </c>
      <c r="L24" s="135" t="e">
        <f t="shared" si="3"/>
        <v>#NUM!</v>
      </c>
      <c r="M24" s="166"/>
    </row>
    <row r="25" spans="2:13" x14ac:dyDescent="0.25">
      <c r="B25" s="252"/>
      <c r="C25" s="252"/>
      <c r="D25" s="165"/>
      <c r="E25" s="165"/>
      <c r="G25" s="156">
        <v>22</v>
      </c>
      <c r="H25" s="165" t="e">
        <f t="shared" si="0"/>
        <v>#NUM!</v>
      </c>
      <c r="I25" s="165" t="e">
        <f t="shared" si="1"/>
        <v>#NUM!</v>
      </c>
      <c r="J25" s="165" t="e">
        <f t="shared" si="4"/>
        <v>#NUM!</v>
      </c>
      <c r="K25" s="165" t="e">
        <f t="shared" si="2"/>
        <v>#NUM!</v>
      </c>
      <c r="L25" s="135" t="e">
        <f t="shared" si="3"/>
        <v>#NUM!</v>
      </c>
      <c r="M25" s="166"/>
    </row>
    <row r="26" spans="2:13" x14ac:dyDescent="0.25">
      <c r="B26" s="252"/>
      <c r="C26" s="252"/>
      <c r="D26" s="165"/>
      <c r="E26" s="165"/>
      <c r="G26" s="156">
        <v>23</v>
      </c>
      <c r="H26" s="165" t="e">
        <f t="shared" si="0"/>
        <v>#NUM!</v>
      </c>
      <c r="I26" s="165" t="e">
        <f t="shared" si="1"/>
        <v>#NUM!</v>
      </c>
      <c r="J26" s="165" t="e">
        <f t="shared" si="4"/>
        <v>#NUM!</v>
      </c>
      <c r="K26" s="165" t="e">
        <f t="shared" si="2"/>
        <v>#NUM!</v>
      </c>
      <c r="L26" s="135" t="e">
        <f t="shared" si="3"/>
        <v>#NUM!</v>
      </c>
      <c r="M26" s="166"/>
    </row>
    <row r="27" spans="2:13" x14ac:dyDescent="0.25">
      <c r="B27" s="252"/>
      <c r="C27" s="252"/>
      <c r="D27" s="165"/>
      <c r="E27" s="165"/>
      <c r="G27" s="156">
        <v>24</v>
      </c>
      <c r="H27" s="165" t="e">
        <f t="shared" si="0"/>
        <v>#NUM!</v>
      </c>
      <c r="I27" s="165" t="e">
        <f t="shared" si="1"/>
        <v>#NUM!</v>
      </c>
      <c r="J27" s="165" t="e">
        <f t="shared" si="4"/>
        <v>#NUM!</v>
      </c>
      <c r="K27" s="165" t="e">
        <f t="shared" si="2"/>
        <v>#NUM!</v>
      </c>
      <c r="L27" s="135" t="e">
        <f>+H27-K27</f>
        <v>#NUM!</v>
      </c>
      <c r="M27" s="166"/>
    </row>
    <row r="28" spans="2:13" x14ac:dyDescent="0.25">
      <c r="B28" s="252"/>
      <c r="C28" s="252"/>
      <c r="D28" s="165"/>
      <c r="E28" s="165"/>
      <c r="G28" s="156">
        <v>25</v>
      </c>
      <c r="H28" s="165" t="e">
        <f t="shared" si="0"/>
        <v>#NUM!</v>
      </c>
      <c r="I28" s="165" t="e">
        <f t="shared" si="1"/>
        <v>#NUM!</v>
      </c>
      <c r="J28" s="165" t="e">
        <f t="shared" si="4"/>
        <v>#NUM!</v>
      </c>
      <c r="K28" s="165" t="e">
        <f t="shared" si="2"/>
        <v>#NUM!</v>
      </c>
      <c r="L28" s="135" t="e">
        <f t="shared" si="3"/>
        <v>#NUM!</v>
      </c>
      <c r="M28" s="166"/>
    </row>
    <row r="29" spans="2:13" x14ac:dyDescent="0.25">
      <c r="B29" s="252"/>
      <c r="C29" s="252"/>
      <c r="D29" s="165"/>
      <c r="E29" s="165"/>
      <c r="G29" s="156">
        <v>26</v>
      </c>
      <c r="H29" s="165" t="e">
        <f t="shared" si="0"/>
        <v>#NUM!</v>
      </c>
      <c r="I29" s="165" t="e">
        <f t="shared" si="1"/>
        <v>#NUM!</v>
      </c>
      <c r="J29" s="165" t="e">
        <f t="shared" si="4"/>
        <v>#NUM!</v>
      </c>
      <c r="K29" s="165" t="e">
        <f t="shared" si="2"/>
        <v>#NUM!</v>
      </c>
      <c r="L29" s="135" t="e">
        <f t="shared" si="3"/>
        <v>#NUM!</v>
      </c>
      <c r="M29" s="166"/>
    </row>
    <row r="30" spans="2:13" x14ac:dyDescent="0.25">
      <c r="B30" s="252"/>
      <c r="C30" s="252"/>
      <c r="D30" s="165"/>
      <c r="E30" s="165"/>
      <c r="G30" s="156">
        <v>27</v>
      </c>
      <c r="H30" s="165" t="e">
        <f t="shared" si="0"/>
        <v>#NUM!</v>
      </c>
      <c r="I30" s="165" t="e">
        <f t="shared" si="1"/>
        <v>#NUM!</v>
      </c>
      <c r="J30" s="165" t="e">
        <f t="shared" si="4"/>
        <v>#NUM!</v>
      </c>
      <c r="K30" s="165" t="e">
        <f t="shared" si="2"/>
        <v>#NUM!</v>
      </c>
      <c r="L30" s="135" t="e">
        <f t="shared" si="3"/>
        <v>#NUM!</v>
      </c>
      <c r="M30" s="166"/>
    </row>
    <row r="31" spans="2:13" x14ac:dyDescent="0.25">
      <c r="B31" s="252"/>
      <c r="C31" s="252"/>
      <c r="D31" s="165"/>
      <c r="E31" s="165"/>
      <c r="G31" s="156">
        <v>28</v>
      </c>
      <c r="H31" s="165" t="e">
        <f t="shared" si="0"/>
        <v>#NUM!</v>
      </c>
      <c r="I31" s="165" t="e">
        <f t="shared" si="1"/>
        <v>#NUM!</v>
      </c>
      <c r="J31" s="165" t="e">
        <f t="shared" si="4"/>
        <v>#NUM!</v>
      </c>
      <c r="K31" s="165" t="e">
        <f t="shared" si="2"/>
        <v>#NUM!</v>
      </c>
      <c r="L31" s="135" t="e">
        <f t="shared" si="3"/>
        <v>#NUM!</v>
      </c>
      <c r="M31" s="166"/>
    </row>
    <row r="32" spans="2:13" x14ac:dyDescent="0.25">
      <c r="B32" s="252"/>
      <c r="C32" s="252"/>
      <c r="D32" s="165"/>
      <c r="E32" s="165"/>
      <c r="G32" s="156">
        <v>29</v>
      </c>
      <c r="H32" s="165" t="e">
        <f t="shared" si="0"/>
        <v>#NUM!</v>
      </c>
      <c r="I32" s="165" t="e">
        <f t="shared" si="1"/>
        <v>#NUM!</v>
      </c>
      <c r="J32" s="165" t="e">
        <f t="shared" si="4"/>
        <v>#NUM!</v>
      </c>
      <c r="K32" s="165" t="e">
        <f t="shared" si="2"/>
        <v>#NUM!</v>
      </c>
      <c r="L32" s="135" t="e">
        <f t="shared" si="3"/>
        <v>#NUM!</v>
      </c>
      <c r="M32" s="166"/>
    </row>
    <row r="33" spans="2:13" x14ac:dyDescent="0.25">
      <c r="B33" s="252"/>
      <c r="C33" s="252"/>
      <c r="D33" s="165"/>
      <c r="E33" s="165"/>
      <c r="G33" s="156">
        <v>30</v>
      </c>
      <c r="H33" s="165" t="e">
        <f t="shared" si="0"/>
        <v>#NUM!</v>
      </c>
      <c r="I33" s="165" t="e">
        <f t="shared" si="1"/>
        <v>#NUM!</v>
      </c>
      <c r="J33" s="165" t="e">
        <f t="shared" si="4"/>
        <v>#NUM!</v>
      </c>
      <c r="K33" s="165" t="e">
        <f t="shared" si="2"/>
        <v>#NUM!</v>
      </c>
      <c r="L33" s="135" t="e">
        <f t="shared" si="3"/>
        <v>#NUM!</v>
      </c>
      <c r="M33" s="166"/>
    </row>
    <row r="34" spans="2:13" x14ac:dyDescent="0.25">
      <c r="B34" s="252"/>
      <c r="C34" s="252"/>
      <c r="D34" s="165"/>
      <c r="E34" s="165"/>
      <c r="G34" s="156">
        <v>31</v>
      </c>
      <c r="H34" s="165" t="e">
        <f t="shared" si="0"/>
        <v>#NUM!</v>
      </c>
      <c r="I34" s="165" t="e">
        <f t="shared" si="1"/>
        <v>#NUM!</v>
      </c>
      <c r="J34" s="165" t="e">
        <f t="shared" si="4"/>
        <v>#NUM!</v>
      </c>
      <c r="K34" s="165" t="e">
        <f t="shared" si="2"/>
        <v>#NUM!</v>
      </c>
      <c r="L34" s="135" t="e">
        <f t="shared" si="3"/>
        <v>#NUM!</v>
      </c>
      <c r="M34" s="166"/>
    </row>
    <row r="35" spans="2:13" x14ac:dyDescent="0.25">
      <c r="B35" s="252"/>
      <c r="C35" s="252"/>
      <c r="D35" s="165"/>
      <c r="E35" s="165"/>
      <c r="G35" s="156">
        <v>32</v>
      </c>
      <c r="H35" s="165" t="e">
        <f t="shared" si="0"/>
        <v>#NUM!</v>
      </c>
      <c r="I35" s="165" t="e">
        <f t="shared" si="1"/>
        <v>#NUM!</v>
      </c>
      <c r="J35" s="165" t="e">
        <f t="shared" si="4"/>
        <v>#NUM!</v>
      </c>
      <c r="K35" s="165" t="e">
        <f t="shared" si="2"/>
        <v>#NUM!</v>
      </c>
      <c r="L35" s="135" t="e">
        <f t="shared" si="3"/>
        <v>#NUM!</v>
      </c>
      <c r="M35" s="166"/>
    </row>
    <row r="36" spans="2:13" x14ac:dyDescent="0.25">
      <c r="B36" s="252"/>
      <c r="C36" s="252"/>
      <c r="D36" s="165"/>
      <c r="E36" s="165"/>
      <c r="G36" s="156">
        <v>33</v>
      </c>
      <c r="H36" s="165" t="e">
        <f t="shared" si="0"/>
        <v>#NUM!</v>
      </c>
      <c r="I36" s="165" t="e">
        <f t="shared" si="1"/>
        <v>#NUM!</v>
      </c>
      <c r="J36" s="165" t="e">
        <f t="shared" si="4"/>
        <v>#NUM!</v>
      </c>
      <c r="K36" s="165" t="e">
        <f t="shared" si="2"/>
        <v>#NUM!</v>
      </c>
      <c r="L36" s="135" t="e">
        <f t="shared" si="3"/>
        <v>#NUM!</v>
      </c>
      <c r="M36" s="166"/>
    </row>
    <row r="37" spans="2:13" x14ac:dyDescent="0.25">
      <c r="B37" s="252"/>
      <c r="C37" s="252"/>
      <c r="D37" s="165"/>
      <c r="E37" s="165"/>
      <c r="G37" s="156">
        <v>34</v>
      </c>
      <c r="H37" s="165" t="e">
        <f t="shared" si="0"/>
        <v>#NUM!</v>
      </c>
      <c r="I37" s="165" t="e">
        <f t="shared" si="1"/>
        <v>#NUM!</v>
      </c>
      <c r="J37" s="165" t="e">
        <f t="shared" si="4"/>
        <v>#NUM!</v>
      </c>
      <c r="K37" s="165" t="e">
        <f t="shared" si="2"/>
        <v>#NUM!</v>
      </c>
      <c r="L37" s="135" t="e">
        <f t="shared" si="3"/>
        <v>#NUM!</v>
      </c>
      <c r="M37" s="166"/>
    </row>
    <row r="38" spans="2:13" x14ac:dyDescent="0.25">
      <c r="B38" s="252"/>
      <c r="C38" s="252"/>
      <c r="D38" s="165"/>
      <c r="E38" s="165"/>
      <c r="G38" s="156">
        <v>35</v>
      </c>
      <c r="H38" s="165" t="e">
        <f t="shared" si="0"/>
        <v>#NUM!</v>
      </c>
      <c r="I38" s="165" t="e">
        <f t="shared" si="1"/>
        <v>#NUM!</v>
      </c>
      <c r="J38" s="165" t="e">
        <f t="shared" si="4"/>
        <v>#NUM!</v>
      </c>
      <c r="K38" s="165" t="e">
        <f t="shared" si="2"/>
        <v>#NUM!</v>
      </c>
      <c r="L38" s="135" t="e">
        <f t="shared" si="3"/>
        <v>#NUM!</v>
      </c>
      <c r="M38" s="166"/>
    </row>
    <row r="39" spans="2:13" x14ac:dyDescent="0.25">
      <c r="B39" s="252"/>
      <c r="C39" s="252"/>
      <c r="D39" s="165"/>
      <c r="E39" s="165"/>
      <c r="G39" s="156">
        <v>36</v>
      </c>
      <c r="H39" s="165" t="e">
        <f t="shared" si="0"/>
        <v>#NUM!</v>
      </c>
      <c r="I39" s="165" t="e">
        <f t="shared" si="1"/>
        <v>#NUM!</v>
      </c>
      <c r="J39" s="165" t="e">
        <f t="shared" si="4"/>
        <v>#NUM!</v>
      </c>
      <c r="K39" s="165" t="e">
        <f t="shared" si="2"/>
        <v>#NUM!</v>
      </c>
      <c r="L39" s="135" t="e">
        <f t="shared" si="3"/>
        <v>#NUM!</v>
      </c>
      <c r="M39" s="166"/>
    </row>
    <row r="40" spans="2:13" x14ac:dyDescent="0.25">
      <c r="B40" s="252"/>
      <c r="C40" s="252"/>
      <c r="D40" s="165"/>
      <c r="E40" s="165"/>
      <c r="G40" s="156">
        <v>37</v>
      </c>
      <c r="H40" s="165" t="e">
        <f t="shared" si="0"/>
        <v>#NUM!</v>
      </c>
      <c r="I40" s="165" t="e">
        <f t="shared" si="1"/>
        <v>#NUM!</v>
      </c>
      <c r="J40" s="165" t="e">
        <f t="shared" si="4"/>
        <v>#NUM!</v>
      </c>
      <c r="K40" s="165" t="e">
        <f t="shared" si="2"/>
        <v>#NUM!</v>
      </c>
      <c r="L40" s="135" t="e">
        <f t="shared" si="3"/>
        <v>#NUM!</v>
      </c>
      <c r="M40" s="166"/>
    </row>
    <row r="41" spans="2:13" x14ac:dyDescent="0.25">
      <c r="B41" s="252"/>
      <c r="C41" s="252"/>
      <c r="D41" s="165"/>
      <c r="E41" s="165"/>
      <c r="G41" s="156">
        <v>38</v>
      </c>
      <c r="H41" s="165" t="e">
        <f t="shared" si="0"/>
        <v>#NUM!</v>
      </c>
      <c r="I41" s="165" t="e">
        <f t="shared" si="1"/>
        <v>#NUM!</v>
      </c>
      <c r="J41" s="165" t="e">
        <f t="shared" si="4"/>
        <v>#NUM!</v>
      </c>
      <c r="K41" s="165" t="e">
        <f t="shared" si="2"/>
        <v>#NUM!</v>
      </c>
      <c r="L41" s="135" t="e">
        <f t="shared" si="3"/>
        <v>#NUM!</v>
      </c>
    </row>
    <row r="42" spans="2:13" x14ac:dyDescent="0.25">
      <c r="B42" s="252"/>
      <c r="C42" s="252"/>
      <c r="D42" s="165"/>
      <c r="E42" s="165"/>
      <c r="G42" s="156">
        <v>39</v>
      </c>
      <c r="H42" s="165" t="e">
        <f t="shared" si="0"/>
        <v>#NUM!</v>
      </c>
      <c r="I42" s="165" t="e">
        <f t="shared" si="1"/>
        <v>#NUM!</v>
      </c>
      <c r="J42" s="165" t="e">
        <f t="shared" si="4"/>
        <v>#NUM!</v>
      </c>
      <c r="K42" s="165" t="e">
        <f t="shared" si="2"/>
        <v>#NUM!</v>
      </c>
      <c r="L42" s="135" t="e">
        <f t="shared" si="3"/>
        <v>#NUM!</v>
      </c>
    </row>
    <row r="43" spans="2:13" x14ac:dyDescent="0.25">
      <c r="B43" s="252"/>
      <c r="C43" s="252"/>
      <c r="D43" s="165"/>
      <c r="E43" s="165"/>
      <c r="G43" s="156">
        <v>40</v>
      </c>
      <c r="H43" s="165" t="e">
        <f t="shared" si="0"/>
        <v>#NUM!</v>
      </c>
      <c r="I43" s="165" t="e">
        <f t="shared" si="1"/>
        <v>#NUM!</v>
      </c>
      <c r="J43" s="165" t="e">
        <f t="shared" si="4"/>
        <v>#NUM!</v>
      </c>
      <c r="K43" s="165" t="e">
        <f t="shared" si="2"/>
        <v>#NUM!</v>
      </c>
      <c r="L43" s="135" t="e">
        <f t="shared" si="3"/>
        <v>#NUM!</v>
      </c>
    </row>
    <row r="44" spans="2:13" x14ac:dyDescent="0.25">
      <c r="B44" s="252"/>
      <c r="C44" s="252"/>
      <c r="D44" s="165"/>
      <c r="E44" s="165"/>
      <c r="G44" s="156">
        <v>41</v>
      </c>
      <c r="H44" s="165" t="e">
        <f t="shared" si="0"/>
        <v>#NUM!</v>
      </c>
      <c r="I44" s="165" t="e">
        <f t="shared" si="1"/>
        <v>#NUM!</v>
      </c>
      <c r="J44" s="165" t="e">
        <f t="shared" si="4"/>
        <v>#NUM!</v>
      </c>
      <c r="K44" s="165" t="e">
        <f t="shared" si="2"/>
        <v>#NUM!</v>
      </c>
      <c r="L44" s="135" t="e">
        <f t="shared" si="3"/>
        <v>#NUM!</v>
      </c>
    </row>
    <row r="45" spans="2:13" x14ac:dyDescent="0.25">
      <c r="B45" s="252"/>
      <c r="C45" s="252"/>
      <c r="D45" s="165"/>
      <c r="E45" s="165"/>
      <c r="G45" s="156">
        <v>42</v>
      </c>
      <c r="H45" s="165" t="e">
        <f t="shared" si="0"/>
        <v>#NUM!</v>
      </c>
      <c r="I45" s="165" t="e">
        <f t="shared" si="1"/>
        <v>#NUM!</v>
      </c>
      <c r="J45" s="165" t="e">
        <f t="shared" si="4"/>
        <v>#NUM!</v>
      </c>
      <c r="K45" s="165" t="e">
        <f t="shared" si="2"/>
        <v>#NUM!</v>
      </c>
      <c r="L45" s="135" t="e">
        <f t="shared" si="3"/>
        <v>#NUM!</v>
      </c>
    </row>
    <row r="46" spans="2:13" x14ac:dyDescent="0.25">
      <c r="B46" s="252"/>
      <c r="C46" s="252"/>
      <c r="D46" s="165"/>
      <c r="E46" s="165"/>
      <c r="G46" s="156">
        <v>43</v>
      </c>
      <c r="H46" s="165" t="e">
        <f t="shared" si="0"/>
        <v>#NUM!</v>
      </c>
      <c r="I46" s="165" t="e">
        <f t="shared" si="1"/>
        <v>#NUM!</v>
      </c>
      <c r="J46" s="165" t="e">
        <f t="shared" si="4"/>
        <v>#NUM!</v>
      </c>
      <c r="K46" s="165" t="e">
        <f t="shared" si="2"/>
        <v>#NUM!</v>
      </c>
      <c r="L46" s="135" t="e">
        <f t="shared" si="3"/>
        <v>#NUM!</v>
      </c>
    </row>
    <row r="47" spans="2:13" x14ac:dyDescent="0.25">
      <c r="B47" s="252"/>
      <c r="C47" s="252"/>
      <c r="D47" s="165"/>
      <c r="E47" s="165"/>
      <c r="G47" s="156">
        <v>44</v>
      </c>
      <c r="H47" s="165" t="e">
        <f t="shared" si="0"/>
        <v>#NUM!</v>
      </c>
      <c r="I47" s="165" t="e">
        <f t="shared" si="1"/>
        <v>#NUM!</v>
      </c>
      <c r="J47" s="165" t="e">
        <f t="shared" si="4"/>
        <v>#NUM!</v>
      </c>
      <c r="K47" s="165" t="e">
        <f t="shared" si="2"/>
        <v>#NUM!</v>
      </c>
      <c r="L47" s="135" t="e">
        <f t="shared" si="3"/>
        <v>#NUM!</v>
      </c>
    </row>
    <row r="48" spans="2:13" x14ac:dyDescent="0.25">
      <c r="B48" s="252"/>
      <c r="C48" s="252"/>
      <c r="D48" s="165"/>
      <c r="E48" s="165"/>
      <c r="G48" s="156">
        <v>45</v>
      </c>
      <c r="H48" s="165" t="e">
        <f t="shared" si="0"/>
        <v>#NUM!</v>
      </c>
      <c r="I48" s="165" t="e">
        <f t="shared" si="1"/>
        <v>#NUM!</v>
      </c>
      <c r="J48" s="165" t="e">
        <f t="shared" si="4"/>
        <v>#NUM!</v>
      </c>
      <c r="K48" s="165" t="e">
        <f t="shared" si="2"/>
        <v>#NUM!</v>
      </c>
      <c r="L48" s="135" t="e">
        <f t="shared" si="3"/>
        <v>#NUM!</v>
      </c>
    </row>
    <row r="49" spans="2:12" x14ac:dyDescent="0.25">
      <c r="B49" s="252"/>
      <c r="C49" s="252"/>
      <c r="D49" s="165"/>
      <c r="E49" s="165"/>
      <c r="G49" s="156">
        <v>46</v>
      </c>
      <c r="H49" s="165" t="e">
        <f t="shared" si="0"/>
        <v>#NUM!</v>
      </c>
      <c r="I49" s="165" t="e">
        <f t="shared" si="1"/>
        <v>#NUM!</v>
      </c>
      <c r="J49" s="165" t="e">
        <f t="shared" si="4"/>
        <v>#NUM!</v>
      </c>
      <c r="K49" s="165" t="e">
        <f t="shared" si="2"/>
        <v>#NUM!</v>
      </c>
      <c r="L49" s="135" t="e">
        <f t="shared" si="3"/>
        <v>#NUM!</v>
      </c>
    </row>
    <row r="50" spans="2:12" x14ac:dyDescent="0.25">
      <c r="B50" s="252"/>
      <c r="C50" s="252"/>
      <c r="D50" s="165"/>
      <c r="E50" s="165"/>
      <c r="G50" s="156">
        <v>47</v>
      </c>
      <c r="H50" s="165" t="e">
        <f t="shared" si="0"/>
        <v>#NUM!</v>
      </c>
      <c r="I50" s="165" t="e">
        <f t="shared" si="1"/>
        <v>#NUM!</v>
      </c>
      <c r="J50" s="165" t="e">
        <f t="shared" si="4"/>
        <v>#NUM!</v>
      </c>
      <c r="K50" s="165" t="e">
        <f t="shared" si="2"/>
        <v>#NUM!</v>
      </c>
      <c r="L50" s="135" t="e">
        <f t="shared" si="3"/>
        <v>#NUM!</v>
      </c>
    </row>
    <row r="51" spans="2:12" x14ac:dyDescent="0.25">
      <c r="B51" s="252"/>
      <c r="C51" s="252"/>
      <c r="D51" s="165"/>
      <c r="E51" s="165"/>
      <c r="G51" s="156">
        <v>48</v>
      </c>
      <c r="H51" s="165" t="e">
        <f t="shared" si="0"/>
        <v>#NUM!</v>
      </c>
      <c r="I51" s="165" t="e">
        <f t="shared" si="1"/>
        <v>#NUM!</v>
      </c>
      <c r="J51" s="165" t="e">
        <f t="shared" si="4"/>
        <v>#NUM!</v>
      </c>
      <c r="K51" s="165" t="e">
        <f t="shared" si="2"/>
        <v>#NUM!</v>
      </c>
      <c r="L51" s="135" t="e">
        <f t="shared" si="3"/>
        <v>#NUM!</v>
      </c>
    </row>
    <row r="52" spans="2:12" x14ac:dyDescent="0.25">
      <c r="B52" s="252"/>
      <c r="C52" s="252"/>
      <c r="D52" s="165"/>
      <c r="E52" s="165"/>
      <c r="G52" s="156">
        <v>49</v>
      </c>
      <c r="H52" s="165" t="e">
        <f>IF(L51&lt;=0.5,0,L51)</f>
        <v>#NUM!</v>
      </c>
      <c r="I52" s="165" t="e">
        <f>IF(L51&lt;=0.5,0,I51)</f>
        <v>#NUM!</v>
      </c>
      <c r="J52" s="165" t="e">
        <f t="shared" si="4"/>
        <v>#NUM!</v>
      </c>
      <c r="K52" s="165" t="e">
        <f t="shared" si="2"/>
        <v>#NUM!</v>
      </c>
      <c r="L52" s="135" t="e">
        <f t="shared" si="3"/>
        <v>#NUM!</v>
      </c>
    </row>
    <row r="53" spans="2:12" x14ac:dyDescent="0.25">
      <c r="B53" s="252"/>
      <c r="C53" s="252"/>
      <c r="D53" s="165"/>
      <c r="E53" s="165"/>
      <c r="G53" s="156">
        <v>50</v>
      </c>
      <c r="H53" s="165" t="e">
        <f t="shared" ref="H53:H63" si="6">IF(L52&lt;=0.5,0,L52)</f>
        <v>#NUM!</v>
      </c>
      <c r="I53" s="165" t="e">
        <f t="shared" ref="I53:I63" si="7">IF(L52&lt;=0.5,0,I52)</f>
        <v>#NUM!</v>
      </c>
      <c r="J53" s="165" t="e">
        <f t="shared" si="4"/>
        <v>#NUM!</v>
      </c>
      <c r="K53" s="165" t="e">
        <f t="shared" si="2"/>
        <v>#NUM!</v>
      </c>
      <c r="L53" s="135" t="e">
        <f t="shared" si="3"/>
        <v>#NUM!</v>
      </c>
    </row>
    <row r="54" spans="2:12" x14ac:dyDescent="0.25">
      <c r="B54" s="252"/>
      <c r="C54" s="252"/>
      <c r="D54" s="165"/>
      <c r="E54" s="165"/>
      <c r="G54" s="156">
        <v>51</v>
      </c>
      <c r="H54" s="165" t="e">
        <f t="shared" si="6"/>
        <v>#NUM!</v>
      </c>
      <c r="I54" s="165" t="e">
        <f t="shared" si="7"/>
        <v>#NUM!</v>
      </c>
      <c r="J54" s="165" t="e">
        <f t="shared" si="4"/>
        <v>#NUM!</v>
      </c>
      <c r="K54" s="165" t="e">
        <f t="shared" si="2"/>
        <v>#NUM!</v>
      </c>
      <c r="L54" s="135" t="e">
        <f t="shared" si="3"/>
        <v>#NUM!</v>
      </c>
    </row>
    <row r="55" spans="2:12" x14ac:dyDescent="0.25">
      <c r="B55" s="252"/>
      <c r="C55" s="252"/>
      <c r="D55" s="165"/>
      <c r="E55" s="165"/>
      <c r="G55" s="156">
        <v>52</v>
      </c>
      <c r="H55" s="165" t="e">
        <f t="shared" si="6"/>
        <v>#NUM!</v>
      </c>
      <c r="I55" s="165" t="e">
        <f t="shared" si="7"/>
        <v>#NUM!</v>
      </c>
      <c r="J55" s="165" t="e">
        <f t="shared" si="4"/>
        <v>#NUM!</v>
      </c>
      <c r="K55" s="165" t="e">
        <f t="shared" si="2"/>
        <v>#NUM!</v>
      </c>
      <c r="L55" s="135" t="e">
        <f t="shared" si="3"/>
        <v>#NUM!</v>
      </c>
    </row>
    <row r="56" spans="2:12" x14ac:dyDescent="0.25">
      <c r="B56" s="252"/>
      <c r="C56" s="252"/>
      <c r="D56" s="165"/>
      <c r="E56" s="165"/>
      <c r="G56" s="156">
        <v>53</v>
      </c>
      <c r="H56" s="165" t="e">
        <f t="shared" si="6"/>
        <v>#NUM!</v>
      </c>
      <c r="I56" s="165" t="e">
        <f t="shared" si="7"/>
        <v>#NUM!</v>
      </c>
      <c r="J56" s="165" t="e">
        <f t="shared" si="4"/>
        <v>#NUM!</v>
      </c>
      <c r="K56" s="165" t="e">
        <f t="shared" si="2"/>
        <v>#NUM!</v>
      </c>
      <c r="L56" s="135" t="e">
        <f t="shared" si="3"/>
        <v>#NUM!</v>
      </c>
    </row>
    <row r="57" spans="2:12" x14ac:dyDescent="0.25">
      <c r="B57" s="252"/>
      <c r="C57" s="252"/>
      <c r="D57" s="165"/>
      <c r="E57" s="165"/>
      <c r="G57" s="156">
        <v>54</v>
      </c>
      <c r="H57" s="165" t="e">
        <f t="shared" si="6"/>
        <v>#NUM!</v>
      </c>
      <c r="I57" s="165" t="e">
        <f t="shared" si="7"/>
        <v>#NUM!</v>
      </c>
      <c r="J57" s="165" t="e">
        <f t="shared" si="4"/>
        <v>#NUM!</v>
      </c>
      <c r="K57" s="165" t="e">
        <f t="shared" si="2"/>
        <v>#NUM!</v>
      </c>
      <c r="L57" s="135" t="e">
        <f t="shared" si="3"/>
        <v>#NUM!</v>
      </c>
    </row>
    <row r="58" spans="2:12" x14ac:dyDescent="0.25">
      <c r="B58" s="252"/>
      <c r="C58" s="252"/>
      <c r="D58" s="165"/>
      <c r="E58" s="165"/>
      <c r="G58" s="156">
        <v>55</v>
      </c>
      <c r="H58" s="165" t="e">
        <f t="shared" si="6"/>
        <v>#NUM!</v>
      </c>
      <c r="I58" s="165" t="e">
        <f t="shared" si="7"/>
        <v>#NUM!</v>
      </c>
      <c r="J58" s="165" t="e">
        <f t="shared" si="4"/>
        <v>#NUM!</v>
      </c>
      <c r="K58" s="165" t="e">
        <f t="shared" si="2"/>
        <v>#NUM!</v>
      </c>
      <c r="L58" s="135" t="e">
        <f t="shared" si="3"/>
        <v>#NUM!</v>
      </c>
    </row>
    <row r="59" spans="2:12" x14ac:dyDescent="0.25">
      <c r="B59" s="252"/>
      <c r="C59" s="252"/>
      <c r="D59" s="165"/>
      <c r="E59" s="165"/>
      <c r="G59" s="156">
        <v>56</v>
      </c>
      <c r="H59" s="165" t="e">
        <f t="shared" si="6"/>
        <v>#NUM!</v>
      </c>
      <c r="I59" s="165" t="e">
        <f t="shared" si="7"/>
        <v>#NUM!</v>
      </c>
      <c r="J59" s="165" t="e">
        <f t="shared" si="4"/>
        <v>#NUM!</v>
      </c>
      <c r="K59" s="165" t="e">
        <f t="shared" si="2"/>
        <v>#NUM!</v>
      </c>
      <c r="L59" s="135" t="e">
        <f t="shared" si="3"/>
        <v>#NUM!</v>
      </c>
    </row>
    <row r="60" spans="2:12" x14ac:dyDescent="0.25">
      <c r="B60" s="252"/>
      <c r="C60" s="252"/>
      <c r="D60" s="165"/>
      <c r="E60" s="165"/>
      <c r="G60" s="156">
        <v>57</v>
      </c>
      <c r="H60" s="165" t="e">
        <f t="shared" si="6"/>
        <v>#NUM!</v>
      </c>
      <c r="I60" s="165" t="e">
        <f t="shared" si="7"/>
        <v>#NUM!</v>
      </c>
      <c r="J60" s="165" t="e">
        <f t="shared" si="4"/>
        <v>#NUM!</v>
      </c>
      <c r="K60" s="165" t="e">
        <f t="shared" si="2"/>
        <v>#NUM!</v>
      </c>
      <c r="L60" s="135" t="e">
        <f t="shared" si="3"/>
        <v>#NUM!</v>
      </c>
    </row>
    <row r="61" spans="2:12" x14ac:dyDescent="0.25">
      <c r="B61" s="252"/>
      <c r="C61" s="252"/>
      <c r="D61" s="165"/>
      <c r="E61" s="165"/>
      <c r="G61" s="156">
        <v>58</v>
      </c>
      <c r="H61" s="165" t="e">
        <f t="shared" si="6"/>
        <v>#NUM!</v>
      </c>
      <c r="I61" s="165" t="e">
        <f t="shared" si="7"/>
        <v>#NUM!</v>
      </c>
      <c r="J61" s="165" t="e">
        <f t="shared" si="4"/>
        <v>#NUM!</v>
      </c>
      <c r="K61" s="165" t="e">
        <f t="shared" si="2"/>
        <v>#NUM!</v>
      </c>
      <c r="L61" s="135" t="e">
        <f t="shared" si="3"/>
        <v>#NUM!</v>
      </c>
    </row>
    <row r="62" spans="2:12" x14ac:dyDescent="0.25">
      <c r="B62" s="252"/>
      <c r="C62" s="252"/>
      <c r="D62" s="165"/>
      <c r="E62" s="165"/>
      <c r="G62" s="156">
        <v>59</v>
      </c>
      <c r="H62" s="165" t="e">
        <f t="shared" si="6"/>
        <v>#NUM!</v>
      </c>
      <c r="I62" s="165" t="e">
        <f t="shared" si="7"/>
        <v>#NUM!</v>
      </c>
      <c r="J62" s="165" t="e">
        <f t="shared" si="4"/>
        <v>#NUM!</v>
      </c>
      <c r="K62" s="165" t="e">
        <f t="shared" si="2"/>
        <v>#NUM!</v>
      </c>
      <c r="L62" s="135" t="e">
        <f t="shared" si="3"/>
        <v>#NUM!</v>
      </c>
    </row>
    <row r="63" spans="2:12" ht="15.75" thickBot="1" x14ac:dyDescent="0.3">
      <c r="B63" s="252"/>
      <c r="C63" s="252"/>
      <c r="D63" s="165"/>
      <c r="E63" s="165"/>
      <c r="G63" s="168">
        <v>60</v>
      </c>
      <c r="H63" s="167" t="e">
        <f t="shared" si="6"/>
        <v>#NUM!</v>
      </c>
      <c r="I63" s="167" t="e">
        <f t="shared" si="7"/>
        <v>#NUM!</v>
      </c>
      <c r="J63" s="167" t="e">
        <f t="shared" si="4"/>
        <v>#NUM!</v>
      </c>
      <c r="K63" s="167" t="e">
        <f t="shared" si="2"/>
        <v>#NUM!</v>
      </c>
      <c r="L63" s="138" t="e">
        <f t="shared" si="3"/>
        <v>#NUM!</v>
      </c>
    </row>
    <row r="65" spans="2:5" ht="15.75" thickBot="1" x14ac:dyDescent="0.3"/>
    <row r="66" spans="2:5" x14ac:dyDescent="0.25">
      <c r="B66" s="486" t="s">
        <v>212</v>
      </c>
      <c r="C66" s="487"/>
      <c r="D66" s="487"/>
      <c r="E66" s="488"/>
    </row>
    <row r="67" spans="2:5" ht="15.75" thickBot="1" x14ac:dyDescent="0.3">
      <c r="B67" s="492"/>
      <c r="C67" s="493"/>
      <c r="D67" s="493"/>
      <c r="E67" s="494"/>
    </row>
    <row r="68" spans="2:5" x14ac:dyDescent="0.25">
      <c r="B68" s="415" t="s">
        <v>213</v>
      </c>
      <c r="C68" s="417" t="s">
        <v>214</v>
      </c>
      <c r="D68" s="417" t="s">
        <v>215</v>
      </c>
      <c r="E68" s="419" t="s">
        <v>216</v>
      </c>
    </row>
    <row r="69" spans="2:5" x14ac:dyDescent="0.25">
      <c r="B69" s="416"/>
      <c r="C69" s="418"/>
      <c r="D69" s="418"/>
      <c r="E69" s="420"/>
    </row>
    <row r="70" spans="2:5" x14ac:dyDescent="0.25">
      <c r="B70" s="410" t="s">
        <v>217</v>
      </c>
      <c r="C70" s="403" t="s">
        <v>218</v>
      </c>
      <c r="D70" s="404">
        <f>[4]PESIMISTA!$D$12</f>
        <v>0</v>
      </c>
      <c r="E70" s="405">
        <f>+D70*5%</f>
        <v>0</v>
      </c>
    </row>
    <row r="71" spans="2:5" x14ac:dyDescent="0.25">
      <c r="B71" s="410"/>
      <c r="C71" s="403"/>
      <c r="D71" s="403"/>
      <c r="E71" s="405"/>
    </row>
    <row r="72" spans="2:5" x14ac:dyDescent="0.25">
      <c r="B72" s="411" t="s">
        <v>219</v>
      </c>
      <c r="C72" s="403" t="s">
        <v>220</v>
      </c>
      <c r="D72" s="404">
        <f>[4]PESIMISTA!$D$13</f>
        <v>0</v>
      </c>
      <c r="E72" s="405">
        <f>+D72*10%</f>
        <v>0</v>
      </c>
    </row>
    <row r="73" spans="2:5" x14ac:dyDescent="0.25">
      <c r="B73" s="411"/>
      <c r="C73" s="403"/>
      <c r="D73" s="403"/>
      <c r="E73" s="405"/>
    </row>
    <row r="74" spans="2:5" x14ac:dyDescent="0.25">
      <c r="B74" s="402" t="s">
        <v>221</v>
      </c>
      <c r="C74" s="403" t="s">
        <v>222</v>
      </c>
      <c r="D74" s="404">
        <f>[4]PESIMISTA!$D$14</f>
        <v>0</v>
      </c>
      <c r="E74" s="405">
        <f>+D74*20%</f>
        <v>0</v>
      </c>
    </row>
    <row r="75" spans="2:5" x14ac:dyDescent="0.25">
      <c r="B75" s="402"/>
      <c r="C75" s="403"/>
      <c r="D75" s="403"/>
      <c r="E75" s="405"/>
    </row>
    <row r="76" spans="2:5" x14ac:dyDescent="0.25">
      <c r="B76" s="406" t="s">
        <v>223</v>
      </c>
      <c r="C76" s="403" t="s">
        <v>224</v>
      </c>
      <c r="D76" s="404">
        <f>[4]PESIMISTA!$D$15</f>
        <v>0</v>
      </c>
      <c r="E76" s="405">
        <f>+D76*33%</f>
        <v>0</v>
      </c>
    </row>
    <row r="77" spans="2:5" ht="15.75" thickBot="1" x14ac:dyDescent="0.3">
      <c r="B77" s="407"/>
      <c r="C77" s="408"/>
      <c r="D77" s="408"/>
      <c r="E77" s="409"/>
    </row>
    <row r="78" spans="2:5" ht="15.75" thickBot="1" x14ac:dyDescent="0.3">
      <c r="B78" s="161"/>
      <c r="C78" s="162" t="s">
        <v>79</v>
      </c>
      <c r="D78" s="163">
        <f>SUM(D70:D77)</f>
        <v>0</v>
      </c>
      <c r="E78" s="164">
        <f>SUM(E70:E77)</f>
        <v>0</v>
      </c>
    </row>
    <row r="80" spans="2:5" ht="15.75" thickBot="1" x14ac:dyDescent="0.3"/>
    <row r="81" spans="2:13" x14ac:dyDescent="0.25">
      <c r="B81" s="486" t="s">
        <v>230</v>
      </c>
      <c r="C81" s="487"/>
      <c r="D81" s="488"/>
      <c r="E81" s="486" t="s">
        <v>231</v>
      </c>
      <c r="F81" s="487"/>
      <c r="G81" s="488"/>
      <c r="H81" s="486" t="s">
        <v>232</v>
      </c>
      <c r="I81" s="487"/>
      <c r="J81" s="488"/>
      <c r="K81" s="486" t="s">
        <v>233</v>
      </c>
      <c r="L81" s="487"/>
      <c r="M81" s="488"/>
    </row>
    <row r="82" spans="2:13" x14ac:dyDescent="0.25">
      <c r="B82" s="489"/>
      <c r="C82" s="490"/>
      <c r="D82" s="491"/>
      <c r="E82" s="489"/>
      <c r="F82" s="490"/>
      <c r="G82" s="491"/>
      <c r="H82" s="489"/>
      <c r="I82" s="490"/>
      <c r="J82" s="491"/>
      <c r="K82" s="489"/>
      <c r="L82" s="490"/>
      <c r="M82" s="491"/>
    </row>
    <row r="83" spans="2:13" x14ac:dyDescent="0.25">
      <c r="B83" s="140" t="s">
        <v>225</v>
      </c>
      <c r="C83" s="2"/>
      <c r="D83" s="135">
        <f>+[4]PESIMISTA!$L$12</f>
        <v>0</v>
      </c>
      <c r="E83" s="140" t="s">
        <v>225</v>
      </c>
      <c r="F83" s="2"/>
      <c r="G83" s="135">
        <f>+[4]PESIMISTA!$L$13</f>
        <v>0</v>
      </c>
      <c r="H83" s="140" t="s">
        <v>225</v>
      </c>
      <c r="I83" s="2"/>
      <c r="J83" s="135">
        <f>[4]PESIMISTA!$L$14</f>
        <v>0</v>
      </c>
      <c r="K83" s="140" t="s">
        <v>225</v>
      </c>
      <c r="L83" s="2"/>
      <c r="M83" s="135">
        <f>[4]PESIMISTA!$L$15</f>
        <v>0</v>
      </c>
    </row>
    <row r="84" spans="2:13" x14ac:dyDescent="0.25">
      <c r="B84" s="140" t="s">
        <v>226</v>
      </c>
      <c r="C84" s="2"/>
      <c r="D84" s="135">
        <f>+D83*11.15%</f>
        <v>0</v>
      </c>
      <c r="E84" s="140" t="s">
        <v>226</v>
      </c>
      <c r="F84" s="2"/>
      <c r="G84" s="135">
        <f t="shared" ref="G84" si="8">+G83*11.15%</f>
        <v>0</v>
      </c>
      <c r="H84" s="140" t="s">
        <v>226</v>
      </c>
      <c r="I84" s="2"/>
      <c r="J84" s="135">
        <f t="shared" ref="J84" si="9">+J83*11.15%</f>
        <v>0</v>
      </c>
      <c r="K84" s="140" t="s">
        <v>226</v>
      </c>
      <c r="L84" s="2"/>
      <c r="M84" s="135">
        <f t="shared" ref="M84" si="10">+M83*11.15%</f>
        <v>0</v>
      </c>
    </row>
    <row r="85" spans="2:13" x14ac:dyDescent="0.25">
      <c r="B85" s="140" t="s">
        <v>227</v>
      </c>
      <c r="C85" s="2"/>
      <c r="D85" s="135">
        <f>D83</f>
        <v>0</v>
      </c>
      <c r="E85" s="140" t="s">
        <v>227</v>
      </c>
      <c r="F85" s="2"/>
      <c r="G85" s="135">
        <f t="shared" ref="G85" si="11">G83</f>
        <v>0</v>
      </c>
      <c r="H85" s="140" t="s">
        <v>227</v>
      </c>
      <c r="I85" s="2"/>
      <c r="J85" s="135">
        <f t="shared" ref="J85" si="12">J83</f>
        <v>0</v>
      </c>
      <c r="K85" s="140" t="s">
        <v>227</v>
      </c>
      <c r="L85" s="2"/>
      <c r="M85" s="135">
        <f t="shared" ref="M85" si="13">M83</f>
        <v>0</v>
      </c>
    </row>
    <row r="86" spans="2:13" x14ac:dyDescent="0.25">
      <c r="B86" s="140" t="s">
        <v>228</v>
      </c>
      <c r="C86" s="2"/>
      <c r="D86" s="135">
        <v>366</v>
      </c>
      <c r="E86" s="140" t="s">
        <v>228</v>
      </c>
      <c r="F86" s="2"/>
      <c r="G86" s="135">
        <f>+D86</f>
        <v>366</v>
      </c>
      <c r="H86" s="140" t="s">
        <v>228</v>
      </c>
      <c r="I86" s="2"/>
      <c r="J86" s="135">
        <f>G86</f>
        <v>366</v>
      </c>
      <c r="K86" s="140" t="s">
        <v>228</v>
      </c>
      <c r="L86" s="2"/>
      <c r="M86" s="135">
        <f>J86</f>
        <v>366</v>
      </c>
    </row>
    <row r="87" spans="2:13" x14ac:dyDescent="0.25">
      <c r="B87" s="140" t="s">
        <v>238</v>
      </c>
      <c r="C87" s="2"/>
      <c r="D87" s="135">
        <f>+D83*1%</f>
        <v>0</v>
      </c>
      <c r="E87" s="140" t="s">
        <v>238</v>
      </c>
      <c r="F87" s="2"/>
      <c r="G87" s="135">
        <f t="shared" ref="G87" si="14">+G83*1%</f>
        <v>0</v>
      </c>
      <c r="H87" s="140" t="s">
        <v>238</v>
      </c>
      <c r="I87" s="2"/>
      <c r="J87" s="135">
        <f t="shared" ref="J87" si="15">+J83*1%</f>
        <v>0</v>
      </c>
      <c r="K87" s="140" t="s">
        <v>238</v>
      </c>
      <c r="L87" s="2"/>
      <c r="M87" s="135">
        <f t="shared" ref="M87" si="16">+M83*1%</f>
        <v>0</v>
      </c>
    </row>
    <row r="88" spans="2:13" ht="15.75" thickBot="1" x14ac:dyDescent="0.3">
      <c r="B88" s="141" t="s">
        <v>229</v>
      </c>
      <c r="C88" s="142"/>
      <c r="D88" s="138">
        <f>D83*8.33%</f>
        <v>0</v>
      </c>
      <c r="E88" s="141" t="s">
        <v>229</v>
      </c>
      <c r="F88" s="142"/>
      <c r="G88" s="138">
        <f t="shared" ref="G88" si="17">G83*8.33%</f>
        <v>0</v>
      </c>
      <c r="H88" s="141" t="s">
        <v>229</v>
      </c>
      <c r="I88" s="142"/>
      <c r="J88" s="138">
        <f t="shared" ref="J88" si="18">J83*8.33%</f>
        <v>0</v>
      </c>
      <c r="K88" s="141" t="s">
        <v>229</v>
      </c>
      <c r="L88" s="142"/>
      <c r="M88" s="138">
        <f t="shared" ref="M88" si="19">M83*8.33%</f>
        <v>0</v>
      </c>
    </row>
    <row r="89" spans="2:13" x14ac:dyDescent="0.25">
      <c r="B89" s="400" t="s">
        <v>236</v>
      </c>
      <c r="C89" s="401"/>
      <c r="D89" s="158">
        <f>IF(D83=0,0,+((D83+D84+D87)*12)+D85+D86)</f>
        <v>0</v>
      </c>
      <c r="E89" s="400" t="s">
        <v>236</v>
      </c>
      <c r="F89" s="401"/>
      <c r="G89" s="158">
        <f>IF(G83=0,0,+((G83+G84+G87)*12)+G85+G86)</f>
        <v>0</v>
      </c>
      <c r="H89" s="400" t="s">
        <v>236</v>
      </c>
      <c r="I89" s="401"/>
      <c r="J89" s="158">
        <f>IF(J83=0,0,+((J83+J84+J87)*12)+J85+J86)</f>
        <v>0</v>
      </c>
      <c r="K89" s="400" t="s">
        <v>236</v>
      </c>
      <c r="L89" s="401"/>
      <c r="M89" s="158">
        <f>IF(M83=0,0,+((M83+M84+M87)*12)+M85+M86)</f>
        <v>0</v>
      </c>
    </row>
    <row r="90" spans="2:13" ht="15.75" thickBot="1" x14ac:dyDescent="0.3">
      <c r="B90" s="382" t="s">
        <v>237</v>
      </c>
      <c r="C90" s="383"/>
      <c r="D90" s="138">
        <f>IF(D83=0,0,+D89+(D88*12))</f>
        <v>0</v>
      </c>
      <c r="E90" s="382" t="s">
        <v>237</v>
      </c>
      <c r="F90" s="383"/>
      <c r="G90" s="138">
        <f>IF(G83=0,0,+G89+(G88*12))</f>
        <v>0</v>
      </c>
      <c r="H90" s="382" t="s">
        <v>237</v>
      </c>
      <c r="I90" s="383"/>
      <c r="J90" s="138">
        <f>IF(J83=0,0,+J89+(J88*12))</f>
        <v>0</v>
      </c>
      <c r="K90" s="382" t="s">
        <v>237</v>
      </c>
      <c r="L90" s="383"/>
      <c r="M90" s="138">
        <f>IF(M83=0,0,+M89+(M88*12))</f>
        <v>0</v>
      </c>
    </row>
    <row r="91" spans="2:13" ht="15.75" thickBot="1" x14ac:dyDescent="0.3">
      <c r="B91" s="183"/>
      <c r="C91" s="183"/>
      <c r="D91" s="165"/>
      <c r="E91" s="183"/>
      <c r="F91" s="183"/>
      <c r="G91" s="165"/>
      <c r="H91" s="183"/>
      <c r="I91" s="183"/>
      <c r="J91" s="165"/>
      <c r="K91" s="183"/>
      <c r="L91" s="183"/>
      <c r="M91" s="165"/>
    </row>
    <row r="92" spans="2:13" x14ac:dyDescent="0.25">
      <c r="B92" s="390" t="s">
        <v>255</v>
      </c>
      <c r="C92" s="391"/>
      <c r="D92" s="184">
        <f>+D89+G89+J89+M89</f>
        <v>0</v>
      </c>
      <c r="E92" s="183"/>
      <c r="F92" s="183"/>
      <c r="G92" s="165"/>
      <c r="H92" s="183"/>
      <c r="I92" s="183"/>
      <c r="J92" s="165"/>
      <c r="K92" s="183"/>
      <c r="L92" s="183"/>
      <c r="M92" s="165"/>
    </row>
    <row r="93" spans="2:13" ht="15.75" thickBot="1" x14ac:dyDescent="0.3">
      <c r="B93" s="392" t="s">
        <v>256</v>
      </c>
      <c r="C93" s="393"/>
      <c r="D93" s="185">
        <f>(D90+G90+J90+M90)-D92</f>
        <v>0</v>
      </c>
      <c r="E93" s="183"/>
      <c r="F93" s="183"/>
      <c r="G93" s="165"/>
      <c r="H93" s="183"/>
      <c r="I93" s="183"/>
      <c r="J93" s="165"/>
      <c r="K93" s="183"/>
      <c r="L93" s="183"/>
      <c r="M93" s="165"/>
    </row>
    <row r="94" spans="2:13" x14ac:dyDescent="0.25">
      <c r="B94" s="183"/>
      <c r="C94" s="183"/>
      <c r="D94" s="165"/>
      <c r="E94" s="183"/>
      <c r="F94" s="183"/>
      <c r="G94" s="165"/>
      <c r="H94" s="183"/>
      <c r="I94" s="183"/>
      <c r="J94" s="165"/>
      <c r="K94" s="183"/>
      <c r="L94" s="183"/>
      <c r="M94" s="165"/>
    </row>
    <row r="96" spans="2:13" ht="15.75" thickBot="1" x14ac:dyDescent="0.3"/>
    <row r="97" spans="2:6" x14ac:dyDescent="0.25">
      <c r="B97" s="484" t="s">
        <v>239</v>
      </c>
      <c r="C97" s="485"/>
      <c r="D97" s="266">
        <v>2016</v>
      </c>
      <c r="E97" s="266">
        <v>2017</v>
      </c>
      <c r="F97" s="267">
        <v>2018</v>
      </c>
    </row>
    <row r="98" spans="2:6" x14ac:dyDescent="0.25">
      <c r="B98" s="386" t="s">
        <v>240</v>
      </c>
      <c r="C98" s="387"/>
      <c r="D98" s="135">
        <f>+[4]PESIMISTA!$D$18</f>
        <v>0</v>
      </c>
      <c r="E98" s="135">
        <f>+[4]PESIMISTA!$E$18</f>
        <v>0</v>
      </c>
      <c r="F98" s="135">
        <f>+[4]PESIMISTA!$F$18</f>
        <v>0</v>
      </c>
    </row>
    <row r="99" spans="2:6" ht="15.75" thickBot="1" x14ac:dyDescent="0.3">
      <c r="B99" s="388" t="s">
        <v>241</v>
      </c>
      <c r="C99" s="389"/>
      <c r="D99" s="138">
        <f>[4]PESIMISTA!$D$19</f>
        <v>0</v>
      </c>
      <c r="E99" s="138">
        <f>[4]PESIMISTA!$E$19</f>
        <v>0</v>
      </c>
      <c r="F99" s="138">
        <f>[4]PESIMISTA!$F$19</f>
        <v>0</v>
      </c>
    </row>
    <row r="103" spans="2:6" x14ac:dyDescent="0.25">
      <c r="E103" s="165"/>
      <c r="F103" s="2"/>
    </row>
  </sheetData>
  <mergeCells count="49">
    <mergeCell ref="B66:E67"/>
    <mergeCell ref="G2:L2"/>
    <mergeCell ref="B3:D3"/>
    <mergeCell ref="B4:D4"/>
    <mergeCell ref="B5:C5"/>
    <mergeCell ref="B6:C6"/>
    <mergeCell ref="B7:C7"/>
    <mergeCell ref="B8:C8"/>
    <mergeCell ref="B9:C9"/>
    <mergeCell ref="B10:C10"/>
    <mergeCell ref="B11:C11"/>
    <mergeCell ref="B12:C12"/>
    <mergeCell ref="B68:B69"/>
    <mergeCell ref="C68:C69"/>
    <mergeCell ref="D68:D69"/>
    <mergeCell ref="E68:E69"/>
    <mergeCell ref="B70:B71"/>
    <mergeCell ref="C70:C71"/>
    <mergeCell ref="D70:D71"/>
    <mergeCell ref="E70:E71"/>
    <mergeCell ref="B72:B73"/>
    <mergeCell ref="C72:C73"/>
    <mergeCell ref="D72:D73"/>
    <mergeCell ref="E72:E73"/>
    <mergeCell ref="B74:B75"/>
    <mergeCell ref="C74:C75"/>
    <mergeCell ref="D74:D75"/>
    <mergeCell ref="E74:E75"/>
    <mergeCell ref="B76:B77"/>
    <mergeCell ref="C76:C77"/>
    <mergeCell ref="D76:D77"/>
    <mergeCell ref="E76:E77"/>
    <mergeCell ref="B81:D82"/>
    <mergeCell ref="E81:G82"/>
    <mergeCell ref="H90:I90"/>
    <mergeCell ref="K90:L90"/>
    <mergeCell ref="B92:C92"/>
    <mergeCell ref="B93:C93"/>
    <mergeCell ref="H81:J82"/>
    <mergeCell ref="K81:M82"/>
    <mergeCell ref="B89:C89"/>
    <mergeCell ref="E89:F89"/>
    <mergeCell ref="H89:I89"/>
    <mergeCell ref="K89:L89"/>
    <mergeCell ref="B97:C97"/>
    <mergeCell ref="B98:C98"/>
    <mergeCell ref="B99:C99"/>
    <mergeCell ref="B90:C90"/>
    <mergeCell ref="E90:F9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C000"/>
  </sheetPr>
  <dimension ref="B1:O56"/>
  <sheetViews>
    <sheetView showGridLines="0" workbookViewId="0">
      <selection activeCell="L39" sqref="L39"/>
    </sheetView>
  </sheetViews>
  <sheetFormatPr defaultColWidth="9.125" defaultRowHeight="15" x14ac:dyDescent="0.25"/>
  <cols>
    <col min="1" max="1" width="2.875" customWidth="1"/>
    <col min="5" max="5" width="16.75" customWidth="1"/>
    <col min="6" max="6" width="14" customWidth="1"/>
    <col min="7" max="7" width="14.375" customWidth="1"/>
    <col min="8" max="8" width="10.625" bestFit="1" customWidth="1"/>
    <col min="13" max="13" width="17" customWidth="1"/>
    <col min="14" max="14" width="12.625" bestFit="1" customWidth="1"/>
    <col min="15" max="15" width="12" bestFit="1" customWidth="1"/>
  </cols>
  <sheetData>
    <row r="1" spans="2:15" ht="15.75" thickBot="1" x14ac:dyDescent="0.3"/>
    <row r="2" spans="2:15" x14ac:dyDescent="0.25">
      <c r="B2" s="287" t="s">
        <v>43</v>
      </c>
      <c r="C2" s="288"/>
      <c r="D2" s="288"/>
      <c r="E2" s="288"/>
      <c r="F2" s="288"/>
      <c r="G2" s="289"/>
      <c r="H2" s="2"/>
      <c r="J2" s="293"/>
      <c r="K2" s="293"/>
      <c r="L2" s="293"/>
      <c r="M2" s="293"/>
      <c r="N2" s="293"/>
      <c r="O2" s="293"/>
    </row>
    <row r="3" spans="2:15" x14ac:dyDescent="0.25">
      <c r="B3" s="290" t="s">
        <v>283</v>
      </c>
      <c r="C3" s="291"/>
      <c r="D3" s="291"/>
      <c r="E3" s="291"/>
      <c r="F3" s="291"/>
      <c r="G3" s="292"/>
      <c r="H3" s="2"/>
      <c r="J3" s="293"/>
      <c r="K3" s="293"/>
      <c r="L3" s="293"/>
      <c r="M3" s="293"/>
      <c r="N3" s="293"/>
      <c r="O3" s="293"/>
    </row>
    <row r="4" spans="2:15" x14ac:dyDescent="0.25">
      <c r="B4" s="226"/>
      <c r="C4" s="225"/>
      <c r="D4" s="225"/>
      <c r="E4" s="225"/>
      <c r="F4" s="225"/>
      <c r="G4" s="227"/>
      <c r="H4" s="2"/>
      <c r="J4" s="59"/>
      <c r="K4" s="59"/>
      <c r="L4" s="59"/>
      <c r="M4" s="59"/>
      <c r="N4" s="59"/>
      <c r="O4" s="59"/>
    </row>
    <row r="5" spans="2:15" x14ac:dyDescent="0.25">
      <c r="B5" s="140"/>
      <c r="C5" s="2"/>
      <c r="D5" s="2"/>
      <c r="E5" s="2"/>
      <c r="F5" s="225">
        <v>2014</v>
      </c>
      <c r="G5" s="227">
        <v>2015</v>
      </c>
      <c r="H5" s="2"/>
      <c r="J5" s="2"/>
      <c r="K5" s="2"/>
      <c r="L5" s="2"/>
      <c r="M5" s="2"/>
      <c r="N5" s="59"/>
      <c r="O5" s="59"/>
    </row>
    <row r="6" spans="2:15" x14ac:dyDescent="0.25">
      <c r="B6" s="140"/>
      <c r="C6" s="2"/>
      <c r="D6" s="2"/>
      <c r="E6" s="2"/>
      <c r="F6" s="225" t="s">
        <v>2</v>
      </c>
      <c r="G6" s="227" t="s">
        <v>2</v>
      </c>
      <c r="H6" s="2"/>
      <c r="J6" s="2"/>
      <c r="K6" s="2"/>
      <c r="L6" s="2"/>
      <c r="M6" s="2"/>
      <c r="N6" s="59"/>
      <c r="O6" s="59"/>
    </row>
    <row r="7" spans="2:15" x14ac:dyDescent="0.25">
      <c r="B7" s="224" t="s">
        <v>44</v>
      </c>
      <c r="C7" s="2"/>
      <c r="D7" s="2"/>
      <c r="E7" s="2"/>
      <c r="F7" s="2"/>
      <c r="G7" s="137"/>
      <c r="H7" s="2"/>
      <c r="J7" s="6"/>
      <c r="K7" s="2"/>
      <c r="L7" s="2"/>
      <c r="M7" s="2"/>
      <c r="N7" s="2"/>
      <c r="O7" s="2"/>
    </row>
    <row r="8" spans="2:15" x14ac:dyDescent="0.25">
      <c r="B8" s="224" t="s">
        <v>45</v>
      </c>
      <c r="C8" s="2"/>
      <c r="D8" s="2"/>
      <c r="E8" s="2"/>
      <c r="F8" s="2"/>
      <c r="G8" s="137"/>
      <c r="H8" s="2"/>
      <c r="J8" s="6"/>
      <c r="K8" s="2"/>
      <c r="L8" s="2"/>
      <c r="M8" s="2"/>
      <c r="N8" s="2"/>
      <c r="O8" s="2"/>
    </row>
    <row r="9" spans="2:15" x14ac:dyDescent="0.25">
      <c r="B9" s="140"/>
      <c r="C9" s="2" t="s">
        <v>46</v>
      </c>
      <c r="D9" s="2"/>
      <c r="E9" s="2"/>
      <c r="F9" s="5">
        <v>1709903.84</v>
      </c>
      <c r="G9" s="228">
        <v>925371.85</v>
      </c>
      <c r="H9" s="70"/>
      <c r="J9" s="2"/>
      <c r="K9" s="2"/>
      <c r="L9" s="2"/>
      <c r="M9" s="2"/>
      <c r="N9" s="5"/>
      <c r="O9" s="5"/>
    </row>
    <row r="10" spans="2:15" x14ac:dyDescent="0.25">
      <c r="B10" s="140"/>
      <c r="C10" s="2" t="s">
        <v>47</v>
      </c>
      <c r="D10" s="2"/>
      <c r="E10" s="2"/>
      <c r="F10" s="5">
        <v>1359.38</v>
      </c>
      <c r="G10" s="228">
        <v>3757.3</v>
      </c>
      <c r="H10" s="70"/>
      <c r="J10" s="2"/>
      <c r="K10" s="2"/>
      <c r="L10" s="2"/>
      <c r="M10" s="2"/>
      <c r="N10" s="5"/>
      <c r="O10" s="5"/>
    </row>
    <row r="11" spans="2:15" x14ac:dyDescent="0.25">
      <c r="B11" s="140"/>
      <c r="C11" s="2" t="s">
        <v>126</v>
      </c>
      <c r="D11" s="2"/>
      <c r="E11" s="2"/>
      <c r="F11" s="5">
        <v>676.59</v>
      </c>
      <c r="G11" s="228">
        <v>0</v>
      </c>
      <c r="H11" s="70"/>
      <c r="J11" s="2"/>
      <c r="K11" s="2"/>
      <c r="L11" s="2"/>
      <c r="M11" s="2"/>
      <c r="N11" s="5"/>
      <c r="O11" s="5"/>
    </row>
    <row r="12" spans="2:15" x14ac:dyDescent="0.25">
      <c r="B12" s="140"/>
      <c r="C12" s="2" t="s">
        <v>127</v>
      </c>
      <c r="D12" s="2"/>
      <c r="E12" s="2"/>
      <c r="F12" s="7">
        <v>12789.19</v>
      </c>
      <c r="G12" s="229">
        <v>3681.43</v>
      </c>
      <c r="H12" s="70"/>
      <c r="J12" s="2"/>
      <c r="K12" s="2"/>
      <c r="L12" s="2"/>
      <c r="M12" s="2"/>
      <c r="N12" s="5"/>
      <c r="O12" s="5"/>
    </row>
    <row r="13" spans="2:15" x14ac:dyDescent="0.25">
      <c r="B13" s="140"/>
      <c r="C13" s="2"/>
      <c r="D13" s="2"/>
      <c r="E13" s="2"/>
      <c r="F13" s="8"/>
      <c r="G13" s="228"/>
      <c r="H13" s="70"/>
      <c r="J13" s="2"/>
      <c r="K13" s="2"/>
      <c r="L13" s="2"/>
      <c r="M13" s="2"/>
      <c r="N13" s="8"/>
      <c r="O13" s="5"/>
    </row>
    <row r="14" spans="2:15" x14ac:dyDescent="0.25">
      <c r="B14" s="140"/>
      <c r="C14" s="6" t="s">
        <v>50</v>
      </c>
      <c r="D14" s="2"/>
      <c r="E14" s="2"/>
      <c r="F14" s="8">
        <f>+F9+F10-F11-F12</f>
        <v>1697797.44</v>
      </c>
      <c r="G14" s="228">
        <f>+G9+G10-G11-G12</f>
        <v>925447.72</v>
      </c>
      <c r="H14" s="70"/>
      <c r="J14" s="2"/>
      <c r="K14" s="6"/>
      <c r="L14" s="2"/>
      <c r="M14" s="2"/>
      <c r="N14" s="8"/>
      <c r="O14" s="5"/>
    </row>
    <row r="15" spans="2:15" x14ac:dyDescent="0.25">
      <c r="B15" s="140"/>
      <c r="C15" s="2"/>
      <c r="D15" s="2"/>
      <c r="E15" s="2"/>
      <c r="F15" s="8"/>
      <c r="G15" s="228"/>
      <c r="H15" s="70"/>
      <c r="J15" s="2"/>
      <c r="K15" s="2"/>
      <c r="L15" s="2"/>
      <c r="M15" s="2"/>
      <c r="N15" s="8"/>
      <c r="O15" s="5"/>
    </row>
    <row r="16" spans="2:15" x14ac:dyDescent="0.25">
      <c r="B16" s="224" t="s">
        <v>53</v>
      </c>
      <c r="C16" s="2"/>
      <c r="D16" s="2"/>
      <c r="E16" s="2"/>
      <c r="F16" s="8"/>
      <c r="G16" s="228"/>
      <c r="H16" s="70"/>
      <c r="J16" s="6"/>
      <c r="K16" s="2"/>
      <c r="L16" s="2"/>
      <c r="M16" s="2"/>
      <c r="N16" s="8"/>
      <c r="O16" s="5"/>
    </row>
    <row r="17" spans="2:15" x14ac:dyDescent="0.25">
      <c r="B17" s="224" t="s">
        <v>54</v>
      </c>
      <c r="C17" s="2"/>
      <c r="D17" s="2"/>
      <c r="E17" s="2"/>
      <c r="F17" s="8"/>
      <c r="G17" s="228"/>
      <c r="H17" s="70"/>
      <c r="J17" s="6"/>
      <c r="K17" s="2"/>
      <c r="L17" s="2"/>
      <c r="M17" s="2"/>
      <c r="N17" s="8"/>
      <c r="O17" s="5"/>
    </row>
    <row r="18" spans="2:15" x14ac:dyDescent="0.25">
      <c r="B18" s="140"/>
      <c r="C18" s="2" t="s">
        <v>55</v>
      </c>
      <c r="D18" s="2"/>
      <c r="E18" s="2"/>
      <c r="F18" s="8">
        <v>1529907.59</v>
      </c>
      <c r="G18" s="228">
        <v>764190.06</v>
      </c>
      <c r="H18" s="70"/>
      <c r="J18" s="2"/>
      <c r="K18" s="2"/>
      <c r="L18" s="2"/>
      <c r="M18" s="2"/>
      <c r="N18" s="8"/>
      <c r="O18" s="5"/>
    </row>
    <row r="19" spans="2:15" x14ac:dyDescent="0.25">
      <c r="B19" s="140"/>
      <c r="C19" s="2" t="s">
        <v>56</v>
      </c>
      <c r="D19" s="2"/>
      <c r="E19" s="2"/>
      <c r="F19" s="69">
        <v>28869.22</v>
      </c>
      <c r="G19" s="229">
        <v>12195.3</v>
      </c>
      <c r="H19" s="70"/>
      <c r="J19" s="2"/>
      <c r="K19" s="2"/>
      <c r="L19" s="2"/>
      <c r="M19" s="2"/>
      <c r="N19" s="8"/>
      <c r="O19" s="5"/>
    </row>
    <row r="20" spans="2:15" x14ac:dyDescent="0.25">
      <c r="B20" s="140"/>
      <c r="C20" s="2"/>
      <c r="D20" s="2"/>
      <c r="E20" s="2"/>
      <c r="F20" s="8"/>
      <c r="G20" s="228"/>
      <c r="H20" s="70"/>
      <c r="J20" s="2"/>
      <c r="K20" s="2"/>
      <c r="L20" s="2"/>
      <c r="M20" s="2"/>
      <c r="N20" s="8"/>
      <c r="O20" s="5"/>
    </row>
    <row r="21" spans="2:15" x14ac:dyDescent="0.25">
      <c r="B21" s="140"/>
      <c r="C21" s="6" t="s">
        <v>57</v>
      </c>
      <c r="D21" s="2"/>
      <c r="E21" s="2"/>
      <c r="F21" s="8">
        <f>SUM(F18:F20)</f>
        <v>1558776.81</v>
      </c>
      <c r="G21" s="228">
        <f>SUM(G18:G20)</f>
        <v>776385.3600000001</v>
      </c>
      <c r="H21" s="2"/>
      <c r="J21" s="2"/>
      <c r="K21" s="6"/>
      <c r="L21" s="2"/>
      <c r="M21" s="2"/>
      <c r="N21" s="8"/>
      <c r="O21" s="5"/>
    </row>
    <row r="22" spans="2:15" x14ac:dyDescent="0.25">
      <c r="B22" s="140"/>
      <c r="C22" s="2"/>
      <c r="D22" s="2"/>
      <c r="E22" s="2"/>
      <c r="F22" s="8"/>
      <c r="G22" s="228"/>
      <c r="H22" s="2"/>
      <c r="J22" s="2"/>
      <c r="K22" s="2"/>
      <c r="L22" s="2"/>
      <c r="M22" s="2"/>
      <c r="N22" s="8"/>
      <c r="O22" s="5"/>
    </row>
    <row r="23" spans="2:15" ht="15.75" thickBot="1" x14ac:dyDescent="0.3">
      <c r="B23" s="224" t="s">
        <v>118</v>
      </c>
      <c r="C23" s="2"/>
      <c r="D23" s="2"/>
      <c r="E23" s="2"/>
      <c r="F23" s="71">
        <f>+F14-F21</f>
        <v>139020.62999999989</v>
      </c>
      <c r="G23" s="230">
        <f t="shared" ref="G23" si="0">+G14-G21</f>
        <v>149062.35999999987</v>
      </c>
      <c r="H23" s="2"/>
      <c r="J23" s="6"/>
      <c r="K23" s="2"/>
      <c r="L23" s="2"/>
      <c r="M23" s="2"/>
      <c r="N23" s="8"/>
      <c r="O23" s="5"/>
    </row>
    <row r="24" spans="2:15" ht="15.75" thickTop="1" x14ac:dyDescent="0.25">
      <c r="B24" s="140"/>
      <c r="C24" s="2"/>
      <c r="D24" s="2"/>
      <c r="E24" s="2"/>
      <c r="F24" s="8"/>
      <c r="G24" s="228"/>
      <c r="H24" s="2"/>
      <c r="J24" s="2"/>
      <c r="K24" s="2"/>
      <c r="L24" s="2"/>
      <c r="M24" s="2"/>
      <c r="N24" s="8"/>
      <c r="O24" s="5"/>
    </row>
    <row r="25" spans="2:15" x14ac:dyDescent="0.25">
      <c r="B25" s="224" t="s">
        <v>58</v>
      </c>
      <c r="C25" s="2"/>
      <c r="D25" s="2"/>
      <c r="E25" s="2"/>
      <c r="F25" s="8"/>
      <c r="G25" s="228"/>
      <c r="H25" s="2"/>
      <c r="J25" s="6"/>
      <c r="K25" s="2"/>
      <c r="L25" s="2"/>
      <c r="M25" s="2"/>
      <c r="N25" s="8"/>
      <c r="O25" s="5"/>
    </row>
    <row r="26" spans="2:15" x14ac:dyDescent="0.25">
      <c r="B26" s="224" t="s">
        <v>59</v>
      </c>
      <c r="C26" s="2"/>
      <c r="D26" s="2"/>
      <c r="E26" s="2"/>
      <c r="F26" s="8"/>
      <c r="G26" s="228"/>
      <c r="H26" s="2"/>
      <c r="J26" s="6"/>
      <c r="K26" s="2"/>
      <c r="L26" s="2"/>
      <c r="M26" s="2"/>
      <c r="N26" s="8"/>
      <c r="O26" s="5"/>
    </row>
    <row r="27" spans="2:15" x14ac:dyDescent="0.25">
      <c r="B27" s="140"/>
      <c r="C27" s="2" t="s">
        <v>60</v>
      </c>
      <c r="D27" s="2"/>
      <c r="E27" s="2"/>
      <c r="F27" s="8">
        <v>71760.39</v>
      </c>
      <c r="G27" s="228">
        <v>75867.06</v>
      </c>
      <c r="H27" s="2"/>
      <c r="J27" s="2"/>
      <c r="K27" s="2"/>
      <c r="L27" s="2"/>
      <c r="M27" s="2"/>
      <c r="N27" s="8"/>
      <c r="O27" s="5"/>
    </row>
    <row r="28" spans="2:15" x14ac:dyDescent="0.25">
      <c r="B28" s="140"/>
      <c r="C28" s="2" t="s">
        <v>61</v>
      </c>
      <c r="D28" s="2"/>
      <c r="E28" s="2"/>
      <c r="F28" s="8">
        <v>3600</v>
      </c>
      <c r="G28" s="228">
        <v>4666.8599999999997</v>
      </c>
      <c r="H28" s="2"/>
      <c r="J28" s="2"/>
      <c r="K28" s="2"/>
      <c r="L28" s="2"/>
      <c r="M28" s="2"/>
      <c r="N28" s="8"/>
      <c r="O28" s="5"/>
    </row>
    <row r="29" spans="2:15" x14ac:dyDescent="0.25">
      <c r="B29" s="140"/>
      <c r="C29" s="2" t="s">
        <v>62</v>
      </c>
      <c r="D29" s="2"/>
      <c r="E29" s="2"/>
      <c r="F29" s="8">
        <v>15718.79</v>
      </c>
      <c r="G29" s="228">
        <v>17331</v>
      </c>
      <c r="H29" s="2"/>
      <c r="J29" s="2"/>
      <c r="K29" s="2"/>
      <c r="L29" s="2"/>
      <c r="M29" s="2"/>
      <c r="N29" s="8"/>
      <c r="O29" s="5"/>
    </row>
    <row r="30" spans="2:15" x14ac:dyDescent="0.25">
      <c r="B30" s="140"/>
      <c r="C30" s="2" t="s">
        <v>63</v>
      </c>
      <c r="D30" s="2"/>
      <c r="E30" s="2"/>
      <c r="F30" s="8">
        <v>10071.33</v>
      </c>
      <c r="G30" s="228">
        <v>3760.67</v>
      </c>
      <c r="H30" s="2"/>
      <c r="J30" s="2"/>
      <c r="K30" s="2"/>
      <c r="L30" s="2"/>
      <c r="M30" s="2"/>
      <c r="N30" s="8"/>
      <c r="O30" s="5"/>
    </row>
    <row r="31" spans="2:15" x14ac:dyDescent="0.25">
      <c r="B31" s="140"/>
      <c r="C31" s="2" t="s">
        <v>64</v>
      </c>
      <c r="D31" s="2"/>
      <c r="E31" s="2"/>
      <c r="F31" s="10">
        <v>25947.64</v>
      </c>
      <c r="G31" s="229">
        <v>27711.84</v>
      </c>
      <c r="H31" s="2"/>
      <c r="J31" s="2"/>
      <c r="K31" s="2"/>
      <c r="L31" s="2"/>
      <c r="M31" s="2"/>
      <c r="N31" s="2"/>
      <c r="O31" s="5"/>
    </row>
    <row r="32" spans="2:15" x14ac:dyDescent="0.25">
      <c r="B32" s="140"/>
      <c r="C32" s="2"/>
      <c r="D32" s="2"/>
      <c r="E32" s="2"/>
      <c r="F32" s="5"/>
      <c r="G32" s="228"/>
      <c r="H32" s="2"/>
      <c r="J32" s="2"/>
      <c r="K32" s="2"/>
      <c r="L32" s="2"/>
      <c r="M32" s="2"/>
      <c r="N32" s="5"/>
      <c r="O32" s="5"/>
    </row>
    <row r="33" spans="2:15" x14ac:dyDescent="0.25">
      <c r="B33" s="140"/>
      <c r="C33" s="6" t="s">
        <v>65</v>
      </c>
      <c r="D33" s="2"/>
      <c r="E33" s="2"/>
      <c r="F33" s="5">
        <f>SUM(F27:F32)</f>
        <v>127098.15</v>
      </c>
      <c r="G33" s="228">
        <f>SUM(G27:G32)</f>
        <v>129337.43</v>
      </c>
      <c r="H33" s="2"/>
      <c r="J33" s="2"/>
      <c r="K33" s="6"/>
      <c r="L33" s="2"/>
      <c r="M33" s="2"/>
      <c r="N33" s="5"/>
      <c r="O33" s="5"/>
    </row>
    <row r="34" spans="2:15" x14ac:dyDescent="0.25">
      <c r="B34" s="224"/>
      <c r="C34" s="6"/>
      <c r="D34" s="2"/>
      <c r="E34" s="2"/>
      <c r="F34" s="5"/>
      <c r="G34" s="228"/>
      <c r="H34" s="2"/>
      <c r="J34" s="6"/>
      <c r="K34" s="6"/>
      <c r="L34" s="2"/>
      <c r="M34" s="2"/>
      <c r="N34" s="5"/>
      <c r="O34" s="5"/>
    </row>
    <row r="35" spans="2:15" x14ac:dyDescent="0.25">
      <c r="B35" s="224"/>
      <c r="C35" s="6" t="s">
        <v>66</v>
      </c>
      <c r="D35" s="2"/>
      <c r="E35" s="2"/>
      <c r="F35" s="5">
        <v>5901.95</v>
      </c>
      <c r="G35" s="228">
        <v>4246.5</v>
      </c>
      <c r="H35" s="2"/>
      <c r="J35" s="6"/>
      <c r="K35" s="6"/>
      <c r="L35" s="2"/>
      <c r="M35" s="2"/>
      <c r="N35" s="5"/>
      <c r="O35" s="5"/>
    </row>
    <row r="36" spans="2:15" x14ac:dyDescent="0.25">
      <c r="B36" s="224"/>
      <c r="C36" s="6"/>
      <c r="D36" s="2"/>
      <c r="E36" s="2"/>
      <c r="F36" s="5"/>
      <c r="G36" s="228"/>
      <c r="H36" s="2"/>
      <c r="J36" s="6"/>
      <c r="K36" s="6"/>
      <c r="L36" s="2"/>
      <c r="M36" s="2"/>
      <c r="N36" s="5"/>
      <c r="O36" s="5"/>
    </row>
    <row r="37" spans="2:15" ht="15.75" thickBot="1" x14ac:dyDescent="0.3">
      <c r="B37" s="224" t="s">
        <v>128</v>
      </c>
      <c r="C37" s="6"/>
      <c r="D37" s="2"/>
      <c r="E37" s="2"/>
      <c r="F37" s="9">
        <f>+F23-F33-F35</f>
        <v>6020.5299999998942</v>
      </c>
      <c r="G37" s="230">
        <f t="shared" ref="G37" si="1">+G23-G33-G35</f>
        <v>15478.429999999877</v>
      </c>
      <c r="H37" s="2"/>
      <c r="J37" s="6"/>
      <c r="K37" s="6"/>
      <c r="L37" s="2"/>
      <c r="M37" s="2"/>
      <c r="N37" s="5"/>
      <c r="O37" s="5"/>
    </row>
    <row r="38" spans="2:15" ht="15.75" thickTop="1" x14ac:dyDescent="0.25">
      <c r="B38" s="224"/>
      <c r="C38" s="6"/>
      <c r="D38" s="2"/>
      <c r="E38" s="2"/>
      <c r="F38" s="5"/>
      <c r="G38" s="228"/>
      <c r="H38" s="2"/>
      <c r="J38" s="6"/>
      <c r="K38" s="6"/>
      <c r="L38" s="2"/>
      <c r="M38" s="2"/>
      <c r="N38" s="5"/>
      <c r="O38" s="5"/>
    </row>
    <row r="39" spans="2:15" x14ac:dyDescent="0.25">
      <c r="B39" s="224"/>
      <c r="C39" s="6" t="s">
        <v>51</v>
      </c>
      <c r="D39" s="2"/>
      <c r="E39" s="2"/>
      <c r="F39" s="8">
        <v>45110.61</v>
      </c>
      <c r="G39" s="228">
        <v>487.55</v>
      </c>
      <c r="H39" s="2"/>
      <c r="J39" s="6"/>
      <c r="K39" s="6"/>
      <c r="L39" s="2"/>
      <c r="M39" s="2"/>
      <c r="N39" s="8"/>
      <c r="O39" s="5"/>
    </row>
    <row r="40" spans="2:15" x14ac:dyDescent="0.25">
      <c r="B40" s="140"/>
      <c r="C40" s="6"/>
      <c r="D40" s="6"/>
      <c r="E40" s="2"/>
      <c r="F40" s="5"/>
      <c r="G40" s="228"/>
      <c r="H40" s="2"/>
      <c r="J40" s="2"/>
      <c r="K40" s="6"/>
      <c r="L40" s="6"/>
      <c r="M40" s="2"/>
      <c r="N40" s="5"/>
      <c r="O40" s="5"/>
    </row>
    <row r="41" spans="2:15" x14ac:dyDescent="0.25">
      <c r="B41" s="224"/>
      <c r="C41" s="6" t="s">
        <v>67</v>
      </c>
      <c r="D41" s="6"/>
      <c r="E41" s="2"/>
      <c r="F41" s="7">
        <v>6356.74</v>
      </c>
      <c r="G41" s="229">
        <v>2039.95</v>
      </c>
      <c r="H41" s="2"/>
      <c r="J41" s="6"/>
      <c r="K41" s="6"/>
      <c r="L41" s="6"/>
      <c r="M41" s="2"/>
      <c r="N41" s="5"/>
      <c r="O41" s="5"/>
    </row>
    <row r="42" spans="2:15" x14ac:dyDescent="0.25">
      <c r="B42" s="224"/>
      <c r="C42" s="6"/>
      <c r="D42" s="2"/>
      <c r="E42" s="2"/>
      <c r="F42" s="5"/>
      <c r="G42" s="228"/>
      <c r="H42" s="2"/>
      <c r="J42" s="6"/>
      <c r="K42" s="6"/>
      <c r="L42" s="2"/>
      <c r="M42" s="2"/>
      <c r="N42" s="5"/>
      <c r="O42" s="5"/>
    </row>
    <row r="43" spans="2:15" x14ac:dyDescent="0.25">
      <c r="B43" s="224" t="s">
        <v>120</v>
      </c>
      <c r="C43" s="6"/>
      <c r="D43" s="2"/>
      <c r="E43" s="2"/>
      <c r="F43" s="5">
        <f>+F37+F39-F41</f>
        <v>44774.3999999999</v>
      </c>
      <c r="G43" s="228">
        <f t="shared" ref="G43" si="2">+G37+G39-G41</f>
        <v>13926.029999999875</v>
      </c>
      <c r="H43" s="2"/>
      <c r="J43" s="6"/>
      <c r="K43" s="6"/>
      <c r="L43" s="2"/>
      <c r="M43" s="2"/>
      <c r="N43" s="5"/>
      <c r="O43" s="5"/>
    </row>
    <row r="44" spans="2:15" x14ac:dyDescent="0.25">
      <c r="B44" s="140"/>
      <c r="C44" s="2"/>
      <c r="D44" s="2"/>
      <c r="E44" s="2"/>
      <c r="F44" s="5"/>
      <c r="G44" s="228"/>
      <c r="H44" s="2"/>
      <c r="J44" s="2"/>
      <c r="K44" s="2"/>
      <c r="L44" s="2"/>
      <c r="M44" s="2"/>
      <c r="N44" s="5"/>
      <c r="O44" s="5"/>
    </row>
    <row r="45" spans="2:15" x14ac:dyDescent="0.25">
      <c r="B45" s="140"/>
      <c r="C45" s="6" t="s">
        <v>129</v>
      </c>
      <c r="D45" s="2"/>
      <c r="E45" s="2"/>
      <c r="F45" s="7">
        <f>+F43*15%</f>
        <v>6716.1599999999844</v>
      </c>
      <c r="G45" s="229">
        <f>+G43*15%</f>
        <v>2088.904499999981</v>
      </c>
      <c r="H45" s="2"/>
      <c r="J45" s="2"/>
      <c r="K45" s="6"/>
      <c r="L45" s="2"/>
      <c r="M45" s="2"/>
      <c r="N45" s="5"/>
      <c r="O45" s="5"/>
    </row>
    <row r="46" spans="2:15" x14ac:dyDescent="0.25">
      <c r="B46" s="140"/>
      <c r="C46" s="2"/>
      <c r="D46" s="2"/>
      <c r="E46" s="2"/>
      <c r="F46" s="5"/>
      <c r="G46" s="228"/>
      <c r="H46" s="2"/>
      <c r="J46" s="2"/>
      <c r="K46" s="2"/>
      <c r="L46" s="2"/>
      <c r="M46" s="2"/>
      <c r="N46" s="5"/>
      <c r="O46" s="5"/>
    </row>
    <row r="47" spans="2:15" x14ac:dyDescent="0.25">
      <c r="B47" s="224" t="s">
        <v>122</v>
      </c>
      <c r="C47" s="6"/>
      <c r="D47" s="2"/>
      <c r="E47" s="2"/>
      <c r="F47" s="5">
        <f>+F43-F45</f>
        <v>38058.239999999918</v>
      </c>
      <c r="G47" s="228">
        <f>+G43-G45</f>
        <v>11837.125499999895</v>
      </c>
      <c r="H47" s="2"/>
      <c r="J47" s="6"/>
      <c r="K47" s="6"/>
      <c r="L47" s="2"/>
      <c r="M47" s="2"/>
      <c r="N47" s="5"/>
      <c r="O47" s="5"/>
    </row>
    <row r="48" spans="2:15" x14ac:dyDescent="0.25">
      <c r="B48" s="140"/>
      <c r="C48" s="6"/>
      <c r="D48" s="2"/>
      <c r="E48" s="2"/>
      <c r="F48" s="5"/>
      <c r="G48" s="228"/>
      <c r="H48" s="2"/>
      <c r="J48" s="2"/>
      <c r="K48" s="6"/>
      <c r="L48" s="2"/>
      <c r="M48" s="2"/>
      <c r="N48" s="5"/>
      <c r="O48" s="5"/>
    </row>
    <row r="49" spans="2:15" x14ac:dyDescent="0.25">
      <c r="B49" s="140"/>
      <c r="C49" s="6" t="s">
        <v>123</v>
      </c>
      <c r="D49" s="2"/>
      <c r="E49" s="2"/>
      <c r="F49" s="7">
        <v>1740.13</v>
      </c>
      <c r="G49" s="229">
        <v>5642.35</v>
      </c>
      <c r="H49" s="2"/>
      <c r="J49" s="2"/>
      <c r="K49" s="6"/>
      <c r="L49" s="2"/>
      <c r="M49" s="2"/>
      <c r="N49" s="5"/>
      <c r="O49" s="5"/>
    </row>
    <row r="50" spans="2:15" x14ac:dyDescent="0.25">
      <c r="B50" s="140"/>
      <c r="C50" s="6"/>
      <c r="D50" s="2"/>
      <c r="E50" s="2"/>
      <c r="F50" s="5"/>
      <c r="G50" s="228"/>
      <c r="H50" s="2"/>
      <c r="J50" s="2"/>
      <c r="K50" s="6"/>
      <c r="L50" s="2"/>
      <c r="M50" s="2"/>
      <c r="N50" s="5"/>
      <c r="O50" s="5"/>
    </row>
    <row r="51" spans="2:15" x14ac:dyDescent="0.25">
      <c r="B51" s="224" t="s">
        <v>124</v>
      </c>
      <c r="C51" s="6"/>
      <c r="D51" s="2"/>
      <c r="E51" s="2"/>
      <c r="F51" s="5">
        <f>+F47+F49</f>
        <v>39798.369999999915</v>
      </c>
      <c r="G51" s="228">
        <f>+G47+G49</f>
        <v>17479.475499999895</v>
      </c>
      <c r="H51" s="2"/>
      <c r="J51" s="6"/>
      <c r="K51" s="6"/>
      <c r="L51" s="2"/>
      <c r="M51" s="2"/>
      <c r="N51" s="5"/>
      <c r="O51" s="5"/>
    </row>
    <row r="52" spans="2:15" x14ac:dyDescent="0.25">
      <c r="B52" s="140"/>
      <c r="C52" s="6"/>
      <c r="D52" s="2"/>
      <c r="E52" s="2"/>
      <c r="F52" s="5"/>
      <c r="G52" s="228"/>
      <c r="H52" s="2"/>
      <c r="J52" s="2"/>
      <c r="K52" s="6"/>
      <c r="L52" s="2"/>
      <c r="M52" s="2"/>
      <c r="N52" s="5"/>
      <c r="O52" s="5"/>
    </row>
    <row r="53" spans="2:15" x14ac:dyDescent="0.25">
      <c r="B53" s="140"/>
      <c r="C53" s="6" t="s">
        <v>125</v>
      </c>
      <c r="D53" s="2"/>
      <c r="E53" s="2"/>
      <c r="F53" s="5">
        <f>+F51*0.22</f>
        <v>8755.6413999999822</v>
      </c>
      <c r="G53" s="228">
        <f>+G51*0.22</f>
        <v>3845.4846099999768</v>
      </c>
      <c r="H53" s="2"/>
      <c r="J53" s="2"/>
      <c r="K53" s="6"/>
      <c r="L53" s="2"/>
      <c r="M53" s="2"/>
      <c r="N53" s="5"/>
      <c r="O53" s="5"/>
    </row>
    <row r="54" spans="2:15" x14ac:dyDescent="0.25">
      <c r="B54" s="140"/>
      <c r="C54" s="2"/>
      <c r="D54" s="2"/>
      <c r="E54" s="2"/>
      <c r="F54" s="70"/>
      <c r="G54" s="137"/>
      <c r="H54" s="2"/>
      <c r="J54" s="2"/>
      <c r="K54" s="2"/>
      <c r="L54" s="2"/>
      <c r="M54" s="2"/>
      <c r="N54" s="70"/>
      <c r="O54" s="2"/>
    </row>
    <row r="55" spans="2:15" ht="15.75" thickBot="1" x14ac:dyDescent="0.3">
      <c r="B55" s="231" t="s">
        <v>130</v>
      </c>
      <c r="C55" s="142"/>
      <c r="D55" s="142"/>
      <c r="E55" s="142"/>
      <c r="F55" s="232">
        <f>+F47-F53</f>
        <v>29302.598599999936</v>
      </c>
      <c r="G55" s="233">
        <f>+G47-G53</f>
        <v>7991.6408899999178</v>
      </c>
      <c r="H55" s="2"/>
      <c r="J55" s="6"/>
      <c r="K55" s="2"/>
      <c r="L55" s="2"/>
      <c r="M55" s="2"/>
      <c r="N55" s="5"/>
      <c r="O55" s="5"/>
    </row>
    <row r="56" spans="2:15" x14ac:dyDescent="0.25">
      <c r="J56" s="2"/>
      <c r="K56" s="2"/>
      <c r="L56" s="2"/>
      <c r="M56" s="2"/>
      <c r="N56" s="2"/>
      <c r="O56" s="2"/>
    </row>
  </sheetData>
  <mergeCells count="4">
    <mergeCell ref="B2:G2"/>
    <mergeCell ref="B3:G3"/>
    <mergeCell ref="J2:O2"/>
    <mergeCell ref="J3:O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A1:N70"/>
  <sheetViews>
    <sheetView showGridLines="0" workbookViewId="0">
      <selection activeCell="H25" sqref="H25"/>
    </sheetView>
  </sheetViews>
  <sheetFormatPr defaultColWidth="9.125" defaultRowHeight="15" x14ac:dyDescent="0.25"/>
  <cols>
    <col min="1" max="1" width="8.375" customWidth="1"/>
    <col min="3" max="3" width="29.625" customWidth="1"/>
    <col min="4" max="4" width="13.75" customWidth="1"/>
    <col min="5" max="5" width="14.25" customWidth="1"/>
    <col min="6" max="6" width="12.125" customWidth="1"/>
    <col min="7" max="10" width="11.625" bestFit="1" customWidth="1"/>
    <col min="11" max="11" width="10.125" bestFit="1" customWidth="1"/>
  </cols>
  <sheetData>
    <row r="1" spans="1:14" x14ac:dyDescent="0.25">
      <c r="A1" s="294" t="s">
        <v>0</v>
      </c>
      <c r="B1" s="295"/>
      <c r="C1" s="295"/>
      <c r="D1" s="295"/>
      <c r="E1" s="295"/>
      <c r="F1" s="295"/>
      <c r="G1" s="295"/>
      <c r="H1" s="295"/>
      <c r="I1" s="76"/>
      <c r="J1" s="76"/>
    </row>
    <row r="2" spans="1:14" x14ac:dyDescent="0.25">
      <c r="A2" s="294" t="s">
        <v>261</v>
      </c>
      <c r="B2" s="295"/>
      <c r="C2" s="295"/>
      <c r="D2" s="295"/>
      <c r="E2" s="295"/>
      <c r="F2" s="295"/>
      <c r="G2" s="295"/>
      <c r="H2" s="295"/>
      <c r="I2" s="76"/>
      <c r="J2" s="76"/>
    </row>
    <row r="3" spans="1:14" x14ac:dyDescent="0.25">
      <c r="A3" s="1"/>
      <c r="B3" s="2"/>
      <c r="C3" s="2"/>
      <c r="D3" s="2"/>
      <c r="E3" s="2"/>
      <c r="I3" s="2"/>
      <c r="J3" s="2"/>
    </row>
    <row r="4" spans="1:14" x14ac:dyDescent="0.25">
      <c r="A4" s="2"/>
      <c r="B4" s="2"/>
      <c r="C4" s="2"/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59"/>
      <c r="J4" s="59"/>
    </row>
    <row r="5" spans="1:14" ht="15" customHeight="1" x14ac:dyDescent="0.25">
      <c r="A5" s="2"/>
      <c r="B5" s="2"/>
      <c r="C5" s="2"/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59"/>
      <c r="J5" s="59"/>
      <c r="L5" s="123"/>
      <c r="M5" s="123"/>
      <c r="N5" s="123"/>
    </row>
    <row r="6" spans="1:14" x14ac:dyDescent="0.25">
      <c r="A6" s="6" t="s">
        <v>3</v>
      </c>
      <c r="B6" s="2"/>
      <c r="C6" s="2"/>
      <c r="D6" s="2"/>
      <c r="E6" s="2"/>
      <c r="I6" s="2"/>
      <c r="J6" s="2"/>
      <c r="L6" s="123"/>
      <c r="M6" s="123"/>
      <c r="N6" s="123"/>
    </row>
    <row r="7" spans="1:14" x14ac:dyDescent="0.25">
      <c r="A7" s="6" t="s">
        <v>4</v>
      </c>
      <c r="B7" s="2"/>
      <c r="C7" s="2"/>
      <c r="D7" s="2"/>
      <c r="E7" s="2"/>
      <c r="I7" s="2"/>
      <c r="J7" s="2"/>
      <c r="L7" s="57"/>
      <c r="M7" s="57"/>
      <c r="N7" s="57"/>
    </row>
    <row r="8" spans="1:14" x14ac:dyDescent="0.25">
      <c r="A8" s="2"/>
      <c r="B8" s="2" t="s">
        <v>5</v>
      </c>
      <c r="C8" s="2"/>
      <c r="D8" s="69">
        <v>19144.22</v>
      </c>
      <c r="E8" s="69">
        <v>254.36</v>
      </c>
      <c r="F8" s="28">
        <f>+'FLUJO DE CAJA ESPERADO'!B29</f>
        <v>20752.526908000131</v>
      </c>
      <c r="G8" s="28">
        <f>+'FLUJO DE CAJA ESPERADO'!C29</f>
        <v>77049.23914953311</v>
      </c>
      <c r="H8" s="28">
        <f>+'FLUJO DE CAJA ESPERADO'!D29</f>
        <v>165123.89575350971</v>
      </c>
      <c r="I8" s="29"/>
      <c r="J8" s="29"/>
      <c r="L8" s="57"/>
      <c r="M8" s="57"/>
      <c r="N8" s="57"/>
    </row>
    <row r="9" spans="1:14" x14ac:dyDescent="0.25">
      <c r="A9" s="2"/>
      <c r="B9" s="2"/>
      <c r="C9" s="2"/>
      <c r="D9" s="8"/>
      <c r="E9" s="8"/>
      <c r="F9" s="27"/>
      <c r="G9" s="27"/>
      <c r="H9" s="27"/>
      <c r="I9" s="29"/>
      <c r="J9" s="29"/>
    </row>
    <row r="10" spans="1:14" x14ac:dyDescent="0.25">
      <c r="A10" s="2"/>
      <c r="B10" s="6" t="s">
        <v>6</v>
      </c>
      <c r="C10" s="2"/>
      <c r="D10" s="8">
        <f>+D8</f>
        <v>19144.22</v>
      </c>
      <c r="E10" s="8">
        <f>+E8</f>
        <v>254.36</v>
      </c>
      <c r="F10" s="27">
        <f>+F8</f>
        <v>20752.526908000131</v>
      </c>
      <c r="G10" s="27">
        <f t="shared" ref="G10:H10" si="0">+G8</f>
        <v>77049.23914953311</v>
      </c>
      <c r="H10" s="27">
        <f t="shared" si="0"/>
        <v>165123.89575350971</v>
      </c>
      <c r="I10" s="29"/>
      <c r="J10" s="29"/>
    </row>
    <row r="11" spans="1:14" x14ac:dyDescent="0.25">
      <c r="A11" s="2"/>
      <c r="B11" s="2"/>
      <c r="C11" s="2"/>
      <c r="D11" s="8"/>
      <c r="E11" s="8"/>
      <c r="F11" s="27"/>
      <c r="G11" s="27"/>
      <c r="H11" s="27"/>
      <c r="I11" s="29"/>
      <c r="J11" s="29"/>
    </row>
    <row r="12" spans="1:14" x14ac:dyDescent="0.25">
      <c r="A12" s="2"/>
      <c r="B12" s="2" t="s">
        <v>7</v>
      </c>
      <c r="C12" s="2"/>
      <c r="D12" s="8">
        <f>D13-D14</f>
        <v>295525.5</v>
      </c>
      <c r="E12" s="8">
        <f>+E13-E14</f>
        <v>250649.93</v>
      </c>
      <c r="F12" s="8">
        <f>(+F13-F14)</f>
        <v>250649.93</v>
      </c>
      <c r="G12" s="8">
        <f>(+G13-G14)</f>
        <v>250649.93</v>
      </c>
      <c r="H12" s="8">
        <f>(+H13-H14)</f>
        <v>250649.93</v>
      </c>
      <c r="I12" s="29"/>
      <c r="J12" s="29"/>
    </row>
    <row r="13" spans="1:14" x14ac:dyDescent="0.25">
      <c r="A13" s="2"/>
      <c r="B13" s="2" t="s">
        <v>8</v>
      </c>
      <c r="C13" s="2"/>
      <c r="D13" s="8">
        <v>296047.21999999997</v>
      </c>
      <c r="E13" s="8">
        <v>252838.38</v>
      </c>
      <c r="F13" s="27">
        <f>+E13</f>
        <v>252838.38</v>
      </c>
      <c r="G13" s="27">
        <f>+F13</f>
        <v>252838.38</v>
      </c>
      <c r="H13" s="27">
        <f>+G13</f>
        <v>252838.38</v>
      </c>
      <c r="I13" s="29"/>
      <c r="J13" s="29"/>
    </row>
    <row r="14" spans="1:14" x14ac:dyDescent="0.25">
      <c r="A14" s="2"/>
      <c r="B14" s="2" t="s">
        <v>9</v>
      </c>
      <c r="C14" s="2"/>
      <c r="D14" s="8">
        <v>521.72</v>
      </c>
      <c r="E14" s="8">
        <v>2188.4499999999998</v>
      </c>
      <c r="F14" s="27">
        <f t="shared" ref="F14:H14" si="1">+E14</f>
        <v>2188.4499999999998</v>
      </c>
      <c r="G14" s="27">
        <f t="shared" si="1"/>
        <v>2188.4499999999998</v>
      </c>
      <c r="H14" s="27">
        <f t="shared" si="1"/>
        <v>2188.4499999999998</v>
      </c>
      <c r="I14" s="29"/>
      <c r="J14" s="29"/>
    </row>
    <row r="15" spans="1:14" x14ac:dyDescent="0.25">
      <c r="A15" s="2"/>
      <c r="B15" s="2" t="s">
        <v>10</v>
      </c>
      <c r="C15" s="2"/>
      <c r="D15" s="8">
        <v>53758.11</v>
      </c>
      <c r="E15" s="8">
        <v>18994.91</v>
      </c>
      <c r="F15" s="27">
        <f>+E15</f>
        <v>18994.91</v>
      </c>
      <c r="G15" s="27">
        <f t="shared" ref="G15:H15" si="2">+F15</f>
        <v>18994.91</v>
      </c>
      <c r="H15" s="27">
        <f t="shared" si="2"/>
        <v>18994.91</v>
      </c>
      <c r="I15" s="29"/>
      <c r="J15" s="29"/>
    </row>
    <row r="16" spans="1:14" x14ac:dyDescent="0.25">
      <c r="A16" s="2"/>
      <c r="B16" s="2" t="s">
        <v>11</v>
      </c>
      <c r="C16" s="2"/>
      <c r="D16" s="8">
        <v>18887.48</v>
      </c>
      <c r="E16" s="8">
        <v>9540.5300000000007</v>
      </c>
      <c r="F16" s="27">
        <f>+E16</f>
        <v>9540.5300000000007</v>
      </c>
      <c r="G16" s="27">
        <f t="shared" ref="G16:H16" si="3">+F16</f>
        <v>9540.5300000000007</v>
      </c>
      <c r="H16" s="27">
        <f t="shared" si="3"/>
        <v>9540.5300000000007</v>
      </c>
      <c r="I16" s="29"/>
      <c r="J16" s="29"/>
    </row>
    <row r="17" spans="1:12" x14ac:dyDescent="0.25">
      <c r="A17" s="2"/>
      <c r="B17" s="2" t="s">
        <v>12</v>
      </c>
      <c r="C17" s="2"/>
      <c r="D17" s="8">
        <v>1898.43</v>
      </c>
      <c r="E17" s="8">
        <v>0</v>
      </c>
      <c r="F17" s="27">
        <f>+E17*SUPUESTOS!$C$6+'BG ESPERADO'!E17</f>
        <v>0</v>
      </c>
      <c r="G17" s="27">
        <f>+F17*SUPUESTOS!$G$6+'BG ESPERADO'!F17</f>
        <v>0</v>
      </c>
      <c r="H17" s="27">
        <f>+G17*SUPUESTOS!$K$6+'BG ESPERADO'!G17</f>
        <v>0</v>
      </c>
      <c r="I17" s="29"/>
      <c r="J17" s="29"/>
    </row>
    <row r="18" spans="1:12" x14ac:dyDescent="0.25">
      <c r="A18" s="2"/>
      <c r="B18" s="2" t="s">
        <v>13</v>
      </c>
      <c r="C18" s="2"/>
      <c r="D18" s="69">
        <v>48536.12</v>
      </c>
      <c r="E18" s="69">
        <v>99158.22</v>
      </c>
      <c r="F18" s="28">
        <f>+E18</f>
        <v>99158.22</v>
      </c>
      <c r="G18" s="28">
        <f t="shared" ref="G18:H18" si="4">+F18</f>
        <v>99158.22</v>
      </c>
      <c r="H18" s="28">
        <f t="shared" si="4"/>
        <v>99158.22</v>
      </c>
      <c r="I18" s="29"/>
      <c r="J18" s="29"/>
    </row>
    <row r="19" spans="1:12" x14ac:dyDescent="0.25">
      <c r="A19" s="2"/>
      <c r="B19" s="2"/>
      <c r="C19" s="2"/>
      <c r="D19" s="8"/>
      <c r="E19" s="8"/>
      <c r="F19" s="27"/>
      <c r="G19" s="27"/>
      <c r="H19" s="27"/>
      <c r="I19" s="29"/>
      <c r="J19" s="29"/>
    </row>
    <row r="20" spans="1:12" x14ac:dyDescent="0.25">
      <c r="A20" s="2"/>
      <c r="B20" s="6" t="s">
        <v>14</v>
      </c>
      <c r="C20" s="2"/>
      <c r="D20" s="8">
        <f>SUM(D15:D18)+D12+D10</f>
        <v>437749.86</v>
      </c>
      <c r="E20" s="8">
        <f>SUM(E15:E18)+E12+E10</f>
        <v>378597.94999999995</v>
      </c>
      <c r="F20" s="8">
        <f t="shared" ref="F20:H20" si="5">SUM(F15:F18)+F12+F10</f>
        <v>399096.11690800008</v>
      </c>
      <c r="G20" s="8">
        <f>SUM(G15:G18)+G12+G10</f>
        <v>455392.82914953306</v>
      </c>
      <c r="H20" s="8">
        <f t="shared" si="5"/>
        <v>543467.48575350968</v>
      </c>
      <c r="I20" s="29"/>
      <c r="J20" s="29"/>
    </row>
    <row r="21" spans="1:12" x14ac:dyDescent="0.25">
      <c r="A21" s="2"/>
      <c r="B21" s="2"/>
      <c r="C21" s="2"/>
      <c r="D21" s="8"/>
      <c r="E21" s="8"/>
      <c r="F21" s="27"/>
      <c r="G21" s="27"/>
      <c r="H21" s="27"/>
      <c r="I21" s="29"/>
      <c r="J21" s="29"/>
    </row>
    <row r="22" spans="1:12" x14ac:dyDescent="0.25">
      <c r="A22" s="6" t="s">
        <v>15</v>
      </c>
      <c r="B22" s="165"/>
      <c r="C22" s="165"/>
      <c r="D22" s="165"/>
      <c r="E22" s="8"/>
      <c r="F22" s="27"/>
      <c r="G22" s="27"/>
      <c r="H22" s="27"/>
      <c r="I22" s="29"/>
      <c r="J22" s="29"/>
    </row>
    <row r="23" spans="1:12" x14ac:dyDescent="0.25">
      <c r="A23" s="6"/>
      <c r="B23" s="2" t="s">
        <v>16</v>
      </c>
      <c r="C23" s="165"/>
      <c r="D23" s="8">
        <f>D24-D25</f>
        <v>120314.20999999999</v>
      </c>
      <c r="E23" s="8">
        <f>E24-E25</f>
        <v>102983.20999999999</v>
      </c>
      <c r="F23" s="27">
        <f>+F24-F25</f>
        <v>85652.209999999963</v>
      </c>
      <c r="G23" s="27">
        <f>+G24-G25</f>
        <v>68321.209999999963</v>
      </c>
      <c r="H23" s="27">
        <f>+H24-H25</f>
        <v>50990.209999999963</v>
      </c>
      <c r="I23" s="29"/>
      <c r="J23" s="29"/>
    </row>
    <row r="24" spans="1:12" x14ac:dyDescent="0.25">
      <c r="A24" s="2"/>
      <c r="B24" s="2" t="s">
        <v>17</v>
      </c>
      <c r="C24" s="2"/>
      <c r="D24" s="8">
        <v>360907.48</v>
      </c>
      <c r="E24" s="8">
        <v>360907.48</v>
      </c>
      <c r="F24" s="8">
        <f>+E24</f>
        <v>360907.48</v>
      </c>
      <c r="G24" s="8">
        <f t="shared" ref="G24:H24" si="6">+F24</f>
        <v>360907.48</v>
      </c>
      <c r="H24" s="8">
        <f t="shared" si="6"/>
        <v>360907.48</v>
      </c>
      <c r="I24" s="29"/>
      <c r="J24" s="29"/>
    </row>
    <row r="25" spans="1:12" x14ac:dyDescent="0.25">
      <c r="A25" s="2"/>
      <c r="B25" s="2" t="s">
        <v>18</v>
      </c>
      <c r="C25" s="2"/>
      <c r="D25" s="69">
        <v>240593.27</v>
      </c>
      <c r="E25" s="69">
        <v>257924.27</v>
      </c>
      <c r="F25" s="28">
        <f>+E25+'ER ESPERADO'!G28</f>
        <v>275255.27</v>
      </c>
      <c r="G25" s="28">
        <f>+F25+'ER ESPERADO'!H28</f>
        <v>292586.27</v>
      </c>
      <c r="H25" s="28">
        <f>+G25+'ER ESPERADO'!I28</f>
        <v>309917.27</v>
      </c>
      <c r="I25" s="29"/>
      <c r="J25" s="29"/>
      <c r="K25" s="29"/>
      <c r="L25" s="29"/>
    </row>
    <row r="26" spans="1:12" x14ac:dyDescent="0.25">
      <c r="A26" s="2"/>
      <c r="B26" s="2"/>
      <c r="C26" s="2"/>
      <c r="D26" s="8"/>
      <c r="E26" s="8"/>
      <c r="F26" s="27"/>
      <c r="G26" s="27"/>
      <c r="H26" s="27"/>
      <c r="I26" s="29"/>
      <c r="J26" s="29"/>
    </row>
    <row r="27" spans="1:12" x14ac:dyDescent="0.25">
      <c r="A27" s="2"/>
      <c r="B27" s="6" t="s">
        <v>19</v>
      </c>
      <c r="C27" s="2"/>
      <c r="D27" s="8">
        <f>D23</f>
        <v>120314.20999999999</v>
      </c>
      <c r="E27" s="8">
        <f>+E23</f>
        <v>102983.20999999999</v>
      </c>
      <c r="F27" s="27">
        <f>+F23</f>
        <v>85652.209999999963</v>
      </c>
      <c r="G27" s="27">
        <f t="shared" ref="G27:H27" si="7">+G23</f>
        <v>68321.209999999963</v>
      </c>
      <c r="H27" s="27">
        <f t="shared" si="7"/>
        <v>50990.209999999963</v>
      </c>
      <c r="I27" s="29"/>
      <c r="J27" s="29"/>
    </row>
    <row r="28" spans="1:12" x14ac:dyDescent="0.25">
      <c r="A28" s="2"/>
      <c r="B28" s="2"/>
      <c r="C28" s="2"/>
      <c r="D28" s="8"/>
      <c r="E28" s="8"/>
      <c r="F28" s="27"/>
      <c r="G28" s="27"/>
      <c r="H28" s="27"/>
      <c r="I28" s="29"/>
      <c r="J28" s="29"/>
    </row>
    <row r="29" spans="1:12" ht="15.75" thickBot="1" x14ac:dyDescent="0.3">
      <c r="A29" s="2"/>
      <c r="B29" s="6" t="s">
        <v>20</v>
      </c>
      <c r="C29" s="2"/>
      <c r="D29" s="71">
        <f>+D27+D20</f>
        <v>558064.06999999995</v>
      </c>
      <c r="E29" s="71">
        <f t="shared" ref="E29" si="8">+E27+E20</f>
        <v>481581.15999999992</v>
      </c>
      <c r="F29" s="9">
        <f>+F20+F27</f>
        <v>484748.32690800005</v>
      </c>
      <c r="G29" s="9">
        <f t="shared" ref="G29:H29" si="9">+G20+G27</f>
        <v>523714.03914953303</v>
      </c>
      <c r="H29" s="9">
        <f t="shared" si="9"/>
        <v>594457.69575350964</v>
      </c>
      <c r="I29" s="5"/>
      <c r="J29" s="5"/>
    </row>
    <row r="30" spans="1:12" ht="15.75" thickTop="1" x14ac:dyDescent="0.25">
      <c r="A30" s="2"/>
      <c r="B30" s="2"/>
      <c r="C30" s="2"/>
      <c r="D30" s="8"/>
      <c r="E30" s="8"/>
      <c r="F30" s="27"/>
      <c r="G30" s="27"/>
      <c r="H30" s="27"/>
      <c r="I30" s="29"/>
      <c r="J30" s="29"/>
    </row>
    <row r="31" spans="1:12" x14ac:dyDescent="0.25">
      <c r="A31" s="6" t="s">
        <v>21</v>
      </c>
      <c r="B31" s="2"/>
      <c r="C31" s="2"/>
      <c r="D31" s="8"/>
      <c r="E31" s="8"/>
      <c r="F31" s="27"/>
      <c r="G31" s="27"/>
      <c r="H31" s="27"/>
      <c r="I31" s="29"/>
      <c r="J31" s="29"/>
    </row>
    <row r="32" spans="1:12" x14ac:dyDescent="0.25">
      <c r="A32" s="6" t="s">
        <v>22</v>
      </c>
      <c r="B32" s="2"/>
      <c r="C32" s="2"/>
      <c r="D32" s="8"/>
      <c r="E32" s="8"/>
      <c r="F32" s="27"/>
      <c r="G32" s="27"/>
      <c r="H32" s="27"/>
      <c r="I32" s="29"/>
      <c r="J32" s="29"/>
    </row>
    <row r="33" spans="1:11" x14ac:dyDescent="0.25">
      <c r="A33" s="2"/>
      <c r="B33" s="2" t="s">
        <v>23</v>
      </c>
      <c r="C33" s="2"/>
      <c r="D33" s="8">
        <v>11469.47</v>
      </c>
      <c r="E33" s="8">
        <v>5783.8</v>
      </c>
      <c r="F33" s="8">
        <v>5783.8</v>
      </c>
      <c r="G33" s="8">
        <v>5783.8</v>
      </c>
      <c r="H33" s="8">
        <v>5783.8</v>
      </c>
      <c r="I33" s="29"/>
      <c r="J33" s="29"/>
    </row>
    <row r="34" spans="1:11" x14ac:dyDescent="0.25">
      <c r="A34" s="2"/>
      <c r="B34" s="2" t="s">
        <v>198</v>
      </c>
      <c r="C34" s="2"/>
      <c r="D34" s="8">
        <f>+'ER ESPERADO'!E46</f>
        <v>6716.1599999999844</v>
      </c>
      <c r="E34" s="8">
        <f>+'ER ESPERADO'!F46</f>
        <v>2088.904499999981</v>
      </c>
      <c r="F34" s="8">
        <f>+'ER ESPERADO'!G46</f>
        <v>1365.2334027000045</v>
      </c>
      <c r="G34" s="8">
        <f>+'ER ESPERADO'!H46</f>
        <v>6497.431520129845</v>
      </c>
      <c r="H34" s="8">
        <f>+'ER ESPERADO'!I46</f>
        <v>13000.180136789249</v>
      </c>
      <c r="I34" s="29"/>
      <c r="J34" s="29"/>
    </row>
    <row r="35" spans="1:11" x14ac:dyDescent="0.25">
      <c r="A35" s="2"/>
      <c r="B35" s="2" t="s">
        <v>24</v>
      </c>
      <c r="C35" s="2"/>
      <c r="D35" s="8">
        <v>8755.6299999999992</v>
      </c>
      <c r="E35" s="8">
        <v>3845.48</v>
      </c>
      <c r="F35" s="27">
        <f>+'ER ESPERADO'!G54</f>
        <v>2985.2644899660058</v>
      </c>
      <c r="G35" s="27">
        <f>+'ER ESPERADO'!H54</f>
        <v>9426.7794544886874</v>
      </c>
      <c r="H35" s="27">
        <f>+'ER ESPERADO'!I54</f>
        <v>17578.380104378248</v>
      </c>
      <c r="I35" s="29"/>
      <c r="J35" s="29"/>
    </row>
    <row r="36" spans="1:11" x14ac:dyDescent="0.25">
      <c r="A36" s="2"/>
      <c r="B36" s="2" t="s">
        <v>25</v>
      </c>
      <c r="C36" s="2"/>
      <c r="D36" s="8">
        <v>3493.69</v>
      </c>
      <c r="E36" s="8">
        <v>0</v>
      </c>
      <c r="F36" s="8">
        <f>E36</f>
        <v>0</v>
      </c>
      <c r="G36" s="8">
        <f t="shared" ref="G36:H36" si="10">F36</f>
        <v>0</v>
      </c>
      <c r="H36" s="8">
        <f t="shared" si="10"/>
        <v>0</v>
      </c>
      <c r="I36" s="29"/>
      <c r="J36" s="29">
        <f>+G36-F36</f>
        <v>0</v>
      </c>
    </row>
    <row r="37" spans="1:11" x14ac:dyDescent="0.25">
      <c r="A37" s="2"/>
      <c r="B37" s="2" t="s">
        <v>26</v>
      </c>
      <c r="C37" s="2"/>
      <c r="D37" s="8">
        <v>278063.88</v>
      </c>
      <c r="E37" s="8">
        <v>118342.91</v>
      </c>
      <c r="F37" s="27">
        <f>+E37</f>
        <v>118342.91</v>
      </c>
      <c r="G37" s="27">
        <f t="shared" ref="G37:H37" si="11">+F37</f>
        <v>118342.91</v>
      </c>
      <c r="H37" s="27">
        <f t="shared" si="11"/>
        <v>118342.91</v>
      </c>
      <c r="I37" s="29"/>
      <c r="J37" s="29"/>
      <c r="K37" s="24"/>
    </row>
    <row r="38" spans="1:11" x14ac:dyDescent="0.25">
      <c r="A38" s="2"/>
      <c r="B38" s="2" t="s">
        <v>27</v>
      </c>
      <c r="C38" s="2"/>
      <c r="D38" s="8">
        <v>521.59</v>
      </c>
      <c r="E38" s="8">
        <v>840.01</v>
      </c>
      <c r="F38" s="8">
        <f>+E38</f>
        <v>840.01</v>
      </c>
      <c r="G38" s="8">
        <f t="shared" ref="G38:H38" si="12">+F38</f>
        <v>840.01</v>
      </c>
      <c r="H38" s="8">
        <f t="shared" si="12"/>
        <v>840.01</v>
      </c>
      <c r="I38" s="29"/>
      <c r="J38" s="29"/>
    </row>
    <row r="39" spans="1:11" x14ac:dyDescent="0.25">
      <c r="A39" s="2"/>
      <c r="B39" s="2" t="s">
        <v>28</v>
      </c>
      <c r="C39" s="2"/>
      <c r="D39" s="8">
        <v>71412.73</v>
      </c>
      <c r="E39" s="8">
        <v>98264.34</v>
      </c>
      <c r="F39" s="8">
        <v>98264.34</v>
      </c>
      <c r="G39" s="8">
        <v>98264.34</v>
      </c>
      <c r="H39" s="8">
        <v>98264.34</v>
      </c>
      <c r="I39" s="29"/>
      <c r="J39" s="29"/>
    </row>
    <row r="40" spans="1:11" x14ac:dyDescent="0.25">
      <c r="A40" s="2"/>
      <c r="B40" s="2" t="s">
        <v>29</v>
      </c>
      <c r="C40" s="2"/>
      <c r="D40" s="69">
        <v>1467.95</v>
      </c>
      <c r="E40" s="69">
        <v>8807.2199999999993</v>
      </c>
      <c r="F40" s="69">
        <v>8807.2199999999993</v>
      </c>
      <c r="G40" s="69">
        <v>8807.2199999999993</v>
      </c>
      <c r="H40" s="69">
        <v>8807.2199999999993</v>
      </c>
      <c r="I40" s="29"/>
      <c r="J40" s="29"/>
    </row>
    <row r="41" spans="1:11" x14ac:dyDescent="0.25">
      <c r="A41" s="2"/>
      <c r="B41" s="2"/>
      <c r="C41" s="2"/>
      <c r="D41" s="8"/>
      <c r="E41" s="8"/>
      <c r="F41" s="27"/>
      <c r="G41" s="27"/>
      <c r="H41" s="27"/>
      <c r="I41" s="29"/>
      <c r="J41" s="29"/>
    </row>
    <row r="42" spans="1:11" x14ac:dyDescent="0.25">
      <c r="A42" s="2"/>
      <c r="B42" s="6" t="s">
        <v>30</v>
      </c>
      <c r="C42" s="2"/>
      <c r="D42" s="8">
        <f>SUM(D33:D41)</f>
        <v>381901.1</v>
      </c>
      <c r="E42" s="8">
        <f>SUM(E33:E41)</f>
        <v>237972.66449999998</v>
      </c>
      <c r="F42" s="27">
        <f>+F33+F34+F35+F36+F37+F38+F39+F40</f>
        <v>236388.77789266602</v>
      </c>
      <c r="G42" s="27">
        <f t="shared" ref="G42:H42" si="13">+G33+G34+G35+G36+G37+G38+G39+G40</f>
        <v>247962.49097461853</v>
      </c>
      <c r="H42" s="27">
        <f t="shared" si="13"/>
        <v>262616.84024116752</v>
      </c>
      <c r="I42" s="29"/>
      <c r="J42" s="29"/>
    </row>
    <row r="43" spans="1:11" x14ac:dyDescent="0.25">
      <c r="A43" s="2"/>
      <c r="B43" s="2"/>
      <c r="C43" s="2"/>
      <c r="D43" s="8"/>
      <c r="E43" s="8"/>
      <c r="F43" s="27"/>
      <c r="G43" s="27"/>
      <c r="H43" s="27"/>
      <c r="I43" s="29"/>
      <c r="J43" s="29"/>
    </row>
    <row r="44" spans="1:11" x14ac:dyDescent="0.25">
      <c r="A44" s="6" t="s">
        <v>31</v>
      </c>
      <c r="B44" s="2"/>
      <c r="C44" s="2"/>
      <c r="D44" s="8"/>
      <c r="E44" s="8"/>
      <c r="F44" s="27"/>
      <c r="G44" s="27"/>
      <c r="H44" s="27"/>
      <c r="I44" s="29"/>
      <c r="J44" s="29"/>
    </row>
    <row r="45" spans="1:11" x14ac:dyDescent="0.25">
      <c r="A45" s="2"/>
      <c r="B45" s="2" t="s">
        <v>23</v>
      </c>
      <c r="C45" s="2"/>
      <c r="D45" s="8">
        <v>6370.82</v>
      </c>
      <c r="E45" s="8">
        <v>9009.4500000000007</v>
      </c>
      <c r="F45" s="8">
        <v>9009.4500000000007</v>
      </c>
      <c r="G45" s="8">
        <v>9009.4500000000007</v>
      </c>
      <c r="H45" s="8">
        <v>9009.4500000000007</v>
      </c>
      <c r="I45" s="29"/>
      <c r="J45" s="29"/>
    </row>
    <row r="46" spans="1:11" x14ac:dyDescent="0.25">
      <c r="A46" s="2"/>
      <c r="B46" s="2" t="s">
        <v>25</v>
      </c>
      <c r="C46" s="2"/>
      <c r="D46" s="8"/>
      <c r="E46" s="8"/>
      <c r="F46" s="8"/>
      <c r="G46" s="8"/>
      <c r="H46" s="8"/>
      <c r="I46" s="29"/>
      <c r="J46" s="29"/>
    </row>
    <row r="47" spans="1:11" x14ac:dyDescent="0.25">
      <c r="A47" s="2"/>
      <c r="B47" s="2" t="s">
        <v>32</v>
      </c>
      <c r="C47" s="2"/>
      <c r="D47" s="69">
        <v>0</v>
      </c>
      <c r="E47" s="69">
        <v>56580</v>
      </c>
      <c r="F47" s="69">
        <v>56580</v>
      </c>
      <c r="G47" s="69">
        <v>56580</v>
      </c>
      <c r="H47" s="69">
        <v>56580</v>
      </c>
      <c r="I47" s="29"/>
      <c r="J47" s="29"/>
    </row>
    <row r="48" spans="1:11" x14ac:dyDescent="0.25">
      <c r="A48" s="2"/>
      <c r="B48" s="2"/>
      <c r="C48" s="2"/>
      <c r="D48" s="8"/>
      <c r="E48" s="8"/>
      <c r="F48" s="27"/>
      <c r="G48" s="27"/>
      <c r="H48" s="27"/>
      <c r="I48" s="29"/>
      <c r="J48" s="29"/>
    </row>
    <row r="49" spans="1:11" x14ac:dyDescent="0.25">
      <c r="A49" s="2"/>
      <c r="B49" s="6" t="s">
        <v>33</v>
      </c>
      <c r="C49" s="2"/>
      <c r="D49" s="8">
        <f>SUM(D45:D48)</f>
        <v>6370.82</v>
      </c>
      <c r="E49" s="8">
        <f>SUM(E45:E48)</f>
        <v>65589.45</v>
      </c>
      <c r="F49" s="8">
        <f>SUM(F45:F48)</f>
        <v>65589.45</v>
      </c>
      <c r="G49" s="8">
        <f>SUM(G45:G48)</f>
        <v>65589.45</v>
      </c>
      <c r="H49" s="8">
        <f>SUM(H45:H48)</f>
        <v>65589.45</v>
      </c>
      <c r="I49" s="29"/>
      <c r="J49" s="29"/>
    </row>
    <row r="50" spans="1:11" x14ac:dyDescent="0.25">
      <c r="A50" s="2"/>
      <c r="B50" s="2"/>
      <c r="C50" s="2"/>
      <c r="D50" s="8"/>
      <c r="E50" s="8"/>
      <c r="F50" s="27"/>
      <c r="G50" s="27"/>
      <c r="H50" s="27"/>
      <c r="I50" s="29"/>
      <c r="J50" s="29"/>
    </row>
    <row r="51" spans="1:11" ht="15.75" thickBot="1" x14ac:dyDescent="0.3">
      <c r="A51" s="2"/>
      <c r="B51" s="6" t="s">
        <v>34</v>
      </c>
      <c r="C51" s="2"/>
      <c r="D51" s="71">
        <f>+D49+D42</f>
        <v>388271.92</v>
      </c>
      <c r="E51" s="71">
        <f>+E49+E42</f>
        <v>303562.11449999997</v>
      </c>
      <c r="F51" s="71">
        <f>+F49+F42</f>
        <v>301978.22789266601</v>
      </c>
      <c r="G51" s="71">
        <f>+G49+G42</f>
        <v>313551.94097461854</v>
      </c>
      <c r="H51" s="71">
        <f>+H49+H42</f>
        <v>328206.29024116753</v>
      </c>
      <c r="I51" s="29"/>
      <c r="J51" s="29"/>
    </row>
    <row r="52" spans="1:11" ht="15.75" thickTop="1" x14ac:dyDescent="0.25">
      <c r="A52" s="2"/>
      <c r="B52" s="2"/>
      <c r="C52" s="2"/>
      <c r="D52" s="8"/>
      <c r="E52" s="8"/>
      <c r="F52" s="27"/>
      <c r="G52" s="27"/>
      <c r="H52" s="27"/>
      <c r="I52" s="29"/>
      <c r="J52" s="29"/>
    </row>
    <row r="53" spans="1:11" x14ac:dyDescent="0.25">
      <c r="A53" s="6" t="s">
        <v>35</v>
      </c>
      <c r="B53" s="2"/>
      <c r="C53" s="2"/>
      <c r="D53" s="8"/>
      <c r="E53" s="8"/>
      <c r="F53" s="27"/>
      <c r="G53" s="27"/>
      <c r="H53" s="27"/>
      <c r="I53" s="29"/>
      <c r="J53" s="29"/>
    </row>
    <row r="54" spans="1:11" x14ac:dyDescent="0.25">
      <c r="A54" s="2"/>
      <c r="B54" s="2" t="s">
        <v>36</v>
      </c>
      <c r="C54" s="2"/>
      <c r="D54" s="8">
        <v>6630</v>
      </c>
      <c r="E54" s="8">
        <v>25630</v>
      </c>
      <c r="F54" s="8">
        <v>25630</v>
      </c>
      <c r="G54" s="8">
        <v>25630</v>
      </c>
      <c r="H54" s="8">
        <v>25630</v>
      </c>
      <c r="I54" s="29"/>
      <c r="J54" s="29"/>
      <c r="K54" s="24"/>
    </row>
    <row r="55" spans="1:11" x14ac:dyDescent="0.25">
      <c r="A55" s="2"/>
      <c r="B55" s="2" t="s">
        <v>37</v>
      </c>
      <c r="C55" s="2"/>
      <c r="D55" s="8">
        <v>680.21</v>
      </c>
      <c r="E55" s="8">
        <v>680.21</v>
      </c>
      <c r="F55" s="8">
        <v>680.21</v>
      </c>
      <c r="G55" s="8">
        <v>680.21</v>
      </c>
      <c r="H55" s="8">
        <v>680.21</v>
      </c>
      <c r="I55" s="29"/>
      <c r="J55" s="29"/>
    </row>
    <row r="56" spans="1:11" x14ac:dyDescent="0.25">
      <c r="A56" s="2"/>
      <c r="B56" s="2" t="s">
        <v>38</v>
      </c>
      <c r="C56" s="2"/>
      <c r="D56" s="8">
        <v>34951.760000000002</v>
      </c>
      <c r="E56" s="8">
        <v>34951.760000000002</v>
      </c>
      <c r="F56" s="8">
        <v>34951.760000000002</v>
      </c>
      <c r="G56" s="8">
        <v>34951.760000000002</v>
      </c>
      <c r="H56" s="8">
        <v>34951.760000000002</v>
      </c>
      <c r="I56" s="29"/>
      <c r="J56" s="29"/>
    </row>
    <row r="57" spans="1:11" x14ac:dyDescent="0.25">
      <c r="A57" s="2"/>
      <c r="B57" s="2" t="s">
        <v>39</v>
      </c>
      <c r="C57" s="2"/>
      <c r="D57" s="8">
        <v>104943.74</v>
      </c>
      <c r="E57" s="8">
        <v>108765.43</v>
      </c>
      <c r="F57" s="27">
        <f>+E57+E58</f>
        <v>116757.07088999992</v>
      </c>
      <c r="G57" s="27">
        <f>+F57+F58</f>
        <v>121508.12901533394</v>
      </c>
      <c r="H57" s="27">
        <f t="shared" ref="H57" si="14">+G57+G58</f>
        <v>148900.12817491437</v>
      </c>
      <c r="I57" s="29"/>
      <c r="J57" s="29"/>
    </row>
    <row r="58" spans="1:11" x14ac:dyDescent="0.25">
      <c r="A58" s="2"/>
      <c r="B58" s="2" t="s">
        <v>40</v>
      </c>
      <c r="C58" s="2"/>
      <c r="D58" s="69">
        <f>'ER ESPERADO'!E56</f>
        <v>29302.598599999936</v>
      </c>
      <c r="E58" s="69">
        <f>'ER ESPERADO'!F56</f>
        <v>7991.6408899999178</v>
      </c>
      <c r="F58" s="69">
        <f>'ER ESPERADO'!G56</f>
        <v>4751.0581253340206</v>
      </c>
      <c r="G58" s="69">
        <f>'ER ESPERADO'!H56</f>
        <v>27391.999159580439</v>
      </c>
      <c r="H58" s="69">
        <f>'ER ESPERADO'!I56</f>
        <v>56089.307337427512</v>
      </c>
      <c r="I58" s="29"/>
      <c r="J58" s="29"/>
    </row>
    <row r="59" spans="1:11" x14ac:dyDescent="0.25">
      <c r="A59" s="2"/>
      <c r="B59" s="2"/>
      <c r="C59" s="2"/>
      <c r="D59" s="8"/>
      <c r="E59" s="5"/>
      <c r="F59" s="27"/>
      <c r="G59" s="27"/>
      <c r="H59" s="27"/>
      <c r="I59" s="29"/>
      <c r="J59" s="29"/>
    </row>
    <row r="60" spans="1:11" ht="15.75" thickBot="1" x14ac:dyDescent="0.3">
      <c r="A60" s="2"/>
      <c r="B60" s="6" t="s">
        <v>41</v>
      </c>
      <c r="C60" s="2"/>
      <c r="D60" s="71">
        <f>SUM(D54:D59)</f>
        <v>176508.30859999996</v>
      </c>
      <c r="E60" s="9">
        <f>SUM(E54:E59)</f>
        <v>178019.04088999992</v>
      </c>
      <c r="F60" s="9">
        <f>+F54+F55+F56+F57+F58</f>
        <v>182770.09901533392</v>
      </c>
      <c r="G60" s="9">
        <f>+G54+G55+G56+G57+G58</f>
        <v>210162.09817491437</v>
      </c>
      <c r="H60" s="9">
        <f t="shared" ref="H60" si="15">+H54+H55+H56+H57+H58</f>
        <v>266251.40551234188</v>
      </c>
      <c r="I60" s="5"/>
      <c r="J60" s="5"/>
    </row>
    <row r="61" spans="1:11" ht="15.75" thickTop="1" x14ac:dyDescent="0.25">
      <c r="A61" s="2"/>
      <c r="B61" s="2"/>
      <c r="C61" s="2"/>
      <c r="D61" s="8"/>
      <c r="E61" s="5"/>
      <c r="F61" s="27"/>
      <c r="G61" s="27"/>
      <c r="H61" s="27"/>
      <c r="I61" s="29"/>
      <c r="J61" s="29"/>
    </row>
    <row r="62" spans="1:11" ht="15.75" thickBot="1" x14ac:dyDescent="0.3">
      <c r="A62" s="2"/>
      <c r="B62" s="6" t="s">
        <v>42</v>
      </c>
      <c r="C62" s="2"/>
      <c r="D62" s="71">
        <f>+D60+D51</f>
        <v>564780.22859999991</v>
      </c>
      <c r="E62" s="9">
        <f>E60+E51</f>
        <v>481581.15538999985</v>
      </c>
      <c r="F62" s="9">
        <f>+F60+F51</f>
        <v>484748.32690799993</v>
      </c>
      <c r="G62" s="9">
        <f>+G60+G51</f>
        <v>523714.03914953291</v>
      </c>
      <c r="H62" s="9">
        <f t="shared" ref="H62" si="16">+H60+H51</f>
        <v>594457.69575350941</v>
      </c>
      <c r="I62" s="5"/>
      <c r="J62" s="5"/>
    </row>
    <row r="63" spans="1:11" ht="15.75" thickTop="1" x14ac:dyDescent="0.25">
      <c r="F63" s="27"/>
      <c r="G63" s="27"/>
      <c r="H63" s="27"/>
      <c r="I63" s="27"/>
      <c r="J63" s="27"/>
    </row>
    <row r="65" spans="4:8" x14ac:dyDescent="0.25">
      <c r="E65" s="27"/>
    </row>
    <row r="66" spans="4:8" x14ac:dyDescent="0.25">
      <c r="D66" s="143" t="s">
        <v>234</v>
      </c>
      <c r="F66" s="144">
        <f>+F29-F62</f>
        <v>0</v>
      </c>
      <c r="G66" s="144">
        <f t="shared" ref="G66:H66" si="17">+G29-G62</f>
        <v>0</v>
      </c>
      <c r="H66" s="144">
        <f t="shared" si="17"/>
        <v>0</v>
      </c>
    </row>
    <row r="67" spans="4:8" x14ac:dyDescent="0.25">
      <c r="D67" s="143" t="s">
        <v>254</v>
      </c>
      <c r="F67" s="27"/>
      <c r="G67" s="27"/>
      <c r="H67" s="27"/>
    </row>
    <row r="68" spans="4:8" x14ac:dyDescent="0.25">
      <c r="F68" s="296" t="str">
        <f>IF(F66=0, "Resultado Ok", "La equivalencia Contable no se cumple")</f>
        <v>Resultado Ok</v>
      </c>
      <c r="G68" s="296" t="str">
        <f t="shared" ref="G68:H68" si="18">IF(G66=0, "Resultado Ok", "La equivalencia Contable no se cumple")</f>
        <v>Resultado Ok</v>
      </c>
      <c r="H68" s="296" t="str">
        <f t="shared" si="18"/>
        <v>Resultado Ok</v>
      </c>
    </row>
    <row r="69" spans="4:8" x14ac:dyDescent="0.25">
      <c r="F69" s="296"/>
      <c r="G69" s="296"/>
      <c r="H69" s="296"/>
    </row>
    <row r="70" spans="4:8" x14ac:dyDescent="0.25">
      <c r="F70" s="296"/>
      <c r="G70" s="296"/>
      <c r="H70" s="296"/>
    </row>
  </sheetData>
  <mergeCells count="5">
    <mergeCell ref="A1:H1"/>
    <mergeCell ref="A2:H2"/>
    <mergeCell ref="F68:F70"/>
    <mergeCell ref="G68:G70"/>
    <mergeCell ref="H68:H70"/>
  </mergeCells>
  <conditionalFormatting sqref="F66:H66">
    <cfRule type="cellIs" dxfId="11" priority="1" operator="notBetween">
      <formula>-0.5</formula>
      <formula>0.5</formula>
    </cfRule>
    <cfRule type="cellIs" dxfId="10" priority="2" operator="between">
      <formula>-0.5</formula>
      <formula>0.5</formula>
    </cfRule>
  </conditionalFormatting>
  <pageMargins left="0.7" right="0.7" top="0.75" bottom="0.75" header="0.3" footer="0.3"/>
  <ignoredErrors>
    <ignoredError sqref="F17:H17 E62" formula="1"/>
    <ignoredError sqref="D20:E2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:N57"/>
  <sheetViews>
    <sheetView showGridLines="0" topLeftCell="A16" workbookViewId="0">
      <selection activeCell="I28" sqref="I28"/>
    </sheetView>
  </sheetViews>
  <sheetFormatPr defaultColWidth="9.125" defaultRowHeight="15" x14ac:dyDescent="0.25"/>
  <cols>
    <col min="4" max="4" width="16.75" customWidth="1"/>
    <col min="5" max="6" width="14.25" bestFit="1" customWidth="1"/>
    <col min="7" max="7" width="13.125" bestFit="1" customWidth="1"/>
    <col min="8" max="9" width="13.125" customWidth="1"/>
    <col min="10" max="10" width="10.625" bestFit="1" customWidth="1"/>
    <col min="11" max="11" width="11.125" bestFit="1" customWidth="1"/>
  </cols>
  <sheetData>
    <row r="1" spans="1:11" x14ac:dyDescent="0.25">
      <c r="A1" s="294" t="s">
        <v>43</v>
      </c>
      <c r="B1" s="295"/>
      <c r="C1" s="295"/>
      <c r="D1" s="295"/>
      <c r="E1" s="295"/>
      <c r="F1" s="295"/>
      <c r="G1" s="295"/>
      <c r="H1" s="295"/>
      <c r="I1" s="295"/>
    </row>
    <row r="2" spans="1:11" x14ac:dyDescent="0.25">
      <c r="A2" s="294" t="s">
        <v>284</v>
      </c>
      <c r="B2" s="295"/>
      <c r="C2" s="295"/>
      <c r="D2" s="295"/>
      <c r="E2" s="295"/>
      <c r="F2" s="295"/>
      <c r="G2" s="295"/>
      <c r="H2" s="295"/>
      <c r="I2" s="295"/>
    </row>
    <row r="3" spans="1:11" x14ac:dyDescent="0.25">
      <c r="A3" s="59"/>
      <c r="B3" s="59"/>
      <c r="C3" s="59"/>
      <c r="D3" s="58"/>
      <c r="E3" s="58"/>
      <c r="F3" s="58"/>
    </row>
    <row r="4" spans="1:11" x14ac:dyDescent="0.25">
      <c r="A4" s="2"/>
      <c r="B4" s="2"/>
      <c r="C4" s="2"/>
      <c r="D4" s="2"/>
      <c r="E4" s="58">
        <v>2014</v>
      </c>
      <c r="F4" s="58">
        <v>2015</v>
      </c>
      <c r="G4" s="58">
        <v>2016</v>
      </c>
      <c r="H4" s="58">
        <v>2017</v>
      </c>
      <c r="I4" s="58">
        <v>2018</v>
      </c>
    </row>
    <row r="5" spans="1:11" x14ac:dyDescent="0.25">
      <c r="A5" s="2"/>
      <c r="B5" s="2"/>
      <c r="C5" s="2"/>
      <c r="D5" s="2"/>
      <c r="E5" s="58" t="s">
        <v>2</v>
      </c>
      <c r="F5" s="58" t="s">
        <v>2</v>
      </c>
      <c r="G5" s="58" t="s">
        <v>2</v>
      </c>
      <c r="H5" s="58" t="s">
        <v>2</v>
      </c>
      <c r="I5" s="58" t="s">
        <v>2</v>
      </c>
    </row>
    <row r="6" spans="1:11" x14ac:dyDescent="0.25">
      <c r="A6" s="6" t="s">
        <v>44</v>
      </c>
      <c r="B6" s="2"/>
      <c r="C6" s="2"/>
      <c r="D6" s="2"/>
      <c r="E6" s="2"/>
      <c r="F6" s="2"/>
    </row>
    <row r="7" spans="1:11" x14ac:dyDescent="0.25">
      <c r="A7" s="6" t="s">
        <v>45</v>
      </c>
      <c r="B7" s="2"/>
      <c r="C7" s="2"/>
      <c r="D7" s="2"/>
      <c r="E7" s="2"/>
      <c r="F7" s="29"/>
    </row>
    <row r="8" spans="1:11" ht="15" customHeight="1" x14ac:dyDescent="0.25">
      <c r="A8" s="2"/>
      <c r="B8" s="2" t="s">
        <v>46</v>
      </c>
      <c r="C8" s="2"/>
      <c r="D8" s="2"/>
      <c r="E8" s="5">
        <v>1709903.84</v>
      </c>
      <c r="F8" s="5">
        <v>925371.85</v>
      </c>
      <c r="G8" s="27">
        <f>+F8*SUPUESTOS!$C$6+'ER ESPERADO'!F8</f>
        <v>1147461.094</v>
      </c>
      <c r="H8" s="27">
        <f>+G8*SUPUESTOS!$G$6+'ER ESPERADO'!G8</f>
        <v>1422851.7565600001</v>
      </c>
      <c r="I8" s="27">
        <f>+H8*SUPUESTOS!$K$6+'ER ESPERADO'!H8</f>
        <v>1764336.1781344002</v>
      </c>
      <c r="J8" s="12"/>
      <c r="K8" s="60" t="s">
        <v>258</v>
      </c>
    </row>
    <row r="9" spans="1:11" x14ac:dyDescent="0.25">
      <c r="A9" s="2"/>
      <c r="B9" s="2" t="s">
        <v>47</v>
      </c>
      <c r="C9" s="2"/>
      <c r="D9" s="2"/>
      <c r="E9" s="5">
        <v>1359.38</v>
      </c>
      <c r="F9" s="5">
        <v>3757.3</v>
      </c>
      <c r="G9" s="27">
        <f>+F9*SUPUESTOS!$C$6+F9</f>
        <v>4659.0520000000006</v>
      </c>
      <c r="H9" s="27">
        <f>+G9*SUPUESTOS!$G$6+'ER ESPERADO'!G9</f>
        <v>5777.2244800000008</v>
      </c>
      <c r="I9" s="27">
        <f>+H9*SUPUESTOS!$K$6+'ER ESPERADO'!H9</f>
        <v>7163.7583552000015</v>
      </c>
      <c r="J9" s="12"/>
      <c r="K9" s="12"/>
    </row>
    <row r="10" spans="1:11" x14ac:dyDescent="0.25">
      <c r="A10" s="2"/>
      <c r="B10" s="2" t="s">
        <v>48</v>
      </c>
      <c r="C10" s="2"/>
      <c r="D10" s="2"/>
      <c r="E10" s="5">
        <v>676.59</v>
      </c>
      <c r="F10" s="5">
        <v>0</v>
      </c>
      <c r="G10" s="27">
        <f>+F10*SUPUESTOS!$C$6+F10</f>
        <v>0</v>
      </c>
      <c r="H10" s="27">
        <f>+G10*SUPUESTOS!$G$6+'ER ESPERADO'!G10</f>
        <v>0</v>
      </c>
      <c r="I10" s="27">
        <f>+H10*SUPUESTOS!$K$6+'ER ESPERADO'!H10</f>
        <v>0</v>
      </c>
      <c r="J10" s="12"/>
      <c r="K10" s="12"/>
    </row>
    <row r="11" spans="1:11" x14ac:dyDescent="0.25">
      <c r="A11" s="2"/>
      <c r="B11" s="2" t="s">
        <v>49</v>
      </c>
      <c r="C11" s="2"/>
      <c r="D11" s="2"/>
      <c r="E11" s="7">
        <v>12789.19</v>
      </c>
      <c r="F11" s="7">
        <v>3681.43</v>
      </c>
      <c r="G11" s="28">
        <f>+F11*SUPUESTOS!$C$6+F11</f>
        <v>4564.9731999999995</v>
      </c>
      <c r="H11" s="28">
        <f>+G11*SUPUESTOS!$G$6+'ER ESPERADO'!G11</f>
        <v>5660.5667679999988</v>
      </c>
      <c r="I11" s="28">
        <f>+H11*SUPUESTOS!$K$6+'ER ESPERADO'!H11</f>
        <v>7019.1027923199981</v>
      </c>
      <c r="J11" s="12"/>
      <c r="K11" s="12"/>
    </row>
    <row r="12" spans="1:11" x14ac:dyDescent="0.25">
      <c r="A12" s="2"/>
      <c r="B12" s="2"/>
      <c r="C12" s="2"/>
      <c r="D12" s="2"/>
      <c r="E12" s="5"/>
      <c r="F12" s="5"/>
      <c r="G12" s="29"/>
      <c r="H12" s="29"/>
      <c r="I12" s="29"/>
      <c r="J12" s="12"/>
      <c r="K12" s="12"/>
    </row>
    <row r="13" spans="1:11" x14ac:dyDescent="0.25">
      <c r="A13" s="2"/>
      <c r="B13" s="6" t="s">
        <v>50</v>
      </c>
      <c r="C13" s="2"/>
      <c r="D13" s="2"/>
      <c r="E13" s="5">
        <f>+E8+E9-E10-E11</f>
        <v>1697797.44</v>
      </c>
      <c r="F13" s="5">
        <f t="shared" ref="F13:I13" si="0">+F8+F9-F10-F11</f>
        <v>925447.72</v>
      </c>
      <c r="G13" s="5">
        <f>+G8+G9-G10-G11</f>
        <v>1147555.1728000001</v>
      </c>
      <c r="H13" s="5">
        <f t="shared" si="0"/>
        <v>1422968.4142720003</v>
      </c>
      <c r="I13" s="5">
        <f t="shared" si="0"/>
        <v>1764480.8336972801</v>
      </c>
      <c r="J13" s="12"/>
      <c r="K13" s="12"/>
    </row>
    <row r="14" spans="1:11" x14ac:dyDescent="0.25">
      <c r="A14" s="2"/>
      <c r="B14" s="2"/>
      <c r="C14" s="2"/>
      <c r="D14" s="2"/>
      <c r="E14" s="5"/>
      <c r="F14" s="5"/>
      <c r="G14" s="29"/>
      <c r="H14" s="29"/>
      <c r="I14" s="29"/>
      <c r="J14" s="12"/>
      <c r="K14" s="12"/>
    </row>
    <row r="15" spans="1:11" x14ac:dyDescent="0.25">
      <c r="A15" s="6" t="s">
        <v>53</v>
      </c>
      <c r="B15" s="2"/>
      <c r="C15" s="2"/>
      <c r="D15" s="2"/>
      <c r="E15" s="5"/>
      <c r="F15" s="5"/>
    </row>
    <row r="16" spans="1:11" x14ac:dyDescent="0.25">
      <c r="A16" s="6" t="s">
        <v>54</v>
      </c>
      <c r="B16" s="2"/>
      <c r="C16" s="2"/>
      <c r="D16" s="2"/>
      <c r="E16" s="5"/>
      <c r="F16" s="5"/>
    </row>
    <row r="17" spans="1:14" ht="15" customHeight="1" x14ac:dyDescent="0.25">
      <c r="A17" s="2"/>
      <c r="B17" s="2" t="s">
        <v>55</v>
      </c>
      <c r="C17" s="2"/>
      <c r="D17" s="2"/>
      <c r="E17" s="8">
        <v>1529907.59</v>
      </c>
      <c r="F17" s="5">
        <v>764190.06</v>
      </c>
      <c r="G17" s="27">
        <f>+G13*SUPUESTOS!C7</f>
        <v>986897.44860800006</v>
      </c>
      <c r="H17" s="27">
        <f>+H13*SUPUESTOS!G7</f>
        <v>1223752.8362739203</v>
      </c>
      <c r="I17" s="27">
        <f>+I13*SUPUESTOS!K7</f>
        <v>1517453.5169796608</v>
      </c>
      <c r="K17" s="217" t="s">
        <v>260</v>
      </c>
      <c r="L17" s="217"/>
      <c r="M17" s="217"/>
      <c r="N17" s="217"/>
    </row>
    <row r="18" spans="1:14" x14ac:dyDescent="0.25">
      <c r="A18" s="2"/>
      <c r="B18" s="2" t="s">
        <v>56</v>
      </c>
      <c r="C18" s="2"/>
      <c r="D18" s="2"/>
      <c r="E18" s="69">
        <v>28869.22</v>
      </c>
      <c r="F18" s="7">
        <v>12195.3</v>
      </c>
      <c r="G18" s="28">
        <f>+F18*SUPUESTOS!$C$5+'ER ESPERADO'!F18</f>
        <v>12607.501139999998</v>
      </c>
      <c r="H18" s="28">
        <f>+G18*SUPUESTOS!$G$5+'ER ESPERADO'!G18</f>
        <v>13033.634678531998</v>
      </c>
      <c r="I18" s="28">
        <f>+H18*SUPUESTOS!$K$5+'ER ESPERADO'!H18</f>
        <v>13474.171530666379</v>
      </c>
      <c r="K18" s="60" t="s">
        <v>105</v>
      </c>
    </row>
    <row r="19" spans="1:14" x14ac:dyDescent="0.25">
      <c r="A19" s="2"/>
      <c r="B19" s="2"/>
      <c r="C19" s="2"/>
      <c r="D19" s="2"/>
      <c r="E19" s="5"/>
      <c r="F19" s="5"/>
      <c r="K19" s="60"/>
    </row>
    <row r="20" spans="1:14" x14ac:dyDescent="0.25">
      <c r="A20" s="2"/>
      <c r="B20" s="6" t="s">
        <v>57</v>
      </c>
      <c r="C20" s="2"/>
      <c r="D20" s="2"/>
      <c r="E20" s="5">
        <f>SUM(E17:E19)</f>
        <v>1558776.81</v>
      </c>
      <c r="F20" s="5">
        <f t="shared" ref="F20" si="1">SUM(F17:F19)</f>
        <v>776385.3600000001</v>
      </c>
      <c r="G20" s="27">
        <f>+G17+G18</f>
        <v>999504.94974800001</v>
      </c>
      <c r="H20" s="27">
        <f t="shared" ref="H20:I20" si="2">+H17+H18</f>
        <v>1236786.4709524522</v>
      </c>
      <c r="I20" s="27">
        <f t="shared" si="2"/>
        <v>1530927.6885103271</v>
      </c>
    </row>
    <row r="21" spans="1:14" x14ac:dyDescent="0.25">
      <c r="A21" s="2"/>
      <c r="B21" s="6"/>
      <c r="C21" s="2"/>
      <c r="D21" s="2"/>
      <c r="E21" s="5"/>
      <c r="F21" s="5"/>
      <c r="G21" s="27"/>
      <c r="H21" s="27"/>
      <c r="I21" s="27"/>
      <c r="J21" s="12"/>
      <c r="K21" s="12"/>
    </row>
    <row r="22" spans="1:14" ht="15.75" thickBot="1" x14ac:dyDescent="0.3">
      <c r="A22" s="6" t="s">
        <v>118</v>
      </c>
      <c r="B22" s="2"/>
      <c r="C22" s="2"/>
      <c r="D22" s="2"/>
      <c r="E22" s="9">
        <f>+E13-E20</f>
        <v>139020.62999999989</v>
      </c>
      <c r="F22" s="9">
        <f t="shared" ref="F22:I22" si="3">+F13-F20</f>
        <v>149062.35999999987</v>
      </c>
      <c r="G22" s="9">
        <f t="shared" si="3"/>
        <v>148050.22305200004</v>
      </c>
      <c r="H22" s="9">
        <f t="shared" si="3"/>
        <v>186181.94331954815</v>
      </c>
      <c r="I22" s="9">
        <f t="shared" si="3"/>
        <v>233553.14518695301</v>
      </c>
      <c r="J22" s="12"/>
      <c r="K22" s="12"/>
    </row>
    <row r="23" spans="1:14" ht="15.75" thickTop="1" x14ac:dyDescent="0.25">
      <c r="A23" s="6"/>
      <c r="B23" s="2"/>
      <c r="C23" s="2"/>
      <c r="D23" s="2"/>
      <c r="E23" s="5"/>
      <c r="J23" s="12"/>
      <c r="K23" s="12"/>
    </row>
    <row r="24" spans="1:14" x14ac:dyDescent="0.25">
      <c r="A24" s="6" t="s">
        <v>58</v>
      </c>
      <c r="B24" s="2"/>
      <c r="C24" s="2"/>
      <c r="D24" s="2"/>
      <c r="E24" s="5"/>
      <c r="F24" s="5"/>
    </row>
    <row r="25" spans="1:14" ht="15" customHeight="1" x14ac:dyDescent="0.25">
      <c r="A25" s="6" t="s">
        <v>59</v>
      </c>
      <c r="B25" s="2"/>
      <c r="C25" s="2"/>
      <c r="D25" s="2"/>
      <c r="E25" s="5"/>
      <c r="F25" s="5"/>
      <c r="K25" s="60"/>
    </row>
    <row r="26" spans="1:14" x14ac:dyDescent="0.25">
      <c r="A26" s="2"/>
      <c r="B26" s="2" t="s">
        <v>60</v>
      </c>
      <c r="C26" s="2"/>
      <c r="D26" s="2"/>
      <c r="E26" s="8">
        <v>71760.39</v>
      </c>
      <c r="F26" s="5">
        <v>75867.06</v>
      </c>
      <c r="G26" s="27">
        <f>(+F26*SUPUESTOS!C5+F26)</f>
        <v>78431.366628000003</v>
      </c>
      <c r="H26" s="27">
        <f>(+G26*SUPUESTOS!G5+G26)</f>
        <v>81082.346820026403</v>
      </c>
      <c r="I26" s="27">
        <f>(+H26*SUPUESTOS!K5+'ER ESPERADO'!H26)</f>
        <v>83822.930142543293</v>
      </c>
      <c r="K26" s="60" t="s">
        <v>105</v>
      </c>
    </row>
    <row r="27" spans="1:14" x14ac:dyDescent="0.25">
      <c r="A27" s="2"/>
      <c r="B27" s="2" t="s">
        <v>61</v>
      </c>
      <c r="C27" s="2"/>
      <c r="D27" s="2"/>
      <c r="E27" s="8">
        <v>3600</v>
      </c>
      <c r="F27" s="5">
        <v>4666.8599999999997</v>
      </c>
      <c r="G27" s="27">
        <f>+F27*SUPUESTOS!$C$5+F27</f>
        <v>4824.5998679999993</v>
      </c>
      <c r="H27" s="27">
        <f>+G27*SUPUESTOS!$G$5+'ER ESPERADO'!G27</f>
        <v>4987.671343538399</v>
      </c>
      <c r="I27" s="27">
        <f>+H27*SUPUESTOS!$K$5+'ER ESPERADO'!H27</f>
        <v>5156.2546349499971</v>
      </c>
      <c r="K27" s="60" t="s">
        <v>105</v>
      </c>
    </row>
    <row r="28" spans="1:14" x14ac:dyDescent="0.25">
      <c r="A28" s="2"/>
      <c r="B28" s="2" t="s">
        <v>62</v>
      </c>
      <c r="C28" s="2"/>
      <c r="D28" s="2"/>
      <c r="E28" s="8">
        <v>15718.79</v>
      </c>
      <c r="F28" s="5">
        <v>17331</v>
      </c>
      <c r="G28" s="5">
        <f>+F28</f>
        <v>17331</v>
      </c>
      <c r="H28" s="5">
        <f>+G28</f>
        <v>17331</v>
      </c>
      <c r="I28" s="5">
        <f t="shared" ref="I28" si="4">+H28</f>
        <v>17331</v>
      </c>
    </row>
    <row r="29" spans="1:14" ht="15" customHeight="1" x14ac:dyDescent="0.25">
      <c r="A29" s="2"/>
      <c r="B29" s="2" t="s">
        <v>63</v>
      </c>
      <c r="C29" s="2"/>
      <c r="D29" s="2"/>
      <c r="E29" s="5">
        <v>10071.33</v>
      </c>
      <c r="F29" s="5">
        <v>3760.67</v>
      </c>
      <c r="G29" s="27">
        <f>+F29*SUPUESTOS!$C$5+F29</f>
        <v>3887.7806460000002</v>
      </c>
      <c r="H29" s="27">
        <f>+G29*SUPUESTOS!$G$5+'ER ESPERADO'!G29</f>
        <v>4019.1876318348</v>
      </c>
      <c r="I29" s="27">
        <f>+H29*SUPUESTOS!$K$5+'ER ESPERADO'!H29</f>
        <v>4155.0361737908161</v>
      </c>
      <c r="K29" s="60" t="s">
        <v>105</v>
      </c>
    </row>
    <row r="30" spans="1:14" x14ac:dyDescent="0.25">
      <c r="A30" s="2"/>
      <c r="B30" s="2" t="s">
        <v>64</v>
      </c>
      <c r="C30" s="2"/>
      <c r="D30" s="2"/>
      <c r="E30" s="118">
        <v>25947.64</v>
      </c>
      <c r="F30" s="28">
        <v>27711.84</v>
      </c>
      <c r="G30" s="28">
        <f>+F30*SUPUESTOS!$C$5+F30</f>
        <v>28648.500192</v>
      </c>
      <c r="H30" s="28">
        <f>+G30*SUPUESTOS!$G$5+'ER ESPERADO'!G30</f>
        <v>29616.8194984896</v>
      </c>
      <c r="I30" s="28">
        <f>+H30*SUPUESTOS!$K$5+'ER ESPERADO'!H30</f>
        <v>30617.867997538549</v>
      </c>
      <c r="K30" s="60" t="s">
        <v>105</v>
      </c>
    </row>
    <row r="31" spans="1:14" x14ac:dyDescent="0.25">
      <c r="A31" s="2"/>
      <c r="B31" s="2"/>
      <c r="C31" s="2"/>
      <c r="D31" s="2"/>
      <c r="E31" s="5"/>
      <c r="F31" s="5"/>
    </row>
    <row r="32" spans="1:14" x14ac:dyDescent="0.25">
      <c r="A32" s="2"/>
      <c r="B32" s="6" t="s">
        <v>65</v>
      </c>
      <c r="C32" s="2"/>
      <c r="D32" s="2"/>
      <c r="E32" s="5">
        <f>SUM(E26:E31)</f>
        <v>127098.15</v>
      </c>
      <c r="F32" s="5">
        <f t="shared" ref="F32" si="5">SUM(F26:F31)</f>
        <v>129337.43</v>
      </c>
      <c r="G32" s="27">
        <f>+G26+G27+G28+G29+G30</f>
        <v>133123.24733400001</v>
      </c>
      <c r="H32" s="27">
        <f t="shared" ref="H32:I32" si="6">+H26+H27+H28+H29+H30</f>
        <v>137037.02529388919</v>
      </c>
      <c r="I32" s="27">
        <f t="shared" si="6"/>
        <v>141083.08894882267</v>
      </c>
    </row>
    <row r="33" spans="1:11" x14ac:dyDescent="0.25">
      <c r="A33" s="6"/>
      <c r="B33" s="6"/>
      <c r="C33" s="2"/>
      <c r="D33" s="2"/>
      <c r="E33" s="5"/>
      <c r="F33" s="5"/>
    </row>
    <row r="34" spans="1:11" x14ac:dyDescent="0.25">
      <c r="A34" s="6"/>
      <c r="B34" s="6" t="s">
        <v>66</v>
      </c>
      <c r="C34" s="2"/>
      <c r="D34" s="2"/>
      <c r="E34" s="5">
        <v>5901.95</v>
      </c>
      <c r="F34" s="5">
        <v>4246.5</v>
      </c>
      <c r="G34" s="29">
        <f>+F34*SUPUESTOS!$C$5+'ER ESPERADO'!F34</f>
        <v>4390.0316999999995</v>
      </c>
      <c r="H34" s="29">
        <f>+G34*SUPUESTOS!$G$5+'ER ESPERADO'!G34</f>
        <v>4538.4147714599994</v>
      </c>
      <c r="I34" s="29">
        <f>+H34*SUPUESTOS!$K$5+'ER ESPERADO'!H34</f>
        <v>4691.8131907353472</v>
      </c>
      <c r="K34" s="60" t="s">
        <v>105</v>
      </c>
    </row>
    <row r="35" spans="1:11" x14ac:dyDescent="0.25">
      <c r="A35" s="6"/>
      <c r="B35" s="2"/>
      <c r="C35" s="2"/>
      <c r="D35" s="2"/>
      <c r="E35" s="5"/>
      <c r="J35" s="12"/>
      <c r="K35" s="12"/>
    </row>
    <row r="36" spans="1:11" ht="15.75" thickBot="1" x14ac:dyDescent="0.3">
      <c r="A36" s="224" t="s">
        <v>263</v>
      </c>
      <c r="B36" s="6"/>
      <c r="C36" s="2"/>
      <c r="D36" s="2"/>
      <c r="E36" s="9">
        <f>+E22-E32-E34</f>
        <v>6020.5299999998942</v>
      </c>
      <c r="F36" s="9">
        <f>+F22-F32-F34</f>
        <v>15478.429999999877</v>
      </c>
      <c r="G36" s="9">
        <f>+G22-G32-G34</f>
        <v>10536.944018000031</v>
      </c>
      <c r="H36" s="9">
        <f>+H22-H32-H34</f>
        <v>44606.503254198964</v>
      </c>
      <c r="I36" s="9">
        <f>+I22-I32-I34</f>
        <v>87778.243047394993</v>
      </c>
    </row>
    <row r="37" spans="1:11" ht="15.75" thickTop="1" x14ac:dyDescent="0.25">
      <c r="A37" s="2"/>
      <c r="B37" s="2"/>
      <c r="C37" s="2"/>
      <c r="D37" s="2"/>
      <c r="E37" s="5"/>
      <c r="F37" s="5"/>
      <c r="J37" s="12"/>
      <c r="K37" s="12"/>
    </row>
    <row r="38" spans="1:11" x14ac:dyDescent="0.25">
      <c r="A38" s="2"/>
      <c r="B38" s="6" t="s">
        <v>52</v>
      </c>
      <c r="C38" s="6"/>
      <c r="D38" s="2"/>
      <c r="E38" s="8">
        <v>45110.61</v>
      </c>
      <c r="F38" s="5">
        <v>487.55</v>
      </c>
      <c r="G38" s="77">
        <f>+F38*SUPUESTOS!$C$6+'ER ESPERADO'!F38</f>
        <v>604.56200000000001</v>
      </c>
      <c r="H38" s="77">
        <f>+G38*SUPUESTOS!$G$6+'ER ESPERADO'!G38</f>
        <v>749.65688</v>
      </c>
      <c r="I38" s="77">
        <f>+H38*SUPUESTOS!$K$6+'ER ESPERADO'!H38</f>
        <v>929.57453120000002</v>
      </c>
      <c r="J38" s="12"/>
      <c r="K38" s="60" t="s">
        <v>259</v>
      </c>
    </row>
    <row r="39" spans="1:11" hidden="1" x14ac:dyDescent="0.25">
      <c r="A39" s="2"/>
      <c r="B39" s="2"/>
      <c r="C39" s="2"/>
      <c r="D39" s="2"/>
      <c r="E39" s="5"/>
      <c r="F39" s="5"/>
    </row>
    <row r="40" spans="1:11" hidden="1" x14ac:dyDescent="0.25">
      <c r="A40" s="2"/>
      <c r="B40" s="6" t="s">
        <v>131</v>
      </c>
      <c r="C40" s="2"/>
      <c r="D40" s="2"/>
      <c r="E40" s="7"/>
      <c r="F40" s="7"/>
      <c r="G40" s="28">
        <f>+F40*SUPUESTOS!$C$5+'ER ESPERADO'!F40</f>
        <v>0</v>
      </c>
      <c r="H40" s="28">
        <f>+G40*SUPUESTOS!$G$5+'ER ESPERADO'!G40</f>
        <v>0</v>
      </c>
      <c r="I40" s="28">
        <f>+H40*SUPUESTOS!$K$5+'ER ESPERADO'!H40</f>
        <v>0</v>
      </c>
    </row>
    <row r="41" spans="1:11" x14ac:dyDescent="0.25">
      <c r="A41" s="6"/>
      <c r="B41" s="6"/>
      <c r="C41" s="2"/>
      <c r="D41" s="2"/>
      <c r="E41" s="5"/>
      <c r="F41" s="5"/>
    </row>
    <row r="42" spans="1:11" x14ac:dyDescent="0.25">
      <c r="A42" s="6"/>
      <c r="B42" s="6" t="s">
        <v>68</v>
      </c>
      <c r="C42" s="2"/>
      <c r="D42" s="2"/>
      <c r="E42" s="5">
        <v>6356.74</v>
      </c>
      <c r="F42" s="5">
        <v>2039.95</v>
      </c>
      <c r="G42" s="29">
        <f>+F42</f>
        <v>2039.95</v>
      </c>
      <c r="H42" s="29">
        <f>+F42</f>
        <v>2039.95</v>
      </c>
      <c r="I42" s="29">
        <f>+F42</f>
        <v>2039.95</v>
      </c>
      <c r="K42" s="60"/>
    </row>
    <row r="43" spans="1:11" x14ac:dyDescent="0.25">
      <c r="A43" s="6"/>
      <c r="B43" s="6"/>
      <c r="C43" s="2"/>
      <c r="D43" s="2"/>
      <c r="E43" s="5"/>
      <c r="F43" s="5"/>
      <c r="K43" s="27"/>
    </row>
    <row r="44" spans="1:11" ht="15.75" thickBot="1" x14ac:dyDescent="0.3">
      <c r="A44" s="6" t="s">
        <v>264</v>
      </c>
      <c r="B44" s="6"/>
      <c r="C44" s="2"/>
      <c r="D44" s="2"/>
      <c r="E44" s="9">
        <f>+E36+E38-E40-E42</f>
        <v>44774.3999999999</v>
      </c>
      <c r="F44" s="9">
        <f>+F36+F38-F40-F42</f>
        <v>13926.029999999875</v>
      </c>
      <c r="G44" s="9">
        <f>+G36+G38-G40-G42</f>
        <v>9101.5560180000302</v>
      </c>
      <c r="H44" s="9">
        <f>+H36+H38-H40-H42</f>
        <v>43316.210134198969</v>
      </c>
      <c r="I44" s="9">
        <f>+I36+I38-I40-I42</f>
        <v>86667.867578595004</v>
      </c>
    </row>
    <row r="45" spans="1:11" ht="15.75" thickTop="1" x14ac:dyDescent="0.25">
      <c r="A45" s="2"/>
      <c r="B45" s="6"/>
      <c r="C45" s="2"/>
      <c r="D45" s="2"/>
      <c r="E45" s="5"/>
      <c r="F45" s="5"/>
      <c r="G45" s="5"/>
      <c r="H45" s="5"/>
      <c r="I45" s="5"/>
    </row>
    <row r="46" spans="1:11" x14ac:dyDescent="0.25">
      <c r="A46" s="2"/>
      <c r="B46" s="6" t="s">
        <v>121</v>
      </c>
      <c r="C46" s="2"/>
      <c r="D46" s="2"/>
      <c r="E46" s="5">
        <f>+E44*0.15</f>
        <v>6716.1599999999844</v>
      </c>
      <c r="F46" s="5">
        <f t="shared" ref="F46" si="7">+F44*0.15</f>
        <v>2088.904499999981</v>
      </c>
      <c r="G46" s="5">
        <f>IF(G44*0.15&lt;0,0,G44*0.15)</f>
        <v>1365.2334027000045</v>
      </c>
      <c r="H46" s="5">
        <f t="shared" ref="H46:I46" si="8">IF(H44*0.15&lt;0,0,H44*0.15)</f>
        <v>6497.431520129845</v>
      </c>
      <c r="I46" s="5">
        <f t="shared" si="8"/>
        <v>13000.180136789249</v>
      </c>
    </row>
    <row r="47" spans="1:11" x14ac:dyDescent="0.25">
      <c r="A47" s="2"/>
      <c r="B47" s="6"/>
      <c r="C47" s="2"/>
      <c r="D47" s="2"/>
      <c r="E47" s="5"/>
      <c r="F47" s="5"/>
      <c r="G47" s="5"/>
      <c r="H47" s="5"/>
      <c r="I47" s="5"/>
    </row>
    <row r="48" spans="1:11" ht="15.75" thickBot="1" x14ac:dyDescent="0.3">
      <c r="A48" s="6" t="s">
        <v>265</v>
      </c>
      <c r="B48" s="6"/>
      <c r="C48" s="2"/>
      <c r="D48" s="2"/>
      <c r="E48" s="9">
        <f>+E44-E46</f>
        <v>38058.239999999918</v>
      </c>
      <c r="F48" s="9">
        <f t="shared" ref="F48:I48" si="9">+F44-F46</f>
        <v>11837.125499999895</v>
      </c>
      <c r="G48" s="9">
        <f t="shared" si="9"/>
        <v>7736.322615300026</v>
      </c>
      <c r="H48" s="9">
        <f t="shared" si="9"/>
        <v>36818.778614069124</v>
      </c>
      <c r="I48" s="9">
        <f t="shared" si="9"/>
        <v>73667.687441805756</v>
      </c>
    </row>
    <row r="49" spans="1:11" ht="15.75" thickTop="1" x14ac:dyDescent="0.25">
      <c r="A49" s="2"/>
      <c r="B49" s="6"/>
      <c r="C49" s="2"/>
      <c r="D49" s="2"/>
      <c r="E49" s="5"/>
      <c r="F49" s="5"/>
      <c r="G49" s="5"/>
      <c r="H49" s="5"/>
      <c r="I49" s="5"/>
    </row>
    <row r="50" spans="1:11" x14ac:dyDescent="0.25">
      <c r="A50" s="2"/>
      <c r="B50" s="6" t="s">
        <v>123</v>
      </c>
      <c r="C50" s="2"/>
      <c r="D50" s="2"/>
      <c r="E50" s="5">
        <v>1740.13</v>
      </c>
      <c r="F50" s="5">
        <v>5642.35</v>
      </c>
      <c r="G50" s="5">
        <f>+F50*SUPUESTOS!$C$5+F50</f>
        <v>5833.0614300000007</v>
      </c>
      <c r="H50" s="5">
        <f>+G50*SUPUESTOS!$G$5+G50</f>
        <v>6030.2189063340011</v>
      </c>
      <c r="I50" s="5">
        <f>+H50*SUPUESTOS!$K$5+H50</f>
        <v>6234.0403053680902</v>
      </c>
      <c r="K50" s="27"/>
    </row>
    <row r="51" spans="1:11" x14ac:dyDescent="0.25">
      <c r="A51" s="2"/>
      <c r="B51" s="6"/>
      <c r="C51" s="2"/>
      <c r="D51" s="2"/>
      <c r="E51" s="5"/>
      <c r="F51" s="5"/>
      <c r="G51" s="5"/>
      <c r="H51" s="5"/>
      <c r="I51" s="5"/>
    </row>
    <row r="52" spans="1:11" ht="15.75" thickBot="1" x14ac:dyDescent="0.3">
      <c r="A52" s="6" t="s">
        <v>124</v>
      </c>
      <c r="B52" s="6"/>
      <c r="C52" s="2"/>
      <c r="D52" s="2"/>
      <c r="E52" s="9">
        <f>+E48+E50</f>
        <v>39798.369999999915</v>
      </c>
      <c r="F52" s="9">
        <f>+F48+F50</f>
        <v>17479.475499999895</v>
      </c>
      <c r="G52" s="9">
        <f>IF(G48&lt;0,0,G48+G50)</f>
        <v>13569.384045300027</v>
      </c>
      <c r="H52" s="9">
        <f>IF(H48&lt;0,0,H48+H50)</f>
        <v>42848.997520403122</v>
      </c>
      <c r="I52" s="9">
        <f t="shared" ref="I52" si="10">IF(I48&lt;0,0,I48+I50)</f>
        <v>79901.727747173849</v>
      </c>
    </row>
    <row r="53" spans="1:11" ht="15.75" thickTop="1" x14ac:dyDescent="0.25">
      <c r="A53" s="2"/>
      <c r="B53" s="6"/>
      <c r="C53" s="2"/>
      <c r="D53" s="2"/>
      <c r="E53" s="5"/>
      <c r="F53" s="5"/>
      <c r="G53" s="5"/>
      <c r="H53" s="5"/>
      <c r="I53" s="5"/>
    </row>
    <row r="54" spans="1:11" x14ac:dyDescent="0.25">
      <c r="A54" s="2"/>
      <c r="B54" s="6" t="s">
        <v>125</v>
      </c>
      <c r="C54" s="2"/>
      <c r="D54" s="2"/>
      <c r="E54" s="5">
        <f>+E52*0.22</f>
        <v>8755.6413999999822</v>
      </c>
      <c r="F54" s="5">
        <f>+F52*0.22</f>
        <v>3845.4846099999768</v>
      </c>
      <c r="G54" s="5">
        <f>IF(G52*0.22&lt;0,0,G52*0.22)</f>
        <v>2985.2644899660058</v>
      </c>
      <c r="H54" s="5">
        <f>IF(H52*0.22&lt;0,0,H52*0.22)</f>
        <v>9426.7794544886874</v>
      </c>
      <c r="I54" s="5">
        <f t="shared" ref="I54" si="11">IF(I52*0.22&lt;0,0,I52*0.22)</f>
        <v>17578.380104378248</v>
      </c>
    </row>
    <row r="55" spans="1:11" x14ac:dyDescent="0.25">
      <c r="A55" s="6"/>
      <c r="B55" s="6"/>
      <c r="C55" s="2"/>
      <c r="D55" s="2"/>
      <c r="E55" s="5"/>
      <c r="F55" s="5"/>
    </row>
    <row r="56" spans="1:11" ht="15.75" thickBot="1" x14ac:dyDescent="0.3">
      <c r="A56" s="224" t="s">
        <v>40</v>
      </c>
      <c r="B56" s="2"/>
      <c r="C56" s="2"/>
      <c r="D56" s="2"/>
      <c r="E56" s="9">
        <f>+E48-E54</f>
        <v>29302.598599999936</v>
      </c>
      <c r="F56" s="9">
        <f t="shared" ref="F56" si="12">+F48-F54</f>
        <v>7991.6408899999178</v>
      </c>
      <c r="G56" s="9">
        <f>+G48-G54</f>
        <v>4751.0581253340206</v>
      </c>
      <c r="H56" s="9">
        <f>+H48-H54</f>
        <v>27391.999159580439</v>
      </c>
      <c r="I56" s="9">
        <f t="shared" ref="I56" si="13">+I48-I54</f>
        <v>56089.307337427512</v>
      </c>
    </row>
    <row r="57" spans="1:11" ht="15.75" thickTop="1" x14ac:dyDescent="0.25">
      <c r="A57" s="2"/>
      <c r="B57" s="2"/>
      <c r="C57" s="2"/>
    </row>
  </sheetData>
  <mergeCells count="2">
    <mergeCell ref="A1:I1"/>
    <mergeCell ref="A2:I2"/>
  </mergeCells>
  <conditionalFormatting sqref="G56:I56">
    <cfRule type="cellIs" dxfId="9" priority="1" operator="lessThan">
      <formula>0</formula>
    </cfRule>
  </conditionalFormatting>
  <pageMargins left="0.7" right="0.7" top="0.75" bottom="0.75" header="0.3" footer="0.3"/>
  <pageSetup orientation="portrait" horizontalDpi="0" verticalDpi="0" r:id="rId1"/>
  <ignoredErrors>
    <ignoredError sqref="G2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00B050"/>
  </sheetPr>
  <dimension ref="A1:L48"/>
  <sheetViews>
    <sheetView showGridLines="0" zoomScaleNormal="100" workbookViewId="0">
      <selection activeCell="F10" sqref="F10"/>
    </sheetView>
  </sheetViews>
  <sheetFormatPr defaultColWidth="11.375" defaultRowHeight="12.75" x14ac:dyDescent="0.2"/>
  <cols>
    <col min="1" max="1" width="34.375" style="13" customWidth="1"/>
    <col min="2" max="2" width="17.375" style="13" customWidth="1"/>
    <col min="3" max="3" width="18" style="13" customWidth="1"/>
    <col min="4" max="4" width="16.375" style="13" customWidth="1"/>
    <col min="5" max="5" width="18" style="13" bestFit="1" customWidth="1"/>
    <col min="6" max="6" width="15.125" style="13" bestFit="1" customWidth="1"/>
    <col min="7" max="7" width="12.375" style="13" bestFit="1" customWidth="1"/>
    <col min="8" max="8" width="11.375" style="13"/>
    <col min="9" max="11" width="11.75" style="13" bestFit="1" customWidth="1"/>
    <col min="12" max="16384" width="11.375" style="13"/>
  </cols>
  <sheetData>
    <row r="1" spans="1:9" s="22" customFormat="1" x14ac:dyDescent="0.2">
      <c r="A1" s="303" t="s">
        <v>262</v>
      </c>
      <c r="B1" s="304"/>
      <c r="C1" s="304"/>
      <c r="D1" s="305"/>
      <c r="E1" s="122"/>
    </row>
    <row r="2" spans="1:9" s="22" customFormat="1" x14ac:dyDescent="0.2">
      <c r="A2" s="298" t="s">
        <v>75</v>
      </c>
      <c r="B2" s="300" t="s">
        <v>76</v>
      </c>
      <c r="C2" s="301"/>
      <c r="D2" s="302"/>
      <c r="E2" s="122"/>
    </row>
    <row r="3" spans="1:9" s="22" customFormat="1" x14ac:dyDescent="0.2">
      <c r="A3" s="299"/>
      <c r="B3" s="253">
        <v>2016</v>
      </c>
      <c r="C3" s="36">
        <v>2017</v>
      </c>
      <c r="D3" s="186">
        <v>2018</v>
      </c>
      <c r="E3" s="124"/>
      <c r="F3" s="124"/>
      <c r="H3" s="14"/>
      <c r="I3" s="37"/>
    </row>
    <row r="4" spans="1:9" x14ac:dyDescent="0.2">
      <c r="A4" s="187" t="s">
        <v>77</v>
      </c>
      <c r="B4" s="15"/>
      <c r="C4" s="15"/>
      <c r="D4" s="188"/>
      <c r="E4" s="23"/>
    </row>
    <row r="5" spans="1:9" x14ac:dyDescent="0.2">
      <c r="A5" s="189" t="s">
        <v>78</v>
      </c>
      <c r="B5" s="16">
        <f>+'ER ESPERADO'!G13</f>
        <v>1147555.1728000001</v>
      </c>
      <c r="C5" s="16">
        <f>+'ER ESPERADO'!H13</f>
        <v>1422968.4142720003</v>
      </c>
      <c r="D5" s="190">
        <f>+'ER ESPERADO'!I13</f>
        <v>1764480.8336972801</v>
      </c>
      <c r="E5" s="23"/>
    </row>
    <row r="6" spans="1:9" x14ac:dyDescent="0.2">
      <c r="A6" s="189" t="s">
        <v>187</v>
      </c>
      <c r="B6" s="120"/>
      <c r="C6" s="120"/>
      <c r="D6" s="192"/>
      <c r="E6" s="23"/>
    </row>
    <row r="7" spans="1:9" x14ac:dyDescent="0.2">
      <c r="A7" s="189" t="s">
        <v>184</v>
      </c>
      <c r="B7" s="16">
        <f>+'ER ESPERADO'!G38</f>
        <v>604.56200000000001</v>
      </c>
      <c r="C7" s="16">
        <f>+'ER ESPERADO'!H38</f>
        <v>749.65688</v>
      </c>
      <c r="D7" s="190">
        <f>+'ER ESPERADO'!I38</f>
        <v>929.57453120000002</v>
      </c>
      <c r="E7" s="23"/>
    </row>
    <row r="8" spans="1:9" x14ac:dyDescent="0.2">
      <c r="A8" s="189" t="s">
        <v>190</v>
      </c>
      <c r="B8" s="120"/>
      <c r="C8" s="120"/>
      <c r="D8" s="192"/>
      <c r="E8" s="23"/>
    </row>
    <row r="9" spans="1:9" x14ac:dyDescent="0.2">
      <c r="A9" s="191" t="s">
        <v>194</v>
      </c>
      <c r="B9" s="120">
        <f>SUM(B5:B8)</f>
        <v>1148159.7348</v>
      </c>
      <c r="C9" s="120">
        <f>SUM(C5:C8)</f>
        <v>1423718.0711520002</v>
      </c>
      <c r="D9" s="192">
        <f t="shared" ref="D9" si="0">SUM(D5:D8)</f>
        <v>1765410.4082284803</v>
      </c>
    </row>
    <row r="10" spans="1:9" x14ac:dyDescent="0.2">
      <c r="A10" s="187" t="s">
        <v>53</v>
      </c>
      <c r="B10" s="17"/>
      <c r="C10" s="17"/>
      <c r="D10" s="193"/>
    </row>
    <row r="11" spans="1:9" x14ac:dyDescent="0.2">
      <c r="A11" s="194" t="s">
        <v>189</v>
      </c>
      <c r="B11" s="17"/>
      <c r="C11" s="17"/>
      <c r="D11" s="193"/>
    </row>
    <row r="12" spans="1:9" x14ac:dyDescent="0.2">
      <c r="A12" s="189" t="s">
        <v>182</v>
      </c>
      <c r="B12" s="16">
        <f>+'ER ESPERADO'!G17</f>
        <v>986897.44860800006</v>
      </c>
      <c r="C12" s="16">
        <f>+'ER ESPERADO'!H17</f>
        <v>1223752.8362739203</v>
      </c>
      <c r="D12" s="190">
        <f>+'ER ESPERADO'!I17</f>
        <v>1517453.5169796608</v>
      </c>
    </row>
    <row r="13" spans="1:9" x14ac:dyDescent="0.2">
      <c r="A13" s="189" t="s">
        <v>183</v>
      </c>
      <c r="B13" s="16">
        <f>+'ER ESPERADO'!G18</f>
        <v>12607.501139999998</v>
      </c>
      <c r="C13" s="16">
        <f>+'ER ESPERADO'!H18</f>
        <v>13033.634678531998</v>
      </c>
      <c r="D13" s="190">
        <f>+'ER ESPERADO'!I18</f>
        <v>13474.171530666379</v>
      </c>
    </row>
    <row r="14" spans="1:9" x14ac:dyDescent="0.2">
      <c r="A14" s="194" t="s">
        <v>201</v>
      </c>
      <c r="B14" s="17">
        <f>+'ER ESPERADO'!G32-'ER ESPERADO'!G28</f>
        <v>115792.24733400001</v>
      </c>
      <c r="C14" s="17">
        <f>+'ER ESPERADO'!H32-'ER ESPERADO'!H28</f>
        <v>119706.02529388919</v>
      </c>
      <c r="D14" s="193">
        <f>+'ER ESPERADO'!I32-'ER ESPERADO'!I28</f>
        <v>123752.08894882267</v>
      </c>
    </row>
    <row r="15" spans="1:9" x14ac:dyDescent="0.2">
      <c r="A15" s="194" t="s">
        <v>185</v>
      </c>
      <c r="B15" s="18">
        <f>+'ER ESPERADO'!G34</f>
        <v>4390.0316999999995</v>
      </c>
      <c r="C15" s="18">
        <f>+'ER ESPERADO'!H34</f>
        <v>4538.4147714599994</v>
      </c>
      <c r="D15" s="195">
        <f>+'ER ESPERADO'!I34</f>
        <v>4691.8131907353472</v>
      </c>
    </row>
    <row r="16" spans="1:9" x14ac:dyDescent="0.2">
      <c r="A16" s="194" t="s">
        <v>186</v>
      </c>
      <c r="B16" s="18">
        <f>+'ER ESPERADO'!G42-B22</f>
        <v>2039.95</v>
      </c>
      <c r="C16" s="18">
        <f>+'ER ESPERADO'!H42-C22</f>
        <v>2039.95</v>
      </c>
      <c r="D16" s="195">
        <f>+'ER ESPERADO'!I42-D22</f>
        <v>2039.95</v>
      </c>
    </row>
    <row r="17" spans="1:12" x14ac:dyDescent="0.2">
      <c r="A17" s="194" t="s">
        <v>199</v>
      </c>
      <c r="B17" s="18">
        <f>+'ER ESPERADO'!F54</f>
        <v>3845.4846099999768</v>
      </c>
      <c r="C17" s="18">
        <f>+'ER ESPERADO'!G54</f>
        <v>2985.2644899660058</v>
      </c>
      <c r="D17" s="195">
        <f>+'ER ESPERADO'!H54</f>
        <v>9426.7794544886874</v>
      </c>
      <c r="E17" s="21"/>
    </row>
    <row r="18" spans="1:12" x14ac:dyDescent="0.2">
      <c r="A18" s="194" t="s">
        <v>200</v>
      </c>
      <c r="B18" s="18">
        <f>+'ER ESPERADO'!F46</f>
        <v>2088.904499999981</v>
      </c>
      <c r="C18" s="18">
        <f>+'ER ESPERADO'!G46</f>
        <v>1365.2334027000045</v>
      </c>
      <c r="D18" s="195">
        <f>+'ER ESPERADO'!H46</f>
        <v>6497.431520129845</v>
      </c>
      <c r="E18" s="21"/>
    </row>
    <row r="19" spans="1:12" x14ac:dyDescent="0.2">
      <c r="A19" s="194" t="s">
        <v>188</v>
      </c>
      <c r="B19" s="17"/>
      <c r="C19" s="17"/>
      <c r="D19" s="193"/>
      <c r="E19" s="21"/>
    </row>
    <row r="20" spans="1:12" x14ac:dyDescent="0.2">
      <c r="A20" s="194"/>
      <c r="B20" s="18"/>
      <c r="C20" s="18"/>
      <c r="D20" s="195"/>
    </row>
    <row r="21" spans="1:12" x14ac:dyDescent="0.2">
      <c r="A21" s="194" t="s">
        <v>190</v>
      </c>
      <c r="B21" s="18"/>
      <c r="C21" s="18"/>
      <c r="D21" s="195"/>
    </row>
    <row r="22" spans="1:12" x14ac:dyDescent="0.2">
      <c r="A22" s="194" t="s">
        <v>191</v>
      </c>
      <c r="B22" s="17"/>
      <c r="C22" s="17"/>
      <c r="D22" s="193"/>
    </row>
    <row r="23" spans="1:12" x14ac:dyDescent="0.2">
      <c r="A23" s="194" t="s">
        <v>192</v>
      </c>
      <c r="B23" s="17"/>
      <c r="C23" s="17"/>
      <c r="D23" s="193"/>
    </row>
    <row r="24" spans="1:12" x14ac:dyDescent="0.2">
      <c r="A24" s="196" t="s">
        <v>195</v>
      </c>
      <c r="B24" s="20">
        <f>SUM(B11:B23)</f>
        <v>1127661.5678919998</v>
      </c>
      <c r="C24" s="20">
        <f>SUM(C11:C23)</f>
        <v>1367421.3589104672</v>
      </c>
      <c r="D24" s="197">
        <f>SUM(D11:D23)</f>
        <v>1677335.7516245036</v>
      </c>
    </row>
    <row r="25" spans="1:12" x14ac:dyDescent="0.2">
      <c r="A25" s="198"/>
      <c r="B25" s="20"/>
      <c r="C25" s="20"/>
      <c r="D25" s="197"/>
      <c r="F25" s="119"/>
    </row>
    <row r="26" spans="1:12" x14ac:dyDescent="0.2">
      <c r="A26" s="199" t="s">
        <v>193</v>
      </c>
      <c r="B26" s="20">
        <f>B9-B24</f>
        <v>20498.16690800013</v>
      </c>
      <c r="C26" s="20">
        <f t="shared" ref="C26:D26" si="1">C9-C24</f>
        <v>56296.71224153298</v>
      </c>
      <c r="D26" s="197">
        <f t="shared" si="1"/>
        <v>88074.656603976618</v>
      </c>
      <c r="E26" s="119"/>
      <c r="F26" s="119"/>
    </row>
    <row r="27" spans="1:12" x14ac:dyDescent="0.2">
      <c r="A27" s="200"/>
      <c r="B27" s="19"/>
      <c r="C27" s="19"/>
      <c r="D27" s="201"/>
      <c r="E27" s="121"/>
    </row>
    <row r="28" spans="1:12" x14ac:dyDescent="0.2">
      <c r="A28" s="196" t="s">
        <v>196</v>
      </c>
      <c r="B28" s="19">
        <f>+'BG ESPERADO'!E8</f>
        <v>254.36</v>
      </c>
      <c r="C28" s="19">
        <f>+'BG ESPERADO'!F8</f>
        <v>20752.526908000131</v>
      </c>
      <c r="D28" s="201">
        <f>+'BG ESPERADO'!G8</f>
        <v>77049.23914953311</v>
      </c>
      <c r="E28" s="121"/>
    </row>
    <row r="29" spans="1:12" s="22" customFormat="1" ht="13.5" thickBot="1" x14ac:dyDescent="0.25">
      <c r="A29" s="202" t="s">
        <v>197</v>
      </c>
      <c r="B29" s="203">
        <f>+B26+B28</f>
        <v>20752.526908000131</v>
      </c>
      <c r="C29" s="203">
        <f>+C26+C28</f>
        <v>77049.23914953311</v>
      </c>
      <c r="D29" s="204">
        <f t="shared" ref="D29" si="2">+D26+D28</f>
        <v>165123.89575350971</v>
      </c>
    </row>
    <row r="31" spans="1:12" x14ac:dyDescent="0.2">
      <c r="A31" s="23"/>
      <c r="B31" s="306" t="str">
        <f>IF(B29&gt;0,"Saldo Positivo","Solicitar Préstamo Bancario o Recuperar Cuentas por Cobrar")</f>
        <v>Saldo Positivo</v>
      </c>
      <c r="C31" s="306" t="str">
        <f t="shared" ref="C31:D31" si="3">IF(C29&gt;0,"Saldo Positivo","Solicitar Préstamo Bancario o Recuperar Cuentas por Cobrar")</f>
        <v>Saldo Positivo</v>
      </c>
      <c r="D31" s="306" t="str">
        <f t="shared" si="3"/>
        <v>Saldo Positivo</v>
      </c>
      <c r="E31" s="23"/>
      <c r="I31" s="38"/>
      <c r="J31" s="38"/>
      <c r="K31" s="38"/>
      <c r="L31" s="38"/>
    </row>
    <row r="32" spans="1:12" s="22" customFormat="1" x14ac:dyDescent="0.2">
      <c r="A32" s="154"/>
      <c r="B32" s="306"/>
      <c r="C32" s="306"/>
      <c r="D32" s="306"/>
      <c r="E32" s="38"/>
      <c r="I32" s="38"/>
      <c r="J32" s="38"/>
      <c r="K32" s="38"/>
      <c r="L32" s="38"/>
    </row>
    <row r="33" spans="1:12" s="22" customFormat="1" x14ac:dyDescent="0.2">
      <c r="A33" s="145"/>
      <c r="B33" s="306"/>
      <c r="C33" s="306"/>
      <c r="D33" s="306"/>
      <c r="E33" s="38"/>
      <c r="I33" s="38"/>
      <c r="J33" s="38"/>
      <c r="K33" s="38"/>
      <c r="L33" s="38"/>
    </row>
    <row r="34" spans="1:12" x14ac:dyDescent="0.2">
      <c r="A34" s="23"/>
      <c r="B34" s="146"/>
      <c r="C34" s="38"/>
      <c r="D34" s="147"/>
      <c r="E34" s="23"/>
    </row>
    <row r="35" spans="1:12" x14ac:dyDescent="0.2">
      <c r="A35" s="148"/>
      <c r="B35" s="149"/>
      <c r="C35" s="38"/>
      <c r="D35" s="147"/>
      <c r="E35" s="23"/>
    </row>
    <row r="36" spans="1:12" x14ac:dyDescent="0.2">
      <c r="A36" s="148"/>
      <c r="B36" s="149"/>
      <c r="C36" s="38"/>
      <c r="D36" s="147"/>
      <c r="E36" s="150"/>
    </row>
    <row r="37" spans="1:12" x14ac:dyDescent="0.2">
      <c r="A37" s="148"/>
      <c r="B37" s="149"/>
      <c r="C37" s="38"/>
      <c r="D37" s="147"/>
      <c r="E37" s="23"/>
    </row>
    <row r="38" spans="1:12" x14ac:dyDescent="0.2">
      <c r="A38" s="151"/>
      <c r="B38" s="149"/>
      <c r="C38" s="38"/>
      <c r="D38" s="152"/>
      <c r="E38" s="146"/>
    </row>
    <row r="39" spans="1:12" x14ac:dyDescent="0.2">
      <c r="A39" s="23"/>
      <c r="B39" s="23"/>
      <c r="C39" s="23"/>
      <c r="D39" s="23"/>
      <c r="E39" s="23"/>
    </row>
    <row r="40" spans="1:12" x14ac:dyDescent="0.2">
      <c r="A40" s="23"/>
      <c r="B40" s="23"/>
      <c r="C40" s="146"/>
      <c r="D40" s="153"/>
      <c r="E40" s="23"/>
    </row>
    <row r="41" spans="1:12" s="22" customFormat="1" x14ac:dyDescent="0.2">
      <c r="A41" s="297"/>
      <c r="B41" s="297"/>
      <c r="C41" s="147"/>
      <c r="D41" s="38"/>
      <c r="E41" s="38"/>
    </row>
    <row r="42" spans="1:12" s="22" customFormat="1" x14ac:dyDescent="0.2">
      <c r="A42" s="145"/>
      <c r="B42" s="145"/>
      <c r="C42" s="38"/>
      <c r="D42" s="38"/>
      <c r="E42" s="38"/>
    </row>
    <row r="43" spans="1:12" x14ac:dyDescent="0.2">
      <c r="A43" s="148"/>
      <c r="B43" s="149"/>
      <c r="C43" s="146"/>
      <c r="D43" s="23"/>
      <c r="E43" s="23"/>
    </row>
    <row r="44" spans="1:12" x14ac:dyDescent="0.2">
      <c r="A44" s="148"/>
      <c r="B44" s="149"/>
      <c r="C44" s="146"/>
      <c r="D44" s="23"/>
      <c r="E44" s="23"/>
    </row>
    <row r="45" spans="1:12" x14ac:dyDescent="0.2">
      <c r="A45" s="148"/>
      <c r="B45" s="149"/>
      <c r="C45" s="146"/>
      <c r="D45" s="23"/>
      <c r="E45" s="23"/>
    </row>
    <row r="46" spans="1:12" x14ac:dyDescent="0.2">
      <c r="A46" s="148"/>
      <c r="B46" s="149"/>
      <c r="C46" s="146"/>
      <c r="D46" s="23"/>
      <c r="E46" s="23"/>
    </row>
    <row r="47" spans="1:12" x14ac:dyDescent="0.2">
      <c r="A47" s="151"/>
      <c r="B47" s="39"/>
      <c r="C47" s="39"/>
      <c r="D47" s="23"/>
      <c r="E47" s="23"/>
    </row>
    <row r="48" spans="1:12" x14ac:dyDescent="0.2">
      <c r="A48" s="23"/>
      <c r="B48" s="23"/>
      <c r="C48" s="23"/>
      <c r="D48" s="23"/>
      <c r="E48" s="23"/>
    </row>
  </sheetData>
  <mergeCells count="7">
    <mergeCell ref="A41:B41"/>
    <mergeCell ref="A2:A3"/>
    <mergeCell ref="B2:D2"/>
    <mergeCell ref="A1:D1"/>
    <mergeCell ref="B31:B33"/>
    <mergeCell ref="C31:C33"/>
    <mergeCell ref="D31:D33"/>
  </mergeCells>
  <conditionalFormatting sqref="B29:D29">
    <cfRule type="cellIs" dxfId="8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00B050"/>
  </sheetPr>
  <dimension ref="A1:AP115"/>
  <sheetViews>
    <sheetView showGridLines="0" zoomScaleNormal="100" workbookViewId="0">
      <selection activeCell="G67" sqref="G67"/>
    </sheetView>
  </sheetViews>
  <sheetFormatPr defaultColWidth="11.375" defaultRowHeight="15" x14ac:dyDescent="0.25"/>
  <cols>
    <col min="1" max="1" width="3.875" style="84" customWidth="1"/>
    <col min="2" max="2" width="19.25" style="84" bestFit="1" customWidth="1"/>
    <col min="3" max="7" width="11.375" style="84"/>
    <col min="8" max="8" width="33.125" style="84" bestFit="1" customWidth="1"/>
    <col min="9" max="9" width="45.25" style="84" customWidth="1"/>
    <col min="10" max="10" width="15" style="84" bestFit="1" customWidth="1"/>
    <col min="11" max="11" width="27" style="84" customWidth="1"/>
    <col min="12" max="12" width="7.375" style="84" bestFit="1" customWidth="1"/>
    <col min="13" max="13" width="6.875" style="84" customWidth="1"/>
    <col min="14" max="14" width="7.875" style="84" customWidth="1"/>
    <col min="15" max="15" width="5" style="84" customWidth="1"/>
    <col min="16" max="16" width="4.875" style="84" customWidth="1"/>
    <col min="17" max="16384" width="11.375" style="84"/>
  </cols>
  <sheetData>
    <row r="1" spans="1:36" ht="20.25" x14ac:dyDescent="0.3">
      <c r="B1" s="323" t="s">
        <v>86</v>
      </c>
      <c r="C1" s="324"/>
      <c r="D1" s="324"/>
      <c r="E1" s="324"/>
      <c r="F1" s="324"/>
      <c r="G1" s="324"/>
      <c r="H1" s="324"/>
      <c r="I1" s="325"/>
      <c r="J1" s="85"/>
      <c r="K1" s="85"/>
      <c r="L1" s="85"/>
    </row>
    <row r="2" spans="1:36" x14ac:dyDescent="0.25">
      <c r="B2" s="109"/>
      <c r="C2" s="83"/>
      <c r="D2" s="83"/>
      <c r="E2" s="83"/>
      <c r="F2" s="83"/>
      <c r="G2" s="83"/>
      <c r="H2" s="83"/>
      <c r="I2" s="110"/>
      <c r="J2" s="83"/>
      <c r="K2" s="83"/>
      <c r="L2" s="83"/>
    </row>
    <row r="3" spans="1:36" x14ac:dyDescent="0.25">
      <c r="B3" s="30" t="s">
        <v>83</v>
      </c>
      <c r="C3" s="34">
        <v>2014</v>
      </c>
      <c r="D3" s="34">
        <v>2015</v>
      </c>
      <c r="E3" s="34">
        <v>2016</v>
      </c>
      <c r="F3" s="34">
        <v>2017</v>
      </c>
      <c r="G3" s="34">
        <v>2018</v>
      </c>
      <c r="H3" s="31" t="s">
        <v>84</v>
      </c>
      <c r="I3" s="31" t="s">
        <v>85</v>
      </c>
      <c r="J3" s="103"/>
    </row>
    <row r="4" spans="1:36" x14ac:dyDescent="0.25">
      <c r="B4" s="104"/>
      <c r="C4" s="86"/>
      <c r="D4" s="86"/>
      <c r="E4" s="86"/>
      <c r="F4" s="86"/>
      <c r="G4" s="86"/>
      <c r="H4" s="83"/>
      <c r="I4" s="105"/>
      <c r="J4" s="83"/>
    </row>
    <row r="5" spans="1:36" x14ac:dyDescent="0.25">
      <c r="B5" s="313" t="s">
        <v>133</v>
      </c>
      <c r="C5" s="315">
        <f>+'BG ESPERADO'!D20-'BG ESPERADO'!D42</f>
        <v>55848.760000000009</v>
      </c>
      <c r="D5" s="315">
        <f>+'BG ESPERADO'!E20-'BG ESPERADO'!E42</f>
        <v>140625.28549999997</v>
      </c>
      <c r="E5" s="315">
        <f>+'BG ESPERADO'!F20-'BG ESPERADO'!F42</f>
        <v>162707.33901533406</v>
      </c>
      <c r="F5" s="315">
        <f>+'BG ESPERADO'!G20-'BG ESPERADO'!G42</f>
        <v>207430.33817491453</v>
      </c>
      <c r="G5" s="315">
        <f>+'BG ESPERADO'!H20-'BG ESPERADO'!H42</f>
        <v>280850.64551234216</v>
      </c>
      <c r="H5" s="319" t="s">
        <v>134</v>
      </c>
      <c r="I5" s="317" t="s">
        <v>279</v>
      </c>
      <c r="J5" s="308"/>
    </row>
    <row r="6" spans="1:36" x14ac:dyDescent="0.25">
      <c r="B6" s="314"/>
      <c r="C6" s="316"/>
      <c r="D6" s="316"/>
      <c r="E6" s="316"/>
      <c r="F6" s="316"/>
      <c r="G6" s="316"/>
      <c r="H6" s="320"/>
      <c r="I6" s="318"/>
      <c r="J6" s="308"/>
    </row>
    <row r="7" spans="1:36" x14ac:dyDescent="0.25">
      <c r="B7" s="104"/>
      <c r="C7" s="87"/>
      <c r="D7" s="87"/>
      <c r="E7" s="87"/>
      <c r="F7" s="87"/>
      <c r="G7" s="87"/>
      <c r="H7" s="83"/>
      <c r="I7" s="106"/>
      <c r="J7" s="83"/>
    </row>
    <row r="8" spans="1:36" x14ac:dyDescent="0.25">
      <c r="B8" s="313" t="s">
        <v>86</v>
      </c>
      <c r="C8" s="311">
        <f>+'BG ESPERADO'!D20/'BG ESPERADO'!D42</f>
        <v>1.1462388037112226</v>
      </c>
      <c r="D8" s="311">
        <f>+'BG ESPERADO'!E20/'BG ESPERADO'!E42</f>
        <v>1.5909304154553432</v>
      </c>
      <c r="E8" s="311">
        <f>+'BG ESPERADO'!F20/'BG ESPERADO'!F42</f>
        <v>1.6883039900024885</v>
      </c>
      <c r="F8" s="311">
        <f>+'BG ESPERADO'!G20/'BG ESPERADO'!G42</f>
        <v>1.8365391771941311</v>
      </c>
      <c r="G8" s="311">
        <f>+'BG ESPERADO'!H20/'BG ESPERADO'!H42</f>
        <v>2.0694312110922897</v>
      </c>
      <c r="H8" s="32" t="s">
        <v>71</v>
      </c>
      <c r="I8" s="321" t="s">
        <v>280</v>
      </c>
      <c r="J8" s="308"/>
    </row>
    <row r="9" spans="1:36" ht="22.5" customHeight="1" x14ac:dyDescent="0.25">
      <c r="B9" s="314"/>
      <c r="C9" s="312"/>
      <c r="D9" s="312"/>
      <c r="E9" s="312"/>
      <c r="F9" s="312"/>
      <c r="G9" s="312"/>
      <c r="H9" s="33" t="s">
        <v>87</v>
      </c>
      <c r="I9" s="322"/>
      <c r="J9" s="308"/>
    </row>
    <row r="10" spans="1:36" x14ac:dyDescent="0.25">
      <c r="B10" s="104"/>
      <c r="C10" s="87"/>
      <c r="D10" s="87"/>
      <c r="E10" s="87"/>
      <c r="F10" s="87"/>
      <c r="G10" s="87"/>
      <c r="H10" s="83"/>
      <c r="I10" s="106"/>
      <c r="J10" s="83"/>
    </row>
    <row r="11" spans="1:36" ht="15" customHeight="1" x14ac:dyDescent="0.25">
      <c r="B11" s="309" t="s">
        <v>135</v>
      </c>
      <c r="C11" s="311">
        <f>('BG ESPERADO'!D20-'BG ESPERADO'!D18)/'BG ESPERADO'!D42</f>
        <v>1.0191479940749057</v>
      </c>
      <c r="D11" s="311">
        <f>('BG ESPERADO'!E20-'BG ESPERADO'!E18)/'BG ESPERADO'!E42</f>
        <v>1.1742513812967792</v>
      </c>
      <c r="E11" s="311">
        <f>('BG ESPERADO'!F20-'BG ESPERADO'!F18)/'BG ESPERADO'!F42</f>
        <v>1.2688330621354158</v>
      </c>
      <c r="F11" s="311">
        <f>('BG ESPERADO'!G20-'BG ESPERADO'!G18)/'BG ESPERADO'!G42</f>
        <v>1.4366471628404367</v>
      </c>
      <c r="G11" s="311">
        <f>('BG ESPERADO'!H20-'BG ESPERADO'!H18)/'BG ESPERADO'!H42</f>
        <v>1.6918536729993765</v>
      </c>
      <c r="H11" s="32" t="s">
        <v>136</v>
      </c>
      <c r="I11" s="321" t="s">
        <v>281</v>
      </c>
      <c r="J11" s="308"/>
    </row>
    <row r="12" spans="1:36" ht="22.5" customHeight="1" x14ac:dyDescent="0.25">
      <c r="B12" s="310"/>
      <c r="C12" s="312"/>
      <c r="D12" s="312"/>
      <c r="E12" s="312"/>
      <c r="F12" s="312"/>
      <c r="G12" s="312"/>
      <c r="H12" s="33" t="s">
        <v>87</v>
      </c>
      <c r="I12" s="322"/>
      <c r="J12" s="308"/>
    </row>
    <row r="14" spans="1:36" x14ac:dyDescent="0.25">
      <c r="C14" s="93"/>
    </row>
    <row r="15" spans="1:36" x14ac:dyDescent="0.2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</row>
    <row r="16" spans="1:36" ht="20.25" x14ac:dyDescent="0.3">
      <c r="A16" s="83"/>
      <c r="B16" s="323" t="s">
        <v>156</v>
      </c>
      <c r="C16" s="324"/>
      <c r="D16" s="324"/>
      <c r="E16" s="324"/>
      <c r="F16" s="324"/>
      <c r="G16" s="324"/>
      <c r="H16" s="324"/>
      <c r="I16" s="325"/>
      <c r="J16" s="85"/>
      <c r="K16" s="85"/>
      <c r="L16" s="85"/>
      <c r="M16" s="85"/>
      <c r="N16" s="85"/>
      <c r="O16" s="85"/>
      <c r="P16" s="85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</row>
    <row r="17" spans="1:34" x14ac:dyDescent="0.25">
      <c r="A17" s="83"/>
      <c r="B17" s="109"/>
      <c r="C17" s="83"/>
      <c r="D17" s="83"/>
      <c r="E17" s="83"/>
      <c r="F17" s="83"/>
      <c r="G17" s="83"/>
      <c r="H17" s="83"/>
      <c r="I17" s="110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</row>
    <row r="18" spans="1:34" s="83" customFormat="1" ht="15" customHeight="1" x14ac:dyDescent="0.2">
      <c r="B18" s="30" t="s">
        <v>83</v>
      </c>
      <c r="C18" s="34">
        <v>2014</v>
      </c>
      <c r="D18" s="34">
        <v>2015</v>
      </c>
      <c r="E18" s="34">
        <v>2016</v>
      </c>
      <c r="F18" s="34">
        <v>2017</v>
      </c>
      <c r="G18" s="34">
        <v>2018</v>
      </c>
      <c r="H18" s="31" t="s">
        <v>84</v>
      </c>
      <c r="I18" s="31" t="s">
        <v>85</v>
      </c>
      <c r="J18" s="103"/>
    </row>
    <row r="19" spans="1:34" s="83" customFormat="1" ht="9" customHeight="1" x14ac:dyDescent="0.2">
      <c r="B19" s="104"/>
      <c r="C19" s="86"/>
      <c r="D19" s="86"/>
      <c r="E19" s="86"/>
      <c r="F19" s="86"/>
      <c r="G19" s="86"/>
      <c r="I19" s="105"/>
    </row>
    <row r="20" spans="1:34" s="83" customFormat="1" ht="20.100000000000001" customHeight="1" x14ac:dyDescent="0.2">
      <c r="B20" s="326" t="s">
        <v>137</v>
      </c>
      <c r="C20" s="311">
        <f>'ER ESPERADO'!E20/(('BG ESPERADO'!D18+96345.96)/2)</f>
        <v>21.517869014580683</v>
      </c>
      <c r="D20" s="311">
        <f>+'ER ESPERADO'!F20/(('BG ESPERADO'!E18+'BG ESPERADO'!D18)/2)</f>
        <v>10.513407081137979</v>
      </c>
      <c r="E20" s="311">
        <f>+'ER ESPERADO'!G20/(('BG ESPERADO'!F18+'BG ESPERADO'!E18)/2)</f>
        <v>10.079900080376595</v>
      </c>
      <c r="F20" s="311">
        <f>+'ER ESPERADO'!H20/(('BG ESPERADO'!G18+'BG ESPERADO'!F18)/2)</f>
        <v>12.472858739824616</v>
      </c>
      <c r="G20" s="311">
        <f>+'ER ESPERADO'!I20/(('BG ESPERADO'!H18+'BG ESPERADO'!G18)/2)</f>
        <v>15.43924133077749</v>
      </c>
      <c r="H20" s="32" t="s">
        <v>138</v>
      </c>
      <c r="I20" s="321" t="s">
        <v>266</v>
      </c>
      <c r="J20" s="308"/>
    </row>
    <row r="21" spans="1:34" s="83" customFormat="1" ht="20.100000000000001" customHeight="1" x14ac:dyDescent="0.2">
      <c r="B21" s="327"/>
      <c r="C21" s="312"/>
      <c r="D21" s="312"/>
      <c r="E21" s="312"/>
      <c r="F21" s="312"/>
      <c r="G21" s="312"/>
      <c r="H21" s="33" t="s">
        <v>139</v>
      </c>
      <c r="I21" s="322"/>
      <c r="J21" s="308"/>
    </row>
    <row r="22" spans="1:34" s="83" customFormat="1" ht="9" customHeight="1" x14ac:dyDescent="0.2">
      <c r="B22" s="104"/>
      <c r="C22" s="87"/>
      <c r="D22" s="87"/>
      <c r="E22" s="87"/>
      <c r="F22" s="87"/>
      <c r="G22" s="87"/>
      <c r="I22" s="106"/>
    </row>
    <row r="23" spans="1:34" s="83" customFormat="1" ht="20.100000000000001" customHeight="1" x14ac:dyDescent="0.2">
      <c r="B23" s="326" t="s">
        <v>140</v>
      </c>
      <c r="C23" s="311">
        <f>365/C20</f>
        <v>16.962646243114179</v>
      </c>
      <c r="D23" s="311">
        <f t="shared" ref="D23:G23" si="0">365/D20</f>
        <v>34.717575109865535</v>
      </c>
      <c r="E23" s="311">
        <f t="shared" si="0"/>
        <v>36.210676404479123</v>
      </c>
      <c r="F23" s="311">
        <f t="shared" si="0"/>
        <v>29.263539948110754</v>
      </c>
      <c r="G23" s="311">
        <f t="shared" si="0"/>
        <v>23.641058014449687</v>
      </c>
      <c r="H23" s="32" t="s">
        <v>141</v>
      </c>
      <c r="I23" s="321" t="s">
        <v>267</v>
      </c>
      <c r="J23" s="308"/>
    </row>
    <row r="24" spans="1:34" s="83" customFormat="1" ht="20.100000000000001" customHeight="1" x14ac:dyDescent="0.2">
      <c r="B24" s="327"/>
      <c r="C24" s="312"/>
      <c r="D24" s="312"/>
      <c r="E24" s="312"/>
      <c r="F24" s="312"/>
      <c r="G24" s="312"/>
      <c r="H24" s="33" t="s">
        <v>137</v>
      </c>
      <c r="I24" s="322"/>
      <c r="J24" s="308"/>
    </row>
    <row r="25" spans="1:34" s="83" customFormat="1" ht="9" customHeight="1" x14ac:dyDescent="0.2">
      <c r="B25" s="104"/>
      <c r="C25" s="87"/>
      <c r="D25" s="87"/>
      <c r="E25" s="87"/>
      <c r="F25" s="87"/>
      <c r="G25" s="87"/>
      <c r="I25" s="106"/>
    </row>
    <row r="26" spans="1:34" s="83" customFormat="1" ht="20.100000000000001" customHeight="1" x14ac:dyDescent="0.2">
      <c r="B26" s="326" t="s">
        <v>142</v>
      </c>
      <c r="C26" s="311">
        <f>'ER ESPERADO'!E13/'BG ESPERADO'!D27</f>
        <v>14.111362573049352</v>
      </c>
      <c r="D26" s="311">
        <f>'ER ESPERADO'!F13/'BG ESPERADO'!E27</f>
        <v>8.9863941898878466</v>
      </c>
      <c r="E26" s="311">
        <f>'ER ESPERADO'!G13/'BG ESPERADO'!F27</f>
        <v>13.397846626491022</v>
      </c>
      <c r="F26" s="311">
        <f>'ER ESPERADO'!H13/'BG ESPERADO'!G27</f>
        <v>20.827623138875921</v>
      </c>
      <c r="G26" s="311">
        <f>'ER ESPERADO'!I13/'BG ESPERADO'!H27</f>
        <v>34.604306075563947</v>
      </c>
      <c r="H26" s="32" t="s">
        <v>143</v>
      </c>
      <c r="I26" s="321" t="s">
        <v>268</v>
      </c>
      <c r="J26" s="308"/>
    </row>
    <row r="27" spans="1:34" s="83" customFormat="1" ht="20.100000000000001" customHeight="1" x14ac:dyDescent="0.2">
      <c r="B27" s="327"/>
      <c r="C27" s="312"/>
      <c r="D27" s="312"/>
      <c r="E27" s="312"/>
      <c r="F27" s="312"/>
      <c r="G27" s="312"/>
      <c r="H27" s="33" t="s">
        <v>70</v>
      </c>
      <c r="I27" s="322"/>
      <c r="J27" s="308"/>
    </row>
    <row r="28" spans="1:34" s="83" customFormat="1" ht="9" customHeight="1" x14ac:dyDescent="0.2">
      <c r="B28" s="104"/>
      <c r="C28" s="87"/>
      <c r="D28" s="87"/>
      <c r="E28" s="87"/>
      <c r="F28" s="87"/>
      <c r="G28" s="87"/>
      <c r="I28" s="106"/>
    </row>
    <row r="29" spans="1:34" s="83" customFormat="1" ht="20.100000000000001" customHeight="1" x14ac:dyDescent="0.2">
      <c r="B29" s="309" t="s">
        <v>144</v>
      </c>
      <c r="C29" s="311">
        <f>'ER ESPERADO'!E13/'BG ESPERADO'!D29</f>
        <v>3.0422984228316294</v>
      </c>
      <c r="D29" s="311">
        <f>'ER ESPERADO'!F13/'BG ESPERADO'!E29</f>
        <v>1.9216858898716058</v>
      </c>
      <c r="E29" s="311">
        <f>'ER ESPERADO'!G13/'BG ESPERADO'!F29</f>
        <v>2.3673215751352013</v>
      </c>
      <c r="F29" s="311">
        <f>'ER ESPERADO'!H13/'BG ESPERADO'!G29</f>
        <v>2.717071355548879</v>
      </c>
      <c r="G29" s="311">
        <f>'ER ESPERADO'!I13/'BG ESPERADO'!H29</f>
        <v>2.9682193473173868</v>
      </c>
      <c r="H29" s="32" t="s">
        <v>69</v>
      </c>
      <c r="I29" s="321" t="s">
        <v>269</v>
      </c>
      <c r="J29" s="308"/>
    </row>
    <row r="30" spans="1:34" s="83" customFormat="1" ht="20.100000000000001" customHeight="1" x14ac:dyDescent="0.2">
      <c r="B30" s="310"/>
      <c r="C30" s="312"/>
      <c r="D30" s="312"/>
      <c r="E30" s="312"/>
      <c r="F30" s="312"/>
      <c r="G30" s="312"/>
      <c r="H30" s="33" t="s">
        <v>145</v>
      </c>
      <c r="I30" s="322"/>
      <c r="J30" s="308"/>
    </row>
    <row r="31" spans="1:34" s="83" customFormat="1" ht="9" customHeight="1" x14ac:dyDescent="0.2">
      <c r="B31" s="104"/>
      <c r="C31" s="87"/>
      <c r="D31" s="87"/>
      <c r="E31" s="87"/>
      <c r="F31" s="87"/>
      <c r="G31" s="87"/>
      <c r="I31" s="106"/>
    </row>
    <row r="32" spans="1:34" s="83" customFormat="1" ht="20.100000000000001" customHeight="1" x14ac:dyDescent="0.2">
      <c r="B32" s="313" t="s">
        <v>146</v>
      </c>
      <c r="C32" s="311">
        <f>'ER ESPERADO'!E13/'BG ESPERADO'!D12</f>
        <v>5.745011648740971</v>
      </c>
      <c r="D32" s="311">
        <f>'ER ESPERADO'!F13/'BG ESPERADO'!E12</f>
        <v>3.6921922140572709</v>
      </c>
      <c r="E32" s="311">
        <f>'ER ESPERADO'!G13/'BG ESPERADO'!F12</f>
        <v>4.5783183454310166</v>
      </c>
      <c r="F32" s="311">
        <f>'ER ESPERADO'!H13/'BG ESPERADO'!G12</f>
        <v>5.6771147483344615</v>
      </c>
      <c r="G32" s="311">
        <f>'ER ESPERADO'!I13/'BG ESPERADO'!H12</f>
        <v>7.0396222879347308</v>
      </c>
      <c r="H32" s="32" t="s">
        <v>69</v>
      </c>
      <c r="I32" s="321" t="s">
        <v>270</v>
      </c>
      <c r="J32" s="308"/>
    </row>
    <row r="33" spans="1:34" s="83" customFormat="1" ht="20.100000000000001" customHeight="1" x14ac:dyDescent="0.2">
      <c r="B33" s="314"/>
      <c r="C33" s="312"/>
      <c r="D33" s="312"/>
      <c r="E33" s="312"/>
      <c r="F33" s="312"/>
      <c r="G33" s="312"/>
      <c r="H33" s="33" t="s">
        <v>7</v>
      </c>
      <c r="I33" s="322"/>
      <c r="J33" s="308"/>
    </row>
    <row r="34" spans="1:34" s="83" customFormat="1" ht="9" customHeight="1" x14ac:dyDescent="0.2">
      <c r="B34" s="104"/>
      <c r="C34" s="89"/>
      <c r="D34" s="89"/>
      <c r="E34" s="89"/>
      <c r="F34" s="89"/>
      <c r="G34" s="89"/>
      <c r="I34" s="106"/>
    </row>
    <row r="35" spans="1:34" s="83" customFormat="1" ht="20.100000000000001" customHeight="1" x14ac:dyDescent="0.2">
      <c r="B35" s="326" t="s">
        <v>147</v>
      </c>
      <c r="C35" s="311">
        <f>('BG ESPERADO'!D12*365)/'ER ESPERADO'!E13</f>
        <v>63.533378575479539</v>
      </c>
      <c r="D35" s="311">
        <f>('BG ESPERADO'!E12*365)/'ER ESPERADO'!F13</f>
        <v>98.857258462963202</v>
      </c>
      <c r="E35" s="311">
        <f>('BG ESPERADO'!F12*365)/'ER ESPERADO'!G13</f>
        <v>79.723595534647743</v>
      </c>
      <c r="F35" s="311">
        <f>('BG ESPERADO'!G12*365)/'ER ESPERADO'!H13</f>
        <v>64.293222205361076</v>
      </c>
      <c r="G35" s="311">
        <f>('BG ESPERADO'!H12*365)/'ER ESPERADO'!I13</f>
        <v>51.849372746258936</v>
      </c>
      <c r="H35" s="32" t="s">
        <v>148</v>
      </c>
      <c r="I35" s="321" t="s">
        <v>271</v>
      </c>
      <c r="J35" s="308"/>
    </row>
    <row r="36" spans="1:34" s="83" customFormat="1" ht="20.100000000000001" customHeight="1" x14ac:dyDescent="0.2">
      <c r="B36" s="327"/>
      <c r="C36" s="312"/>
      <c r="D36" s="312"/>
      <c r="E36" s="312"/>
      <c r="F36" s="312"/>
      <c r="G36" s="312"/>
      <c r="H36" s="100" t="s">
        <v>69</v>
      </c>
      <c r="I36" s="322"/>
      <c r="J36" s="308"/>
    </row>
    <row r="37" spans="1:34" s="83" customFormat="1" ht="9" customHeight="1" x14ac:dyDescent="0.2">
      <c r="B37" s="104"/>
      <c r="C37" s="89"/>
      <c r="D37" s="89"/>
      <c r="E37" s="89"/>
      <c r="F37" s="89"/>
      <c r="G37" s="89"/>
      <c r="I37" s="106"/>
    </row>
    <row r="38" spans="1:34" s="83" customFormat="1" ht="19.5" customHeight="1" x14ac:dyDescent="0.2">
      <c r="B38" s="326" t="s">
        <v>149</v>
      </c>
      <c r="C38" s="311">
        <f>('BG ESPERADO'!D37*365)/'BG ESPERADO'!D18</f>
        <v>2091.0883729478169</v>
      </c>
      <c r="D38" s="311">
        <f>('BG ESPERADO'!E37*365)/'BG ESPERADO'!E18</f>
        <v>435.61857151126753</v>
      </c>
      <c r="E38" s="311">
        <f>('BG ESPERADO'!F37*365)/'BG ESPERADO'!F18</f>
        <v>435.61857151126753</v>
      </c>
      <c r="F38" s="311">
        <f>('BG ESPERADO'!G37*365)/'BG ESPERADO'!G18</f>
        <v>435.61857151126753</v>
      </c>
      <c r="G38" s="311">
        <f>('BG ESPERADO'!H37*365)/'BG ESPERADO'!H18</f>
        <v>435.61857151126753</v>
      </c>
      <c r="H38" s="102" t="s">
        <v>150</v>
      </c>
      <c r="I38" s="321" t="s">
        <v>151</v>
      </c>
      <c r="J38" s="308"/>
    </row>
    <row r="39" spans="1:34" s="83" customFormat="1" ht="20.100000000000001" customHeight="1" x14ac:dyDescent="0.2">
      <c r="B39" s="327"/>
      <c r="C39" s="312"/>
      <c r="D39" s="312"/>
      <c r="E39" s="312"/>
      <c r="F39" s="312"/>
      <c r="G39" s="312"/>
      <c r="H39" s="101" t="s">
        <v>13</v>
      </c>
      <c r="I39" s="322"/>
      <c r="J39" s="308"/>
    </row>
    <row r="40" spans="1:34" s="83" customFormat="1" ht="9" customHeight="1" x14ac:dyDescent="0.2">
      <c r="B40" s="104"/>
      <c r="C40" s="89"/>
      <c r="D40" s="89"/>
      <c r="E40" s="89"/>
      <c r="F40" s="89"/>
      <c r="G40" s="89"/>
      <c r="I40" s="106"/>
    </row>
    <row r="41" spans="1:34" s="83" customFormat="1" ht="19.5" customHeight="1" x14ac:dyDescent="0.2">
      <c r="B41" s="326" t="s">
        <v>152</v>
      </c>
      <c r="C41" s="329">
        <f>('ER ESPERADO'!E32+'ER ESPERADO'!E34)/'ER ESPERADO'!E13</f>
        <v>7.8336848004671278E-2</v>
      </c>
      <c r="D41" s="329">
        <f>('ER ESPERADO'!F32+'ER ESPERADO'!F34)/'ER ESPERADO'!F13</f>
        <v>0.14434519326494208</v>
      </c>
      <c r="E41" s="329">
        <f>('ER ESPERADO'!G32+'ER ESPERADO'!G34)/'ER ESPERADO'!G13</f>
        <v>0.11983151860007894</v>
      </c>
      <c r="F41" s="329">
        <f>('ER ESPERADO'!H32+'ER ESPERADO'!H34)/'ER ESPERADO'!H13</f>
        <v>9.9493030657170342E-2</v>
      </c>
      <c r="G41" s="329">
        <f>('ER ESPERADO'!I32+'ER ESPERADO'!I34)/'ER ESPERADO'!I13</f>
        <v>8.2616313736943434E-2</v>
      </c>
      <c r="H41" s="102" t="s">
        <v>154</v>
      </c>
      <c r="I41" s="321" t="s">
        <v>173</v>
      </c>
      <c r="J41" s="308"/>
    </row>
    <row r="42" spans="1:34" s="83" customFormat="1" ht="20.100000000000001" customHeight="1" x14ac:dyDescent="0.2">
      <c r="B42" s="327"/>
      <c r="C42" s="330"/>
      <c r="D42" s="330"/>
      <c r="E42" s="330"/>
      <c r="F42" s="330"/>
      <c r="G42" s="330"/>
      <c r="H42" s="101" t="s">
        <v>69</v>
      </c>
      <c r="I42" s="322"/>
      <c r="J42" s="308"/>
    </row>
    <row r="43" spans="1:34" s="83" customFormat="1" ht="9" customHeight="1" x14ac:dyDescent="0.2">
      <c r="B43" s="104"/>
      <c r="C43" s="239"/>
      <c r="D43" s="239"/>
      <c r="E43" s="239"/>
      <c r="F43" s="239"/>
      <c r="G43" s="239"/>
      <c r="I43" s="106"/>
    </row>
    <row r="44" spans="1:34" s="83" customFormat="1" ht="19.5" customHeight="1" x14ac:dyDescent="0.2">
      <c r="B44" s="326" t="s">
        <v>153</v>
      </c>
      <c r="C44" s="329">
        <f>('ER ESPERADO'!E42/'ER ESPERADO'!E13)</f>
        <v>3.744109780257414E-3</v>
      </c>
      <c r="D44" s="329">
        <f>('ER ESPERADO'!F42/'ER ESPERADO'!F13)</f>
        <v>2.2042844300270144E-3</v>
      </c>
      <c r="E44" s="329">
        <f>('ER ESPERADO'!G42/'ER ESPERADO'!G13)</f>
        <v>1.7776487338927536E-3</v>
      </c>
      <c r="F44" s="329">
        <f>('ER ESPERADO'!H42/'ER ESPERADO'!H13)</f>
        <v>1.433587688623188E-3</v>
      </c>
      <c r="G44" s="329">
        <f>('ER ESPERADO'!I42/'ER ESPERADO'!I13)</f>
        <v>1.1561191037283776E-3</v>
      </c>
      <c r="H44" s="102" t="s">
        <v>155</v>
      </c>
      <c r="I44" s="321" t="s">
        <v>174</v>
      </c>
      <c r="J44" s="308"/>
    </row>
    <row r="45" spans="1:34" s="83" customFormat="1" ht="20.100000000000001" customHeight="1" x14ac:dyDescent="0.2">
      <c r="B45" s="327"/>
      <c r="C45" s="330"/>
      <c r="D45" s="330"/>
      <c r="E45" s="330"/>
      <c r="F45" s="330"/>
      <c r="G45" s="330"/>
      <c r="H45" s="101" t="s">
        <v>69</v>
      </c>
      <c r="I45" s="322"/>
      <c r="J45" s="308"/>
    </row>
    <row r="46" spans="1:34" x14ac:dyDescent="0.25">
      <c r="A46" s="93"/>
      <c r="B46" s="93"/>
      <c r="C46" s="93"/>
      <c r="D46" s="93"/>
      <c r="E46" s="93"/>
      <c r="F46" s="93"/>
      <c r="G46" s="93"/>
      <c r="H46" s="93"/>
      <c r="I46" s="93"/>
    </row>
    <row r="47" spans="1:34" x14ac:dyDescent="0.25">
      <c r="A47" s="93"/>
      <c r="B47" s="93"/>
      <c r="C47" s="93"/>
      <c r="D47" s="93"/>
      <c r="E47" s="93"/>
      <c r="F47" s="93"/>
      <c r="G47" s="93"/>
      <c r="H47" s="93"/>
      <c r="I47" s="93"/>
    </row>
    <row r="48" spans="1:34" ht="20.25" x14ac:dyDescent="0.3">
      <c r="A48" s="83"/>
      <c r="B48" s="323" t="s">
        <v>88</v>
      </c>
      <c r="C48" s="324"/>
      <c r="D48" s="324"/>
      <c r="E48" s="324"/>
      <c r="F48" s="324"/>
      <c r="G48" s="324"/>
      <c r="H48" s="324"/>
      <c r="I48" s="325"/>
      <c r="J48" s="85"/>
      <c r="K48" s="85"/>
      <c r="L48" s="85"/>
      <c r="M48" s="85"/>
      <c r="N48" s="85"/>
      <c r="O48" s="85"/>
      <c r="P48" s="85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</row>
    <row r="49" spans="1:42" x14ac:dyDescent="0.25">
      <c r="A49" s="83"/>
      <c r="B49" s="109"/>
      <c r="C49" s="83"/>
      <c r="D49" s="83"/>
      <c r="E49" s="83"/>
      <c r="F49" s="83"/>
      <c r="G49" s="83"/>
      <c r="H49" s="83"/>
      <c r="I49" s="110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</row>
    <row r="50" spans="1:42" ht="15" customHeight="1" x14ac:dyDescent="0.25">
      <c r="B50" s="111"/>
      <c r="C50" s="78">
        <v>2014</v>
      </c>
      <c r="D50" s="78">
        <v>2015</v>
      </c>
      <c r="E50" s="78">
        <v>2016</v>
      </c>
      <c r="F50" s="78">
        <v>2017</v>
      </c>
      <c r="G50" s="78">
        <v>2018</v>
      </c>
      <c r="H50" s="78" t="s">
        <v>84</v>
      </c>
      <c r="I50" s="78" t="s">
        <v>85</v>
      </c>
    </row>
    <row r="51" spans="1:42" ht="9" customHeight="1" x14ac:dyDescent="0.25">
      <c r="B51" s="104"/>
      <c r="C51" s="112"/>
      <c r="D51" s="112"/>
      <c r="E51" s="112"/>
      <c r="F51" s="112"/>
      <c r="G51" s="112"/>
      <c r="H51" s="93"/>
      <c r="I51" s="106"/>
    </row>
    <row r="52" spans="1:42" ht="20.100000000000001" customHeight="1" x14ac:dyDescent="0.25">
      <c r="B52" s="326" t="s">
        <v>157</v>
      </c>
      <c r="C52" s="311">
        <f>+'BG ESPERADO'!D51/'BG ESPERADO'!D29</f>
        <v>0.69574792729444135</v>
      </c>
      <c r="D52" s="311">
        <f>+'BG ESPERADO'!E51/'BG ESPERADO'!E29</f>
        <v>0.63034466402298628</v>
      </c>
      <c r="E52" s="311">
        <f>+'BG ESPERADO'!F51/'BG ESPERADO'!F29</f>
        <v>0.62295878320788545</v>
      </c>
      <c r="F52" s="311">
        <f>+'BG ESPERADO'!G51/'BG ESPERADO'!G29</f>
        <v>0.59870829791731417</v>
      </c>
      <c r="G52" s="311">
        <f>+'BG ESPERADO'!H51/'BG ESPERADO'!H29</f>
        <v>0.55211042364443952</v>
      </c>
      <c r="H52" s="32" t="s">
        <v>161</v>
      </c>
      <c r="I52" s="321" t="s">
        <v>272</v>
      </c>
      <c r="Q52" s="83"/>
    </row>
    <row r="53" spans="1:42" ht="20.100000000000001" customHeight="1" x14ac:dyDescent="0.25">
      <c r="B53" s="328"/>
      <c r="C53" s="312"/>
      <c r="D53" s="312"/>
      <c r="E53" s="312"/>
      <c r="F53" s="312"/>
      <c r="G53" s="312"/>
      <c r="H53" s="33" t="s">
        <v>145</v>
      </c>
      <c r="I53" s="322"/>
      <c r="Q53" s="83"/>
    </row>
    <row r="54" spans="1:42" ht="9" customHeight="1" x14ac:dyDescent="0.25">
      <c r="B54" s="113"/>
      <c r="C54" s="114"/>
      <c r="D54" s="114"/>
      <c r="E54" s="114"/>
      <c r="F54" s="114"/>
      <c r="G54" s="114"/>
      <c r="H54" s="93"/>
      <c r="I54" s="106"/>
      <c r="Q54" s="83"/>
    </row>
    <row r="55" spans="1:42" ht="20.100000000000001" customHeight="1" x14ac:dyDescent="0.25">
      <c r="B55" s="326" t="s">
        <v>158</v>
      </c>
      <c r="C55" s="311">
        <f>+'BG ESPERADO'!D51/'BG ESPERADO'!D60</f>
        <v>2.1997373555932431</v>
      </c>
      <c r="D55" s="311">
        <f>+'BG ESPERADO'!E51/'BG ESPERADO'!E60</f>
        <v>1.7052227277618837</v>
      </c>
      <c r="E55" s="311">
        <f>+'BG ESPERADO'!F51/'BG ESPERADO'!F60</f>
        <v>1.6522299299478458</v>
      </c>
      <c r="F55" s="311">
        <f>+'BG ESPERADO'!G51/'BG ESPERADO'!G60</f>
        <v>1.4919528482897737</v>
      </c>
      <c r="G55" s="311">
        <f>+'BG ESPERADO'!H51/'BG ESPERADO'!H60</f>
        <v>1.2326931743688159</v>
      </c>
      <c r="H55" s="32" t="s">
        <v>162</v>
      </c>
      <c r="I55" s="321" t="s">
        <v>273</v>
      </c>
    </row>
    <row r="56" spans="1:42" ht="20.100000000000001" customHeight="1" x14ac:dyDescent="0.25">
      <c r="B56" s="328"/>
      <c r="C56" s="312"/>
      <c r="D56" s="312"/>
      <c r="E56" s="312"/>
      <c r="F56" s="312"/>
      <c r="G56" s="312"/>
      <c r="H56" s="33" t="s">
        <v>35</v>
      </c>
      <c r="I56" s="322"/>
    </row>
    <row r="57" spans="1:42" ht="9" customHeight="1" x14ac:dyDescent="0.25">
      <c r="B57" s="113"/>
      <c r="C57" s="114"/>
      <c r="D57" s="114"/>
      <c r="E57" s="114"/>
      <c r="F57" s="114"/>
      <c r="G57" s="114"/>
      <c r="H57" s="93"/>
      <c r="I57" s="106"/>
    </row>
    <row r="58" spans="1:42" ht="20.100000000000001" customHeight="1" x14ac:dyDescent="0.25">
      <c r="B58" s="326" t="s">
        <v>159</v>
      </c>
      <c r="C58" s="311">
        <f>'BG ESPERADO'!D60/'BG ESPERADO'!D27</f>
        <v>1.4670611941847931</v>
      </c>
      <c r="D58" s="311">
        <f>'BG ESPERADO'!E60/'BG ESPERADO'!E27</f>
        <v>1.728621984981823</v>
      </c>
      <c r="E58" s="311">
        <f>'BG ESPERADO'!F60/'BG ESPERADO'!F27</f>
        <v>2.1338632011402159</v>
      </c>
      <c r="F58" s="311">
        <f>'BG ESPERADO'!G60/'BG ESPERADO'!G27</f>
        <v>3.0760886432619459</v>
      </c>
      <c r="G58" s="311">
        <f>'BG ESPERADO'!H60/'BG ESPERADO'!H27</f>
        <v>5.2216181402732422</v>
      </c>
      <c r="H58" s="32" t="s">
        <v>35</v>
      </c>
      <c r="I58" s="321" t="s">
        <v>175</v>
      </c>
    </row>
    <row r="59" spans="1:42" ht="20.100000000000001" customHeight="1" x14ac:dyDescent="0.25">
      <c r="B59" s="328"/>
      <c r="C59" s="312"/>
      <c r="D59" s="312"/>
      <c r="E59" s="312"/>
      <c r="F59" s="312"/>
      <c r="G59" s="312"/>
      <c r="H59" s="33" t="s">
        <v>163</v>
      </c>
      <c r="I59" s="322"/>
    </row>
    <row r="60" spans="1:42" ht="9" customHeight="1" x14ac:dyDescent="0.25">
      <c r="B60" s="113"/>
      <c r="C60" s="114"/>
      <c r="D60" s="114"/>
      <c r="E60" s="114"/>
      <c r="F60" s="114"/>
      <c r="G60" s="114"/>
      <c r="H60" s="93"/>
      <c r="I60" s="106"/>
    </row>
    <row r="61" spans="1:42" ht="20.100000000000001" customHeight="1" x14ac:dyDescent="0.25">
      <c r="B61" s="326" t="s">
        <v>95</v>
      </c>
      <c r="C61" s="311">
        <f>'BG ESPERADO'!D29/'BG ESPERADO'!D60</f>
        <v>3.1616872566870207</v>
      </c>
      <c r="D61" s="311">
        <f>'BG ESPERADO'!E29/'BG ESPERADO'!E60</f>
        <v>2.7052227536579903</v>
      </c>
      <c r="E61" s="311">
        <f>'BG ESPERADO'!F29/'BG ESPERADO'!F60</f>
        <v>2.6522299299478465</v>
      </c>
      <c r="F61" s="311">
        <f>'BG ESPERADO'!G29/'BG ESPERADO'!G60</f>
        <v>2.4919528482897744</v>
      </c>
      <c r="G61" s="311">
        <f>'BG ESPERADO'!H29/'BG ESPERADO'!H60</f>
        <v>2.2326931743688165</v>
      </c>
      <c r="H61" s="32" t="s">
        <v>145</v>
      </c>
      <c r="I61" s="321" t="s">
        <v>282</v>
      </c>
    </row>
    <row r="62" spans="1:42" ht="20.100000000000001" customHeight="1" x14ac:dyDescent="0.25">
      <c r="B62" s="328"/>
      <c r="C62" s="312"/>
      <c r="D62" s="312"/>
      <c r="E62" s="312"/>
      <c r="F62" s="312"/>
      <c r="G62" s="312"/>
      <c r="H62" s="33" t="s">
        <v>35</v>
      </c>
      <c r="I62" s="322"/>
    </row>
    <row r="63" spans="1:42" ht="9" customHeight="1" x14ac:dyDescent="0.25">
      <c r="B63" s="113"/>
      <c r="C63" s="114"/>
      <c r="D63" s="114"/>
      <c r="E63" s="114"/>
      <c r="F63" s="114"/>
      <c r="G63" s="114"/>
      <c r="H63" s="93"/>
      <c r="I63" s="106"/>
    </row>
    <row r="64" spans="1:42" ht="20.100000000000001" customHeight="1" x14ac:dyDescent="0.25">
      <c r="B64" s="326" t="s">
        <v>160</v>
      </c>
      <c r="C64" s="311">
        <f>(('ER ESPERADO'!E44/'BG ESPERADO'!D60))/(('ER ESPERADO'!E44+'ER ESPERADO'!E42)/'BG ESPERADO'!D29)</f>
        <v>2.7686190823401806</v>
      </c>
      <c r="D64" s="311">
        <f>(('ER ESPERADO'!F44/'BG ESPERADO'!E60))/(('ER ESPERADO'!F44+'ER ESPERADO'!F42)/'BG ESPERADO'!E29)</f>
        <v>2.3595803842998513</v>
      </c>
      <c r="E64" s="311">
        <f>(('ER ESPERADO'!G44/'BG ESPERADO'!F60))/(('ER ESPERADO'!G44+'ER ESPERADO'!G42)/'BG ESPERADO'!F29)</f>
        <v>2.1666208536832792</v>
      </c>
      <c r="F64" s="311">
        <f>(('ER ESPERADO'!H44/'BG ESPERADO'!G60))/(('ER ESPERADO'!H44+'ER ESPERADO'!H42)/'BG ESPERADO'!G29)</f>
        <v>2.3798741538450092</v>
      </c>
      <c r="G64" s="311">
        <f>(('ER ESPERADO'!I44/'BG ESPERADO'!H60))/(('ER ESPERADO'!I44+'ER ESPERADO'!I42)/'BG ESPERADO'!H29)</f>
        <v>2.181349532225684</v>
      </c>
      <c r="H64" s="32" t="s">
        <v>165</v>
      </c>
      <c r="I64" s="321"/>
    </row>
    <row r="65" spans="1:16" ht="20.100000000000001" customHeight="1" x14ac:dyDescent="0.25">
      <c r="B65" s="328"/>
      <c r="C65" s="312"/>
      <c r="D65" s="312"/>
      <c r="E65" s="312"/>
      <c r="F65" s="312"/>
      <c r="G65" s="312"/>
      <c r="H65" s="33" t="s">
        <v>164</v>
      </c>
      <c r="I65" s="322"/>
    </row>
    <row r="66" spans="1:16" x14ac:dyDescent="0.2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0"/>
    </row>
    <row r="67" spans="1:16" s="93" customFormat="1" x14ac:dyDescent="0.25">
      <c r="K67" s="88"/>
    </row>
    <row r="68" spans="1:16" s="93" customFormat="1" x14ac:dyDescent="0.25">
      <c r="K68" s="88"/>
    </row>
    <row r="69" spans="1:16" ht="20.25" x14ac:dyDescent="0.3">
      <c r="B69" s="364" t="s">
        <v>73</v>
      </c>
      <c r="C69" s="365"/>
      <c r="D69" s="365"/>
      <c r="E69" s="365"/>
      <c r="F69" s="365"/>
      <c r="G69" s="365"/>
      <c r="H69" s="365"/>
      <c r="I69" s="366"/>
      <c r="J69" s="85"/>
      <c r="K69" s="85"/>
      <c r="L69" s="85"/>
      <c r="M69" s="85"/>
      <c r="N69" s="85"/>
      <c r="O69" s="85"/>
      <c r="P69" s="85"/>
    </row>
    <row r="70" spans="1:16" x14ac:dyDescent="0.25">
      <c r="B70" s="107"/>
      <c r="C70" s="93"/>
      <c r="D70" s="93"/>
      <c r="E70" s="93"/>
      <c r="F70" s="93"/>
      <c r="G70" s="93"/>
      <c r="H70" s="93"/>
      <c r="I70" s="108"/>
    </row>
    <row r="71" spans="1:16" ht="15" customHeight="1" x14ac:dyDescent="0.25">
      <c r="B71" s="35" t="s">
        <v>83</v>
      </c>
      <c r="C71" s="78">
        <v>2014</v>
      </c>
      <c r="D71" s="78">
        <v>2015</v>
      </c>
      <c r="E71" s="78">
        <v>2016</v>
      </c>
      <c r="F71" s="78">
        <v>2017</v>
      </c>
      <c r="G71" s="78">
        <v>2018</v>
      </c>
      <c r="H71" s="78" t="s">
        <v>84</v>
      </c>
      <c r="I71" s="31" t="s">
        <v>85</v>
      </c>
    </row>
    <row r="72" spans="1:16" ht="12" customHeight="1" x14ac:dyDescent="0.25">
      <c r="B72" s="104"/>
      <c r="C72" s="112"/>
      <c r="D72" s="112"/>
      <c r="E72" s="112"/>
      <c r="F72" s="112"/>
      <c r="G72" s="112"/>
      <c r="H72" s="93"/>
      <c r="I72" s="105"/>
    </row>
    <row r="73" spans="1:16" ht="20.100000000000001" customHeight="1" x14ac:dyDescent="0.25">
      <c r="B73" s="326" t="s">
        <v>166</v>
      </c>
      <c r="C73" s="329">
        <f>'ER ESPERADO'!E22/'ER ESPERADO'!E13</f>
        <v>8.1882930628049411E-2</v>
      </c>
      <c r="D73" s="329">
        <f>'ER ESPERADO'!F22/'ER ESPERADO'!F13</f>
        <v>0.16107053567542409</v>
      </c>
      <c r="E73" s="329">
        <f>'ER ESPERADO'!G22/'ER ESPERADO'!G13</f>
        <v>0.12901359913768848</v>
      </c>
      <c r="F73" s="329">
        <f>'ER ESPERADO'!H22/'ER ESPERADO'!H13</f>
        <v>0.13084053128108258</v>
      </c>
      <c r="G73" s="329">
        <f>'ER ESPERADO'!I22/'ER ESPERADO'!I13</f>
        <v>0.13236366228901872</v>
      </c>
      <c r="H73" s="32" t="s">
        <v>118</v>
      </c>
      <c r="I73" s="331" t="s">
        <v>274</v>
      </c>
    </row>
    <row r="74" spans="1:16" ht="20.100000000000001" customHeight="1" x14ac:dyDescent="0.25">
      <c r="B74" s="328"/>
      <c r="C74" s="330"/>
      <c r="D74" s="330"/>
      <c r="E74" s="330"/>
      <c r="F74" s="330"/>
      <c r="G74" s="330"/>
      <c r="H74" s="33" t="s">
        <v>69</v>
      </c>
      <c r="I74" s="332"/>
    </row>
    <row r="75" spans="1:16" ht="12" customHeight="1" x14ac:dyDescent="0.25">
      <c r="B75" s="104"/>
      <c r="C75" s="240"/>
      <c r="D75" s="240"/>
      <c r="E75" s="240"/>
      <c r="F75" s="240"/>
      <c r="G75" s="240"/>
      <c r="H75" s="93"/>
      <c r="I75" s="106"/>
    </row>
    <row r="76" spans="1:16" ht="20.100000000000001" customHeight="1" x14ac:dyDescent="0.25">
      <c r="B76" s="326" t="s">
        <v>167</v>
      </c>
      <c r="C76" s="329">
        <f>'ER ESPERADO'!E36/'ER ESPERADO'!E13</f>
        <v>3.5460826233781424E-3</v>
      </c>
      <c r="D76" s="329">
        <f>'ER ESPERADO'!F36/'ER ESPERADO'!F13</f>
        <v>1.6725342410482007E-2</v>
      </c>
      <c r="E76" s="329">
        <f>'ER ESPERADO'!G36/'ER ESPERADO'!G13</f>
        <v>9.1820805376095389E-3</v>
      </c>
      <c r="F76" s="329">
        <f>'ER ESPERADO'!H36/'ER ESPERADO'!H13</f>
        <v>3.1347500623912256E-2</v>
      </c>
      <c r="G76" s="329">
        <f>'ER ESPERADO'!I36/'ER ESPERADO'!I13</f>
        <v>4.9747348552075292E-2</v>
      </c>
      <c r="H76" s="32" t="s">
        <v>128</v>
      </c>
      <c r="I76" s="331" t="s">
        <v>275</v>
      </c>
    </row>
    <row r="77" spans="1:16" ht="20.100000000000001" customHeight="1" x14ac:dyDescent="0.25">
      <c r="B77" s="328"/>
      <c r="C77" s="330"/>
      <c r="D77" s="330"/>
      <c r="E77" s="330"/>
      <c r="F77" s="330"/>
      <c r="G77" s="330"/>
      <c r="H77" s="33" t="s">
        <v>69</v>
      </c>
      <c r="I77" s="332"/>
    </row>
    <row r="78" spans="1:16" ht="12" customHeight="1" x14ac:dyDescent="0.25">
      <c r="B78" s="104"/>
      <c r="C78" s="240"/>
      <c r="D78" s="240"/>
      <c r="E78" s="240"/>
      <c r="F78" s="240"/>
      <c r="G78" s="240"/>
      <c r="H78" s="93"/>
      <c r="I78" s="106"/>
    </row>
    <row r="79" spans="1:16" ht="20.100000000000001" customHeight="1" x14ac:dyDescent="0.25">
      <c r="B79" s="326" t="s">
        <v>168</v>
      </c>
      <c r="C79" s="329">
        <f>'ER ESPERADO'!E56/'ER ESPERADO'!E13</f>
        <v>1.7259184110914868E-2</v>
      </c>
      <c r="D79" s="329">
        <f>'ER ESPERADO'!F56/'ER ESPERADO'!F13</f>
        <v>8.6354320371548575E-3</v>
      </c>
      <c r="E79" s="329">
        <f>'ER ESPERADO'!G56/'ER ESPERADO'!G13</f>
        <v>4.140156602441678E-3</v>
      </c>
      <c r="F79" s="329">
        <f>'ER ESPERADO'!H56/'ER ESPERADO'!H13</f>
        <v>1.924989963575148E-2</v>
      </c>
      <c r="G79" s="329">
        <f>'ER ESPERADO'!I56/'ER ESPERADO'!I13</f>
        <v>3.1787994670306727E-2</v>
      </c>
      <c r="H79" s="32" t="s">
        <v>130</v>
      </c>
      <c r="I79" s="331" t="s">
        <v>276</v>
      </c>
    </row>
    <row r="80" spans="1:16" ht="20.100000000000001" customHeight="1" x14ac:dyDescent="0.25">
      <c r="B80" s="328"/>
      <c r="C80" s="330"/>
      <c r="D80" s="330"/>
      <c r="E80" s="330"/>
      <c r="F80" s="330"/>
      <c r="G80" s="330"/>
      <c r="H80" s="33" t="s">
        <v>69</v>
      </c>
      <c r="I80" s="332"/>
    </row>
    <row r="81" spans="2:16" ht="12" customHeight="1" x14ac:dyDescent="0.25">
      <c r="B81" s="104"/>
      <c r="C81" s="240"/>
      <c r="D81" s="240"/>
      <c r="E81" s="240"/>
      <c r="F81" s="240"/>
      <c r="G81" s="240"/>
      <c r="H81" s="93"/>
      <c r="I81" s="106"/>
    </row>
    <row r="82" spans="2:16" ht="20.100000000000001" customHeight="1" x14ac:dyDescent="0.25">
      <c r="B82" s="326" t="s">
        <v>169</v>
      </c>
      <c r="C82" s="329">
        <f>'ER ESPERADO'!E56/'BG ESPERADO'!D29</f>
        <v>5.2507588599997018E-2</v>
      </c>
      <c r="D82" s="329">
        <f>'ER ESPERADO'!F56/'BG ESPERADO'!E29</f>
        <v>1.6594587898745704E-2</v>
      </c>
      <c r="E82" s="329">
        <f>'ER ESPERADO'!G56/'BG ESPERADO'!F29</f>
        <v>9.8010820493986354E-3</v>
      </c>
      <c r="F82" s="329">
        <f>'ER ESPERADO'!H56/'BG ESPERADO'!G29</f>
        <v>5.2303350897491142E-2</v>
      </c>
      <c r="G82" s="329">
        <f>'ER ESPERADO'!I56/'BG ESPERADO'!H29</f>
        <v>9.4353740792826407E-2</v>
      </c>
      <c r="H82" s="32" t="s">
        <v>130</v>
      </c>
      <c r="I82" s="321" t="s">
        <v>277</v>
      </c>
    </row>
    <row r="83" spans="2:16" ht="20.100000000000001" customHeight="1" x14ac:dyDescent="0.25">
      <c r="B83" s="328"/>
      <c r="C83" s="330"/>
      <c r="D83" s="330"/>
      <c r="E83" s="330"/>
      <c r="F83" s="330"/>
      <c r="G83" s="330"/>
      <c r="H83" s="33" t="s">
        <v>171</v>
      </c>
      <c r="I83" s="322"/>
    </row>
    <row r="84" spans="2:16" x14ac:dyDescent="0.25">
      <c r="B84" s="107"/>
      <c r="C84" s="240"/>
      <c r="D84" s="240"/>
      <c r="E84" s="240"/>
      <c r="F84" s="240"/>
      <c r="G84" s="240"/>
      <c r="H84" s="93"/>
      <c r="I84" s="106"/>
    </row>
    <row r="85" spans="2:16" ht="20.100000000000001" customHeight="1" x14ac:dyDescent="0.25">
      <c r="B85" s="326" t="s">
        <v>170</v>
      </c>
      <c r="C85" s="329">
        <f>+'ER ESPERADO'!E56/'BG ESPERADO'!D60</f>
        <v>0.16601257375597525</v>
      </c>
      <c r="D85" s="329">
        <f>+'ER ESPERADO'!F56/'BG ESPERADO'!E60</f>
        <v>4.489205677126442E-2</v>
      </c>
      <c r="E85" s="329">
        <f>+'ER ESPERADO'!G56/'BG ESPERADO'!F60</f>
        <v>2.5994723157289637E-2</v>
      </c>
      <c r="F85" s="329">
        <f>+'ER ESPERADO'!H56/'BG ESPERADO'!G60</f>
        <v>0.13033748424410257</v>
      </c>
      <c r="G85" s="329">
        <f>+'ER ESPERADO'!I56/'BG ESPERADO'!H60</f>
        <v>0.2106629530443081</v>
      </c>
      <c r="H85" s="32" t="s">
        <v>130</v>
      </c>
      <c r="I85" s="321" t="s">
        <v>278</v>
      </c>
    </row>
    <row r="86" spans="2:16" ht="20.100000000000001" customHeight="1" x14ac:dyDescent="0.25">
      <c r="B86" s="328"/>
      <c r="C86" s="330"/>
      <c r="D86" s="330"/>
      <c r="E86" s="330"/>
      <c r="F86" s="330"/>
      <c r="G86" s="330"/>
      <c r="H86" s="33" t="s">
        <v>172</v>
      </c>
      <c r="I86" s="322"/>
    </row>
    <row r="89" spans="2:16" s="91" customFormat="1" x14ac:dyDescent="0.25"/>
    <row r="90" spans="2:16" ht="20.25" x14ac:dyDescent="0.3">
      <c r="B90" s="307" t="s">
        <v>103</v>
      </c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85"/>
      <c r="N90" s="85"/>
      <c r="O90" s="85"/>
      <c r="P90" s="85"/>
    </row>
    <row r="92" spans="2:16" x14ac:dyDescent="0.25">
      <c r="D92" s="92"/>
      <c r="E92" s="92"/>
      <c r="F92" s="92"/>
      <c r="G92" s="92"/>
      <c r="H92" s="92"/>
      <c r="I92" s="92"/>
      <c r="J92" s="92"/>
      <c r="K92" s="92"/>
      <c r="M92" s="93"/>
      <c r="N92" s="93"/>
    </row>
    <row r="93" spans="2:16" x14ac:dyDescent="0.25">
      <c r="C93" s="93"/>
      <c r="D93" s="93"/>
      <c r="E93" s="358" t="s">
        <v>90</v>
      </c>
      <c r="F93" s="359"/>
      <c r="G93" s="360"/>
      <c r="H93" s="367" t="s">
        <v>91</v>
      </c>
      <c r="I93" s="368"/>
      <c r="J93" s="368"/>
      <c r="K93" s="368"/>
      <c r="L93" s="369"/>
      <c r="M93" s="116"/>
      <c r="N93" s="116"/>
    </row>
    <row r="94" spans="2:16" x14ac:dyDescent="0.25">
      <c r="E94" s="361"/>
      <c r="F94" s="362"/>
      <c r="G94" s="363"/>
      <c r="H94" s="78">
        <v>2014</v>
      </c>
      <c r="I94" s="78">
        <v>2015</v>
      </c>
      <c r="J94" s="78">
        <v>2016</v>
      </c>
      <c r="K94" s="78">
        <v>2017</v>
      </c>
      <c r="L94" s="218">
        <v>2018</v>
      </c>
      <c r="M94" s="93"/>
      <c r="N94" s="93"/>
    </row>
    <row r="95" spans="2:16" x14ac:dyDescent="0.25">
      <c r="H95" s="94"/>
      <c r="I95" s="94"/>
      <c r="J95" s="94"/>
      <c r="K95" s="94"/>
      <c r="L95" s="94"/>
    </row>
    <row r="96" spans="2:16" x14ac:dyDescent="0.25">
      <c r="B96" s="333" t="s">
        <v>92</v>
      </c>
      <c r="C96" s="340" t="s">
        <v>93</v>
      </c>
      <c r="D96" s="341"/>
      <c r="E96" s="350" t="s">
        <v>69</v>
      </c>
      <c r="F96" s="350"/>
      <c r="G96" s="350"/>
      <c r="H96" s="351">
        <f>+'ER ESPERADO'!E13/'BG ESPERADO'!D29</f>
        <v>3.0422984228316294</v>
      </c>
      <c r="I96" s="351">
        <f>+'ER ESPERADO'!F13/'BG ESPERADO'!E29</f>
        <v>1.9216858898716058</v>
      </c>
      <c r="J96" s="351">
        <f>+'ER ESPERADO'!G13/'BG ESPERADO'!F29</f>
        <v>2.3673215751352013</v>
      </c>
      <c r="K96" s="351">
        <f>+'ER ESPERADO'!H13/'BG ESPERADO'!G29</f>
        <v>2.717071355548879</v>
      </c>
      <c r="L96" s="351">
        <f>+'ER ESPERADO'!I13/'BG ESPERADO'!H29</f>
        <v>2.9682193473173868</v>
      </c>
    </row>
    <row r="97" spans="2:13" x14ac:dyDescent="0.25">
      <c r="B97" s="334"/>
      <c r="C97" s="342"/>
      <c r="D97" s="343"/>
      <c r="E97" s="352" t="s">
        <v>3</v>
      </c>
      <c r="F97" s="352"/>
      <c r="G97" s="352"/>
      <c r="H97" s="351"/>
      <c r="I97" s="351"/>
      <c r="J97" s="351"/>
      <c r="K97" s="351"/>
      <c r="L97" s="351"/>
    </row>
    <row r="98" spans="2:13" x14ac:dyDescent="0.25">
      <c r="B98" s="334"/>
      <c r="C98" s="95"/>
      <c r="D98" s="95"/>
      <c r="E98" s="96"/>
      <c r="F98" s="96"/>
      <c r="G98" s="96"/>
      <c r="H98" s="97" t="s">
        <v>72</v>
      </c>
      <c r="I98" s="97" t="s">
        <v>72</v>
      </c>
      <c r="J98" s="97" t="s">
        <v>72</v>
      </c>
      <c r="K98" s="97" t="s">
        <v>72</v>
      </c>
      <c r="L98" s="97" t="s">
        <v>72</v>
      </c>
    </row>
    <row r="99" spans="2:13" x14ac:dyDescent="0.25">
      <c r="B99" s="334"/>
      <c r="C99" s="340" t="s">
        <v>94</v>
      </c>
      <c r="D99" s="341"/>
      <c r="E99" s="344" t="s">
        <v>176</v>
      </c>
      <c r="F99" s="345"/>
      <c r="G99" s="346"/>
      <c r="H99" s="338">
        <f>('ER ESPERADO'!E44+'ER ESPERADO'!E42)/'ER ESPERADO'!E13</f>
        <v>3.0116160382477605E-2</v>
      </c>
      <c r="I99" s="338">
        <f>('ER ESPERADO'!F44+'ER ESPERADO'!F42)/'ER ESPERADO'!F13</f>
        <v>1.7252168496346695E-2</v>
      </c>
      <c r="J99" s="338">
        <f>('ER ESPERADO'!G44+'ER ESPERADO'!G42)/'ER ESPERADO'!G13</f>
        <v>9.7089066234742269E-3</v>
      </c>
      <c r="K99" s="338">
        <f>('ER ESPERADO'!H44+'ER ESPERADO'!H42)/'ER ESPERADO'!H13</f>
        <v>3.1874326709776947E-2</v>
      </c>
      <c r="L99" s="338">
        <f>('ER ESPERADO'!I44+'ER ESPERADO'!I42)/'ER ESPERADO'!I13</f>
        <v>5.0274174637939983E-2</v>
      </c>
    </row>
    <row r="100" spans="2:13" x14ac:dyDescent="0.25">
      <c r="B100" s="335"/>
      <c r="C100" s="342"/>
      <c r="D100" s="343"/>
      <c r="E100" s="347" t="s">
        <v>69</v>
      </c>
      <c r="F100" s="348"/>
      <c r="G100" s="349"/>
      <c r="H100" s="339"/>
      <c r="I100" s="339"/>
      <c r="J100" s="339"/>
      <c r="K100" s="339"/>
      <c r="L100" s="339"/>
    </row>
    <row r="101" spans="2:13" x14ac:dyDescent="0.25">
      <c r="C101" s="95"/>
      <c r="D101" s="95"/>
      <c r="E101" s="96"/>
      <c r="F101" s="96"/>
      <c r="G101" s="96"/>
      <c r="H101" s="97" t="s">
        <v>72</v>
      </c>
      <c r="I101" s="97" t="s">
        <v>72</v>
      </c>
      <c r="J101" s="97" t="s">
        <v>72</v>
      </c>
      <c r="K101" s="97" t="s">
        <v>72</v>
      </c>
      <c r="L101" s="97" t="s">
        <v>72</v>
      </c>
    </row>
    <row r="102" spans="2:13" x14ac:dyDescent="0.25">
      <c r="B102" s="333" t="s">
        <v>89</v>
      </c>
      <c r="C102" s="340" t="s">
        <v>95</v>
      </c>
      <c r="D102" s="341"/>
      <c r="E102" s="81" t="s">
        <v>96</v>
      </c>
      <c r="F102" s="336" t="s">
        <v>72</v>
      </c>
      <c r="G102" s="82" t="s">
        <v>177</v>
      </c>
      <c r="H102" s="338">
        <f>+C64</f>
        <v>2.7686190823401806</v>
      </c>
      <c r="I102" s="338">
        <f>+D64</f>
        <v>2.3595803842998513</v>
      </c>
      <c r="J102" s="338">
        <f t="shared" ref="J102:L102" si="1">+E64</f>
        <v>2.1666208536832792</v>
      </c>
      <c r="K102" s="338">
        <f t="shared" si="1"/>
        <v>2.3798741538450092</v>
      </c>
      <c r="L102" s="338">
        <f t="shared" si="1"/>
        <v>2.181349532225684</v>
      </c>
    </row>
    <row r="103" spans="2:13" x14ac:dyDescent="0.25">
      <c r="B103" s="334"/>
      <c r="C103" s="342"/>
      <c r="D103" s="343"/>
      <c r="E103" s="79" t="s">
        <v>97</v>
      </c>
      <c r="F103" s="337"/>
      <c r="G103" s="80" t="s">
        <v>178</v>
      </c>
      <c r="H103" s="339"/>
      <c r="I103" s="339"/>
      <c r="J103" s="339"/>
      <c r="K103" s="339"/>
      <c r="L103" s="339"/>
    </row>
    <row r="104" spans="2:13" x14ac:dyDescent="0.25">
      <c r="B104" s="334"/>
      <c r="C104" s="95"/>
      <c r="D104" s="95"/>
      <c r="E104" s="96"/>
      <c r="F104" s="96"/>
      <c r="G104" s="96"/>
      <c r="H104" s="97" t="s">
        <v>72</v>
      </c>
      <c r="I104" s="97" t="s">
        <v>72</v>
      </c>
      <c r="J104" s="97" t="s">
        <v>72</v>
      </c>
      <c r="K104" s="97" t="s">
        <v>72</v>
      </c>
      <c r="L104" s="97" t="s">
        <v>72</v>
      </c>
    </row>
    <row r="105" spans="2:13" x14ac:dyDescent="0.25">
      <c r="B105" s="334"/>
      <c r="C105" s="340" t="s">
        <v>98</v>
      </c>
      <c r="D105" s="341"/>
      <c r="E105" s="344" t="s">
        <v>130</v>
      </c>
      <c r="F105" s="345"/>
      <c r="G105" s="346"/>
      <c r="H105" s="338">
        <f>+'ER ESPERADO'!E56/'ER ESPERADO'!E44</f>
        <v>0.65444983294025161</v>
      </c>
      <c r="I105" s="338">
        <f>+'ER ESPERADO'!F56/'ER ESPERADO'!F44</f>
        <v>0.57386354115279015</v>
      </c>
      <c r="J105" s="338">
        <f>+'ER ESPERADO'!G56/'ER ESPERADO'!G44</f>
        <v>0.52200504132896774</v>
      </c>
      <c r="K105" s="338">
        <f>+'ER ESPERADO'!H56/'ER ESPERADO'!H44</f>
        <v>0.63237294016989576</v>
      </c>
      <c r="L105" s="338">
        <f>+'ER ESPERADO'!I56/'ER ESPERADO'!I44</f>
        <v>0.64717534773268492</v>
      </c>
      <c r="M105" s="370"/>
    </row>
    <row r="106" spans="2:13" x14ac:dyDescent="0.25">
      <c r="B106" s="335"/>
      <c r="C106" s="342"/>
      <c r="D106" s="343"/>
      <c r="E106" s="347" t="s">
        <v>179</v>
      </c>
      <c r="F106" s="348"/>
      <c r="G106" s="349"/>
      <c r="H106" s="339"/>
      <c r="I106" s="339"/>
      <c r="J106" s="339"/>
      <c r="K106" s="339"/>
      <c r="L106" s="339"/>
      <c r="M106" s="370"/>
    </row>
    <row r="107" spans="2:13" x14ac:dyDescent="0.25">
      <c r="C107" s="98"/>
      <c r="D107" s="98"/>
      <c r="H107" s="99" t="s">
        <v>74</v>
      </c>
      <c r="I107" s="99" t="s">
        <v>74</v>
      </c>
      <c r="J107" s="99" t="s">
        <v>74</v>
      </c>
      <c r="K107" s="99" t="s">
        <v>74</v>
      </c>
      <c r="L107" s="99" t="s">
        <v>74</v>
      </c>
    </row>
    <row r="108" spans="2:13" x14ac:dyDescent="0.25">
      <c r="C108" s="340" t="s">
        <v>99</v>
      </c>
      <c r="D108" s="341"/>
      <c r="E108" s="344" t="s">
        <v>180</v>
      </c>
      <c r="F108" s="345"/>
      <c r="G108" s="346"/>
      <c r="H108" s="338">
        <f>H96*H99*H102*H105</f>
        <v>0.16601257375597525</v>
      </c>
      <c r="I108" s="338">
        <f>I96*I99*I102*I105</f>
        <v>4.4892056771264427E-2</v>
      </c>
      <c r="J108" s="338">
        <f>J96*J99*J102*J105</f>
        <v>2.599472315728964E-2</v>
      </c>
      <c r="K108" s="338">
        <f t="shared" ref="K108:L108" si="2">K96*K99*K102*K105</f>
        <v>0.13033748424410257</v>
      </c>
      <c r="L108" s="338">
        <f t="shared" si="2"/>
        <v>0.21066295304430804</v>
      </c>
    </row>
    <row r="109" spans="2:13" x14ac:dyDescent="0.25">
      <c r="C109" s="342"/>
      <c r="D109" s="343"/>
      <c r="E109" s="347" t="s">
        <v>100</v>
      </c>
      <c r="F109" s="348"/>
      <c r="G109" s="349"/>
      <c r="H109" s="371"/>
      <c r="I109" s="371"/>
      <c r="J109" s="371"/>
      <c r="K109" s="372"/>
      <c r="L109" s="372"/>
    </row>
    <row r="110" spans="2:13" x14ac:dyDescent="0.25">
      <c r="C110" s="98"/>
      <c r="D110" s="98"/>
      <c r="H110" s="99" t="s">
        <v>74</v>
      </c>
      <c r="I110" s="99" t="s">
        <v>101</v>
      </c>
      <c r="J110" s="99" t="s">
        <v>101</v>
      </c>
      <c r="K110" s="99" t="s">
        <v>101</v>
      </c>
      <c r="L110" s="99" t="s">
        <v>101</v>
      </c>
    </row>
    <row r="111" spans="2:13" x14ac:dyDescent="0.25">
      <c r="C111" s="340" t="s">
        <v>102</v>
      </c>
      <c r="D111" s="341"/>
      <c r="E111" s="353" t="s">
        <v>181</v>
      </c>
      <c r="F111" s="354"/>
      <c r="G111" s="355"/>
      <c r="H111" s="356">
        <f>H108</f>
        <v>0.16601257375597525</v>
      </c>
      <c r="I111" s="356">
        <f t="shared" ref="I111:L111" si="3">I108</f>
        <v>4.4892056771264427E-2</v>
      </c>
      <c r="J111" s="356">
        <f>J108</f>
        <v>2.599472315728964E-2</v>
      </c>
      <c r="K111" s="356">
        <f t="shared" si="3"/>
        <v>0.13033748424410257</v>
      </c>
      <c r="L111" s="356">
        <f t="shared" si="3"/>
        <v>0.21066295304430804</v>
      </c>
    </row>
    <row r="112" spans="2:13" x14ac:dyDescent="0.25">
      <c r="C112" s="342"/>
      <c r="D112" s="343"/>
      <c r="E112" s="342" t="s">
        <v>100</v>
      </c>
      <c r="F112" s="337"/>
      <c r="G112" s="343"/>
      <c r="H112" s="357"/>
      <c r="I112" s="357"/>
      <c r="J112" s="357"/>
      <c r="K112" s="357"/>
      <c r="L112" s="357"/>
    </row>
    <row r="115" spans="4:5" x14ac:dyDescent="0.25">
      <c r="D115" s="115"/>
      <c r="E115" s="115"/>
    </row>
  </sheetData>
  <mergeCells count="224">
    <mergeCell ref="C108:D109"/>
    <mergeCell ref="M105:M106"/>
    <mergeCell ref="E106:G106"/>
    <mergeCell ref="E108:G108"/>
    <mergeCell ref="H108:H109"/>
    <mergeCell ref="L108:L109"/>
    <mergeCell ref="E109:G109"/>
    <mergeCell ref="I105:I106"/>
    <mergeCell ref="I108:I109"/>
    <mergeCell ref="H105:H106"/>
    <mergeCell ref="L105:L106"/>
    <mergeCell ref="J105:J106"/>
    <mergeCell ref="J108:J109"/>
    <mergeCell ref="K105:K106"/>
    <mergeCell ref="K108:K109"/>
    <mergeCell ref="E111:G111"/>
    <mergeCell ref="H111:H112"/>
    <mergeCell ref="L111:L112"/>
    <mergeCell ref="E112:G112"/>
    <mergeCell ref="G26:G27"/>
    <mergeCell ref="G29:G30"/>
    <mergeCell ref="G32:G33"/>
    <mergeCell ref="G35:G36"/>
    <mergeCell ref="E105:G105"/>
    <mergeCell ref="E93:G94"/>
    <mergeCell ref="J32:J33"/>
    <mergeCell ref="J29:J30"/>
    <mergeCell ref="J41:J42"/>
    <mergeCell ref="B69:I69"/>
    <mergeCell ref="H93:L93"/>
    <mergeCell ref="C111:D112"/>
    <mergeCell ref="I111:I112"/>
    <mergeCell ref="J96:J97"/>
    <mergeCell ref="J99:J100"/>
    <mergeCell ref="J102:J103"/>
    <mergeCell ref="J111:J112"/>
    <mergeCell ref="K96:K97"/>
    <mergeCell ref="K99:K100"/>
    <mergeCell ref="K111:K112"/>
    <mergeCell ref="B102:B106"/>
    <mergeCell ref="F102:F103"/>
    <mergeCell ref="H102:H103"/>
    <mergeCell ref="L102:L103"/>
    <mergeCell ref="I102:I103"/>
    <mergeCell ref="C102:D103"/>
    <mergeCell ref="E99:G99"/>
    <mergeCell ref="H99:H100"/>
    <mergeCell ref="L99:L100"/>
    <mergeCell ref="E100:G100"/>
    <mergeCell ref="B96:B100"/>
    <mergeCell ref="E96:G96"/>
    <mergeCell ref="H96:H97"/>
    <mergeCell ref="L96:L97"/>
    <mergeCell ref="E97:G97"/>
    <mergeCell ref="I96:I97"/>
    <mergeCell ref="I99:I100"/>
    <mergeCell ref="C96:D97"/>
    <mergeCell ref="C99:D100"/>
    <mergeCell ref="K102:K103"/>
    <mergeCell ref="C105:D106"/>
    <mergeCell ref="B85:B86"/>
    <mergeCell ref="C85:C86"/>
    <mergeCell ref="D85:D86"/>
    <mergeCell ref="E85:E86"/>
    <mergeCell ref="F85:F86"/>
    <mergeCell ref="I85:I86"/>
    <mergeCell ref="B82:B83"/>
    <mergeCell ref="C82:C83"/>
    <mergeCell ref="D82:D83"/>
    <mergeCell ref="E82:E83"/>
    <mergeCell ref="F82:F83"/>
    <mergeCell ref="I82:I83"/>
    <mergeCell ref="G82:G83"/>
    <mergeCell ref="G85:G86"/>
    <mergeCell ref="B73:B74"/>
    <mergeCell ref="C73:C74"/>
    <mergeCell ref="D73:D74"/>
    <mergeCell ref="E73:E74"/>
    <mergeCell ref="F73:F74"/>
    <mergeCell ref="I73:I74"/>
    <mergeCell ref="G73:G74"/>
    <mergeCell ref="B79:B80"/>
    <mergeCell ref="C79:C80"/>
    <mergeCell ref="D79:D80"/>
    <mergeCell ref="E79:E80"/>
    <mergeCell ref="F79:F80"/>
    <mergeCell ref="I79:I80"/>
    <mergeCell ref="B76:B77"/>
    <mergeCell ref="C76:C77"/>
    <mergeCell ref="D76:D77"/>
    <mergeCell ref="E76:E77"/>
    <mergeCell ref="F76:F77"/>
    <mergeCell ref="I76:I77"/>
    <mergeCell ref="G76:G77"/>
    <mergeCell ref="G79:G80"/>
    <mergeCell ref="B64:B65"/>
    <mergeCell ref="C64:C65"/>
    <mergeCell ref="D64:D65"/>
    <mergeCell ref="E64:E65"/>
    <mergeCell ref="F64:F65"/>
    <mergeCell ref="I64:I65"/>
    <mergeCell ref="B61:B62"/>
    <mergeCell ref="C61:C62"/>
    <mergeCell ref="D61:D62"/>
    <mergeCell ref="E61:E62"/>
    <mergeCell ref="F61:F62"/>
    <mergeCell ref="I61:I62"/>
    <mergeCell ref="G61:G62"/>
    <mergeCell ref="G64:G65"/>
    <mergeCell ref="B58:B59"/>
    <mergeCell ref="C58:C59"/>
    <mergeCell ref="D58:D59"/>
    <mergeCell ref="E58:E59"/>
    <mergeCell ref="F58:F59"/>
    <mergeCell ref="I58:I59"/>
    <mergeCell ref="B55:B56"/>
    <mergeCell ref="C55:C56"/>
    <mergeCell ref="D55:D56"/>
    <mergeCell ref="E55:E56"/>
    <mergeCell ref="F55:F56"/>
    <mergeCell ref="I55:I56"/>
    <mergeCell ref="G55:G56"/>
    <mergeCell ref="G58:G59"/>
    <mergeCell ref="B8:B9"/>
    <mergeCell ref="J44:J45"/>
    <mergeCell ref="B32:B33"/>
    <mergeCell ref="C32:C33"/>
    <mergeCell ref="D32:D33"/>
    <mergeCell ref="E32:E33"/>
    <mergeCell ref="I32:I33"/>
    <mergeCell ref="B41:B42"/>
    <mergeCell ref="C41:C42"/>
    <mergeCell ref="D41:D42"/>
    <mergeCell ref="E41:E42"/>
    <mergeCell ref="F41:F42"/>
    <mergeCell ref="G41:G42"/>
    <mergeCell ref="I41:I42"/>
    <mergeCell ref="E44:E45"/>
    <mergeCell ref="F44:F45"/>
    <mergeCell ref="I35:I36"/>
    <mergeCell ref="J35:J36"/>
    <mergeCell ref="B35:B36"/>
    <mergeCell ref="C35:C36"/>
    <mergeCell ref="D35:D36"/>
    <mergeCell ref="E35:E36"/>
    <mergeCell ref="B38:B39"/>
    <mergeCell ref="C38:C39"/>
    <mergeCell ref="C20:C21"/>
    <mergeCell ref="D20:D21"/>
    <mergeCell ref="I20:I21"/>
    <mergeCell ref="J20:J21"/>
    <mergeCell ref="C8:C9"/>
    <mergeCell ref="D8:D9"/>
    <mergeCell ref="E8:E9"/>
    <mergeCell ref="F8:F9"/>
    <mergeCell ref="G8:G9"/>
    <mergeCell ref="I8:I9"/>
    <mergeCell ref="I11:I12"/>
    <mergeCell ref="J11:J12"/>
    <mergeCell ref="J23:J24"/>
    <mergeCell ref="F32:F33"/>
    <mergeCell ref="B29:B30"/>
    <mergeCell ref="B52:B53"/>
    <mergeCell ref="C52:C53"/>
    <mergeCell ref="D52:D53"/>
    <mergeCell ref="E52:E53"/>
    <mergeCell ref="F52:F53"/>
    <mergeCell ref="I52:I53"/>
    <mergeCell ref="G52:G53"/>
    <mergeCell ref="B48:I48"/>
    <mergeCell ref="G44:G45"/>
    <mergeCell ref="I44:I45"/>
    <mergeCell ref="B44:B45"/>
    <mergeCell ref="C44:C45"/>
    <mergeCell ref="D44:D45"/>
    <mergeCell ref="D38:D39"/>
    <mergeCell ref="B1:I1"/>
    <mergeCell ref="B16:I16"/>
    <mergeCell ref="B26:B27"/>
    <mergeCell ref="C26:C27"/>
    <mergeCell ref="D26:D27"/>
    <mergeCell ref="E26:E27"/>
    <mergeCell ref="C29:C30"/>
    <mergeCell ref="D29:D30"/>
    <mergeCell ref="E29:E30"/>
    <mergeCell ref="F26:F27"/>
    <mergeCell ref="I26:I27"/>
    <mergeCell ref="E20:E21"/>
    <mergeCell ref="F20:F21"/>
    <mergeCell ref="G20:G21"/>
    <mergeCell ref="F29:F30"/>
    <mergeCell ref="I29:I30"/>
    <mergeCell ref="G23:G24"/>
    <mergeCell ref="B23:B24"/>
    <mergeCell ref="C23:C24"/>
    <mergeCell ref="D23:D24"/>
    <mergeCell ref="E23:E24"/>
    <mergeCell ref="F23:F24"/>
    <mergeCell ref="I23:I24"/>
    <mergeCell ref="B20:B21"/>
    <mergeCell ref="B90:L90"/>
    <mergeCell ref="J8:J9"/>
    <mergeCell ref="B11:B12"/>
    <mergeCell ref="C11:C12"/>
    <mergeCell ref="D11:D12"/>
    <mergeCell ref="E11:E12"/>
    <mergeCell ref="F11:F12"/>
    <mergeCell ref="G11:G12"/>
    <mergeCell ref="J5:J6"/>
    <mergeCell ref="B5:B6"/>
    <mergeCell ref="C5:C6"/>
    <mergeCell ref="D5:D6"/>
    <mergeCell ref="E5:E6"/>
    <mergeCell ref="F5:F6"/>
    <mergeCell ref="G5:G6"/>
    <mergeCell ref="I5:I6"/>
    <mergeCell ref="H5:H6"/>
    <mergeCell ref="E38:E39"/>
    <mergeCell ref="F38:F39"/>
    <mergeCell ref="G38:G39"/>
    <mergeCell ref="I38:I39"/>
    <mergeCell ref="J38:J39"/>
    <mergeCell ref="F35:F36"/>
    <mergeCell ref="J26:J27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00B050"/>
  </sheetPr>
  <dimension ref="A1:Z153"/>
  <sheetViews>
    <sheetView showGridLines="0" topLeftCell="A130" zoomScaleNormal="100" workbookViewId="0">
      <selection activeCell="G6" sqref="G6"/>
    </sheetView>
  </sheetViews>
  <sheetFormatPr defaultColWidth="11.375" defaultRowHeight="12.75" x14ac:dyDescent="0.2"/>
  <cols>
    <col min="1" max="1" width="0.875" style="40" customWidth="1"/>
    <col min="2" max="2" width="2.875" style="40" customWidth="1"/>
    <col min="3" max="3" width="5.875" style="40" customWidth="1"/>
    <col min="4" max="4" width="4.75" style="40" customWidth="1"/>
    <col min="5" max="5" width="4.375" style="40" customWidth="1"/>
    <col min="6" max="6" width="2" style="40" bestFit="1" customWidth="1"/>
    <col min="7" max="7" width="24.375" style="40" bestFit="1" customWidth="1"/>
    <col min="8" max="8" width="3.125" style="40" customWidth="1"/>
    <col min="9" max="9" width="2.875" style="40" customWidth="1"/>
    <col min="10" max="11" width="15.875" style="40" customWidth="1"/>
    <col min="12" max="12" width="15.875" style="40" bestFit="1" customWidth="1"/>
    <col min="13" max="14" width="15.875" style="40" customWidth="1"/>
    <col min="15" max="16384" width="11.375" style="40"/>
  </cols>
  <sheetData>
    <row r="1" spans="2:26" ht="15.75" thickBot="1" x14ac:dyDescent="0.3">
      <c r="K1"/>
    </row>
    <row r="2" spans="2:26" ht="12.75" customHeight="1" x14ac:dyDescent="0.2">
      <c r="B2" s="49"/>
      <c r="C2" s="378">
        <v>2014</v>
      </c>
      <c r="D2" s="378"/>
      <c r="E2" s="378"/>
      <c r="F2" s="378"/>
      <c r="G2" s="378"/>
      <c r="H2" s="50"/>
      <c r="J2" s="131" t="s">
        <v>69</v>
      </c>
      <c r="K2" s="127" t="s">
        <v>202</v>
      </c>
      <c r="L2" s="131" t="s">
        <v>203</v>
      </c>
      <c r="M2" s="131" t="s">
        <v>204</v>
      </c>
      <c r="N2" s="131" t="s">
        <v>205</v>
      </c>
    </row>
    <row r="3" spans="2:26" ht="12.75" customHeight="1" x14ac:dyDescent="0.2">
      <c r="B3" s="51"/>
      <c r="C3" s="379"/>
      <c r="D3" s="379"/>
      <c r="E3" s="379"/>
      <c r="F3" s="379"/>
      <c r="G3" s="379"/>
      <c r="H3" s="52"/>
      <c r="J3" s="132" t="s">
        <v>112</v>
      </c>
      <c r="K3" s="128" t="s">
        <v>112</v>
      </c>
      <c r="L3" s="132" t="s">
        <v>112</v>
      </c>
      <c r="M3" s="132" t="s">
        <v>112</v>
      </c>
      <c r="N3" s="132" t="s">
        <v>112</v>
      </c>
    </row>
    <row r="4" spans="2:26" ht="15" customHeight="1" x14ac:dyDescent="0.25">
      <c r="B4" s="51"/>
      <c r="C4" s="380" t="s">
        <v>108</v>
      </c>
      <c r="D4" s="380"/>
      <c r="E4" s="380"/>
      <c r="F4" s="380"/>
      <c r="G4" s="380"/>
      <c r="H4" s="52"/>
      <c r="J4" s="133">
        <v>0</v>
      </c>
      <c r="K4" s="129">
        <f t="shared" ref="K4:K5" si="0">+$G$7</f>
        <v>162324.10999999999</v>
      </c>
      <c r="L4" s="133">
        <v>0</v>
      </c>
      <c r="M4" s="133">
        <f>+L4+K4</f>
        <v>162324.10999999999</v>
      </c>
      <c r="N4" s="133">
        <f>+J4-M4</f>
        <v>-162324.10999999999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2:26" ht="15" customHeight="1" x14ac:dyDescent="0.25">
      <c r="B5" s="51"/>
      <c r="C5" s="381" t="s">
        <v>111</v>
      </c>
      <c r="D5" s="381"/>
      <c r="E5" s="381"/>
      <c r="F5" s="381"/>
      <c r="G5" s="223" t="s">
        <v>112</v>
      </c>
      <c r="H5" s="52"/>
      <c r="J5" s="133">
        <f>+J6*0.4</f>
        <v>680528.50468035846</v>
      </c>
      <c r="K5" s="129">
        <f t="shared" si="0"/>
        <v>162324.10999999999</v>
      </c>
      <c r="L5" s="133">
        <f>+L6*0.4</f>
        <v>615598.86068035848</v>
      </c>
      <c r="M5" s="133">
        <f>+L5+K5</f>
        <v>777922.97068035847</v>
      </c>
      <c r="N5" s="133">
        <f t="shared" ref="N5:N8" si="1">+J5-M5</f>
        <v>-97394.466000000015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2:26" ht="15" customHeight="1" x14ac:dyDescent="0.25">
      <c r="B6" s="51"/>
      <c r="C6" s="377" t="s">
        <v>115</v>
      </c>
      <c r="D6" s="377"/>
      <c r="E6" s="377"/>
      <c r="F6" s="377"/>
      <c r="G6" s="44">
        <f>+'ER ESPERADO'!E17+'ER ESPERADO'!E34</f>
        <v>1535809.54</v>
      </c>
      <c r="H6" s="52"/>
      <c r="J6" s="133">
        <f>+E24</f>
        <v>1701321.2617008961</v>
      </c>
      <c r="K6" s="129">
        <f>+$G$7</f>
        <v>162324.10999999999</v>
      </c>
      <c r="L6" s="133">
        <f>+J6-K6</f>
        <v>1538997.1517008962</v>
      </c>
      <c r="M6" s="133">
        <f t="shared" ref="M6:M8" si="2">+L6+K6</f>
        <v>1701321.2617008961</v>
      </c>
      <c r="N6" s="133">
        <f t="shared" si="1"/>
        <v>0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2:26" ht="15" customHeight="1" x14ac:dyDescent="0.25">
      <c r="B7" s="51"/>
      <c r="C7" s="377" t="s">
        <v>117</v>
      </c>
      <c r="D7" s="377"/>
      <c r="E7" s="377"/>
      <c r="F7" s="377"/>
      <c r="G7" s="44">
        <f>+'ER ESPERADO'!E32+'ER ESPERADO'!E42+'ER ESPERADO'!E18</f>
        <v>162324.10999999999</v>
      </c>
      <c r="H7" s="52"/>
      <c r="J7" s="133">
        <f>+J6*120%</f>
        <v>2041585.5140410753</v>
      </c>
      <c r="K7" s="129">
        <f t="shared" ref="K7:K8" si="3">+$G$7</f>
        <v>162324.10999999999</v>
      </c>
      <c r="L7" s="133">
        <f>+L6*120%</f>
        <v>1846796.5820410755</v>
      </c>
      <c r="M7" s="133">
        <f t="shared" si="2"/>
        <v>2009120.6920410753</v>
      </c>
      <c r="N7" s="133">
        <f t="shared" si="1"/>
        <v>32464.821999999927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2:26" ht="15" customHeight="1" x14ac:dyDescent="0.25">
      <c r="B8" s="51"/>
      <c r="C8" s="377" t="s">
        <v>116</v>
      </c>
      <c r="D8" s="377"/>
      <c r="E8" s="377"/>
      <c r="F8" s="377"/>
      <c r="G8" s="44">
        <f>+'ER ESPERADO'!E13</f>
        <v>1697797.44</v>
      </c>
      <c r="H8" s="52"/>
      <c r="J8" s="126">
        <f>+J6*1.85</f>
        <v>3147444.334146658</v>
      </c>
      <c r="K8" s="130">
        <f t="shared" si="3"/>
        <v>162324.10999999999</v>
      </c>
      <c r="L8" s="126">
        <f>+L6*1.85</f>
        <v>2847144.7306466582</v>
      </c>
      <c r="M8" s="126">
        <f t="shared" si="2"/>
        <v>3009468.8406466581</v>
      </c>
      <c r="N8" s="126">
        <f t="shared" si="1"/>
        <v>137975.49349999987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2:26" x14ac:dyDescent="0.2">
      <c r="B9" s="51"/>
      <c r="C9" s="42"/>
      <c r="D9" s="42"/>
      <c r="E9" s="42"/>
      <c r="F9" s="42"/>
      <c r="G9" s="42"/>
      <c r="H9" s="5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x14ac:dyDescent="0.2">
      <c r="B10" s="51"/>
      <c r="C10" s="42"/>
      <c r="D10" s="41" t="s">
        <v>109</v>
      </c>
      <c r="E10" s="376" t="s">
        <v>110</v>
      </c>
      <c r="F10" s="376"/>
      <c r="G10" s="376"/>
      <c r="H10" s="5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x14ac:dyDescent="0.2">
      <c r="B11" s="51"/>
      <c r="C11" s="42"/>
      <c r="D11" s="42"/>
      <c r="E11" s="43">
        <v>1</v>
      </c>
      <c r="F11" s="42" t="s">
        <v>113</v>
      </c>
      <c r="G11" s="43" t="s">
        <v>114</v>
      </c>
      <c r="H11" s="5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x14ac:dyDescent="0.2">
      <c r="B12" s="51"/>
      <c r="C12" s="42"/>
      <c r="D12" s="45"/>
      <c r="E12" s="42"/>
      <c r="F12" s="41"/>
      <c r="G12" s="46" t="s">
        <v>116</v>
      </c>
      <c r="H12" s="5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x14ac:dyDescent="0.2">
      <c r="B13" s="51"/>
      <c r="C13" s="42"/>
      <c r="D13" s="47"/>
      <c r="E13" s="42"/>
      <c r="F13" s="42"/>
      <c r="G13" s="42"/>
      <c r="H13" s="5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x14ac:dyDescent="0.2">
      <c r="B14" s="51"/>
      <c r="C14" s="42"/>
      <c r="D14" s="41" t="s">
        <v>109</v>
      </c>
      <c r="E14" s="375">
        <f>+G7</f>
        <v>162324.10999999999</v>
      </c>
      <c r="F14" s="376"/>
      <c r="G14" s="376"/>
      <c r="H14" s="5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x14ac:dyDescent="0.2">
      <c r="B15" s="51"/>
      <c r="C15" s="42"/>
      <c r="D15" s="42"/>
      <c r="E15" s="43">
        <v>1</v>
      </c>
      <c r="F15" s="42" t="s">
        <v>113</v>
      </c>
      <c r="G15" s="48">
        <f>+G6</f>
        <v>1535809.54</v>
      </c>
      <c r="H15" s="5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x14ac:dyDescent="0.2">
      <c r="B16" s="51"/>
      <c r="C16" s="42"/>
      <c r="D16" s="41"/>
      <c r="E16" s="42"/>
      <c r="F16" s="41"/>
      <c r="G16" s="125">
        <f>+G8</f>
        <v>1697797.44</v>
      </c>
      <c r="H16" s="5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14" x14ac:dyDescent="0.2">
      <c r="B17" s="51"/>
      <c r="C17" s="42"/>
      <c r="D17" s="42"/>
      <c r="E17" s="42"/>
      <c r="F17" s="42"/>
      <c r="G17" s="42"/>
      <c r="H17" s="52"/>
      <c r="J17" s="42"/>
      <c r="K17" s="42"/>
      <c r="L17" s="42"/>
      <c r="M17" s="42"/>
      <c r="N17" s="42"/>
    </row>
    <row r="18" spans="1:14" x14ac:dyDescent="0.2">
      <c r="B18" s="51"/>
      <c r="C18" s="42"/>
      <c r="D18" s="41" t="s">
        <v>109</v>
      </c>
      <c r="E18" s="375">
        <f>+E14</f>
        <v>162324.10999999999</v>
      </c>
      <c r="F18" s="375"/>
      <c r="G18" s="375"/>
      <c r="H18" s="52"/>
    </row>
    <row r="19" spans="1:14" x14ac:dyDescent="0.2">
      <c r="B19" s="51"/>
      <c r="C19" s="42"/>
      <c r="D19" s="42"/>
      <c r="E19" s="43">
        <v>1</v>
      </c>
      <c r="F19" s="42" t="s">
        <v>113</v>
      </c>
      <c r="G19" s="48">
        <f>+G15/G16</f>
        <v>0.90458938376064468</v>
      </c>
      <c r="H19" s="52"/>
    </row>
    <row r="20" spans="1:14" x14ac:dyDescent="0.2">
      <c r="B20" s="51"/>
      <c r="C20" s="42"/>
      <c r="D20" s="41"/>
      <c r="E20" s="41"/>
      <c r="F20" s="41"/>
      <c r="G20" s="41"/>
      <c r="H20" s="52"/>
    </row>
    <row r="21" spans="1:14" x14ac:dyDescent="0.2">
      <c r="B21" s="51"/>
      <c r="C21" s="42"/>
      <c r="D21" s="41" t="s">
        <v>109</v>
      </c>
      <c r="E21" s="375">
        <f>+E18</f>
        <v>162324.10999999999</v>
      </c>
      <c r="F21" s="375"/>
      <c r="G21" s="375"/>
      <c r="H21" s="52"/>
    </row>
    <row r="22" spans="1:14" x14ac:dyDescent="0.2">
      <c r="B22" s="51"/>
      <c r="C22" s="42"/>
      <c r="D22" s="41"/>
      <c r="E22" s="374">
        <f>+E19-G19</f>
        <v>9.5410616239355317E-2</v>
      </c>
      <c r="F22" s="374"/>
      <c r="G22" s="374"/>
      <c r="H22" s="52"/>
    </row>
    <row r="23" spans="1:14" x14ac:dyDescent="0.2">
      <c r="B23" s="51"/>
      <c r="C23" s="42"/>
      <c r="D23" s="41"/>
      <c r="E23" s="41"/>
      <c r="F23" s="41"/>
      <c r="G23" s="41"/>
      <c r="H23" s="52"/>
    </row>
    <row r="24" spans="1:14" x14ac:dyDescent="0.2">
      <c r="B24" s="51"/>
      <c r="C24" s="42"/>
      <c r="D24" s="41" t="s">
        <v>109</v>
      </c>
      <c r="E24" s="373">
        <f>+E21/E22</f>
        <v>1701321.2617008961</v>
      </c>
      <c r="F24" s="373"/>
      <c r="G24" s="373"/>
      <c r="H24" s="52"/>
    </row>
    <row r="25" spans="1:14" ht="13.5" thickBot="1" x14ac:dyDescent="0.25">
      <c r="B25" s="53"/>
      <c r="C25" s="54"/>
      <c r="D25" s="54"/>
      <c r="E25" s="54"/>
      <c r="F25" s="54"/>
      <c r="G25" s="54"/>
      <c r="H25" s="55"/>
    </row>
    <row r="26" spans="1:14" x14ac:dyDescent="0.2">
      <c r="A26" s="42"/>
      <c r="B26" s="42"/>
      <c r="C26" s="42"/>
      <c r="D26" s="42"/>
      <c r="E26" s="42"/>
      <c r="F26" s="42"/>
      <c r="G26" s="42"/>
      <c r="H26" s="42"/>
      <c r="I26" s="42"/>
    </row>
    <row r="27" spans="1:14" x14ac:dyDescent="0.2">
      <c r="A27" s="42"/>
      <c r="B27" s="42"/>
      <c r="C27" s="42"/>
      <c r="D27" s="42"/>
      <c r="E27" s="42"/>
      <c r="F27" s="42"/>
      <c r="G27" s="42"/>
      <c r="H27" s="42"/>
      <c r="I27" s="42"/>
    </row>
    <row r="28" spans="1:14" x14ac:dyDescent="0.2">
      <c r="A28" s="42"/>
      <c r="B28" s="42"/>
      <c r="C28" s="42"/>
      <c r="D28" s="42"/>
      <c r="E28" s="42"/>
      <c r="F28" s="42"/>
      <c r="G28" s="42"/>
      <c r="H28" s="42"/>
      <c r="I28" s="42"/>
    </row>
    <row r="29" spans="1:14" x14ac:dyDescent="0.2">
      <c r="A29" s="42"/>
      <c r="B29" s="42"/>
      <c r="C29" s="42"/>
      <c r="D29" s="42"/>
      <c r="E29" s="42"/>
      <c r="F29" s="42"/>
      <c r="G29" s="42"/>
      <c r="H29" s="42"/>
      <c r="I29" s="42"/>
    </row>
    <row r="30" spans="1:14" x14ac:dyDescent="0.2">
      <c r="A30" s="42"/>
      <c r="B30" s="42"/>
      <c r="C30" s="42"/>
      <c r="D30" s="42"/>
      <c r="E30" s="42"/>
      <c r="F30" s="42"/>
      <c r="G30" s="42"/>
      <c r="H30" s="42"/>
      <c r="I30" s="42"/>
    </row>
    <row r="31" spans="1:14" x14ac:dyDescent="0.2">
      <c r="A31" s="42"/>
      <c r="B31" s="42"/>
      <c r="C31" s="42"/>
      <c r="D31" s="42"/>
      <c r="E31" s="42"/>
      <c r="F31" s="42"/>
      <c r="G31" s="42"/>
      <c r="H31" s="42"/>
      <c r="I31" s="42"/>
    </row>
    <row r="32" spans="1:14" x14ac:dyDescent="0.2">
      <c r="A32" s="42"/>
      <c r="B32" s="42"/>
      <c r="C32" s="42"/>
      <c r="D32" s="42"/>
      <c r="E32" s="42"/>
      <c r="F32" s="42"/>
      <c r="G32" s="42"/>
      <c r="H32" s="42"/>
      <c r="I32" s="42"/>
    </row>
    <row r="33" spans="1:14" ht="13.5" thickBot="1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14" ht="15" customHeight="1" x14ac:dyDescent="0.2">
      <c r="B34" s="49"/>
      <c r="C34" s="378">
        <v>2015</v>
      </c>
      <c r="D34" s="378"/>
      <c r="E34" s="378"/>
      <c r="F34" s="378"/>
      <c r="G34" s="378"/>
      <c r="H34" s="50"/>
      <c r="I34" s="51"/>
      <c r="J34" s="131" t="s">
        <v>69</v>
      </c>
      <c r="K34" s="127" t="s">
        <v>202</v>
      </c>
      <c r="L34" s="131" t="s">
        <v>203</v>
      </c>
      <c r="M34" s="131" t="s">
        <v>204</v>
      </c>
      <c r="N34" s="131" t="s">
        <v>205</v>
      </c>
    </row>
    <row r="35" spans="1:14" ht="15" customHeight="1" x14ac:dyDescent="0.2">
      <c r="B35" s="51"/>
      <c r="C35" s="379"/>
      <c r="D35" s="379"/>
      <c r="E35" s="379"/>
      <c r="F35" s="379"/>
      <c r="G35" s="379"/>
      <c r="H35" s="52"/>
      <c r="I35" s="51"/>
      <c r="J35" s="132" t="s">
        <v>112</v>
      </c>
      <c r="K35" s="128" t="s">
        <v>112</v>
      </c>
      <c r="L35" s="132" t="s">
        <v>112</v>
      </c>
      <c r="M35" s="132" t="s">
        <v>112</v>
      </c>
      <c r="N35" s="132" t="s">
        <v>112</v>
      </c>
    </row>
    <row r="36" spans="1:14" ht="15" x14ac:dyDescent="0.25">
      <c r="B36" s="51"/>
      <c r="C36" s="380" t="s">
        <v>108</v>
      </c>
      <c r="D36" s="380"/>
      <c r="E36" s="380"/>
      <c r="F36" s="380"/>
      <c r="G36" s="380"/>
      <c r="H36" s="52"/>
      <c r="I36" s="51"/>
      <c r="J36" s="133">
        <v>0</v>
      </c>
      <c r="K36" s="129">
        <f t="shared" ref="K36:K37" si="4">+$G$39</f>
        <v>143572.68</v>
      </c>
      <c r="L36" s="133">
        <v>0</v>
      </c>
      <c r="M36" s="133">
        <f>+L36+K36</f>
        <v>143572.68</v>
      </c>
      <c r="N36" s="133">
        <f>+J36-M36</f>
        <v>-143572.68</v>
      </c>
    </row>
    <row r="37" spans="1:14" ht="15" x14ac:dyDescent="0.25">
      <c r="B37" s="51"/>
      <c r="C37" s="381" t="s">
        <v>111</v>
      </c>
      <c r="D37" s="381"/>
      <c r="E37" s="381"/>
      <c r="F37" s="381"/>
      <c r="G37" s="223" t="s">
        <v>112</v>
      </c>
      <c r="H37" s="52"/>
      <c r="I37" s="51"/>
      <c r="J37" s="133">
        <f>+J38*0.4</f>
        <v>338495.70784723747</v>
      </c>
      <c r="K37" s="129">
        <f t="shared" si="4"/>
        <v>143572.68</v>
      </c>
      <c r="L37" s="133">
        <f>+L38*0.4</f>
        <v>281066.63584723743</v>
      </c>
      <c r="M37" s="133">
        <f>+L37+K37</f>
        <v>424639.31584723742</v>
      </c>
      <c r="N37" s="133">
        <f t="shared" ref="N37:N40" si="5">+J37-M37</f>
        <v>-86143.607999999949</v>
      </c>
    </row>
    <row r="38" spans="1:14" ht="15" x14ac:dyDescent="0.25">
      <c r="B38" s="51"/>
      <c r="C38" s="377" t="s">
        <v>115</v>
      </c>
      <c r="D38" s="377"/>
      <c r="E38" s="377"/>
      <c r="F38" s="377"/>
      <c r="G38" s="44">
        <f>+'ER ESPERADO'!F17+'ER ESPERADO'!F34</f>
        <v>768436.56</v>
      </c>
      <c r="H38" s="52"/>
      <c r="I38" s="51"/>
      <c r="J38" s="133">
        <f>+E56</f>
        <v>846239.26961809362</v>
      </c>
      <c r="K38" s="129">
        <f>+$G$39</f>
        <v>143572.68</v>
      </c>
      <c r="L38" s="133">
        <f>+J38-K38</f>
        <v>702666.58961809357</v>
      </c>
      <c r="M38" s="133">
        <f t="shared" ref="M38:M40" si="6">+L38+K38</f>
        <v>846239.2696180935</v>
      </c>
      <c r="N38" s="133">
        <f t="shared" si="5"/>
        <v>0</v>
      </c>
    </row>
    <row r="39" spans="1:14" ht="15" x14ac:dyDescent="0.25">
      <c r="B39" s="51"/>
      <c r="C39" s="377" t="s">
        <v>117</v>
      </c>
      <c r="D39" s="377"/>
      <c r="E39" s="377"/>
      <c r="F39" s="377"/>
      <c r="G39" s="44">
        <f>+'ER ESPERADO'!F18+'ER ESPERADO'!F32+'ER ESPERADO'!F42</f>
        <v>143572.68</v>
      </c>
      <c r="H39" s="52"/>
      <c r="I39" s="51"/>
      <c r="J39" s="133">
        <f>+J38*120%</f>
        <v>1015487.1235417123</v>
      </c>
      <c r="K39" s="129">
        <f t="shared" ref="K39:K40" si="7">+$G$39</f>
        <v>143572.68</v>
      </c>
      <c r="L39" s="133">
        <f>+L38*120%</f>
        <v>843199.90754171228</v>
      </c>
      <c r="M39" s="133">
        <f t="shared" si="6"/>
        <v>986772.58754171222</v>
      </c>
      <c r="N39" s="133">
        <f t="shared" si="5"/>
        <v>28714.53600000008</v>
      </c>
    </row>
    <row r="40" spans="1:14" ht="15" x14ac:dyDescent="0.25">
      <c r="B40" s="51"/>
      <c r="C40" s="377" t="s">
        <v>116</v>
      </c>
      <c r="D40" s="377"/>
      <c r="E40" s="377"/>
      <c r="F40" s="377"/>
      <c r="G40" s="44">
        <f>+'ER ESPERADO'!F13</f>
        <v>925447.72</v>
      </c>
      <c r="H40" s="52"/>
      <c r="I40" s="51"/>
      <c r="J40" s="126">
        <f>+J38*1.85</f>
        <v>1565542.6487934734</v>
      </c>
      <c r="K40" s="130">
        <f t="shared" si="7"/>
        <v>143572.68</v>
      </c>
      <c r="L40" s="126">
        <f>+L38*1.85</f>
        <v>1299933.1907934733</v>
      </c>
      <c r="M40" s="126">
        <f t="shared" si="6"/>
        <v>1443505.8707934732</v>
      </c>
      <c r="N40" s="126">
        <f t="shared" si="5"/>
        <v>122036.77800000017</v>
      </c>
    </row>
    <row r="41" spans="1:14" x14ac:dyDescent="0.2">
      <c r="B41" s="51"/>
      <c r="C41" s="42"/>
      <c r="D41" s="42"/>
      <c r="E41" s="42"/>
      <c r="F41" s="42"/>
      <c r="G41" s="42"/>
      <c r="H41" s="52"/>
      <c r="I41" s="51"/>
    </row>
    <row r="42" spans="1:14" x14ac:dyDescent="0.2">
      <c r="B42" s="51"/>
      <c r="C42" s="42"/>
      <c r="D42" s="41" t="s">
        <v>109</v>
      </c>
      <c r="E42" s="376" t="s">
        <v>110</v>
      </c>
      <c r="F42" s="376"/>
      <c r="G42" s="376"/>
      <c r="H42" s="52"/>
      <c r="I42" s="51"/>
    </row>
    <row r="43" spans="1:14" x14ac:dyDescent="0.2">
      <c r="B43" s="51"/>
      <c r="C43" s="42"/>
      <c r="D43" s="42"/>
      <c r="E43" s="43">
        <v>1</v>
      </c>
      <c r="F43" s="42" t="s">
        <v>113</v>
      </c>
      <c r="G43" s="43" t="s">
        <v>114</v>
      </c>
      <c r="H43" s="52"/>
      <c r="I43" s="51"/>
    </row>
    <row r="44" spans="1:14" x14ac:dyDescent="0.2">
      <c r="B44" s="51"/>
      <c r="C44" s="42"/>
      <c r="D44" s="45"/>
      <c r="E44" s="42"/>
      <c r="F44" s="41"/>
      <c r="G44" s="46" t="s">
        <v>116</v>
      </c>
      <c r="H44" s="52"/>
      <c r="I44" s="51"/>
    </row>
    <row r="45" spans="1:14" x14ac:dyDescent="0.2">
      <c r="B45" s="51"/>
      <c r="C45" s="42"/>
      <c r="D45" s="47"/>
      <c r="E45" s="42"/>
      <c r="F45" s="42"/>
      <c r="G45" s="42"/>
      <c r="H45" s="52"/>
      <c r="I45" s="51"/>
    </row>
    <row r="46" spans="1:14" x14ac:dyDescent="0.2">
      <c r="B46" s="51"/>
      <c r="C46" s="42"/>
      <c r="D46" s="41" t="s">
        <v>109</v>
      </c>
      <c r="E46" s="375">
        <f>+G39</f>
        <v>143572.68</v>
      </c>
      <c r="F46" s="376"/>
      <c r="G46" s="376"/>
      <c r="H46" s="52"/>
      <c r="I46" s="51"/>
    </row>
    <row r="47" spans="1:14" x14ac:dyDescent="0.2">
      <c r="B47" s="51"/>
      <c r="C47" s="42"/>
      <c r="D47" s="42"/>
      <c r="E47" s="43">
        <v>1</v>
      </c>
      <c r="F47" s="42" t="s">
        <v>113</v>
      </c>
      <c r="G47" s="48">
        <f>+G38</f>
        <v>768436.56</v>
      </c>
      <c r="H47" s="52"/>
      <c r="I47" s="51"/>
    </row>
    <row r="48" spans="1:14" x14ac:dyDescent="0.2">
      <c r="B48" s="51"/>
      <c r="C48" s="42"/>
      <c r="D48" s="41"/>
      <c r="E48" s="42"/>
      <c r="F48" s="41"/>
      <c r="G48" s="125">
        <f>+G40</f>
        <v>925447.72</v>
      </c>
      <c r="H48" s="52"/>
      <c r="I48" s="51"/>
    </row>
    <row r="49" spans="1:9" x14ac:dyDescent="0.2">
      <c r="B49" s="51"/>
      <c r="C49" s="42"/>
      <c r="D49" s="42"/>
      <c r="E49" s="42"/>
      <c r="F49" s="42"/>
      <c r="G49" s="42"/>
      <c r="H49" s="52"/>
      <c r="I49" s="51"/>
    </row>
    <row r="50" spans="1:9" x14ac:dyDescent="0.2">
      <c r="B50" s="51"/>
      <c r="C50" s="42"/>
      <c r="D50" s="41" t="s">
        <v>109</v>
      </c>
      <c r="E50" s="375">
        <f>+E46</f>
        <v>143572.68</v>
      </c>
      <c r="F50" s="375"/>
      <c r="G50" s="375"/>
      <c r="H50" s="52"/>
      <c r="I50" s="51"/>
    </row>
    <row r="51" spans="1:9" x14ac:dyDescent="0.2">
      <c r="B51" s="51"/>
      <c r="C51" s="42"/>
      <c r="D51" s="42"/>
      <c r="E51" s="43">
        <v>1</v>
      </c>
      <c r="F51" s="42" t="s">
        <v>113</v>
      </c>
      <c r="G51" s="48">
        <f>+G47/G48</f>
        <v>0.83034032435673411</v>
      </c>
      <c r="H51" s="52"/>
      <c r="I51" s="51"/>
    </row>
    <row r="52" spans="1:9" x14ac:dyDescent="0.2">
      <c r="B52" s="51"/>
      <c r="C52" s="42"/>
      <c r="D52" s="41"/>
      <c r="E52" s="41"/>
      <c r="F52" s="41"/>
      <c r="G52" s="41"/>
      <c r="H52" s="52"/>
      <c r="I52" s="51"/>
    </row>
    <row r="53" spans="1:9" x14ac:dyDescent="0.2">
      <c r="B53" s="51"/>
      <c r="C53" s="42"/>
      <c r="D53" s="41" t="s">
        <v>109</v>
      </c>
      <c r="E53" s="375">
        <f>+E50</f>
        <v>143572.68</v>
      </c>
      <c r="F53" s="375"/>
      <c r="G53" s="375"/>
      <c r="H53" s="52"/>
      <c r="I53" s="51"/>
    </row>
    <row r="54" spans="1:9" x14ac:dyDescent="0.2">
      <c r="B54" s="51"/>
      <c r="C54" s="42"/>
      <c r="D54" s="41"/>
      <c r="E54" s="374">
        <f>+E51-G51</f>
        <v>0.16965967564326589</v>
      </c>
      <c r="F54" s="374"/>
      <c r="G54" s="374"/>
      <c r="H54" s="52"/>
      <c r="I54" s="51"/>
    </row>
    <row r="55" spans="1:9" x14ac:dyDescent="0.2">
      <c r="B55" s="51"/>
      <c r="C55" s="42"/>
      <c r="D55" s="41"/>
      <c r="E55" s="41"/>
      <c r="F55" s="41"/>
      <c r="G55" s="41"/>
      <c r="H55" s="52"/>
      <c r="I55" s="51"/>
    </row>
    <row r="56" spans="1:9" x14ac:dyDescent="0.2">
      <c r="B56" s="51"/>
      <c r="C56" s="42"/>
      <c r="D56" s="41" t="s">
        <v>109</v>
      </c>
      <c r="E56" s="373">
        <f>+E53/E54</f>
        <v>846239.26961809362</v>
      </c>
      <c r="F56" s="373"/>
      <c r="G56" s="373"/>
      <c r="H56" s="52"/>
      <c r="I56" s="51"/>
    </row>
    <row r="57" spans="1:9" ht="13.5" thickBot="1" x14ac:dyDescent="0.25">
      <c r="B57" s="53"/>
      <c r="C57" s="54"/>
      <c r="D57" s="54"/>
      <c r="E57" s="54"/>
      <c r="F57" s="54"/>
      <c r="G57" s="54"/>
      <c r="H57" s="55"/>
      <c r="I57" s="51"/>
    </row>
    <row r="58" spans="1:9" x14ac:dyDescent="0.2">
      <c r="A58" s="42"/>
      <c r="B58" s="42"/>
      <c r="C58" s="42"/>
      <c r="D58" s="42"/>
      <c r="E58" s="42"/>
      <c r="F58" s="42"/>
      <c r="G58" s="42"/>
      <c r="H58" s="42"/>
      <c r="I58" s="42"/>
    </row>
    <row r="59" spans="1:9" x14ac:dyDescent="0.2">
      <c r="A59" s="42"/>
      <c r="B59" s="42"/>
      <c r="C59" s="42"/>
      <c r="D59" s="42"/>
      <c r="E59" s="42"/>
      <c r="F59" s="42"/>
      <c r="G59" s="42"/>
      <c r="H59" s="42"/>
      <c r="I59" s="42"/>
    </row>
    <row r="60" spans="1:9" x14ac:dyDescent="0.2">
      <c r="A60" s="42"/>
      <c r="B60" s="42"/>
      <c r="C60" s="42"/>
      <c r="D60" s="42"/>
      <c r="E60" s="42"/>
      <c r="F60" s="42"/>
      <c r="G60" s="42"/>
      <c r="H60" s="42"/>
      <c r="I60" s="42"/>
    </row>
    <row r="61" spans="1:9" x14ac:dyDescent="0.2">
      <c r="A61" s="42"/>
      <c r="B61" s="42"/>
      <c r="C61" s="42"/>
      <c r="D61" s="42"/>
      <c r="E61" s="42"/>
      <c r="F61" s="42"/>
      <c r="G61" s="42"/>
      <c r="H61" s="42"/>
      <c r="I61" s="42"/>
    </row>
    <row r="62" spans="1:9" x14ac:dyDescent="0.2">
      <c r="A62" s="42"/>
      <c r="B62" s="42"/>
      <c r="C62" s="42"/>
      <c r="D62" s="42"/>
      <c r="E62" s="42"/>
      <c r="F62" s="42"/>
      <c r="G62" s="42"/>
      <c r="H62" s="42"/>
      <c r="I62" s="42"/>
    </row>
    <row r="63" spans="1:9" x14ac:dyDescent="0.2">
      <c r="A63" s="42"/>
      <c r="B63" s="42"/>
      <c r="C63" s="42"/>
      <c r="D63" s="42"/>
      <c r="E63" s="42"/>
      <c r="F63" s="42"/>
      <c r="G63" s="42"/>
      <c r="H63" s="42"/>
      <c r="I63" s="42"/>
    </row>
    <row r="64" spans="1:9" x14ac:dyDescent="0.2">
      <c r="A64" s="42"/>
      <c r="B64" s="42"/>
      <c r="C64" s="42"/>
      <c r="D64" s="42"/>
      <c r="E64" s="42"/>
      <c r="F64" s="42"/>
      <c r="G64" s="42"/>
      <c r="H64" s="42"/>
      <c r="I64" s="42"/>
    </row>
    <row r="65" spans="1:14" ht="13.5" thickBot="1" x14ac:dyDescent="0.25">
      <c r="A65" s="42"/>
      <c r="B65" s="42"/>
      <c r="C65" s="42"/>
      <c r="D65" s="42"/>
      <c r="E65" s="42"/>
      <c r="F65" s="42"/>
      <c r="G65" s="42"/>
      <c r="H65" s="42"/>
      <c r="I65" s="42"/>
    </row>
    <row r="66" spans="1:14" ht="12.75" customHeight="1" x14ac:dyDescent="0.2">
      <c r="B66" s="49"/>
      <c r="C66" s="378">
        <v>2016</v>
      </c>
      <c r="D66" s="378"/>
      <c r="E66" s="378"/>
      <c r="F66" s="378"/>
      <c r="G66" s="378"/>
      <c r="H66" s="50"/>
      <c r="I66" s="51"/>
      <c r="J66" s="131" t="s">
        <v>69</v>
      </c>
      <c r="K66" s="127" t="s">
        <v>202</v>
      </c>
      <c r="L66" s="131" t="s">
        <v>203</v>
      </c>
      <c r="M66" s="131" t="s">
        <v>204</v>
      </c>
      <c r="N66" s="131" t="s">
        <v>205</v>
      </c>
    </row>
    <row r="67" spans="1:14" ht="12.75" customHeight="1" x14ac:dyDescent="0.2">
      <c r="B67" s="51"/>
      <c r="C67" s="379"/>
      <c r="D67" s="379"/>
      <c r="E67" s="379"/>
      <c r="F67" s="379"/>
      <c r="G67" s="379"/>
      <c r="H67" s="52"/>
      <c r="I67" s="51"/>
      <c r="J67" s="132" t="s">
        <v>112</v>
      </c>
      <c r="K67" s="128" t="s">
        <v>112</v>
      </c>
      <c r="L67" s="132" t="s">
        <v>112</v>
      </c>
      <c r="M67" s="132" t="s">
        <v>112</v>
      </c>
      <c r="N67" s="132" t="s">
        <v>112</v>
      </c>
    </row>
    <row r="68" spans="1:14" ht="15" x14ac:dyDescent="0.25">
      <c r="B68" s="51"/>
      <c r="C68" s="380" t="s">
        <v>108</v>
      </c>
      <c r="D68" s="380"/>
      <c r="E68" s="380"/>
      <c r="F68" s="380"/>
      <c r="G68" s="380"/>
      <c r="H68" s="52"/>
      <c r="I68" s="51"/>
      <c r="J68" s="133">
        <v>0</v>
      </c>
      <c r="K68" s="129">
        <f t="shared" ref="K68:K72" si="8">+$G$71</f>
        <v>147770.69847400003</v>
      </c>
      <c r="L68" s="133">
        <v>0</v>
      </c>
      <c r="M68" s="133">
        <f>+L68+K68</f>
        <v>147770.69847400003</v>
      </c>
      <c r="N68" s="133">
        <f>+J68-M68</f>
        <v>-147770.69847400003</v>
      </c>
    </row>
    <row r="69" spans="1:14" ht="15" x14ac:dyDescent="0.25">
      <c r="B69" s="51"/>
      <c r="C69" s="381" t="s">
        <v>111</v>
      </c>
      <c r="D69" s="381"/>
      <c r="E69" s="381"/>
      <c r="F69" s="381"/>
      <c r="G69" s="223" t="s">
        <v>112</v>
      </c>
      <c r="H69" s="52"/>
      <c r="I69" s="51"/>
      <c r="J69" s="133">
        <f>+J70*0.4</f>
        <v>434062.92552963685</v>
      </c>
      <c r="K69" s="129">
        <f t="shared" si="8"/>
        <v>147770.69847400003</v>
      </c>
      <c r="L69" s="133">
        <f>+L70*0.4</f>
        <v>374954.64614003687</v>
      </c>
      <c r="M69" s="133">
        <f>+L69+K69</f>
        <v>522725.34461403691</v>
      </c>
      <c r="N69" s="133">
        <f t="shared" ref="N69:N72" si="9">+J69-M69</f>
        <v>-88662.419084400055</v>
      </c>
    </row>
    <row r="70" spans="1:14" ht="15" x14ac:dyDescent="0.25">
      <c r="B70" s="51"/>
      <c r="C70" s="377" t="s">
        <v>115</v>
      </c>
      <c r="D70" s="377"/>
      <c r="E70" s="377"/>
      <c r="F70" s="377"/>
      <c r="G70" s="44">
        <f>+'ER ESPERADO'!G17+'ER ESPERADO'!G34</f>
        <v>991287.48030800011</v>
      </c>
      <c r="H70" s="52"/>
      <c r="I70" s="51"/>
      <c r="J70" s="133">
        <f>+E88</f>
        <v>1085157.313824092</v>
      </c>
      <c r="K70" s="129">
        <f>+$G$71</f>
        <v>147770.69847400003</v>
      </c>
      <c r="L70" s="133">
        <f>+J70-K70</f>
        <v>937386.61535009206</v>
      </c>
      <c r="M70" s="133">
        <f t="shared" ref="M70:M72" si="10">+L70+K70</f>
        <v>1085157.313824092</v>
      </c>
      <c r="N70" s="133">
        <f t="shared" si="9"/>
        <v>0</v>
      </c>
    </row>
    <row r="71" spans="1:14" ht="15" x14ac:dyDescent="0.25">
      <c r="B71" s="51"/>
      <c r="C71" s="377" t="s">
        <v>117</v>
      </c>
      <c r="D71" s="377"/>
      <c r="E71" s="377"/>
      <c r="F71" s="377"/>
      <c r="G71" s="44">
        <f>+'ER ESPERADO'!G18+'ER ESPERADO'!G32+'ER ESPERADO'!G42</f>
        <v>147770.69847400003</v>
      </c>
      <c r="H71" s="52"/>
      <c r="I71" s="51"/>
      <c r="J71" s="133">
        <f>+J70*120%</f>
        <v>1302188.7765889105</v>
      </c>
      <c r="K71" s="129">
        <f t="shared" si="8"/>
        <v>147770.69847400003</v>
      </c>
      <c r="L71" s="133">
        <f>+L70*120%</f>
        <v>1124863.9384201104</v>
      </c>
      <c r="M71" s="133">
        <f t="shared" si="10"/>
        <v>1272634.6368941104</v>
      </c>
      <c r="N71" s="133">
        <f t="shared" si="9"/>
        <v>29554.139694800135</v>
      </c>
    </row>
    <row r="72" spans="1:14" ht="15" x14ac:dyDescent="0.25">
      <c r="B72" s="51"/>
      <c r="C72" s="377" t="s">
        <v>116</v>
      </c>
      <c r="D72" s="377"/>
      <c r="E72" s="377"/>
      <c r="F72" s="377"/>
      <c r="G72" s="44">
        <f>+'ER ESPERADO'!G13</f>
        <v>1147555.1728000001</v>
      </c>
      <c r="H72" s="52"/>
      <c r="I72" s="51"/>
      <c r="J72" s="126">
        <f>+J70*1.85</f>
        <v>2007541.0305745704</v>
      </c>
      <c r="K72" s="130">
        <f t="shared" si="8"/>
        <v>147770.69847400003</v>
      </c>
      <c r="L72" s="126">
        <f>+L70*1.85</f>
        <v>1734165.2383976704</v>
      </c>
      <c r="M72" s="126">
        <f t="shared" si="10"/>
        <v>1881935.9368716704</v>
      </c>
      <c r="N72" s="126">
        <f t="shared" si="9"/>
        <v>125605.09370289999</v>
      </c>
    </row>
    <row r="73" spans="1:14" x14ac:dyDescent="0.2">
      <c r="B73" s="51"/>
      <c r="C73" s="42"/>
      <c r="D73" s="42"/>
      <c r="E73" s="42"/>
      <c r="F73" s="42"/>
      <c r="G73" s="42"/>
      <c r="H73" s="52"/>
      <c r="I73" s="51"/>
    </row>
    <row r="74" spans="1:14" x14ac:dyDescent="0.2">
      <c r="B74" s="51"/>
      <c r="C74" s="42"/>
      <c r="D74" s="41" t="s">
        <v>109</v>
      </c>
      <c r="E74" s="376" t="s">
        <v>110</v>
      </c>
      <c r="F74" s="376"/>
      <c r="G74" s="376"/>
      <c r="H74" s="52"/>
      <c r="I74" s="51"/>
    </row>
    <row r="75" spans="1:14" x14ac:dyDescent="0.2">
      <c r="B75" s="51"/>
      <c r="C75" s="42"/>
      <c r="D75" s="42"/>
      <c r="E75" s="43">
        <v>1</v>
      </c>
      <c r="F75" s="42" t="s">
        <v>113</v>
      </c>
      <c r="G75" s="43" t="s">
        <v>114</v>
      </c>
      <c r="H75" s="52"/>
      <c r="I75" s="51"/>
    </row>
    <row r="76" spans="1:14" x14ac:dyDescent="0.2">
      <c r="B76" s="51"/>
      <c r="C76" s="42"/>
      <c r="D76" s="45"/>
      <c r="E76" s="42"/>
      <c r="F76" s="41"/>
      <c r="G76" s="46" t="s">
        <v>116</v>
      </c>
      <c r="H76" s="52"/>
      <c r="I76" s="51"/>
    </row>
    <row r="77" spans="1:14" x14ac:dyDescent="0.2">
      <c r="B77" s="51"/>
      <c r="C77" s="42"/>
      <c r="D77" s="47"/>
      <c r="E77" s="42"/>
      <c r="F77" s="42"/>
      <c r="G77" s="42"/>
      <c r="H77" s="52"/>
      <c r="I77" s="51"/>
    </row>
    <row r="78" spans="1:14" x14ac:dyDescent="0.2">
      <c r="B78" s="51"/>
      <c r="C78" s="42"/>
      <c r="D78" s="41" t="s">
        <v>109</v>
      </c>
      <c r="E78" s="375">
        <f>+G71</f>
        <v>147770.69847400003</v>
      </c>
      <c r="F78" s="376"/>
      <c r="G78" s="376"/>
      <c r="H78" s="52"/>
      <c r="I78" s="51"/>
    </row>
    <row r="79" spans="1:14" x14ac:dyDescent="0.2">
      <c r="B79" s="51"/>
      <c r="C79" s="42"/>
      <c r="D79" s="42"/>
      <c r="E79" s="43">
        <v>1</v>
      </c>
      <c r="F79" s="42" t="s">
        <v>113</v>
      </c>
      <c r="G79" s="48">
        <f>+G70</f>
        <v>991287.48030800011</v>
      </c>
      <c r="H79" s="52"/>
      <c r="I79" s="51"/>
    </row>
    <row r="80" spans="1:14" x14ac:dyDescent="0.2">
      <c r="B80" s="51"/>
      <c r="C80" s="42"/>
      <c r="D80" s="41"/>
      <c r="E80" s="42"/>
      <c r="F80" s="41"/>
      <c r="G80" s="125">
        <f>+G72</f>
        <v>1147555.1728000001</v>
      </c>
      <c r="H80" s="52"/>
      <c r="I80" s="51"/>
    </row>
    <row r="81" spans="1:9" x14ac:dyDescent="0.2">
      <c r="B81" s="51"/>
      <c r="C81" s="42"/>
      <c r="D81" s="42"/>
      <c r="E81" s="42"/>
      <c r="F81" s="42"/>
      <c r="G81" s="42"/>
      <c r="H81" s="52"/>
      <c r="I81" s="51"/>
    </row>
    <row r="82" spans="1:9" x14ac:dyDescent="0.2">
      <c r="B82" s="51"/>
      <c r="C82" s="42"/>
      <c r="D82" s="41" t="s">
        <v>109</v>
      </c>
      <c r="E82" s="375">
        <f>+E78</f>
        <v>147770.69847400003</v>
      </c>
      <c r="F82" s="375"/>
      <c r="G82" s="375"/>
      <c r="H82" s="52"/>
      <c r="I82" s="51"/>
    </row>
    <row r="83" spans="1:9" x14ac:dyDescent="0.2">
      <c r="B83" s="51"/>
      <c r="C83" s="42"/>
      <c r="D83" s="42"/>
      <c r="E83" s="43">
        <v>1</v>
      </c>
      <c r="F83" s="42" t="s">
        <v>113</v>
      </c>
      <c r="G83" s="48">
        <f>+G79/G80</f>
        <v>0.86382555175041265</v>
      </c>
      <c r="H83" s="52"/>
      <c r="I83" s="51"/>
    </row>
    <row r="84" spans="1:9" x14ac:dyDescent="0.2">
      <c r="B84" s="51"/>
      <c r="C84" s="42"/>
      <c r="D84" s="41"/>
      <c r="E84" s="41"/>
      <c r="F84" s="41"/>
      <c r="G84" s="41"/>
      <c r="H84" s="52"/>
      <c r="I84" s="51"/>
    </row>
    <row r="85" spans="1:9" x14ac:dyDescent="0.2">
      <c r="B85" s="51"/>
      <c r="C85" s="42"/>
      <c r="D85" s="41" t="s">
        <v>109</v>
      </c>
      <c r="E85" s="375">
        <f>+E82</f>
        <v>147770.69847400003</v>
      </c>
      <c r="F85" s="375"/>
      <c r="G85" s="375"/>
      <c r="H85" s="52"/>
      <c r="I85" s="51"/>
    </row>
    <row r="86" spans="1:9" x14ac:dyDescent="0.2">
      <c r="B86" s="51"/>
      <c r="C86" s="42"/>
      <c r="D86" s="41"/>
      <c r="E86" s="374">
        <f>+E83-G83</f>
        <v>0.13617444824958735</v>
      </c>
      <c r="F86" s="374"/>
      <c r="G86" s="374"/>
      <c r="H86" s="52"/>
      <c r="I86" s="51"/>
    </row>
    <row r="87" spans="1:9" x14ac:dyDescent="0.2">
      <c r="B87" s="51"/>
      <c r="C87" s="42"/>
      <c r="D87" s="41"/>
      <c r="E87" s="41"/>
      <c r="F87" s="41"/>
      <c r="G87" s="41"/>
      <c r="H87" s="52"/>
      <c r="I87" s="51"/>
    </row>
    <row r="88" spans="1:9" x14ac:dyDescent="0.2">
      <c r="B88" s="51"/>
      <c r="C88" s="42"/>
      <c r="D88" s="41" t="s">
        <v>109</v>
      </c>
      <c r="E88" s="373">
        <f>+E85/E86</f>
        <v>1085157.313824092</v>
      </c>
      <c r="F88" s="373"/>
      <c r="G88" s="373"/>
      <c r="H88" s="52"/>
      <c r="I88" s="51"/>
    </row>
    <row r="89" spans="1:9" ht="13.5" thickBot="1" x14ac:dyDescent="0.25">
      <c r="B89" s="53"/>
      <c r="C89" s="54"/>
      <c r="D89" s="54"/>
      <c r="E89" s="54"/>
      <c r="F89" s="54"/>
      <c r="G89" s="54"/>
      <c r="H89" s="55"/>
      <c r="I89" s="51"/>
    </row>
    <row r="90" spans="1:9" x14ac:dyDescent="0.2">
      <c r="A90" s="42"/>
      <c r="B90" s="42"/>
      <c r="C90" s="42"/>
      <c r="D90" s="42"/>
      <c r="E90" s="42"/>
      <c r="F90" s="42"/>
      <c r="G90" s="42"/>
      <c r="H90" s="42"/>
      <c r="I90" s="42"/>
    </row>
    <row r="91" spans="1:9" x14ac:dyDescent="0.2">
      <c r="A91" s="42"/>
      <c r="B91" s="42"/>
      <c r="C91" s="42"/>
      <c r="D91" s="42"/>
      <c r="E91" s="42"/>
      <c r="F91" s="42"/>
      <c r="G91" s="42"/>
      <c r="H91" s="42"/>
      <c r="I91" s="42"/>
    </row>
    <row r="92" spans="1:9" x14ac:dyDescent="0.2">
      <c r="A92" s="42"/>
      <c r="B92" s="42"/>
      <c r="C92" s="42"/>
      <c r="D92" s="42"/>
      <c r="E92" s="42"/>
      <c r="F92" s="42"/>
      <c r="G92" s="42"/>
      <c r="H92" s="42"/>
      <c r="I92" s="42"/>
    </row>
    <row r="93" spans="1:9" x14ac:dyDescent="0.2">
      <c r="A93" s="42"/>
      <c r="B93" s="42"/>
      <c r="C93" s="42"/>
      <c r="D93" s="42"/>
      <c r="E93" s="42"/>
      <c r="F93" s="42"/>
      <c r="G93" s="42"/>
      <c r="H93" s="42"/>
      <c r="I93" s="42"/>
    </row>
    <row r="94" spans="1:9" x14ac:dyDescent="0.2">
      <c r="A94" s="42"/>
      <c r="B94" s="42"/>
      <c r="C94" s="42"/>
      <c r="D94" s="42"/>
      <c r="E94" s="42"/>
      <c r="F94" s="42"/>
      <c r="G94" s="42"/>
      <c r="H94" s="42"/>
      <c r="I94" s="42"/>
    </row>
    <row r="95" spans="1:9" x14ac:dyDescent="0.2">
      <c r="A95" s="42"/>
      <c r="B95" s="42"/>
      <c r="C95" s="42"/>
      <c r="D95" s="42"/>
      <c r="E95" s="42"/>
      <c r="F95" s="42"/>
      <c r="G95" s="42"/>
      <c r="H95" s="42"/>
      <c r="I95" s="42"/>
    </row>
    <row r="96" spans="1:9" x14ac:dyDescent="0.2">
      <c r="A96" s="42"/>
      <c r="B96" s="42"/>
      <c r="C96" s="42"/>
      <c r="D96" s="42"/>
      <c r="E96" s="42"/>
      <c r="F96" s="42"/>
      <c r="G96" s="42"/>
      <c r="H96" s="42"/>
      <c r="I96" s="42"/>
    </row>
    <row r="97" spans="2:14" ht="13.5" thickBot="1" x14ac:dyDescent="0.25">
      <c r="B97" s="42"/>
      <c r="C97" s="42"/>
      <c r="D97" s="42"/>
      <c r="E97" s="42"/>
      <c r="F97" s="42"/>
      <c r="G97" s="42"/>
      <c r="H97" s="42"/>
      <c r="I97" s="42"/>
    </row>
    <row r="98" spans="2:14" ht="12" customHeight="1" x14ac:dyDescent="0.2">
      <c r="B98" s="49"/>
      <c r="C98" s="378">
        <v>2017</v>
      </c>
      <c r="D98" s="378"/>
      <c r="E98" s="378"/>
      <c r="F98" s="378"/>
      <c r="G98" s="378"/>
      <c r="H98" s="50"/>
      <c r="J98" s="131" t="s">
        <v>69</v>
      </c>
      <c r="K98" s="127" t="s">
        <v>202</v>
      </c>
      <c r="L98" s="131" t="s">
        <v>203</v>
      </c>
      <c r="M98" s="131" t="s">
        <v>204</v>
      </c>
      <c r="N98" s="131" t="s">
        <v>205</v>
      </c>
    </row>
    <row r="99" spans="2:14" ht="12.75" customHeight="1" x14ac:dyDescent="0.2">
      <c r="B99" s="51"/>
      <c r="C99" s="379"/>
      <c r="D99" s="379"/>
      <c r="E99" s="379"/>
      <c r="F99" s="379"/>
      <c r="G99" s="379"/>
      <c r="H99" s="52"/>
      <c r="J99" s="132" t="s">
        <v>112</v>
      </c>
      <c r="K99" s="128" t="s">
        <v>112</v>
      </c>
      <c r="L99" s="132" t="s">
        <v>112</v>
      </c>
      <c r="M99" s="132" t="s">
        <v>112</v>
      </c>
      <c r="N99" s="132" t="s">
        <v>112</v>
      </c>
    </row>
    <row r="100" spans="2:14" ht="15" x14ac:dyDescent="0.25">
      <c r="B100" s="51"/>
      <c r="C100" s="380" t="s">
        <v>108</v>
      </c>
      <c r="D100" s="380"/>
      <c r="E100" s="380"/>
      <c r="F100" s="380"/>
      <c r="G100" s="380"/>
      <c r="H100" s="52"/>
      <c r="J100" s="133">
        <v>0</v>
      </c>
      <c r="K100" s="129">
        <f t="shared" ref="K100:K101" si="11">+$G$103</f>
        <v>152110.6099724212</v>
      </c>
      <c r="L100" s="133">
        <v>0</v>
      </c>
      <c r="M100" s="133">
        <f>+L100+K100</f>
        <v>152110.6099724212</v>
      </c>
      <c r="N100" s="133">
        <f>+J100-M100</f>
        <v>-152110.6099724212</v>
      </c>
    </row>
    <row r="101" spans="2:14" ht="15" x14ac:dyDescent="0.25">
      <c r="B101" s="51"/>
      <c r="C101" s="381" t="s">
        <v>111</v>
      </c>
      <c r="D101" s="381"/>
      <c r="E101" s="381"/>
      <c r="F101" s="381"/>
      <c r="G101" s="223" t="s">
        <v>112</v>
      </c>
      <c r="H101" s="52"/>
      <c r="J101" s="133">
        <f>+J102*0.4</f>
        <v>444733.40350545192</v>
      </c>
      <c r="K101" s="129">
        <f t="shared" si="11"/>
        <v>152110.6099724212</v>
      </c>
      <c r="L101" s="133">
        <f>+L102*0.4</f>
        <v>383889.15951648343</v>
      </c>
      <c r="M101" s="133">
        <f>+L101+K101</f>
        <v>535999.76948890463</v>
      </c>
      <c r="N101" s="133">
        <f t="shared" ref="N101:N104" si="12">+J101-M101</f>
        <v>-91266.365983452706</v>
      </c>
    </row>
    <row r="102" spans="2:14" ht="15" x14ac:dyDescent="0.25">
      <c r="B102" s="51"/>
      <c r="C102" s="377" t="s">
        <v>115</v>
      </c>
      <c r="D102" s="377"/>
      <c r="E102" s="377"/>
      <c r="F102" s="377"/>
      <c r="G102" s="44">
        <f>+'ER ESPERADO'!H17+'ER ESPERADO'!H34</f>
        <v>1228291.2510453803</v>
      </c>
      <c r="H102" s="52"/>
      <c r="J102" s="133">
        <f>+E120</f>
        <v>1111833.5087636297</v>
      </c>
      <c r="K102" s="129">
        <f>+$G$103</f>
        <v>152110.6099724212</v>
      </c>
      <c r="L102" s="133">
        <f>+J102-K102</f>
        <v>959722.89879120851</v>
      </c>
      <c r="M102" s="133">
        <f t="shared" ref="M102:M104" si="13">+L102+K102</f>
        <v>1111833.5087636297</v>
      </c>
      <c r="N102" s="133">
        <f t="shared" si="12"/>
        <v>0</v>
      </c>
    </row>
    <row r="103" spans="2:14" ht="15" x14ac:dyDescent="0.25">
      <c r="B103" s="51"/>
      <c r="C103" s="377" t="s">
        <v>117</v>
      </c>
      <c r="D103" s="377"/>
      <c r="E103" s="377"/>
      <c r="F103" s="377"/>
      <c r="G103" s="44">
        <f>+'ER ESPERADO'!H18+'ER ESPERADO'!H32+'ER ESPERADO'!H42</f>
        <v>152110.6099724212</v>
      </c>
      <c r="H103" s="52"/>
      <c r="J103" s="133">
        <f>+J102*120%</f>
        <v>1334200.2105163557</v>
      </c>
      <c r="K103" s="129">
        <f t="shared" ref="K103:K104" si="14">+$G$103</f>
        <v>152110.6099724212</v>
      </c>
      <c r="L103" s="133">
        <f>+L102*120%</f>
        <v>1151667.4785494502</v>
      </c>
      <c r="M103" s="133">
        <f t="shared" si="13"/>
        <v>1303778.0885218713</v>
      </c>
      <c r="N103" s="133">
        <f t="shared" si="12"/>
        <v>30422.121994484449</v>
      </c>
    </row>
    <row r="104" spans="2:14" ht="15" x14ac:dyDescent="0.25">
      <c r="B104" s="51"/>
      <c r="C104" s="377" t="s">
        <v>116</v>
      </c>
      <c r="D104" s="377"/>
      <c r="E104" s="377"/>
      <c r="F104" s="377"/>
      <c r="G104" s="44">
        <f>+'ER ESPERADO'!H13</f>
        <v>1422968.4142720003</v>
      </c>
      <c r="H104" s="52"/>
      <c r="J104" s="126">
        <f>+J102*1.85</f>
        <v>2056891.9912127152</v>
      </c>
      <c r="K104" s="130">
        <f t="shared" si="14"/>
        <v>152110.6099724212</v>
      </c>
      <c r="L104" s="126">
        <f>+L102*1.85</f>
        <v>1775487.3627637359</v>
      </c>
      <c r="M104" s="126">
        <f t="shared" si="13"/>
        <v>1927597.972736157</v>
      </c>
      <c r="N104" s="126">
        <f t="shared" si="12"/>
        <v>129294.01847655815</v>
      </c>
    </row>
    <row r="105" spans="2:14" x14ac:dyDescent="0.2">
      <c r="B105" s="51"/>
      <c r="C105" s="42"/>
      <c r="D105" s="42"/>
      <c r="E105" s="42"/>
      <c r="F105" s="42"/>
      <c r="G105" s="42"/>
      <c r="H105" s="52"/>
    </row>
    <row r="106" spans="2:14" x14ac:dyDescent="0.2">
      <c r="B106" s="51"/>
      <c r="C106" s="42"/>
      <c r="D106" s="41" t="s">
        <v>109</v>
      </c>
      <c r="E106" s="376" t="s">
        <v>110</v>
      </c>
      <c r="F106" s="376"/>
      <c r="G106" s="376"/>
      <c r="H106" s="52"/>
    </row>
    <row r="107" spans="2:14" x14ac:dyDescent="0.2">
      <c r="B107" s="51"/>
      <c r="C107" s="42"/>
      <c r="D107" s="42"/>
      <c r="E107" s="43">
        <v>1</v>
      </c>
      <c r="F107" s="42" t="s">
        <v>113</v>
      </c>
      <c r="G107" s="43" t="s">
        <v>114</v>
      </c>
      <c r="H107" s="52"/>
    </row>
    <row r="108" spans="2:14" x14ac:dyDescent="0.2">
      <c r="B108" s="51"/>
      <c r="C108" s="42"/>
      <c r="D108" s="45"/>
      <c r="E108" s="42"/>
      <c r="F108" s="41"/>
      <c r="G108" s="46" t="s">
        <v>116</v>
      </c>
      <c r="H108" s="52"/>
    </row>
    <row r="109" spans="2:14" x14ac:dyDescent="0.2">
      <c r="B109" s="51"/>
      <c r="C109" s="42"/>
      <c r="D109" s="47"/>
      <c r="E109" s="42"/>
      <c r="F109" s="42"/>
      <c r="G109" s="42"/>
      <c r="H109" s="52"/>
    </row>
    <row r="110" spans="2:14" x14ac:dyDescent="0.2">
      <c r="B110" s="51"/>
      <c r="C110" s="42"/>
      <c r="D110" s="41" t="s">
        <v>109</v>
      </c>
      <c r="E110" s="375">
        <f>+G103</f>
        <v>152110.6099724212</v>
      </c>
      <c r="F110" s="376"/>
      <c r="G110" s="376"/>
      <c r="H110" s="52"/>
    </row>
    <row r="111" spans="2:14" x14ac:dyDescent="0.2">
      <c r="B111" s="51"/>
      <c r="C111" s="42"/>
      <c r="D111" s="42"/>
      <c r="E111" s="43">
        <v>1</v>
      </c>
      <c r="F111" s="42" t="s">
        <v>113</v>
      </c>
      <c r="G111" s="48">
        <f>+G102</f>
        <v>1228291.2510453803</v>
      </c>
      <c r="H111" s="52"/>
    </row>
    <row r="112" spans="2:14" x14ac:dyDescent="0.2">
      <c r="B112" s="51"/>
      <c r="C112" s="42"/>
      <c r="D112" s="41"/>
      <c r="E112" s="42"/>
      <c r="F112" s="41"/>
      <c r="G112" s="125">
        <f>+G104</f>
        <v>1422968.4142720003</v>
      </c>
      <c r="H112" s="52"/>
    </row>
    <row r="113" spans="1:9" x14ac:dyDescent="0.2">
      <c r="B113" s="51"/>
      <c r="C113" s="42"/>
      <c r="D113" s="42"/>
      <c r="E113" s="42"/>
      <c r="F113" s="42"/>
      <c r="G113" s="42"/>
      <c r="H113" s="52"/>
    </row>
    <row r="114" spans="1:9" x14ac:dyDescent="0.2">
      <c r="B114" s="51"/>
      <c r="C114" s="42"/>
      <c r="D114" s="41" t="s">
        <v>109</v>
      </c>
      <c r="E114" s="375">
        <f>+E110</f>
        <v>152110.6099724212</v>
      </c>
      <c r="F114" s="375"/>
      <c r="G114" s="375"/>
      <c r="H114" s="52"/>
    </row>
    <row r="115" spans="1:9" x14ac:dyDescent="0.2">
      <c r="B115" s="51"/>
      <c r="C115" s="42"/>
      <c r="D115" s="42"/>
      <c r="E115" s="43">
        <v>1</v>
      </c>
      <c r="F115" s="42" t="s">
        <v>113</v>
      </c>
      <c r="G115" s="48">
        <f>+G111/G112</f>
        <v>0.86318939951578744</v>
      </c>
      <c r="H115" s="52"/>
    </row>
    <row r="116" spans="1:9" x14ac:dyDescent="0.2">
      <c r="B116" s="51"/>
      <c r="C116" s="42"/>
      <c r="D116" s="41"/>
      <c r="E116" s="41"/>
      <c r="F116" s="41"/>
      <c r="G116" s="41"/>
      <c r="H116" s="52"/>
    </row>
    <row r="117" spans="1:9" x14ac:dyDescent="0.2">
      <c r="B117" s="51"/>
      <c r="C117" s="42"/>
      <c r="D117" s="41" t="s">
        <v>109</v>
      </c>
      <c r="E117" s="375">
        <f>+E114</f>
        <v>152110.6099724212</v>
      </c>
      <c r="F117" s="375"/>
      <c r="G117" s="375"/>
      <c r="H117" s="52"/>
    </row>
    <row r="118" spans="1:9" x14ac:dyDescent="0.2">
      <c r="B118" s="51"/>
      <c r="C118" s="42"/>
      <c r="D118" s="41"/>
      <c r="E118" s="374">
        <f>+E115-G115</f>
        <v>0.13681060048421256</v>
      </c>
      <c r="F118" s="374"/>
      <c r="G118" s="374"/>
      <c r="H118" s="52"/>
    </row>
    <row r="119" spans="1:9" x14ac:dyDescent="0.2">
      <c r="B119" s="51"/>
      <c r="C119" s="42"/>
      <c r="D119" s="41"/>
      <c r="E119" s="41"/>
      <c r="F119" s="41"/>
      <c r="G119" s="41"/>
      <c r="H119" s="52"/>
    </row>
    <row r="120" spans="1:9" x14ac:dyDescent="0.2">
      <c r="B120" s="51"/>
      <c r="C120" s="42"/>
      <c r="D120" s="41" t="s">
        <v>109</v>
      </c>
      <c r="E120" s="373">
        <f>+E117/E118</f>
        <v>1111833.5087636297</v>
      </c>
      <c r="F120" s="373"/>
      <c r="G120" s="373"/>
      <c r="H120" s="52"/>
    </row>
    <row r="121" spans="1:9" ht="13.5" thickBot="1" x14ac:dyDescent="0.25">
      <c r="B121" s="53"/>
      <c r="C121" s="54"/>
      <c r="D121" s="54"/>
      <c r="E121" s="54"/>
      <c r="F121" s="54"/>
      <c r="G121" s="54"/>
      <c r="H121" s="55"/>
    </row>
    <row r="122" spans="1:9" x14ac:dyDescent="0.2">
      <c r="A122" s="42"/>
      <c r="B122" s="42"/>
      <c r="C122" s="42"/>
      <c r="D122" s="42"/>
      <c r="E122" s="42"/>
      <c r="F122" s="42"/>
      <c r="G122" s="42"/>
      <c r="H122" s="42"/>
      <c r="I122" s="42"/>
    </row>
    <row r="123" spans="1:9" x14ac:dyDescent="0.2">
      <c r="A123" s="42"/>
      <c r="B123" s="42"/>
      <c r="C123" s="42"/>
      <c r="D123" s="42"/>
      <c r="E123" s="42"/>
      <c r="F123" s="42"/>
      <c r="G123" s="42"/>
      <c r="H123" s="42"/>
      <c r="I123" s="42"/>
    </row>
    <row r="124" spans="1:9" x14ac:dyDescent="0.2">
      <c r="A124" s="42"/>
      <c r="B124" s="42"/>
      <c r="C124" s="42"/>
      <c r="D124" s="42"/>
      <c r="E124" s="42"/>
      <c r="F124" s="42"/>
      <c r="G124" s="42"/>
      <c r="H124" s="42"/>
      <c r="I124" s="42"/>
    </row>
    <row r="125" spans="1:9" x14ac:dyDescent="0.2">
      <c r="A125" s="42"/>
      <c r="B125" s="42"/>
      <c r="C125" s="42"/>
      <c r="D125" s="42"/>
      <c r="E125" s="42"/>
      <c r="F125" s="42"/>
      <c r="G125" s="42"/>
      <c r="H125" s="42"/>
      <c r="I125" s="42"/>
    </row>
    <row r="126" spans="1:9" x14ac:dyDescent="0.2">
      <c r="A126" s="42"/>
      <c r="B126" s="42"/>
      <c r="C126" s="42"/>
      <c r="D126" s="42"/>
      <c r="E126" s="42"/>
      <c r="F126" s="42"/>
      <c r="G126" s="42"/>
      <c r="H126" s="42"/>
      <c r="I126" s="42"/>
    </row>
    <row r="127" spans="1:9" x14ac:dyDescent="0.2">
      <c r="A127" s="42"/>
      <c r="B127" s="42"/>
      <c r="C127" s="42"/>
      <c r="D127" s="42"/>
      <c r="E127" s="42"/>
      <c r="F127" s="42"/>
      <c r="G127" s="42"/>
      <c r="H127" s="42"/>
      <c r="I127" s="42"/>
    </row>
    <row r="128" spans="1:9" x14ac:dyDescent="0.2">
      <c r="A128" s="42"/>
      <c r="B128" s="42"/>
      <c r="C128" s="42"/>
      <c r="D128" s="42"/>
      <c r="E128" s="42"/>
      <c r="F128" s="42"/>
      <c r="G128" s="42"/>
      <c r="H128" s="42"/>
      <c r="I128" s="42"/>
    </row>
    <row r="129" spans="2:14" ht="13.5" thickBot="1" x14ac:dyDescent="0.25">
      <c r="B129" s="42"/>
      <c r="C129" s="42"/>
      <c r="D129" s="42"/>
      <c r="E129" s="42"/>
      <c r="F129" s="42"/>
      <c r="G129" s="42"/>
      <c r="H129" s="42"/>
      <c r="I129" s="42"/>
    </row>
    <row r="130" spans="2:14" ht="12.75" customHeight="1" x14ac:dyDescent="0.2">
      <c r="B130" s="49"/>
      <c r="C130" s="378">
        <v>2018</v>
      </c>
      <c r="D130" s="378"/>
      <c r="E130" s="378"/>
      <c r="F130" s="378"/>
      <c r="G130" s="378"/>
      <c r="H130" s="50"/>
      <c r="J130" s="131" t="s">
        <v>69</v>
      </c>
      <c r="K130" s="127" t="s">
        <v>202</v>
      </c>
      <c r="L130" s="131" t="s">
        <v>203</v>
      </c>
      <c r="M130" s="131" t="s">
        <v>204</v>
      </c>
      <c r="N130" s="131" t="s">
        <v>205</v>
      </c>
    </row>
    <row r="131" spans="2:14" ht="12.75" customHeight="1" x14ac:dyDescent="0.2">
      <c r="B131" s="51"/>
      <c r="C131" s="379"/>
      <c r="D131" s="379"/>
      <c r="E131" s="379"/>
      <c r="F131" s="379"/>
      <c r="G131" s="379"/>
      <c r="H131" s="52"/>
      <c r="J131" s="132" t="s">
        <v>112</v>
      </c>
      <c r="K131" s="128" t="s">
        <v>112</v>
      </c>
      <c r="L131" s="132" t="s">
        <v>112</v>
      </c>
      <c r="M131" s="132" t="s">
        <v>112</v>
      </c>
      <c r="N131" s="132" t="s">
        <v>112</v>
      </c>
    </row>
    <row r="132" spans="2:14" ht="15" x14ac:dyDescent="0.25">
      <c r="B132" s="51"/>
      <c r="C132" s="380" t="s">
        <v>108</v>
      </c>
      <c r="D132" s="380"/>
      <c r="E132" s="380"/>
      <c r="F132" s="380"/>
      <c r="G132" s="380"/>
      <c r="H132" s="52"/>
      <c r="J132" s="133">
        <v>0</v>
      </c>
      <c r="K132" s="129">
        <f>+$G$135</f>
        <v>156597.21047948906</v>
      </c>
      <c r="L132" s="133">
        <v>0</v>
      </c>
      <c r="M132" s="133">
        <f>+L132+K132</f>
        <v>156597.21047948906</v>
      </c>
      <c r="N132" s="133">
        <f>+J132-M132</f>
        <v>-156597.21047948906</v>
      </c>
    </row>
    <row r="133" spans="2:14" ht="15" x14ac:dyDescent="0.25">
      <c r="B133" s="51"/>
      <c r="C133" s="381" t="s">
        <v>111</v>
      </c>
      <c r="D133" s="381"/>
      <c r="E133" s="381"/>
      <c r="F133" s="381"/>
      <c r="G133" s="223" t="s">
        <v>112</v>
      </c>
      <c r="H133" s="52"/>
      <c r="J133" s="133">
        <f>+J134*0.4</f>
        <v>456083.02948620846</v>
      </c>
      <c r="K133" s="129">
        <f t="shared" ref="K133:K136" si="15">+$G$135</f>
        <v>156597.21047948906</v>
      </c>
      <c r="L133" s="133">
        <f>+L134*0.4</f>
        <v>393444.1452944128</v>
      </c>
      <c r="M133" s="133">
        <f>+L133+K133</f>
        <v>550041.3557739018</v>
      </c>
      <c r="N133" s="133">
        <f t="shared" ref="N133:N136" si="16">+J133-M133</f>
        <v>-93958.326287693344</v>
      </c>
    </row>
    <row r="134" spans="2:14" ht="15" x14ac:dyDescent="0.25">
      <c r="B134" s="51"/>
      <c r="C134" s="377" t="s">
        <v>115</v>
      </c>
      <c r="D134" s="377"/>
      <c r="E134" s="377"/>
      <c r="F134" s="377"/>
      <c r="G134" s="44">
        <f>+'ER ESPERADO'!I17+'ER ESPERADO'!I34</f>
        <v>1522145.3301703962</v>
      </c>
      <c r="H134" s="52"/>
      <c r="J134" s="133">
        <f>+E152</f>
        <v>1140207.573715521</v>
      </c>
      <c r="K134" s="129">
        <f t="shared" si="15"/>
        <v>156597.21047948906</v>
      </c>
      <c r="L134" s="133">
        <f>+J134-K134</f>
        <v>983610.36323603196</v>
      </c>
      <c r="M134" s="133">
        <f t="shared" ref="M134:M136" si="17">+L134+K134</f>
        <v>1140207.573715521</v>
      </c>
      <c r="N134" s="133">
        <f t="shared" si="16"/>
        <v>0</v>
      </c>
    </row>
    <row r="135" spans="2:14" ht="15" x14ac:dyDescent="0.25">
      <c r="B135" s="51"/>
      <c r="C135" s="377" t="s">
        <v>117</v>
      </c>
      <c r="D135" s="377"/>
      <c r="E135" s="377"/>
      <c r="F135" s="377"/>
      <c r="G135" s="44">
        <f>+'ER ESPERADO'!I18+'ER ESPERADO'!I32+'ER ESPERADO'!I42</f>
        <v>156597.21047948906</v>
      </c>
      <c r="H135" s="52"/>
      <c r="J135" s="133">
        <f>+J134*120%</f>
        <v>1368249.0884586251</v>
      </c>
      <c r="K135" s="129">
        <f t="shared" si="15"/>
        <v>156597.21047948906</v>
      </c>
      <c r="L135" s="133">
        <f>+L134*120%</f>
        <v>1180332.4358832382</v>
      </c>
      <c r="M135" s="133">
        <f t="shared" si="17"/>
        <v>1336929.6463627273</v>
      </c>
      <c r="N135" s="133">
        <f t="shared" si="16"/>
        <v>31319.442095897859</v>
      </c>
    </row>
    <row r="136" spans="2:14" ht="15" x14ac:dyDescent="0.25">
      <c r="B136" s="51"/>
      <c r="C136" s="377" t="s">
        <v>116</v>
      </c>
      <c r="D136" s="377"/>
      <c r="E136" s="377"/>
      <c r="F136" s="377"/>
      <c r="G136" s="44">
        <f>+'ER ESPERADO'!I13</f>
        <v>1764480.8336972801</v>
      </c>
      <c r="H136" s="52"/>
      <c r="J136" s="126">
        <f>+J134*1.85</f>
        <v>2109384.0113737141</v>
      </c>
      <c r="K136" s="130">
        <f t="shared" si="15"/>
        <v>156597.21047948906</v>
      </c>
      <c r="L136" s="126">
        <f>+L134*1.85</f>
        <v>1819679.1719866593</v>
      </c>
      <c r="M136" s="126">
        <f t="shared" si="17"/>
        <v>1976276.3824661484</v>
      </c>
      <c r="N136" s="126">
        <f t="shared" si="16"/>
        <v>133107.62890756573</v>
      </c>
    </row>
    <row r="137" spans="2:14" x14ac:dyDescent="0.2">
      <c r="B137" s="51"/>
      <c r="C137" s="42"/>
      <c r="D137" s="42"/>
      <c r="E137" s="42"/>
      <c r="F137" s="42"/>
      <c r="G137" s="42"/>
      <c r="H137" s="52"/>
    </row>
    <row r="138" spans="2:14" x14ac:dyDescent="0.2">
      <c r="B138" s="51"/>
      <c r="C138" s="42"/>
      <c r="D138" s="41" t="s">
        <v>109</v>
      </c>
      <c r="E138" s="376" t="s">
        <v>110</v>
      </c>
      <c r="F138" s="376"/>
      <c r="G138" s="376"/>
      <c r="H138" s="52"/>
    </row>
    <row r="139" spans="2:14" x14ac:dyDescent="0.2">
      <c r="B139" s="51"/>
      <c r="C139" s="42"/>
      <c r="D139" s="42"/>
      <c r="E139" s="43">
        <v>1</v>
      </c>
      <c r="F139" s="42" t="s">
        <v>113</v>
      </c>
      <c r="G139" s="43" t="s">
        <v>114</v>
      </c>
      <c r="H139" s="52"/>
    </row>
    <row r="140" spans="2:14" x14ac:dyDescent="0.2">
      <c r="B140" s="51"/>
      <c r="C140" s="42"/>
      <c r="D140" s="45"/>
      <c r="E140" s="42"/>
      <c r="F140" s="41"/>
      <c r="G140" s="46" t="s">
        <v>116</v>
      </c>
      <c r="H140" s="52"/>
    </row>
    <row r="141" spans="2:14" x14ac:dyDescent="0.2">
      <c r="B141" s="51"/>
      <c r="C141" s="42"/>
      <c r="D141" s="47"/>
      <c r="E141" s="42"/>
      <c r="F141" s="42"/>
      <c r="G141" s="42"/>
      <c r="H141" s="52"/>
    </row>
    <row r="142" spans="2:14" x14ac:dyDescent="0.2">
      <c r="B142" s="51"/>
      <c r="C142" s="42"/>
      <c r="D142" s="41" t="s">
        <v>109</v>
      </c>
      <c r="E142" s="375">
        <f>+G135</f>
        <v>156597.21047948906</v>
      </c>
      <c r="F142" s="376"/>
      <c r="G142" s="376"/>
      <c r="H142" s="52"/>
    </row>
    <row r="143" spans="2:14" x14ac:dyDescent="0.2">
      <c r="B143" s="51"/>
      <c r="C143" s="42"/>
      <c r="D143" s="42"/>
      <c r="E143" s="43">
        <v>1</v>
      </c>
      <c r="F143" s="42" t="s">
        <v>113</v>
      </c>
      <c r="G143" s="48">
        <f>+G134</f>
        <v>1522145.3301703962</v>
      </c>
      <c r="H143" s="52"/>
    </row>
    <row r="144" spans="2:14" x14ac:dyDescent="0.2">
      <c r="B144" s="51"/>
      <c r="C144" s="42"/>
      <c r="D144" s="41"/>
      <c r="E144" s="42"/>
      <c r="F144" s="41"/>
      <c r="G144" s="125">
        <f>+G136</f>
        <v>1764480.8336972801</v>
      </c>
      <c r="H144" s="52"/>
    </row>
    <row r="145" spans="2:8" x14ac:dyDescent="0.2">
      <c r="B145" s="51"/>
      <c r="C145" s="42"/>
      <c r="D145" s="42"/>
      <c r="E145" s="42"/>
      <c r="F145" s="42"/>
      <c r="G145" s="42"/>
      <c r="H145" s="52"/>
    </row>
    <row r="146" spans="2:8" x14ac:dyDescent="0.2">
      <c r="B146" s="51"/>
      <c r="C146" s="42"/>
      <c r="D146" s="41" t="s">
        <v>109</v>
      </c>
      <c r="E146" s="375">
        <f>+E142</f>
        <v>156597.21047948906</v>
      </c>
      <c r="F146" s="375"/>
      <c r="G146" s="375"/>
      <c r="H146" s="52"/>
    </row>
    <row r="147" spans="2:8" x14ac:dyDescent="0.2">
      <c r="B147" s="51"/>
      <c r="C147" s="42"/>
      <c r="D147" s="42"/>
      <c r="E147" s="43">
        <v>1</v>
      </c>
      <c r="F147" s="42" t="s">
        <v>113</v>
      </c>
      <c r="G147" s="48">
        <f>+G143/G144</f>
        <v>0.86265903324146864</v>
      </c>
      <c r="H147" s="52"/>
    </row>
    <row r="148" spans="2:8" x14ac:dyDescent="0.2">
      <c r="B148" s="51"/>
      <c r="C148" s="42"/>
      <c r="D148" s="41"/>
      <c r="E148" s="41"/>
      <c r="F148" s="41"/>
      <c r="G148" s="41"/>
      <c r="H148" s="52"/>
    </row>
    <row r="149" spans="2:8" x14ac:dyDescent="0.2">
      <c r="B149" s="51"/>
      <c r="C149" s="42"/>
      <c r="D149" s="41" t="s">
        <v>109</v>
      </c>
      <c r="E149" s="375">
        <f>+E146</f>
        <v>156597.21047948906</v>
      </c>
      <c r="F149" s="375"/>
      <c r="G149" s="375"/>
      <c r="H149" s="52"/>
    </row>
    <row r="150" spans="2:8" x14ac:dyDescent="0.2">
      <c r="B150" s="51"/>
      <c r="C150" s="42"/>
      <c r="D150" s="41"/>
      <c r="E150" s="374">
        <f>+E147-G147</f>
        <v>0.13734096675853136</v>
      </c>
      <c r="F150" s="374"/>
      <c r="G150" s="374"/>
      <c r="H150" s="52"/>
    </row>
    <row r="151" spans="2:8" x14ac:dyDescent="0.2">
      <c r="B151" s="51"/>
      <c r="C151" s="42"/>
      <c r="D151" s="41"/>
      <c r="E151" s="41"/>
      <c r="F151" s="41"/>
      <c r="G151" s="41"/>
      <c r="H151" s="52"/>
    </row>
    <row r="152" spans="2:8" x14ac:dyDescent="0.2">
      <c r="B152" s="51"/>
      <c r="C152" s="42"/>
      <c r="D152" s="41" t="s">
        <v>109</v>
      </c>
      <c r="E152" s="373">
        <f>+E149/E150</f>
        <v>1140207.573715521</v>
      </c>
      <c r="F152" s="373"/>
      <c r="G152" s="373"/>
      <c r="H152" s="52"/>
    </row>
    <row r="153" spans="2:8" ht="13.5" thickBot="1" x14ac:dyDescent="0.25">
      <c r="B153" s="53"/>
      <c r="C153" s="54"/>
      <c r="D153" s="54"/>
      <c r="E153" s="54"/>
      <c r="F153" s="54"/>
      <c r="G153" s="54"/>
      <c r="H153" s="55"/>
    </row>
  </sheetData>
  <mergeCells count="60">
    <mergeCell ref="C133:F133"/>
    <mergeCell ref="C134:F134"/>
    <mergeCell ref="C135:F135"/>
    <mergeCell ref="C136:F136"/>
    <mergeCell ref="E152:G152"/>
    <mergeCell ref="E138:G138"/>
    <mergeCell ref="E142:G142"/>
    <mergeCell ref="E146:G146"/>
    <mergeCell ref="E149:G149"/>
    <mergeCell ref="E150:G150"/>
    <mergeCell ref="E117:G117"/>
    <mergeCell ref="E118:G118"/>
    <mergeCell ref="E120:G120"/>
    <mergeCell ref="C130:G131"/>
    <mergeCell ref="C132:G132"/>
    <mergeCell ref="C103:F103"/>
    <mergeCell ref="C104:F104"/>
    <mergeCell ref="E106:G106"/>
    <mergeCell ref="E110:G110"/>
    <mergeCell ref="E114:G114"/>
    <mergeCell ref="E88:G88"/>
    <mergeCell ref="C98:G99"/>
    <mergeCell ref="C100:G100"/>
    <mergeCell ref="C101:F101"/>
    <mergeCell ref="C102:F102"/>
    <mergeCell ref="E74:G74"/>
    <mergeCell ref="E78:G78"/>
    <mergeCell ref="E82:G82"/>
    <mergeCell ref="E85:G85"/>
    <mergeCell ref="E86:G86"/>
    <mergeCell ref="C68:G68"/>
    <mergeCell ref="C69:F69"/>
    <mergeCell ref="C70:F70"/>
    <mergeCell ref="C71:F71"/>
    <mergeCell ref="C72:F72"/>
    <mergeCell ref="E50:G50"/>
    <mergeCell ref="E53:G53"/>
    <mergeCell ref="E54:G54"/>
    <mergeCell ref="E56:G56"/>
    <mergeCell ref="C66:G67"/>
    <mergeCell ref="C5:F5"/>
    <mergeCell ref="C2:G3"/>
    <mergeCell ref="C4:G4"/>
    <mergeCell ref="E21:G21"/>
    <mergeCell ref="E10:G10"/>
    <mergeCell ref="E14:G14"/>
    <mergeCell ref="E18:G18"/>
    <mergeCell ref="C8:F8"/>
    <mergeCell ref="C7:F7"/>
    <mergeCell ref="E24:G24"/>
    <mergeCell ref="E22:G22"/>
    <mergeCell ref="E46:G46"/>
    <mergeCell ref="E42:G42"/>
    <mergeCell ref="C6:F6"/>
    <mergeCell ref="C34:G35"/>
    <mergeCell ref="C36:G36"/>
    <mergeCell ref="C37:F37"/>
    <mergeCell ref="C38:F38"/>
    <mergeCell ref="C39:F39"/>
    <mergeCell ref="C40:F4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B1:M103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1.75" customWidth="1"/>
    <col min="2" max="2" width="15.625" customWidth="1"/>
    <col min="3" max="20" width="14.375" customWidth="1"/>
  </cols>
  <sheetData>
    <row r="1" spans="2:13" ht="9.75" customHeight="1" thickBot="1" x14ac:dyDescent="0.3"/>
    <row r="2" spans="2:13" ht="15.75" thickBot="1" x14ac:dyDescent="0.3">
      <c r="B2" s="139"/>
      <c r="C2" s="139"/>
      <c r="D2" s="165"/>
      <c r="E2" s="165"/>
      <c r="G2" s="412" t="s">
        <v>248</v>
      </c>
      <c r="H2" s="413"/>
      <c r="I2" s="413"/>
      <c r="J2" s="413"/>
      <c r="K2" s="413"/>
      <c r="L2" s="414"/>
      <c r="M2" s="166"/>
    </row>
    <row r="3" spans="2:13" ht="15.75" thickBot="1" x14ac:dyDescent="0.3">
      <c r="B3" s="384" t="s">
        <v>250</v>
      </c>
      <c r="C3" s="421"/>
      <c r="D3" s="422"/>
      <c r="E3" s="173"/>
      <c r="G3" s="169" t="s">
        <v>242</v>
      </c>
      <c r="H3" s="170" t="s">
        <v>243</v>
      </c>
      <c r="I3" s="170" t="s">
        <v>244</v>
      </c>
      <c r="J3" s="170" t="s">
        <v>245</v>
      </c>
      <c r="K3" s="170" t="s">
        <v>246</v>
      </c>
      <c r="L3" s="171" t="s">
        <v>247</v>
      </c>
    </row>
    <row r="4" spans="2:13" x14ac:dyDescent="0.25">
      <c r="B4" s="423" t="s">
        <v>206</v>
      </c>
      <c r="C4" s="424"/>
      <c r="D4" s="425"/>
      <c r="E4" s="173"/>
      <c r="G4" s="156">
        <v>1</v>
      </c>
      <c r="H4" s="165">
        <f>+D5</f>
        <v>0</v>
      </c>
      <c r="I4" s="165" t="e">
        <f>+$D$9</f>
        <v>#NUM!</v>
      </c>
      <c r="J4" s="165">
        <f>+H4*($D$6/12)</f>
        <v>0</v>
      </c>
      <c r="K4" s="165" t="e">
        <f>+I4-J4</f>
        <v>#NUM!</v>
      </c>
      <c r="L4" s="135" t="e">
        <f>+H4-K4</f>
        <v>#NUM!</v>
      </c>
      <c r="M4" s="166"/>
    </row>
    <row r="5" spans="2:13" x14ac:dyDescent="0.25">
      <c r="B5" s="426" t="s">
        <v>207</v>
      </c>
      <c r="C5" s="427"/>
      <c r="D5" s="135">
        <f>[4]ESPERADO!$H$12</f>
        <v>0</v>
      </c>
      <c r="E5" s="165"/>
      <c r="G5" s="156">
        <v>2</v>
      </c>
      <c r="H5" s="165" t="e">
        <f t="shared" ref="H5:H51" si="0">IF(L4&lt;=0.5,0,L4)</f>
        <v>#NUM!</v>
      </c>
      <c r="I5" s="165" t="e">
        <f t="shared" ref="I5:I51" si="1">IF(L4&lt;=0.5,0,I4)</f>
        <v>#NUM!</v>
      </c>
      <c r="J5" s="165" t="e">
        <f>+H5*($D$6/12)</f>
        <v>#NUM!</v>
      </c>
      <c r="K5" s="165" t="e">
        <f t="shared" ref="K5:K63" si="2">+I5-J5</f>
        <v>#NUM!</v>
      </c>
      <c r="L5" s="135" t="e">
        <f t="shared" ref="L5:L63" si="3">+H5-K5</f>
        <v>#NUM!</v>
      </c>
      <c r="M5" s="166"/>
    </row>
    <row r="6" spans="2:13" x14ac:dyDescent="0.25">
      <c r="B6" s="426" t="s">
        <v>208</v>
      </c>
      <c r="C6" s="427"/>
      <c r="D6" s="157">
        <f>[4]ESPERADO!$H$13</f>
        <v>0</v>
      </c>
      <c r="E6" s="172"/>
      <c r="G6" s="156">
        <v>3</v>
      </c>
      <c r="H6" s="165" t="e">
        <f t="shared" si="0"/>
        <v>#NUM!</v>
      </c>
      <c r="I6" s="165" t="e">
        <f t="shared" si="1"/>
        <v>#NUM!</v>
      </c>
      <c r="J6" s="165" t="e">
        <f t="shared" ref="J6:J63" si="4">+H6*($D$6/12)</f>
        <v>#NUM!</v>
      </c>
      <c r="K6" s="165" t="e">
        <f t="shared" si="2"/>
        <v>#NUM!</v>
      </c>
      <c r="L6" s="135" t="e">
        <f t="shared" si="3"/>
        <v>#NUM!</v>
      </c>
      <c r="M6" s="166"/>
    </row>
    <row r="7" spans="2:13" ht="15.75" thickBot="1" x14ac:dyDescent="0.3">
      <c r="B7" s="392" t="s">
        <v>251</v>
      </c>
      <c r="C7" s="393"/>
      <c r="D7" s="138">
        <f>[4]ESPERADO!$H$14</f>
        <v>0</v>
      </c>
      <c r="E7" s="165"/>
      <c r="G7" s="156">
        <v>4</v>
      </c>
      <c r="H7" s="165" t="e">
        <f t="shared" si="0"/>
        <v>#NUM!</v>
      </c>
      <c r="I7" s="165" t="e">
        <f t="shared" si="1"/>
        <v>#NUM!</v>
      </c>
      <c r="J7" s="165" t="e">
        <f t="shared" si="4"/>
        <v>#NUM!</v>
      </c>
      <c r="K7" s="165" t="e">
        <f t="shared" si="2"/>
        <v>#NUM!</v>
      </c>
      <c r="L7" s="135" t="e">
        <f t="shared" si="3"/>
        <v>#NUM!</v>
      </c>
      <c r="M7" s="166"/>
    </row>
    <row r="8" spans="2:13" x14ac:dyDescent="0.25">
      <c r="B8" s="428"/>
      <c r="C8" s="429"/>
      <c r="D8" s="137"/>
      <c r="E8" s="2"/>
      <c r="G8" s="156">
        <v>5</v>
      </c>
      <c r="H8" s="165" t="e">
        <f t="shared" si="0"/>
        <v>#NUM!</v>
      </c>
      <c r="I8" s="165" t="e">
        <f t="shared" si="1"/>
        <v>#NUM!</v>
      </c>
      <c r="J8" s="165" t="e">
        <f t="shared" si="4"/>
        <v>#NUM!</v>
      </c>
      <c r="K8" s="165" t="e">
        <f t="shared" si="2"/>
        <v>#NUM!</v>
      </c>
      <c r="L8" s="135" t="e">
        <f t="shared" si="3"/>
        <v>#NUM!</v>
      </c>
      <c r="M8" s="166"/>
    </row>
    <row r="9" spans="2:13" x14ac:dyDescent="0.25">
      <c r="B9" s="426" t="s">
        <v>209</v>
      </c>
      <c r="C9" s="427"/>
      <c r="D9" s="135" t="e">
        <f>-PMT(D6/12,D7*12,D5)</f>
        <v>#NUM!</v>
      </c>
      <c r="E9" s="165"/>
      <c r="G9" s="156">
        <v>6</v>
      </c>
      <c r="H9" s="165" t="e">
        <f t="shared" si="0"/>
        <v>#NUM!</v>
      </c>
      <c r="I9" s="165" t="e">
        <f t="shared" si="1"/>
        <v>#NUM!</v>
      </c>
      <c r="J9" s="165" t="e">
        <f t="shared" si="4"/>
        <v>#NUM!</v>
      </c>
      <c r="K9" s="165" t="e">
        <f t="shared" si="2"/>
        <v>#NUM!</v>
      </c>
      <c r="L9" s="135" t="e">
        <f t="shared" si="3"/>
        <v>#NUM!</v>
      </c>
      <c r="M9" s="166"/>
    </row>
    <row r="10" spans="2:13" x14ac:dyDescent="0.25">
      <c r="B10" s="426" t="s">
        <v>210</v>
      </c>
      <c r="C10" s="427"/>
      <c r="D10" s="135" t="e">
        <f>+D9*12</f>
        <v>#NUM!</v>
      </c>
      <c r="E10" s="165"/>
      <c r="G10" s="156">
        <v>7</v>
      </c>
      <c r="H10" s="165" t="e">
        <f t="shared" si="0"/>
        <v>#NUM!</v>
      </c>
      <c r="I10" s="165" t="e">
        <f t="shared" si="1"/>
        <v>#NUM!</v>
      </c>
      <c r="J10" s="165" t="e">
        <f t="shared" si="4"/>
        <v>#NUM!</v>
      </c>
      <c r="K10" s="165" t="e">
        <f t="shared" si="2"/>
        <v>#NUM!</v>
      </c>
      <c r="L10" s="135" t="e">
        <f t="shared" si="3"/>
        <v>#NUM!</v>
      </c>
      <c r="M10" s="166"/>
    </row>
    <row r="11" spans="2:13" x14ac:dyDescent="0.25">
      <c r="B11" s="426" t="s">
        <v>211</v>
      </c>
      <c r="C11" s="427"/>
      <c r="D11" s="135" t="e">
        <f>+D12-D5</f>
        <v>#NUM!</v>
      </c>
      <c r="E11" s="165"/>
      <c r="G11" s="156">
        <v>8</v>
      </c>
      <c r="H11" s="165" t="e">
        <f t="shared" si="0"/>
        <v>#NUM!</v>
      </c>
      <c r="I11" s="165" t="e">
        <f t="shared" si="1"/>
        <v>#NUM!</v>
      </c>
      <c r="J11" s="165" t="e">
        <f t="shared" si="4"/>
        <v>#NUM!</v>
      </c>
      <c r="K11" s="165" t="e">
        <f t="shared" si="2"/>
        <v>#NUM!</v>
      </c>
      <c r="L11" s="135" t="e">
        <f t="shared" si="3"/>
        <v>#NUM!</v>
      </c>
      <c r="M11" s="166"/>
    </row>
    <row r="12" spans="2:13" ht="15.75" thickBot="1" x14ac:dyDescent="0.3">
      <c r="B12" s="392" t="s">
        <v>252</v>
      </c>
      <c r="C12" s="393"/>
      <c r="D12" s="138" t="e">
        <f>+D10*D7</f>
        <v>#NUM!</v>
      </c>
      <c r="E12" s="165"/>
      <c r="G12" s="156">
        <v>9</v>
      </c>
      <c r="H12" s="165" t="e">
        <f t="shared" si="0"/>
        <v>#NUM!</v>
      </c>
      <c r="I12" s="165" t="e">
        <f t="shared" si="1"/>
        <v>#NUM!</v>
      </c>
      <c r="J12" s="165" t="e">
        <f t="shared" si="4"/>
        <v>#NUM!</v>
      </c>
      <c r="K12" s="165" t="e">
        <f t="shared" si="2"/>
        <v>#NUM!</v>
      </c>
      <c r="L12" s="135" t="e">
        <f t="shared" si="3"/>
        <v>#NUM!</v>
      </c>
      <c r="M12" s="166"/>
    </row>
    <row r="13" spans="2:13" x14ac:dyDescent="0.25">
      <c r="B13" s="139"/>
      <c r="C13" s="139"/>
      <c r="D13" s="165"/>
      <c r="E13" s="165"/>
      <c r="G13" s="156">
        <v>10</v>
      </c>
      <c r="H13" s="165" t="e">
        <f t="shared" si="0"/>
        <v>#NUM!</v>
      </c>
      <c r="I13" s="165" t="e">
        <f t="shared" si="1"/>
        <v>#NUM!</v>
      </c>
      <c r="J13" s="165" t="e">
        <f t="shared" si="4"/>
        <v>#NUM!</v>
      </c>
      <c r="K13" s="165" t="e">
        <f t="shared" si="2"/>
        <v>#NUM!</v>
      </c>
      <c r="L13" s="135" t="e">
        <f t="shared" si="3"/>
        <v>#NUM!</v>
      </c>
      <c r="M13" s="166"/>
    </row>
    <row r="14" spans="2:13" ht="15.75" thickBot="1" x14ac:dyDescent="0.3">
      <c r="B14" s="139"/>
      <c r="C14" s="139"/>
      <c r="D14" s="165"/>
      <c r="E14" s="165"/>
      <c r="G14" s="156">
        <v>11</v>
      </c>
      <c r="H14" s="165" t="e">
        <f t="shared" si="0"/>
        <v>#NUM!</v>
      </c>
      <c r="I14" s="165" t="e">
        <f t="shared" si="1"/>
        <v>#NUM!</v>
      </c>
      <c r="J14" s="165" t="e">
        <f t="shared" si="4"/>
        <v>#NUM!</v>
      </c>
      <c r="K14" s="165" t="e">
        <f t="shared" si="2"/>
        <v>#NUM!</v>
      </c>
      <c r="L14" s="135" t="e">
        <f t="shared" si="3"/>
        <v>#NUM!</v>
      </c>
      <c r="M14" s="166"/>
    </row>
    <row r="15" spans="2:13" ht="15.75" thickBot="1" x14ac:dyDescent="0.3">
      <c r="B15" s="177"/>
      <c r="C15" s="178">
        <v>2016</v>
      </c>
      <c r="D15" s="179">
        <v>2017</v>
      </c>
      <c r="E15" s="180">
        <v>2018</v>
      </c>
      <c r="G15" s="156">
        <v>12</v>
      </c>
      <c r="H15" s="165" t="e">
        <f t="shared" si="0"/>
        <v>#NUM!</v>
      </c>
      <c r="I15" s="165" t="e">
        <f t="shared" si="1"/>
        <v>#NUM!</v>
      </c>
      <c r="J15" s="165" t="e">
        <f t="shared" si="4"/>
        <v>#NUM!</v>
      </c>
      <c r="K15" s="165" t="e">
        <f t="shared" si="2"/>
        <v>#NUM!</v>
      </c>
      <c r="L15" s="135" t="e">
        <f t="shared" si="3"/>
        <v>#NUM!</v>
      </c>
      <c r="M15" s="166"/>
    </row>
    <row r="16" spans="2:13" x14ac:dyDescent="0.25">
      <c r="B16" s="134" t="s">
        <v>249</v>
      </c>
      <c r="C16" s="174" t="e">
        <f>SUM(J4:J15)</f>
        <v>#NUM!</v>
      </c>
      <c r="D16" s="165" t="e">
        <f>SUM(J16:J27)</f>
        <v>#NUM!</v>
      </c>
      <c r="E16" s="135" t="e">
        <f>SUM(J28:J39)</f>
        <v>#NUM!</v>
      </c>
      <c r="G16" s="156">
        <v>13</v>
      </c>
      <c r="H16" s="165" t="e">
        <f t="shared" si="0"/>
        <v>#NUM!</v>
      </c>
      <c r="I16" s="165" t="e">
        <f t="shared" si="1"/>
        <v>#NUM!</v>
      </c>
      <c r="J16" s="165" t="e">
        <f t="shared" si="4"/>
        <v>#NUM!</v>
      </c>
      <c r="K16" s="165" t="e">
        <f t="shared" si="2"/>
        <v>#NUM!</v>
      </c>
      <c r="L16" s="135" t="e">
        <f t="shared" si="3"/>
        <v>#NUM!</v>
      </c>
      <c r="M16" s="166"/>
    </row>
    <row r="17" spans="2:13" ht="15.75" thickBot="1" x14ac:dyDescent="0.3">
      <c r="B17" s="136" t="s">
        <v>253</v>
      </c>
      <c r="C17" s="175" t="e">
        <f>SUM(K4:K15)</f>
        <v>#NUM!</v>
      </c>
      <c r="D17" s="167" t="e">
        <f>SUM(K16:K27)</f>
        <v>#NUM!</v>
      </c>
      <c r="E17" s="138" t="e">
        <f>SUM(K28:K39)</f>
        <v>#NUM!</v>
      </c>
      <c r="G17" s="156">
        <v>14</v>
      </c>
      <c r="H17" s="165" t="e">
        <f t="shared" si="0"/>
        <v>#NUM!</v>
      </c>
      <c r="I17" s="165" t="e">
        <f t="shared" si="1"/>
        <v>#NUM!</v>
      </c>
      <c r="J17" s="165" t="e">
        <f t="shared" si="4"/>
        <v>#NUM!</v>
      </c>
      <c r="K17" s="165" t="e">
        <f t="shared" si="2"/>
        <v>#NUM!</v>
      </c>
      <c r="L17" s="135" t="e">
        <f t="shared" si="3"/>
        <v>#NUM!</v>
      </c>
      <c r="M17" s="166"/>
    </row>
    <row r="18" spans="2:13" ht="15.75" thickBot="1" x14ac:dyDescent="0.3">
      <c r="B18" s="176" t="s">
        <v>79</v>
      </c>
      <c r="C18" s="181" t="e">
        <f>SUM(C16:C17)</f>
        <v>#NUM!</v>
      </c>
      <c r="D18" s="181" t="e">
        <f t="shared" ref="D18:E18" si="5">SUM(D16:D17)</f>
        <v>#NUM!</v>
      </c>
      <c r="E18" s="182" t="e">
        <f t="shared" si="5"/>
        <v>#NUM!</v>
      </c>
      <c r="G18" s="156">
        <v>15</v>
      </c>
      <c r="H18" s="165" t="e">
        <f t="shared" si="0"/>
        <v>#NUM!</v>
      </c>
      <c r="I18" s="165" t="e">
        <f t="shared" si="1"/>
        <v>#NUM!</v>
      </c>
      <c r="J18" s="165" t="e">
        <f t="shared" si="4"/>
        <v>#NUM!</v>
      </c>
      <c r="K18" s="165" t="e">
        <f t="shared" si="2"/>
        <v>#NUM!</v>
      </c>
      <c r="L18" s="135" t="e">
        <f t="shared" si="3"/>
        <v>#NUM!</v>
      </c>
      <c r="M18" s="166"/>
    </row>
    <row r="19" spans="2:13" x14ac:dyDescent="0.25">
      <c r="B19" s="139"/>
      <c r="C19" s="174"/>
      <c r="D19" s="174"/>
      <c r="E19" s="174"/>
      <c r="G19" s="156">
        <v>16</v>
      </c>
      <c r="H19" s="165" t="e">
        <f t="shared" si="0"/>
        <v>#NUM!</v>
      </c>
      <c r="I19" s="165" t="e">
        <f t="shared" si="1"/>
        <v>#NUM!</v>
      </c>
      <c r="J19" s="165" t="e">
        <f t="shared" si="4"/>
        <v>#NUM!</v>
      </c>
      <c r="K19" s="165" t="e">
        <f t="shared" si="2"/>
        <v>#NUM!</v>
      </c>
      <c r="L19" s="135" t="e">
        <f t="shared" si="3"/>
        <v>#NUM!</v>
      </c>
      <c r="M19" s="166"/>
    </row>
    <row r="20" spans="2:13" x14ac:dyDescent="0.25">
      <c r="B20" s="139"/>
      <c r="C20" s="139"/>
      <c r="D20" s="165"/>
      <c r="E20" s="165"/>
      <c r="G20" s="156">
        <v>17</v>
      </c>
      <c r="H20" s="165" t="e">
        <f t="shared" si="0"/>
        <v>#NUM!</v>
      </c>
      <c r="I20" s="165" t="e">
        <f t="shared" si="1"/>
        <v>#NUM!</v>
      </c>
      <c r="J20" s="165" t="e">
        <f t="shared" si="4"/>
        <v>#NUM!</v>
      </c>
      <c r="K20" s="165" t="e">
        <f t="shared" si="2"/>
        <v>#NUM!</v>
      </c>
      <c r="L20" s="135" t="e">
        <f t="shared" si="3"/>
        <v>#NUM!</v>
      </c>
      <c r="M20" s="166"/>
    </row>
    <row r="21" spans="2:13" x14ac:dyDescent="0.25">
      <c r="B21" s="139"/>
      <c r="C21" s="139"/>
      <c r="D21" s="165"/>
      <c r="E21" s="165"/>
      <c r="G21" s="156">
        <v>18</v>
      </c>
      <c r="H21" s="165" t="e">
        <f t="shared" si="0"/>
        <v>#NUM!</v>
      </c>
      <c r="I21" s="165" t="e">
        <f t="shared" si="1"/>
        <v>#NUM!</v>
      </c>
      <c r="J21" s="165" t="e">
        <f t="shared" si="4"/>
        <v>#NUM!</v>
      </c>
      <c r="K21" s="165" t="e">
        <f t="shared" si="2"/>
        <v>#NUM!</v>
      </c>
      <c r="L21" s="135" t="e">
        <f t="shared" si="3"/>
        <v>#NUM!</v>
      </c>
      <c r="M21" s="166"/>
    </row>
    <row r="22" spans="2:13" x14ac:dyDescent="0.25">
      <c r="B22" s="139"/>
      <c r="C22" s="139"/>
      <c r="D22" s="165"/>
      <c r="E22" s="165"/>
      <c r="G22" s="156">
        <v>19</v>
      </c>
      <c r="H22" s="165" t="e">
        <f t="shared" si="0"/>
        <v>#NUM!</v>
      </c>
      <c r="I22" s="165" t="e">
        <f t="shared" si="1"/>
        <v>#NUM!</v>
      </c>
      <c r="J22" s="165" t="e">
        <f t="shared" si="4"/>
        <v>#NUM!</v>
      </c>
      <c r="K22" s="165" t="e">
        <f t="shared" si="2"/>
        <v>#NUM!</v>
      </c>
      <c r="L22" s="135" t="e">
        <f t="shared" si="3"/>
        <v>#NUM!</v>
      </c>
      <c r="M22" s="166"/>
    </row>
    <row r="23" spans="2:13" x14ac:dyDescent="0.25">
      <c r="B23" s="139"/>
      <c r="C23" s="139"/>
      <c r="D23" s="165"/>
      <c r="E23" s="165"/>
      <c r="G23" s="156">
        <v>20</v>
      </c>
      <c r="H23" s="165" t="e">
        <f t="shared" si="0"/>
        <v>#NUM!</v>
      </c>
      <c r="I23" s="165" t="e">
        <f t="shared" si="1"/>
        <v>#NUM!</v>
      </c>
      <c r="J23" s="165" t="e">
        <f t="shared" si="4"/>
        <v>#NUM!</v>
      </c>
      <c r="K23" s="165" t="e">
        <f t="shared" si="2"/>
        <v>#NUM!</v>
      </c>
      <c r="L23" s="135" t="e">
        <f t="shared" si="3"/>
        <v>#NUM!</v>
      </c>
      <c r="M23" s="166"/>
    </row>
    <row r="24" spans="2:13" x14ac:dyDescent="0.25">
      <c r="B24" s="139"/>
      <c r="C24" s="139"/>
      <c r="D24" s="165"/>
      <c r="E24" s="165"/>
      <c r="G24" s="156">
        <v>21</v>
      </c>
      <c r="H24" s="165" t="e">
        <f t="shared" si="0"/>
        <v>#NUM!</v>
      </c>
      <c r="I24" s="165" t="e">
        <f t="shared" si="1"/>
        <v>#NUM!</v>
      </c>
      <c r="J24" s="165" t="e">
        <f t="shared" si="4"/>
        <v>#NUM!</v>
      </c>
      <c r="K24" s="165" t="e">
        <f t="shared" si="2"/>
        <v>#NUM!</v>
      </c>
      <c r="L24" s="135" t="e">
        <f t="shared" si="3"/>
        <v>#NUM!</v>
      </c>
      <c r="M24" s="166"/>
    </row>
    <row r="25" spans="2:13" x14ac:dyDescent="0.25">
      <c r="B25" s="139"/>
      <c r="C25" s="139"/>
      <c r="D25" s="165"/>
      <c r="E25" s="165"/>
      <c r="G25" s="156">
        <v>22</v>
      </c>
      <c r="H25" s="165" t="e">
        <f t="shared" si="0"/>
        <v>#NUM!</v>
      </c>
      <c r="I25" s="165" t="e">
        <f t="shared" si="1"/>
        <v>#NUM!</v>
      </c>
      <c r="J25" s="165" t="e">
        <f t="shared" si="4"/>
        <v>#NUM!</v>
      </c>
      <c r="K25" s="165" t="e">
        <f t="shared" si="2"/>
        <v>#NUM!</v>
      </c>
      <c r="L25" s="135" t="e">
        <f t="shared" si="3"/>
        <v>#NUM!</v>
      </c>
      <c r="M25" s="166"/>
    </row>
    <row r="26" spans="2:13" x14ac:dyDescent="0.25">
      <c r="B26" s="139"/>
      <c r="C26" s="139"/>
      <c r="D26" s="165"/>
      <c r="E26" s="165"/>
      <c r="G26" s="156">
        <v>23</v>
      </c>
      <c r="H26" s="165" t="e">
        <f t="shared" si="0"/>
        <v>#NUM!</v>
      </c>
      <c r="I26" s="165" t="e">
        <f t="shared" si="1"/>
        <v>#NUM!</v>
      </c>
      <c r="J26" s="165" t="e">
        <f t="shared" si="4"/>
        <v>#NUM!</v>
      </c>
      <c r="K26" s="165" t="e">
        <f t="shared" si="2"/>
        <v>#NUM!</v>
      </c>
      <c r="L26" s="135" t="e">
        <f t="shared" si="3"/>
        <v>#NUM!</v>
      </c>
      <c r="M26" s="166"/>
    </row>
    <row r="27" spans="2:13" x14ac:dyDescent="0.25">
      <c r="B27" s="139"/>
      <c r="C27" s="139"/>
      <c r="D27" s="165"/>
      <c r="E27" s="165"/>
      <c r="G27" s="156">
        <v>24</v>
      </c>
      <c r="H27" s="165" t="e">
        <f t="shared" si="0"/>
        <v>#NUM!</v>
      </c>
      <c r="I27" s="165" t="e">
        <f t="shared" si="1"/>
        <v>#NUM!</v>
      </c>
      <c r="J27" s="165" t="e">
        <f t="shared" si="4"/>
        <v>#NUM!</v>
      </c>
      <c r="K27" s="165" t="e">
        <f t="shared" si="2"/>
        <v>#NUM!</v>
      </c>
      <c r="L27" s="135" t="e">
        <f>+H27-K27</f>
        <v>#NUM!</v>
      </c>
      <c r="M27" s="166"/>
    </row>
    <row r="28" spans="2:13" x14ac:dyDescent="0.25">
      <c r="B28" s="139"/>
      <c r="C28" s="139"/>
      <c r="D28" s="165"/>
      <c r="E28" s="165"/>
      <c r="G28" s="156">
        <v>25</v>
      </c>
      <c r="H28" s="165" t="e">
        <f t="shared" si="0"/>
        <v>#NUM!</v>
      </c>
      <c r="I28" s="165" t="e">
        <f t="shared" si="1"/>
        <v>#NUM!</v>
      </c>
      <c r="J28" s="165" t="e">
        <f t="shared" si="4"/>
        <v>#NUM!</v>
      </c>
      <c r="K28" s="165" t="e">
        <f t="shared" si="2"/>
        <v>#NUM!</v>
      </c>
      <c r="L28" s="135" t="e">
        <f t="shared" si="3"/>
        <v>#NUM!</v>
      </c>
      <c r="M28" s="166"/>
    </row>
    <row r="29" spans="2:13" x14ac:dyDescent="0.25">
      <c r="B29" s="139"/>
      <c r="C29" s="139"/>
      <c r="D29" s="165"/>
      <c r="E29" s="165"/>
      <c r="G29" s="156">
        <v>26</v>
      </c>
      <c r="H29" s="165" t="e">
        <f t="shared" si="0"/>
        <v>#NUM!</v>
      </c>
      <c r="I29" s="165" t="e">
        <f t="shared" si="1"/>
        <v>#NUM!</v>
      </c>
      <c r="J29" s="165" t="e">
        <f t="shared" si="4"/>
        <v>#NUM!</v>
      </c>
      <c r="K29" s="165" t="e">
        <f t="shared" si="2"/>
        <v>#NUM!</v>
      </c>
      <c r="L29" s="135" t="e">
        <f t="shared" si="3"/>
        <v>#NUM!</v>
      </c>
      <c r="M29" s="166"/>
    </row>
    <row r="30" spans="2:13" x14ac:dyDescent="0.25">
      <c r="B30" s="139"/>
      <c r="C30" s="139"/>
      <c r="D30" s="165"/>
      <c r="E30" s="165"/>
      <c r="G30" s="156">
        <v>27</v>
      </c>
      <c r="H30" s="165" t="e">
        <f t="shared" si="0"/>
        <v>#NUM!</v>
      </c>
      <c r="I30" s="165" t="e">
        <f t="shared" si="1"/>
        <v>#NUM!</v>
      </c>
      <c r="J30" s="165" t="e">
        <f t="shared" si="4"/>
        <v>#NUM!</v>
      </c>
      <c r="K30" s="165" t="e">
        <f t="shared" si="2"/>
        <v>#NUM!</v>
      </c>
      <c r="L30" s="135" t="e">
        <f t="shared" si="3"/>
        <v>#NUM!</v>
      </c>
      <c r="M30" s="166"/>
    </row>
    <row r="31" spans="2:13" x14ac:dyDescent="0.25">
      <c r="B31" s="139"/>
      <c r="C31" s="139"/>
      <c r="D31" s="165"/>
      <c r="E31" s="165"/>
      <c r="G31" s="156">
        <v>28</v>
      </c>
      <c r="H31" s="165" t="e">
        <f t="shared" si="0"/>
        <v>#NUM!</v>
      </c>
      <c r="I31" s="165" t="e">
        <f t="shared" si="1"/>
        <v>#NUM!</v>
      </c>
      <c r="J31" s="165" t="e">
        <f t="shared" si="4"/>
        <v>#NUM!</v>
      </c>
      <c r="K31" s="165" t="e">
        <f t="shared" si="2"/>
        <v>#NUM!</v>
      </c>
      <c r="L31" s="135" t="e">
        <f t="shared" si="3"/>
        <v>#NUM!</v>
      </c>
      <c r="M31" s="166"/>
    </row>
    <row r="32" spans="2:13" x14ac:dyDescent="0.25">
      <c r="B32" s="139"/>
      <c r="C32" s="139"/>
      <c r="D32" s="165"/>
      <c r="E32" s="165"/>
      <c r="G32" s="156">
        <v>29</v>
      </c>
      <c r="H32" s="165" t="e">
        <f t="shared" si="0"/>
        <v>#NUM!</v>
      </c>
      <c r="I32" s="165" t="e">
        <f t="shared" si="1"/>
        <v>#NUM!</v>
      </c>
      <c r="J32" s="165" t="e">
        <f t="shared" si="4"/>
        <v>#NUM!</v>
      </c>
      <c r="K32" s="165" t="e">
        <f t="shared" si="2"/>
        <v>#NUM!</v>
      </c>
      <c r="L32" s="135" t="e">
        <f t="shared" si="3"/>
        <v>#NUM!</v>
      </c>
      <c r="M32" s="166"/>
    </row>
    <row r="33" spans="2:13" x14ac:dyDescent="0.25">
      <c r="B33" s="139"/>
      <c r="C33" s="139"/>
      <c r="D33" s="165"/>
      <c r="E33" s="165"/>
      <c r="G33" s="156">
        <v>30</v>
      </c>
      <c r="H33" s="165" t="e">
        <f t="shared" si="0"/>
        <v>#NUM!</v>
      </c>
      <c r="I33" s="165" t="e">
        <f t="shared" si="1"/>
        <v>#NUM!</v>
      </c>
      <c r="J33" s="165" t="e">
        <f t="shared" si="4"/>
        <v>#NUM!</v>
      </c>
      <c r="K33" s="165" t="e">
        <f t="shared" si="2"/>
        <v>#NUM!</v>
      </c>
      <c r="L33" s="135" t="e">
        <f t="shared" si="3"/>
        <v>#NUM!</v>
      </c>
      <c r="M33" s="166"/>
    </row>
    <row r="34" spans="2:13" x14ac:dyDescent="0.25">
      <c r="B34" s="139"/>
      <c r="C34" s="139"/>
      <c r="D34" s="165"/>
      <c r="E34" s="165"/>
      <c r="G34" s="156">
        <v>31</v>
      </c>
      <c r="H34" s="165" t="e">
        <f t="shared" si="0"/>
        <v>#NUM!</v>
      </c>
      <c r="I34" s="165" t="e">
        <f t="shared" si="1"/>
        <v>#NUM!</v>
      </c>
      <c r="J34" s="165" t="e">
        <f t="shared" si="4"/>
        <v>#NUM!</v>
      </c>
      <c r="K34" s="165" t="e">
        <f t="shared" si="2"/>
        <v>#NUM!</v>
      </c>
      <c r="L34" s="135" t="e">
        <f t="shared" si="3"/>
        <v>#NUM!</v>
      </c>
      <c r="M34" s="166"/>
    </row>
    <row r="35" spans="2:13" x14ac:dyDescent="0.25">
      <c r="B35" s="139"/>
      <c r="C35" s="139"/>
      <c r="D35" s="165"/>
      <c r="E35" s="165"/>
      <c r="G35" s="156">
        <v>32</v>
      </c>
      <c r="H35" s="165" t="e">
        <f t="shared" si="0"/>
        <v>#NUM!</v>
      </c>
      <c r="I35" s="165" t="e">
        <f t="shared" si="1"/>
        <v>#NUM!</v>
      </c>
      <c r="J35" s="165" t="e">
        <f t="shared" si="4"/>
        <v>#NUM!</v>
      </c>
      <c r="K35" s="165" t="e">
        <f t="shared" si="2"/>
        <v>#NUM!</v>
      </c>
      <c r="L35" s="135" t="e">
        <f t="shared" si="3"/>
        <v>#NUM!</v>
      </c>
      <c r="M35" s="166"/>
    </row>
    <row r="36" spans="2:13" x14ac:dyDescent="0.25">
      <c r="B36" s="139"/>
      <c r="C36" s="139"/>
      <c r="D36" s="165"/>
      <c r="E36" s="165"/>
      <c r="G36" s="156">
        <v>33</v>
      </c>
      <c r="H36" s="165" t="e">
        <f t="shared" si="0"/>
        <v>#NUM!</v>
      </c>
      <c r="I36" s="165" t="e">
        <f t="shared" si="1"/>
        <v>#NUM!</v>
      </c>
      <c r="J36" s="165" t="e">
        <f t="shared" si="4"/>
        <v>#NUM!</v>
      </c>
      <c r="K36" s="165" t="e">
        <f t="shared" si="2"/>
        <v>#NUM!</v>
      </c>
      <c r="L36" s="135" t="e">
        <f t="shared" si="3"/>
        <v>#NUM!</v>
      </c>
      <c r="M36" s="166"/>
    </row>
    <row r="37" spans="2:13" x14ac:dyDescent="0.25">
      <c r="B37" s="139"/>
      <c r="C37" s="139"/>
      <c r="D37" s="165"/>
      <c r="E37" s="165"/>
      <c r="G37" s="156">
        <v>34</v>
      </c>
      <c r="H37" s="165" t="e">
        <f t="shared" si="0"/>
        <v>#NUM!</v>
      </c>
      <c r="I37" s="165" t="e">
        <f t="shared" si="1"/>
        <v>#NUM!</v>
      </c>
      <c r="J37" s="165" t="e">
        <f t="shared" si="4"/>
        <v>#NUM!</v>
      </c>
      <c r="K37" s="165" t="e">
        <f t="shared" si="2"/>
        <v>#NUM!</v>
      </c>
      <c r="L37" s="135" t="e">
        <f t="shared" si="3"/>
        <v>#NUM!</v>
      </c>
      <c r="M37" s="166"/>
    </row>
    <row r="38" spans="2:13" x14ac:dyDescent="0.25">
      <c r="B38" s="139"/>
      <c r="C38" s="139"/>
      <c r="D38" s="165"/>
      <c r="E38" s="165"/>
      <c r="G38" s="156">
        <v>35</v>
      </c>
      <c r="H38" s="165" t="e">
        <f t="shared" si="0"/>
        <v>#NUM!</v>
      </c>
      <c r="I38" s="165" t="e">
        <f t="shared" si="1"/>
        <v>#NUM!</v>
      </c>
      <c r="J38" s="165" t="e">
        <f t="shared" si="4"/>
        <v>#NUM!</v>
      </c>
      <c r="K38" s="165" t="e">
        <f t="shared" si="2"/>
        <v>#NUM!</v>
      </c>
      <c r="L38" s="135" t="e">
        <f t="shared" si="3"/>
        <v>#NUM!</v>
      </c>
      <c r="M38" s="166"/>
    </row>
    <row r="39" spans="2:13" x14ac:dyDescent="0.25">
      <c r="B39" s="139"/>
      <c r="C39" s="139"/>
      <c r="D39" s="165"/>
      <c r="E39" s="165"/>
      <c r="G39" s="156">
        <v>36</v>
      </c>
      <c r="H39" s="165" t="e">
        <f t="shared" si="0"/>
        <v>#NUM!</v>
      </c>
      <c r="I39" s="165" t="e">
        <f t="shared" si="1"/>
        <v>#NUM!</v>
      </c>
      <c r="J39" s="165" t="e">
        <f t="shared" si="4"/>
        <v>#NUM!</v>
      </c>
      <c r="K39" s="165" t="e">
        <f t="shared" si="2"/>
        <v>#NUM!</v>
      </c>
      <c r="L39" s="135" t="e">
        <f t="shared" si="3"/>
        <v>#NUM!</v>
      </c>
      <c r="M39" s="166"/>
    </row>
    <row r="40" spans="2:13" x14ac:dyDescent="0.25">
      <c r="B40" s="139"/>
      <c r="C40" s="139"/>
      <c r="D40" s="165"/>
      <c r="E40" s="165"/>
      <c r="G40" s="156">
        <v>37</v>
      </c>
      <c r="H40" s="165" t="e">
        <f t="shared" si="0"/>
        <v>#NUM!</v>
      </c>
      <c r="I40" s="165" t="e">
        <f t="shared" si="1"/>
        <v>#NUM!</v>
      </c>
      <c r="J40" s="165" t="e">
        <f t="shared" si="4"/>
        <v>#NUM!</v>
      </c>
      <c r="K40" s="165" t="e">
        <f t="shared" si="2"/>
        <v>#NUM!</v>
      </c>
      <c r="L40" s="135" t="e">
        <f t="shared" si="3"/>
        <v>#NUM!</v>
      </c>
      <c r="M40" s="166"/>
    </row>
    <row r="41" spans="2:13" x14ac:dyDescent="0.25">
      <c r="B41" s="139"/>
      <c r="C41" s="139"/>
      <c r="D41" s="165"/>
      <c r="E41" s="165"/>
      <c r="G41" s="156">
        <v>38</v>
      </c>
      <c r="H41" s="165" t="e">
        <f t="shared" si="0"/>
        <v>#NUM!</v>
      </c>
      <c r="I41" s="165" t="e">
        <f t="shared" si="1"/>
        <v>#NUM!</v>
      </c>
      <c r="J41" s="165" t="e">
        <f t="shared" si="4"/>
        <v>#NUM!</v>
      </c>
      <c r="K41" s="165" t="e">
        <f t="shared" si="2"/>
        <v>#NUM!</v>
      </c>
      <c r="L41" s="135" t="e">
        <f t="shared" si="3"/>
        <v>#NUM!</v>
      </c>
    </row>
    <row r="42" spans="2:13" x14ac:dyDescent="0.25">
      <c r="B42" s="139"/>
      <c r="C42" s="139"/>
      <c r="D42" s="165"/>
      <c r="E42" s="165"/>
      <c r="G42" s="156">
        <v>39</v>
      </c>
      <c r="H42" s="165" t="e">
        <f t="shared" si="0"/>
        <v>#NUM!</v>
      </c>
      <c r="I42" s="165" t="e">
        <f t="shared" si="1"/>
        <v>#NUM!</v>
      </c>
      <c r="J42" s="165" t="e">
        <f t="shared" si="4"/>
        <v>#NUM!</v>
      </c>
      <c r="K42" s="165" t="e">
        <f t="shared" si="2"/>
        <v>#NUM!</v>
      </c>
      <c r="L42" s="135" t="e">
        <f t="shared" si="3"/>
        <v>#NUM!</v>
      </c>
    </row>
    <row r="43" spans="2:13" x14ac:dyDescent="0.25">
      <c r="B43" s="139"/>
      <c r="C43" s="139"/>
      <c r="D43" s="165"/>
      <c r="E43" s="165"/>
      <c r="G43" s="156">
        <v>40</v>
      </c>
      <c r="H43" s="165" t="e">
        <f t="shared" si="0"/>
        <v>#NUM!</v>
      </c>
      <c r="I43" s="165" t="e">
        <f t="shared" si="1"/>
        <v>#NUM!</v>
      </c>
      <c r="J43" s="165" t="e">
        <f t="shared" si="4"/>
        <v>#NUM!</v>
      </c>
      <c r="K43" s="165" t="e">
        <f t="shared" si="2"/>
        <v>#NUM!</v>
      </c>
      <c r="L43" s="135" t="e">
        <f t="shared" si="3"/>
        <v>#NUM!</v>
      </c>
    </row>
    <row r="44" spans="2:13" x14ac:dyDescent="0.25">
      <c r="B44" s="139"/>
      <c r="C44" s="139"/>
      <c r="D44" s="165"/>
      <c r="E44" s="165"/>
      <c r="G44" s="156">
        <v>41</v>
      </c>
      <c r="H44" s="165" t="e">
        <f t="shared" si="0"/>
        <v>#NUM!</v>
      </c>
      <c r="I44" s="165" t="e">
        <f t="shared" si="1"/>
        <v>#NUM!</v>
      </c>
      <c r="J44" s="165" t="e">
        <f t="shared" si="4"/>
        <v>#NUM!</v>
      </c>
      <c r="K44" s="165" t="e">
        <f t="shared" si="2"/>
        <v>#NUM!</v>
      </c>
      <c r="L44" s="135" t="e">
        <f t="shared" si="3"/>
        <v>#NUM!</v>
      </c>
    </row>
    <row r="45" spans="2:13" x14ac:dyDescent="0.25">
      <c r="B45" s="139"/>
      <c r="C45" s="139"/>
      <c r="D45" s="165"/>
      <c r="E45" s="165"/>
      <c r="G45" s="156">
        <v>42</v>
      </c>
      <c r="H45" s="165" t="e">
        <f t="shared" si="0"/>
        <v>#NUM!</v>
      </c>
      <c r="I45" s="165" t="e">
        <f t="shared" si="1"/>
        <v>#NUM!</v>
      </c>
      <c r="J45" s="165" t="e">
        <f t="shared" si="4"/>
        <v>#NUM!</v>
      </c>
      <c r="K45" s="165" t="e">
        <f t="shared" si="2"/>
        <v>#NUM!</v>
      </c>
      <c r="L45" s="135" t="e">
        <f t="shared" si="3"/>
        <v>#NUM!</v>
      </c>
    </row>
    <row r="46" spans="2:13" x14ac:dyDescent="0.25">
      <c r="B46" s="139"/>
      <c r="C46" s="139"/>
      <c r="D46" s="165"/>
      <c r="E46" s="165"/>
      <c r="G46" s="156">
        <v>43</v>
      </c>
      <c r="H46" s="165" t="e">
        <f t="shared" si="0"/>
        <v>#NUM!</v>
      </c>
      <c r="I46" s="165" t="e">
        <f t="shared" si="1"/>
        <v>#NUM!</v>
      </c>
      <c r="J46" s="165" t="e">
        <f t="shared" si="4"/>
        <v>#NUM!</v>
      </c>
      <c r="K46" s="165" t="e">
        <f t="shared" si="2"/>
        <v>#NUM!</v>
      </c>
      <c r="L46" s="135" t="e">
        <f t="shared" si="3"/>
        <v>#NUM!</v>
      </c>
    </row>
    <row r="47" spans="2:13" x14ac:dyDescent="0.25">
      <c r="B47" s="139"/>
      <c r="C47" s="139"/>
      <c r="D47" s="165"/>
      <c r="E47" s="165"/>
      <c r="G47" s="156">
        <v>44</v>
      </c>
      <c r="H47" s="165" t="e">
        <f t="shared" si="0"/>
        <v>#NUM!</v>
      </c>
      <c r="I47" s="165" t="e">
        <f t="shared" si="1"/>
        <v>#NUM!</v>
      </c>
      <c r="J47" s="165" t="e">
        <f t="shared" si="4"/>
        <v>#NUM!</v>
      </c>
      <c r="K47" s="165" t="e">
        <f t="shared" si="2"/>
        <v>#NUM!</v>
      </c>
      <c r="L47" s="135" t="e">
        <f t="shared" si="3"/>
        <v>#NUM!</v>
      </c>
    </row>
    <row r="48" spans="2:13" x14ac:dyDescent="0.25">
      <c r="B48" s="139"/>
      <c r="C48" s="139"/>
      <c r="D48" s="165"/>
      <c r="E48" s="165"/>
      <c r="G48" s="156">
        <v>45</v>
      </c>
      <c r="H48" s="165" t="e">
        <f t="shared" si="0"/>
        <v>#NUM!</v>
      </c>
      <c r="I48" s="165" t="e">
        <f t="shared" si="1"/>
        <v>#NUM!</v>
      </c>
      <c r="J48" s="165" t="e">
        <f t="shared" si="4"/>
        <v>#NUM!</v>
      </c>
      <c r="K48" s="165" t="e">
        <f t="shared" si="2"/>
        <v>#NUM!</v>
      </c>
      <c r="L48" s="135" t="e">
        <f t="shared" si="3"/>
        <v>#NUM!</v>
      </c>
    </row>
    <row r="49" spans="2:12" x14ac:dyDescent="0.25">
      <c r="B49" s="139"/>
      <c r="C49" s="139"/>
      <c r="D49" s="165"/>
      <c r="E49" s="165"/>
      <c r="G49" s="156">
        <v>46</v>
      </c>
      <c r="H49" s="165" t="e">
        <f t="shared" si="0"/>
        <v>#NUM!</v>
      </c>
      <c r="I49" s="165" t="e">
        <f t="shared" si="1"/>
        <v>#NUM!</v>
      </c>
      <c r="J49" s="165" t="e">
        <f t="shared" si="4"/>
        <v>#NUM!</v>
      </c>
      <c r="K49" s="165" t="e">
        <f t="shared" si="2"/>
        <v>#NUM!</v>
      </c>
      <c r="L49" s="135" t="e">
        <f t="shared" si="3"/>
        <v>#NUM!</v>
      </c>
    </row>
    <row r="50" spans="2:12" x14ac:dyDescent="0.25">
      <c r="B50" s="139"/>
      <c r="C50" s="139"/>
      <c r="D50" s="165"/>
      <c r="E50" s="165"/>
      <c r="G50" s="156">
        <v>47</v>
      </c>
      <c r="H50" s="165" t="e">
        <f t="shared" si="0"/>
        <v>#NUM!</v>
      </c>
      <c r="I50" s="165" t="e">
        <f t="shared" si="1"/>
        <v>#NUM!</v>
      </c>
      <c r="J50" s="165" t="e">
        <f t="shared" si="4"/>
        <v>#NUM!</v>
      </c>
      <c r="K50" s="165" t="e">
        <f t="shared" si="2"/>
        <v>#NUM!</v>
      </c>
      <c r="L50" s="135" t="e">
        <f t="shared" si="3"/>
        <v>#NUM!</v>
      </c>
    </row>
    <row r="51" spans="2:12" x14ac:dyDescent="0.25">
      <c r="B51" s="139"/>
      <c r="C51" s="139"/>
      <c r="D51" s="165"/>
      <c r="E51" s="165"/>
      <c r="G51" s="156">
        <v>48</v>
      </c>
      <c r="H51" s="165" t="e">
        <f t="shared" si="0"/>
        <v>#NUM!</v>
      </c>
      <c r="I51" s="165" t="e">
        <f t="shared" si="1"/>
        <v>#NUM!</v>
      </c>
      <c r="J51" s="165" t="e">
        <f t="shared" si="4"/>
        <v>#NUM!</v>
      </c>
      <c r="K51" s="165" t="e">
        <f t="shared" si="2"/>
        <v>#NUM!</v>
      </c>
      <c r="L51" s="135" t="e">
        <f t="shared" si="3"/>
        <v>#NUM!</v>
      </c>
    </row>
    <row r="52" spans="2:12" x14ac:dyDescent="0.25">
      <c r="B52" s="139"/>
      <c r="C52" s="139"/>
      <c r="D52" s="165"/>
      <c r="E52" s="165"/>
      <c r="G52" s="156">
        <v>49</v>
      </c>
      <c r="H52" s="165" t="e">
        <f>IF(L51&lt;=0.5,0,L51)</f>
        <v>#NUM!</v>
      </c>
      <c r="I52" s="165" t="e">
        <f>IF(L51&lt;=0.5,0,I51)</f>
        <v>#NUM!</v>
      </c>
      <c r="J52" s="165" t="e">
        <f t="shared" si="4"/>
        <v>#NUM!</v>
      </c>
      <c r="K52" s="165" t="e">
        <f t="shared" si="2"/>
        <v>#NUM!</v>
      </c>
      <c r="L52" s="135" t="e">
        <f t="shared" si="3"/>
        <v>#NUM!</v>
      </c>
    </row>
    <row r="53" spans="2:12" x14ac:dyDescent="0.25">
      <c r="B53" s="139"/>
      <c r="C53" s="139"/>
      <c r="D53" s="165"/>
      <c r="E53" s="165"/>
      <c r="G53" s="156">
        <v>50</v>
      </c>
      <c r="H53" s="165" t="e">
        <f t="shared" ref="H53:H63" si="6">IF(L52&lt;=0.5,0,L52)</f>
        <v>#NUM!</v>
      </c>
      <c r="I53" s="165" t="e">
        <f t="shared" ref="I53:I63" si="7">IF(L52&lt;=0.5,0,I52)</f>
        <v>#NUM!</v>
      </c>
      <c r="J53" s="165" t="e">
        <f t="shared" si="4"/>
        <v>#NUM!</v>
      </c>
      <c r="K53" s="165" t="e">
        <f t="shared" si="2"/>
        <v>#NUM!</v>
      </c>
      <c r="L53" s="135" t="e">
        <f t="shared" si="3"/>
        <v>#NUM!</v>
      </c>
    </row>
    <row r="54" spans="2:12" x14ac:dyDescent="0.25">
      <c r="B54" s="139"/>
      <c r="C54" s="139"/>
      <c r="D54" s="165"/>
      <c r="E54" s="165"/>
      <c r="G54" s="156">
        <v>51</v>
      </c>
      <c r="H54" s="165" t="e">
        <f t="shared" si="6"/>
        <v>#NUM!</v>
      </c>
      <c r="I54" s="165" t="e">
        <f t="shared" si="7"/>
        <v>#NUM!</v>
      </c>
      <c r="J54" s="165" t="e">
        <f t="shared" si="4"/>
        <v>#NUM!</v>
      </c>
      <c r="K54" s="165" t="e">
        <f t="shared" si="2"/>
        <v>#NUM!</v>
      </c>
      <c r="L54" s="135" t="e">
        <f t="shared" si="3"/>
        <v>#NUM!</v>
      </c>
    </row>
    <row r="55" spans="2:12" x14ac:dyDescent="0.25">
      <c r="B55" s="139"/>
      <c r="C55" s="139"/>
      <c r="D55" s="165"/>
      <c r="E55" s="165"/>
      <c r="G55" s="156">
        <v>52</v>
      </c>
      <c r="H55" s="165" t="e">
        <f t="shared" si="6"/>
        <v>#NUM!</v>
      </c>
      <c r="I55" s="165" t="e">
        <f t="shared" si="7"/>
        <v>#NUM!</v>
      </c>
      <c r="J55" s="165" t="e">
        <f t="shared" si="4"/>
        <v>#NUM!</v>
      </c>
      <c r="K55" s="165" t="e">
        <f t="shared" si="2"/>
        <v>#NUM!</v>
      </c>
      <c r="L55" s="135" t="e">
        <f t="shared" si="3"/>
        <v>#NUM!</v>
      </c>
    </row>
    <row r="56" spans="2:12" x14ac:dyDescent="0.25">
      <c r="B56" s="139"/>
      <c r="C56" s="139"/>
      <c r="D56" s="165"/>
      <c r="E56" s="165"/>
      <c r="G56" s="156">
        <v>53</v>
      </c>
      <c r="H56" s="165" t="e">
        <f t="shared" si="6"/>
        <v>#NUM!</v>
      </c>
      <c r="I56" s="165" t="e">
        <f t="shared" si="7"/>
        <v>#NUM!</v>
      </c>
      <c r="J56" s="165" t="e">
        <f t="shared" si="4"/>
        <v>#NUM!</v>
      </c>
      <c r="K56" s="165" t="e">
        <f t="shared" si="2"/>
        <v>#NUM!</v>
      </c>
      <c r="L56" s="135" t="e">
        <f t="shared" si="3"/>
        <v>#NUM!</v>
      </c>
    </row>
    <row r="57" spans="2:12" x14ac:dyDescent="0.25">
      <c r="B57" s="139"/>
      <c r="C57" s="139"/>
      <c r="D57" s="165"/>
      <c r="E57" s="165"/>
      <c r="G57" s="156">
        <v>54</v>
      </c>
      <c r="H57" s="165" t="e">
        <f t="shared" si="6"/>
        <v>#NUM!</v>
      </c>
      <c r="I57" s="165" t="e">
        <f t="shared" si="7"/>
        <v>#NUM!</v>
      </c>
      <c r="J57" s="165" t="e">
        <f t="shared" si="4"/>
        <v>#NUM!</v>
      </c>
      <c r="K57" s="165" t="e">
        <f t="shared" si="2"/>
        <v>#NUM!</v>
      </c>
      <c r="L57" s="135" t="e">
        <f t="shared" si="3"/>
        <v>#NUM!</v>
      </c>
    </row>
    <row r="58" spans="2:12" x14ac:dyDescent="0.25">
      <c r="B58" s="139"/>
      <c r="C58" s="139"/>
      <c r="D58" s="165"/>
      <c r="E58" s="165"/>
      <c r="G58" s="156">
        <v>55</v>
      </c>
      <c r="H58" s="165" t="e">
        <f t="shared" si="6"/>
        <v>#NUM!</v>
      </c>
      <c r="I58" s="165" t="e">
        <f t="shared" si="7"/>
        <v>#NUM!</v>
      </c>
      <c r="J58" s="165" t="e">
        <f t="shared" si="4"/>
        <v>#NUM!</v>
      </c>
      <c r="K58" s="165" t="e">
        <f t="shared" si="2"/>
        <v>#NUM!</v>
      </c>
      <c r="L58" s="135" t="e">
        <f t="shared" si="3"/>
        <v>#NUM!</v>
      </c>
    </row>
    <row r="59" spans="2:12" x14ac:dyDescent="0.25">
      <c r="B59" s="139"/>
      <c r="C59" s="139"/>
      <c r="D59" s="165"/>
      <c r="E59" s="165"/>
      <c r="G59" s="156">
        <v>56</v>
      </c>
      <c r="H59" s="165" t="e">
        <f t="shared" si="6"/>
        <v>#NUM!</v>
      </c>
      <c r="I59" s="165" t="e">
        <f t="shared" si="7"/>
        <v>#NUM!</v>
      </c>
      <c r="J59" s="165" t="e">
        <f t="shared" si="4"/>
        <v>#NUM!</v>
      </c>
      <c r="K59" s="165" t="e">
        <f t="shared" si="2"/>
        <v>#NUM!</v>
      </c>
      <c r="L59" s="135" t="e">
        <f t="shared" si="3"/>
        <v>#NUM!</v>
      </c>
    </row>
    <row r="60" spans="2:12" x14ac:dyDescent="0.25">
      <c r="B60" s="139"/>
      <c r="C60" s="139"/>
      <c r="D60" s="165"/>
      <c r="E60" s="165"/>
      <c r="G60" s="156">
        <v>57</v>
      </c>
      <c r="H60" s="165" t="e">
        <f t="shared" si="6"/>
        <v>#NUM!</v>
      </c>
      <c r="I60" s="165" t="e">
        <f t="shared" si="7"/>
        <v>#NUM!</v>
      </c>
      <c r="J60" s="165" t="e">
        <f t="shared" si="4"/>
        <v>#NUM!</v>
      </c>
      <c r="K60" s="165" t="e">
        <f t="shared" si="2"/>
        <v>#NUM!</v>
      </c>
      <c r="L60" s="135" t="e">
        <f t="shared" si="3"/>
        <v>#NUM!</v>
      </c>
    </row>
    <row r="61" spans="2:12" x14ac:dyDescent="0.25">
      <c r="B61" s="139"/>
      <c r="C61" s="139"/>
      <c r="D61" s="165"/>
      <c r="E61" s="165"/>
      <c r="G61" s="156">
        <v>58</v>
      </c>
      <c r="H61" s="165" t="e">
        <f t="shared" si="6"/>
        <v>#NUM!</v>
      </c>
      <c r="I61" s="165" t="e">
        <f t="shared" si="7"/>
        <v>#NUM!</v>
      </c>
      <c r="J61" s="165" t="e">
        <f t="shared" si="4"/>
        <v>#NUM!</v>
      </c>
      <c r="K61" s="165" t="e">
        <f t="shared" si="2"/>
        <v>#NUM!</v>
      </c>
      <c r="L61" s="135" t="e">
        <f t="shared" si="3"/>
        <v>#NUM!</v>
      </c>
    </row>
    <row r="62" spans="2:12" x14ac:dyDescent="0.25">
      <c r="B62" s="139"/>
      <c r="C62" s="139"/>
      <c r="D62" s="165"/>
      <c r="E62" s="165"/>
      <c r="G62" s="156">
        <v>59</v>
      </c>
      <c r="H62" s="165" t="e">
        <f t="shared" si="6"/>
        <v>#NUM!</v>
      </c>
      <c r="I62" s="165" t="e">
        <f t="shared" si="7"/>
        <v>#NUM!</v>
      </c>
      <c r="J62" s="165" t="e">
        <f t="shared" si="4"/>
        <v>#NUM!</v>
      </c>
      <c r="K62" s="165" t="e">
        <f t="shared" si="2"/>
        <v>#NUM!</v>
      </c>
      <c r="L62" s="135" t="e">
        <f t="shared" si="3"/>
        <v>#NUM!</v>
      </c>
    </row>
    <row r="63" spans="2:12" ht="15.75" thickBot="1" x14ac:dyDescent="0.3">
      <c r="B63" s="139"/>
      <c r="C63" s="139"/>
      <c r="D63" s="165"/>
      <c r="E63" s="165"/>
      <c r="G63" s="168">
        <v>60</v>
      </c>
      <c r="H63" s="167" t="e">
        <f t="shared" si="6"/>
        <v>#NUM!</v>
      </c>
      <c r="I63" s="167" t="e">
        <f t="shared" si="7"/>
        <v>#NUM!</v>
      </c>
      <c r="J63" s="167" t="e">
        <f t="shared" si="4"/>
        <v>#NUM!</v>
      </c>
      <c r="K63" s="167" t="e">
        <f t="shared" si="2"/>
        <v>#NUM!</v>
      </c>
      <c r="L63" s="138" t="e">
        <f t="shared" si="3"/>
        <v>#NUM!</v>
      </c>
    </row>
    <row r="65" spans="2:5" ht="15.75" thickBot="1" x14ac:dyDescent="0.3"/>
    <row r="66" spans="2:5" x14ac:dyDescent="0.25">
      <c r="B66" s="394" t="s">
        <v>212</v>
      </c>
      <c r="C66" s="395"/>
      <c r="D66" s="395"/>
      <c r="E66" s="396"/>
    </row>
    <row r="67" spans="2:5" ht="15.75" thickBot="1" x14ac:dyDescent="0.3">
      <c r="B67" s="430"/>
      <c r="C67" s="431"/>
      <c r="D67" s="431"/>
      <c r="E67" s="432"/>
    </row>
    <row r="68" spans="2:5" x14ac:dyDescent="0.25">
      <c r="B68" s="415" t="s">
        <v>213</v>
      </c>
      <c r="C68" s="417" t="s">
        <v>214</v>
      </c>
      <c r="D68" s="417" t="s">
        <v>215</v>
      </c>
      <c r="E68" s="419" t="s">
        <v>216</v>
      </c>
    </row>
    <row r="69" spans="2:5" x14ac:dyDescent="0.25">
      <c r="B69" s="416"/>
      <c r="C69" s="418"/>
      <c r="D69" s="418"/>
      <c r="E69" s="420"/>
    </row>
    <row r="70" spans="2:5" x14ac:dyDescent="0.25">
      <c r="B70" s="410" t="s">
        <v>217</v>
      </c>
      <c r="C70" s="403" t="s">
        <v>218</v>
      </c>
      <c r="D70" s="404">
        <f>[4]ESPERADO!$D$12</f>
        <v>0</v>
      </c>
      <c r="E70" s="405">
        <f>+D70*5%</f>
        <v>0</v>
      </c>
    </row>
    <row r="71" spans="2:5" x14ac:dyDescent="0.25">
      <c r="B71" s="410"/>
      <c r="C71" s="403"/>
      <c r="D71" s="403"/>
      <c r="E71" s="405"/>
    </row>
    <row r="72" spans="2:5" x14ac:dyDescent="0.25">
      <c r="B72" s="411" t="s">
        <v>219</v>
      </c>
      <c r="C72" s="403" t="s">
        <v>220</v>
      </c>
      <c r="D72" s="404">
        <f>[4]ESPERADO!$D$13</f>
        <v>0</v>
      </c>
      <c r="E72" s="405">
        <f>+D72*10%</f>
        <v>0</v>
      </c>
    </row>
    <row r="73" spans="2:5" x14ac:dyDescent="0.25">
      <c r="B73" s="411"/>
      <c r="C73" s="403"/>
      <c r="D73" s="403"/>
      <c r="E73" s="405"/>
    </row>
    <row r="74" spans="2:5" x14ac:dyDescent="0.25">
      <c r="B74" s="402" t="s">
        <v>221</v>
      </c>
      <c r="C74" s="403" t="s">
        <v>222</v>
      </c>
      <c r="D74" s="404">
        <f>[4]ESPERADO!$D$14</f>
        <v>0</v>
      </c>
      <c r="E74" s="405">
        <f>+D74*20%</f>
        <v>0</v>
      </c>
    </row>
    <row r="75" spans="2:5" x14ac:dyDescent="0.25">
      <c r="B75" s="402"/>
      <c r="C75" s="403"/>
      <c r="D75" s="403"/>
      <c r="E75" s="405"/>
    </row>
    <row r="76" spans="2:5" x14ac:dyDescent="0.25">
      <c r="B76" s="406" t="s">
        <v>223</v>
      </c>
      <c r="C76" s="403" t="s">
        <v>224</v>
      </c>
      <c r="D76" s="404">
        <f>[4]ESPERADO!$D$15</f>
        <v>0</v>
      </c>
      <c r="E76" s="405">
        <f>+D76*33%</f>
        <v>0</v>
      </c>
    </row>
    <row r="77" spans="2:5" ht="15.75" thickBot="1" x14ac:dyDescent="0.3">
      <c r="B77" s="407"/>
      <c r="C77" s="408"/>
      <c r="D77" s="408"/>
      <c r="E77" s="409"/>
    </row>
    <row r="78" spans="2:5" ht="15.75" thickBot="1" x14ac:dyDescent="0.3">
      <c r="B78" s="161"/>
      <c r="C78" s="162" t="s">
        <v>79</v>
      </c>
      <c r="D78" s="163">
        <f>SUM(D70:D77)</f>
        <v>0</v>
      </c>
      <c r="E78" s="164">
        <f>SUM(E70:E77)</f>
        <v>0</v>
      </c>
    </row>
    <row r="80" spans="2:5" ht="15.75" thickBot="1" x14ac:dyDescent="0.3"/>
    <row r="81" spans="2:13" x14ac:dyDescent="0.25">
      <c r="B81" s="394" t="s">
        <v>230</v>
      </c>
      <c r="C81" s="395"/>
      <c r="D81" s="396"/>
      <c r="E81" s="394" t="s">
        <v>231</v>
      </c>
      <c r="F81" s="395"/>
      <c r="G81" s="396"/>
      <c r="H81" s="394" t="s">
        <v>232</v>
      </c>
      <c r="I81" s="395"/>
      <c r="J81" s="396"/>
      <c r="K81" s="394" t="s">
        <v>233</v>
      </c>
      <c r="L81" s="395"/>
      <c r="M81" s="396"/>
    </row>
    <row r="82" spans="2:13" x14ac:dyDescent="0.25">
      <c r="B82" s="397"/>
      <c r="C82" s="398"/>
      <c r="D82" s="399"/>
      <c r="E82" s="397"/>
      <c r="F82" s="398"/>
      <c r="G82" s="399"/>
      <c r="H82" s="397"/>
      <c r="I82" s="398"/>
      <c r="J82" s="399"/>
      <c r="K82" s="397"/>
      <c r="L82" s="398"/>
      <c r="M82" s="399"/>
    </row>
    <row r="83" spans="2:13" x14ac:dyDescent="0.25">
      <c r="B83" s="140" t="s">
        <v>225</v>
      </c>
      <c r="C83" s="2"/>
      <c r="D83" s="135">
        <f>+[4]ESPERADO!$L$12</f>
        <v>0</v>
      </c>
      <c r="E83" s="140" t="s">
        <v>225</v>
      </c>
      <c r="F83" s="2"/>
      <c r="G83" s="135">
        <f>+[4]ESPERADO!$L$13</f>
        <v>0</v>
      </c>
      <c r="H83" s="140" t="s">
        <v>225</v>
      </c>
      <c r="I83" s="2"/>
      <c r="J83" s="135">
        <f>[4]ESPERADO!$L$14</f>
        <v>0</v>
      </c>
      <c r="K83" s="140" t="s">
        <v>225</v>
      </c>
      <c r="L83" s="2"/>
      <c r="M83" s="135">
        <f>[4]ESPERADO!$L$15</f>
        <v>0</v>
      </c>
    </row>
    <row r="84" spans="2:13" x14ac:dyDescent="0.25">
      <c r="B84" s="140" t="s">
        <v>226</v>
      </c>
      <c r="C84" s="2"/>
      <c r="D84" s="135">
        <f>+D83*11.15%</f>
        <v>0</v>
      </c>
      <c r="E84" s="140" t="s">
        <v>226</v>
      </c>
      <c r="F84" s="2"/>
      <c r="G84" s="135">
        <f t="shared" ref="G84" si="8">+G83*11.15%</f>
        <v>0</v>
      </c>
      <c r="H84" s="140" t="s">
        <v>226</v>
      </c>
      <c r="I84" s="2"/>
      <c r="J84" s="135">
        <f t="shared" ref="J84" si="9">+J83*11.15%</f>
        <v>0</v>
      </c>
      <c r="K84" s="140" t="s">
        <v>226</v>
      </c>
      <c r="L84" s="2"/>
      <c r="M84" s="135">
        <f t="shared" ref="M84" si="10">+M83*11.15%</f>
        <v>0</v>
      </c>
    </row>
    <row r="85" spans="2:13" x14ac:dyDescent="0.25">
      <c r="B85" s="140" t="s">
        <v>227</v>
      </c>
      <c r="C85" s="2"/>
      <c r="D85" s="135">
        <f>D83</f>
        <v>0</v>
      </c>
      <c r="E85" s="140" t="s">
        <v>227</v>
      </c>
      <c r="F85" s="2"/>
      <c r="G85" s="135">
        <f t="shared" ref="G85" si="11">G83</f>
        <v>0</v>
      </c>
      <c r="H85" s="140" t="s">
        <v>227</v>
      </c>
      <c r="I85" s="2"/>
      <c r="J85" s="135">
        <f t="shared" ref="J85" si="12">J83</f>
        <v>0</v>
      </c>
      <c r="K85" s="140" t="s">
        <v>227</v>
      </c>
      <c r="L85" s="2"/>
      <c r="M85" s="135">
        <f t="shared" ref="M85" si="13">M83</f>
        <v>0</v>
      </c>
    </row>
    <row r="86" spans="2:13" x14ac:dyDescent="0.25">
      <c r="B86" s="140" t="s">
        <v>228</v>
      </c>
      <c r="C86" s="2"/>
      <c r="D86" s="135">
        <v>366</v>
      </c>
      <c r="E86" s="140" t="s">
        <v>228</v>
      </c>
      <c r="F86" s="2"/>
      <c r="G86" s="135">
        <f>+D86</f>
        <v>366</v>
      </c>
      <c r="H86" s="140" t="s">
        <v>228</v>
      </c>
      <c r="I86" s="2"/>
      <c r="J86" s="135">
        <f>G86</f>
        <v>366</v>
      </c>
      <c r="K86" s="140" t="s">
        <v>228</v>
      </c>
      <c r="L86" s="2"/>
      <c r="M86" s="135">
        <f>J86</f>
        <v>366</v>
      </c>
    </row>
    <row r="87" spans="2:13" x14ac:dyDescent="0.25">
      <c r="B87" s="140" t="s">
        <v>238</v>
      </c>
      <c r="C87" s="2"/>
      <c r="D87" s="135">
        <f>+D83*1%</f>
        <v>0</v>
      </c>
      <c r="E87" s="140" t="s">
        <v>238</v>
      </c>
      <c r="F87" s="2"/>
      <c r="G87" s="135">
        <f t="shared" ref="G87" si="14">+G83*1%</f>
        <v>0</v>
      </c>
      <c r="H87" s="140" t="s">
        <v>238</v>
      </c>
      <c r="I87" s="2"/>
      <c r="J87" s="135">
        <f t="shared" ref="J87" si="15">+J83*1%</f>
        <v>0</v>
      </c>
      <c r="K87" s="140" t="s">
        <v>238</v>
      </c>
      <c r="L87" s="2"/>
      <c r="M87" s="135">
        <f t="shared" ref="M87" si="16">+M83*1%</f>
        <v>0</v>
      </c>
    </row>
    <row r="88" spans="2:13" ht="15.75" thickBot="1" x14ac:dyDescent="0.3">
      <c r="B88" s="141" t="s">
        <v>229</v>
      </c>
      <c r="C88" s="142"/>
      <c r="D88" s="138">
        <f>D83*8.33%</f>
        <v>0</v>
      </c>
      <c r="E88" s="141" t="s">
        <v>229</v>
      </c>
      <c r="F88" s="142"/>
      <c r="G88" s="138">
        <f t="shared" ref="G88" si="17">G83*8.33%</f>
        <v>0</v>
      </c>
      <c r="H88" s="141" t="s">
        <v>229</v>
      </c>
      <c r="I88" s="142"/>
      <c r="J88" s="138">
        <f t="shared" ref="J88" si="18">J83*8.33%</f>
        <v>0</v>
      </c>
      <c r="K88" s="141" t="s">
        <v>229</v>
      </c>
      <c r="L88" s="142"/>
      <c r="M88" s="138">
        <f t="shared" ref="M88" si="19">M83*8.33%</f>
        <v>0</v>
      </c>
    </row>
    <row r="89" spans="2:13" x14ac:dyDescent="0.25">
      <c r="B89" s="400" t="s">
        <v>236</v>
      </c>
      <c r="C89" s="401"/>
      <c r="D89" s="158">
        <f>IF(D83=0,0,+((D83+D84+D87)*12)+D85+D86)</f>
        <v>0</v>
      </c>
      <c r="E89" s="400" t="s">
        <v>236</v>
      </c>
      <c r="F89" s="401"/>
      <c r="G89" s="158">
        <f>IF(G83=0,0,+((G83+G84+G87)*12)+G85+G86)</f>
        <v>0</v>
      </c>
      <c r="H89" s="400" t="s">
        <v>236</v>
      </c>
      <c r="I89" s="401"/>
      <c r="J89" s="158">
        <f>IF(J83=0,0,+((J83+J84+J87)*12)+J85+J86)</f>
        <v>0</v>
      </c>
      <c r="K89" s="400" t="s">
        <v>236</v>
      </c>
      <c r="L89" s="401"/>
      <c r="M89" s="158">
        <f>IF(M83=0,0,+((M83+M84+M87)*12)+M85+M86)</f>
        <v>0</v>
      </c>
    </row>
    <row r="90" spans="2:13" ht="15.75" thickBot="1" x14ac:dyDescent="0.3">
      <c r="B90" s="382" t="s">
        <v>237</v>
      </c>
      <c r="C90" s="383"/>
      <c r="D90" s="138">
        <f>IF(D83=0,0,+D89+(D88*12))</f>
        <v>0</v>
      </c>
      <c r="E90" s="382" t="s">
        <v>237</v>
      </c>
      <c r="F90" s="383"/>
      <c r="G90" s="138">
        <f>IF(G83=0,0,+G89+(G88*12))</f>
        <v>0</v>
      </c>
      <c r="H90" s="382" t="s">
        <v>237</v>
      </c>
      <c r="I90" s="383"/>
      <c r="J90" s="138">
        <f>IF(J83=0,0,+J89+(J88*12))</f>
        <v>0</v>
      </c>
      <c r="K90" s="382" t="s">
        <v>237</v>
      </c>
      <c r="L90" s="383"/>
      <c r="M90" s="138">
        <f>IF(M83=0,0,+M89+(M88*12))</f>
        <v>0</v>
      </c>
    </row>
    <row r="91" spans="2:13" ht="15.75" thickBot="1" x14ac:dyDescent="0.3">
      <c r="B91" s="183"/>
      <c r="C91" s="183"/>
      <c r="D91" s="165"/>
      <c r="E91" s="183"/>
      <c r="F91" s="183"/>
      <c r="G91" s="165"/>
      <c r="H91" s="183"/>
      <c r="I91" s="183"/>
      <c r="J91" s="165"/>
      <c r="K91" s="183"/>
      <c r="L91" s="183"/>
      <c r="M91" s="165"/>
    </row>
    <row r="92" spans="2:13" x14ac:dyDescent="0.25">
      <c r="B92" s="390" t="s">
        <v>255</v>
      </c>
      <c r="C92" s="391"/>
      <c r="D92" s="184">
        <f>+D89+G89+J89+M89</f>
        <v>0</v>
      </c>
      <c r="E92" s="183"/>
      <c r="F92" s="183"/>
      <c r="G92" s="165"/>
      <c r="H92" s="183"/>
      <c r="I92" s="183"/>
      <c r="J92" s="165"/>
      <c r="K92" s="183"/>
      <c r="L92" s="183"/>
      <c r="M92" s="165"/>
    </row>
    <row r="93" spans="2:13" ht="15.75" thickBot="1" x14ac:dyDescent="0.3">
      <c r="B93" s="392" t="s">
        <v>256</v>
      </c>
      <c r="C93" s="393"/>
      <c r="D93" s="185">
        <f>(D90+G90+J90+M90)-D92</f>
        <v>0</v>
      </c>
      <c r="E93" s="183"/>
      <c r="F93" s="183"/>
      <c r="G93" s="165"/>
      <c r="H93" s="183"/>
      <c r="I93" s="183"/>
      <c r="J93" s="165"/>
      <c r="K93" s="183"/>
      <c r="L93" s="183"/>
      <c r="M93" s="165"/>
    </row>
    <row r="94" spans="2:13" x14ac:dyDescent="0.25">
      <c r="B94" s="183"/>
      <c r="C94" s="183"/>
      <c r="D94" s="165"/>
      <c r="E94" s="183"/>
      <c r="F94" s="183"/>
      <c r="G94" s="165"/>
      <c r="H94" s="183"/>
      <c r="I94" s="183"/>
      <c r="J94" s="165"/>
      <c r="K94" s="183"/>
      <c r="L94" s="183"/>
      <c r="M94" s="165"/>
    </row>
    <row r="96" spans="2:13" ht="15.75" thickBot="1" x14ac:dyDescent="0.3"/>
    <row r="97" spans="2:6" x14ac:dyDescent="0.25">
      <c r="B97" s="384" t="s">
        <v>239</v>
      </c>
      <c r="C97" s="385"/>
      <c r="D97" s="159">
        <v>2016</v>
      </c>
      <c r="E97" s="159">
        <v>2017</v>
      </c>
      <c r="F97" s="160">
        <v>2018</v>
      </c>
    </row>
    <row r="98" spans="2:6" x14ac:dyDescent="0.25">
      <c r="B98" s="386" t="s">
        <v>240</v>
      </c>
      <c r="C98" s="387"/>
      <c r="D98" s="135">
        <f>+[4]ESPERADO!$D$18</f>
        <v>0</v>
      </c>
      <c r="E98" s="135">
        <f>+[4]ESPERADO!$E$18</f>
        <v>0</v>
      </c>
      <c r="F98" s="135">
        <f>+[4]ESPERADO!$F$18</f>
        <v>0</v>
      </c>
    </row>
    <row r="99" spans="2:6" ht="15.75" thickBot="1" x14ac:dyDescent="0.3">
      <c r="B99" s="388" t="s">
        <v>241</v>
      </c>
      <c r="C99" s="389"/>
      <c r="D99" s="138">
        <f>[4]ESPERADO!$D$19</f>
        <v>0</v>
      </c>
      <c r="E99" s="138">
        <f>[4]ESPERADO!$E$19</f>
        <v>0</v>
      </c>
      <c r="F99" s="138">
        <f>[4]ESPERADO!$F$19</f>
        <v>0</v>
      </c>
    </row>
    <row r="103" spans="2:6" x14ac:dyDescent="0.25">
      <c r="E103" s="165"/>
      <c r="F103" s="2"/>
    </row>
  </sheetData>
  <mergeCells count="49">
    <mergeCell ref="G2:L2"/>
    <mergeCell ref="B68:B69"/>
    <mergeCell ref="C68:C69"/>
    <mergeCell ref="D68:D69"/>
    <mergeCell ref="E68:E69"/>
    <mergeCell ref="B3:D3"/>
    <mergeCell ref="B4:D4"/>
    <mergeCell ref="B5:C5"/>
    <mergeCell ref="B6:C6"/>
    <mergeCell ref="B7:C7"/>
    <mergeCell ref="B8:C8"/>
    <mergeCell ref="B9:C9"/>
    <mergeCell ref="B10:C10"/>
    <mergeCell ref="B11:C11"/>
    <mergeCell ref="B12:C12"/>
    <mergeCell ref="B66:E67"/>
    <mergeCell ref="B70:B71"/>
    <mergeCell ref="C70:C71"/>
    <mergeCell ref="D70:D71"/>
    <mergeCell ref="E70:E71"/>
    <mergeCell ref="B72:B73"/>
    <mergeCell ref="C72:C73"/>
    <mergeCell ref="D72:D73"/>
    <mergeCell ref="E72:E73"/>
    <mergeCell ref="B74:B75"/>
    <mergeCell ref="C74:C75"/>
    <mergeCell ref="D74:D75"/>
    <mergeCell ref="E74:E75"/>
    <mergeCell ref="B76:B77"/>
    <mergeCell ref="C76:C77"/>
    <mergeCell ref="D76:D77"/>
    <mergeCell ref="E76:E77"/>
    <mergeCell ref="B81:D82"/>
    <mergeCell ref="E81:G82"/>
    <mergeCell ref="H81:J82"/>
    <mergeCell ref="K81:M82"/>
    <mergeCell ref="B89:C89"/>
    <mergeCell ref="E89:F89"/>
    <mergeCell ref="H89:I89"/>
    <mergeCell ref="K89:L89"/>
    <mergeCell ref="H90:I90"/>
    <mergeCell ref="K90:L90"/>
    <mergeCell ref="B97:C97"/>
    <mergeCell ref="B98:C98"/>
    <mergeCell ref="B99:C99"/>
    <mergeCell ref="B90:C90"/>
    <mergeCell ref="E90:F90"/>
    <mergeCell ref="B92:C92"/>
    <mergeCell ref="B93:C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SUPUESTOS</vt:lpstr>
      <vt:lpstr>BG</vt:lpstr>
      <vt:lpstr>ER</vt:lpstr>
      <vt:lpstr>BG ESPERADO</vt:lpstr>
      <vt:lpstr>ER ESPERADO</vt:lpstr>
      <vt:lpstr>FLUJO DE CAJA ESPERADO</vt:lpstr>
      <vt:lpstr>RATIOS ESPERADO</vt:lpstr>
      <vt:lpstr>PE ESPERADO</vt:lpstr>
      <vt:lpstr>CÁLCULOS</vt:lpstr>
      <vt:lpstr>BG OPTIMISTA</vt:lpstr>
      <vt:lpstr>ER OPTIMISTA</vt:lpstr>
      <vt:lpstr>FLUJO DE CAJA OPTIMISTA</vt:lpstr>
      <vt:lpstr>RATIOS OPTIMISTA</vt:lpstr>
      <vt:lpstr>PE OPTIMISTA</vt:lpstr>
      <vt:lpstr>CÁLCULOS OPTIMISTA</vt:lpstr>
      <vt:lpstr>BG PESIMISTA</vt:lpstr>
      <vt:lpstr>ER PESIMISTA</vt:lpstr>
      <vt:lpstr>FLUJO DE CAJA PESIMISTA</vt:lpstr>
      <vt:lpstr>RATIOS PESIMISTA</vt:lpstr>
      <vt:lpstr>PE PESIMISTA</vt:lpstr>
      <vt:lpstr>CÁLCULOS PESIMISTA</vt:lpstr>
      <vt:lpstr>BG!Print_Area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</dc:creator>
  <cp:lastModifiedBy>RENATO</cp:lastModifiedBy>
  <cp:lastPrinted>2016-11-23T23:46:51Z</cp:lastPrinted>
  <dcterms:created xsi:type="dcterms:W3CDTF">2016-03-21T14:54:54Z</dcterms:created>
  <dcterms:modified xsi:type="dcterms:W3CDTF">2016-11-26T22:01:23Z</dcterms:modified>
</cp:coreProperties>
</file>