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ESIS ENTREGAR\"/>
    </mc:Choice>
  </mc:AlternateContent>
  <bookViews>
    <workbookView xWindow="0" yWindow="0" windowWidth="28800" windowHeight="12885"/>
  </bookViews>
  <sheets>
    <sheet name="Anexo 1" sheetId="2" r:id="rId1"/>
    <sheet name="Anexo 2" sheetId="3" r:id="rId2"/>
    <sheet name="Anexo 3" sheetId="1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  <c r="G20" i="3" s="1"/>
  <c r="H20" i="3" s="1"/>
  <c r="I20" i="3" s="1"/>
  <c r="J20" i="3" s="1"/>
  <c r="F19" i="3"/>
  <c r="G19" i="3" s="1"/>
  <c r="H19" i="3" s="1"/>
  <c r="I19" i="3" s="1"/>
  <c r="J19" i="3" s="1"/>
  <c r="E18" i="3"/>
  <c r="F18" i="3" s="1"/>
  <c r="G18" i="3" s="1"/>
  <c r="H18" i="3" s="1"/>
  <c r="I18" i="3" s="1"/>
  <c r="J18" i="3" s="1"/>
  <c r="J17" i="3"/>
  <c r="I17" i="3"/>
  <c r="H17" i="3"/>
  <c r="G17" i="3"/>
  <c r="F17" i="3"/>
  <c r="E17" i="3"/>
  <c r="J13" i="3"/>
  <c r="I13" i="3"/>
  <c r="H13" i="3"/>
  <c r="G13" i="3"/>
  <c r="F13" i="3"/>
  <c r="E13" i="3"/>
  <c r="J12" i="3"/>
  <c r="I12" i="3"/>
  <c r="H12" i="3"/>
  <c r="G12" i="3"/>
  <c r="F12" i="3"/>
  <c r="E12" i="3"/>
  <c r="J7" i="3"/>
  <c r="I7" i="3"/>
  <c r="H7" i="3"/>
  <c r="G7" i="3"/>
  <c r="F7" i="3"/>
  <c r="E7" i="3"/>
  <c r="D6" i="3"/>
  <c r="J5" i="3"/>
  <c r="J6" i="3" s="1"/>
  <c r="I5" i="3"/>
  <c r="H5" i="3"/>
  <c r="H6" i="3" s="1"/>
  <c r="G5" i="3"/>
  <c r="F5" i="3"/>
  <c r="E5" i="3"/>
  <c r="E6" i="3" s="1"/>
  <c r="F4" i="3"/>
  <c r="G4" i="3" s="1"/>
  <c r="H4" i="3" s="1"/>
  <c r="I4" i="3" s="1"/>
  <c r="J4" i="3" s="1"/>
  <c r="I54" i="2"/>
  <c r="H54" i="2"/>
  <c r="G54" i="2"/>
  <c r="F54" i="2"/>
  <c r="E54" i="2"/>
  <c r="D54" i="2"/>
  <c r="E53" i="2" s="1"/>
  <c r="D52" i="2"/>
  <c r="E52" i="2" s="1"/>
  <c r="F52" i="2" s="1"/>
  <c r="G52" i="2" s="1"/>
  <c r="H52" i="2" s="1"/>
  <c r="I52" i="2" s="1"/>
  <c r="E51" i="2"/>
  <c r="E55" i="2" s="1"/>
  <c r="D51" i="2"/>
  <c r="D55" i="2" s="1"/>
  <c r="E45" i="2"/>
  <c r="F45" i="2" s="1"/>
  <c r="F44" i="2"/>
  <c r="G44" i="2" s="1"/>
  <c r="E44" i="2"/>
  <c r="D43" i="2"/>
  <c r="E42" i="2"/>
  <c r="D42" i="2"/>
  <c r="D40" i="2"/>
  <c r="E40" i="2" s="1"/>
  <c r="F40" i="2" s="1"/>
  <c r="G40" i="2" s="1"/>
  <c r="H40" i="2" s="1"/>
  <c r="I40" i="2" s="1"/>
  <c r="I38" i="2"/>
  <c r="H38" i="2"/>
  <c r="G38" i="2"/>
  <c r="F38" i="2"/>
  <c r="E38" i="2"/>
  <c r="D38" i="2"/>
  <c r="F37" i="2"/>
  <c r="G37" i="2" s="1"/>
  <c r="H37" i="2" s="1"/>
  <c r="I37" i="2" s="1"/>
  <c r="E37" i="2"/>
  <c r="E36" i="2"/>
  <c r="F36" i="2" s="1"/>
  <c r="F28" i="2"/>
  <c r="G28" i="2" s="1"/>
  <c r="E28" i="2"/>
  <c r="E27" i="2"/>
  <c r="D27" i="2"/>
  <c r="E25" i="2"/>
  <c r="F25" i="2" s="1"/>
  <c r="G25" i="2" s="1"/>
  <c r="H25" i="2" s="1"/>
  <c r="I25" i="2" s="1"/>
  <c r="F24" i="2"/>
  <c r="G24" i="2" s="1"/>
  <c r="H24" i="2" s="1"/>
  <c r="I24" i="2" s="1"/>
  <c r="E24" i="2"/>
  <c r="G23" i="2"/>
  <c r="H23" i="2" s="1"/>
  <c r="I23" i="2" s="1"/>
  <c r="F23" i="2"/>
  <c r="E22" i="2"/>
  <c r="F22" i="2" s="1"/>
  <c r="G22" i="2" s="1"/>
  <c r="H22" i="2" s="1"/>
  <c r="I22" i="2" s="1"/>
  <c r="E21" i="2"/>
  <c r="F21" i="2" s="1"/>
  <c r="G21" i="2" s="1"/>
  <c r="H21" i="2" s="1"/>
  <c r="I21" i="2" s="1"/>
  <c r="E20" i="2"/>
  <c r="F20" i="2" s="1"/>
  <c r="G20" i="2" s="1"/>
  <c r="H20" i="2" s="1"/>
  <c r="I20" i="2" s="1"/>
  <c r="F19" i="2"/>
  <c r="G19" i="2" s="1"/>
  <c r="H19" i="2" s="1"/>
  <c r="I19" i="2" s="1"/>
  <c r="E19" i="2"/>
  <c r="D18" i="2"/>
  <c r="E18" i="2" s="1"/>
  <c r="E17" i="2"/>
  <c r="F17" i="2" s="1"/>
  <c r="G17" i="2" s="1"/>
  <c r="H17" i="2" s="1"/>
  <c r="I17" i="2" s="1"/>
  <c r="F16" i="2"/>
  <c r="E16" i="2"/>
  <c r="D15" i="2"/>
  <c r="D11" i="2"/>
  <c r="E11" i="2" s="1"/>
  <c r="F11" i="2" s="1"/>
  <c r="G11" i="2" s="1"/>
  <c r="H11" i="2" s="1"/>
  <c r="I11" i="2" s="1"/>
  <c r="E10" i="2"/>
  <c r="E6" i="2" s="1"/>
  <c r="E9" i="2"/>
  <c r="F9" i="2" s="1"/>
  <c r="G9" i="2" s="1"/>
  <c r="H9" i="2" s="1"/>
  <c r="I9" i="2" s="1"/>
  <c r="E8" i="2"/>
  <c r="F8" i="2" s="1"/>
  <c r="G8" i="2" s="1"/>
  <c r="H8" i="2" s="1"/>
  <c r="I8" i="2" s="1"/>
  <c r="I7" i="2"/>
  <c r="H7" i="2"/>
  <c r="G7" i="2"/>
  <c r="F7" i="2"/>
  <c r="E7" i="2"/>
  <c r="D7" i="2"/>
  <c r="D6" i="2" s="1"/>
  <c r="F53" i="2" l="1"/>
  <c r="I9" i="3"/>
  <c r="E11" i="3"/>
  <c r="H11" i="3"/>
  <c r="I11" i="3"/>
  <c r="G11" i="3"/>
  <c r="F9" i="3"/>
  <c r="F6" i="3"/>
  <c r="J9" i="3"/>
  <c r="H9" i="3"/>
  <c r="J11" i="3"/>
  <c r="F11" i="3"/>
  <c r="G9" i="3"/>
  <c r="G6" i="3"/>
  <c r="I6" i="3"/>
  <c r="E9" i="3"/>
  <c r="F18" i="2"/>
  <c r="G18" i="2" s="1"/>
  <c r="H18" i="2" s="1"/>
  <c r="I18" i="2" s="1"/>
  <c r="E15" i="2"/>
  <c r="E32" i="2" s="1"/>
  <c r="G53" i="2"/>
  <c r="H53" i="2" s="1"/>
  <c r="I53" i="2" s="1"/>
  <c r="F34" i="2"/>
  <c r="F48" i="2" s="1"/>
  <c r="G36" i="2"/>
  <c r="F6" i="2"/>
  <c r="H44" i="2"/>
  <c r="D32" i="2"/>
  <c r="G27" i="2"/>
  <c r="H28" i="2"/>
  <c r="G45" i="2"/>
  <c r="H45" i="2" s="1"/>
  <c r="I45" i="2" s="1"/>
  <c r="F42" i="2"/>
  <c r="F10" i="2"/>
  <c r="G10" i="2" s="1"/>
  <c r="H10" i="2" s="1"/>
  <c r="I10" i="2" s="1"/>
  <c r="I6" i="2" s="1"/>
  <c r="F51" i="2"/>
  <c r="G16" i="2"/>
  <c r="D34" i="2"/>
  <c r="D48" i="2" s="1"/>
  <c r="D56" i="2" s="1"/>
  <c r="F27" i="2"/>
  <c r="E34" i="2"/>
  <c r="E48" i="2" s="1"/>
  <c r="E56" i="2" s="1"/>
  <c r="F15" i="3" l="1"/>
  <c r="F22" i="3" s="1"/>
  <c r="F24" i="3" s="1"/>
  <c r="F26" i="3" s="1"/>
  <c r="H15" i="3"/>
  <c r="H22" i="3" s="1"/>
  <c r="H24" i="3" s="1"/>
  <c r="H26" i="3" s="1"/>
  <c r="E15" i="3"/>
  <c r="E22" i="3" s="1"/>
  <c r="I15" i="3"/>
  <c r="I22" i="3" s="1"/>
  <c r="I24" i="3" s="1"/>
  <c r="I26" i="3" s="1"/>
  <c r="G15" i="3"/>
  <c r="G22" i="3" s="1"/>
  <c r="G24" i="3" s="1"/>
  <c r="J15" i="3"/>
  <c r="J22" i="3" s="1"/>
  <c r="J24" i="3" s="1"/>
  <c r="J26" i="3" s="1"/>
  <c r="E58" i="2"/>
  <c r="F15" i="2"/>
  <c r="F32" i="2" s="1"/>
  <c r="G6" i="2"/>
  <c r="G15" i="2"/>
  <c r="G32" i="2" s="1"/>
  <c r="H16" i="2"/>
  <c r="H6" i="2"/>
  <c r="G34" i="2"/>
  <c r="G48" i="2" s="1"/>
  <c r="H36" i="2"/>
  <c r="H27" i="2"/>
  <c r="I28" i="2"/>
  <c r="I27" i="2" s="1"/>
  <c r="G42" i="2"/>
  <c r="G51" i="2"/>
  <c r="F55" i="2"/>
  <c r="F56" i="2" s="1"/>
  <c r="D58" i="2"/>
  <c r="H42" i="2"/>
  <c r="I44" i="2"/>
  <c r="I42" i="2" s="1"/>
  <c r="F58" i="2" l="1"/>
  <c r="G26" i="3"/>
  <c r="G28" i="3" s="1"/>
  <c r="G30" i="3" s="1"/>
  <c r="F28" i="3"/>
  <c r="F30" i="3" s="1"/>
  <c r="I28" i="3"/>
  <c r="I30" i="3" s="1"/>
  <c r="J28" i="3"/>
  <c r="J30" i="3" s="1"/>
  <c r="H28" i="3"/>
  <c r="H30" i="3" s="1"/>
  <c r="E24" i="3"/>
  <c r="E26" i="3" s="1"/>
  <c r="G58" i="2"/>
  <c r="H15" i="2"/>
  <c r="H32" i="2" s="1"/>
  <c r="I16" i="2"/>
  <c r="I15" i="2" s="1"/>
  <c r="I32" i="2" s="1"/>
  <c r="H51" i="2"/>
  <c r="G55" i="2"/>
  <c r="G56" i="2" s="1"/>
  <c r="I36" i="2"/>
  <c r="I34" i="2" s="1"/>
  <c r="I48" i="2" s="1"/>
  <c r="H34" i="2"/>
  <c r="H48" i="2" s="1"/>
  <c r="F31" i="3" l="1"/>
  <c r="F32" i="3" s="1"/>
  <c r="G31" i="3"/>
  <c r="G32" i="3" s="1"/>
  <c r="H31" i="3"/>
  <c r="H32" i="3" s="1"/>
  <c r="I31" i="3"/>
  <c r="I32" i="3" s="1"/>
  <c r="J31" i="3"/>
  <c r="J32" i="3" s="1"/>
  <c r="E28" i="3"/>
  <c r="E30" i="3" s="1"/>
  <c r="I51" i="2"/>
  <c r="I55" i="2" s="1"/>
  <c r="I56" i="2" s="1"/>
  <c r="I58" i="2" s="1"/>
  <c r="H55" i="2"/>
  <c r="H56" i="2" s="1"/>
  <c r="H58" i="2" s="1"/>
  <c r="E31" i="3" l="1"/>
  <c r="E32" i="3" s="1"/>
</calcChain>
</file>

<file path=xl/sharedStrings.xml><?xml version="1.0" encoding="utf-8"?>
<sst xmlns="http://schemas.openxmlformats.org/spreadsheetml/2006/main" count="93" uniqueCount="79">
  <si>
    <t>Anexo 3 Comparación Utilidades Operacionales</t>
  </si>
  <si>
    <t>Empresa</t>
  </si>
  <si>
    <t>% Utilidad Operacional</t>
  </si>
  <si>
    <t>ADELCA</t>
  </si>
  <si>
    <t>Novacero</t>
  </si>
  <si>
    <t>ANDEC</t>
  </si>
  <si>
    <t>Fuente: Superintendencia de Compañías</t>
  </si>
  <si>
    <t>ESTADO DE SITUACIÓN PROYECTADO</t>
  </si>
  <si>
    <t>DETALLE CUENTA</t>
  </si>
  <si>
    <t>ACTIVOS</t>
  </si>
  <si>
    <t>CORRIENTES</t>
  </si>
  <si>
    <t>Caja / Bancos/ Inversiones</t>
  </si>
  <si>
    <t>Cuentas  por cobrar comerciales y otras ctas por cobrar</t>
  </si>
  <si>
    <t>Inventarios</t>
  </si>
  <si>
    <t>Activos por impuestos corrientes</t>
  </si>
  <si>
    <t xml:space="preserve">Otros activos </t>
  </si>
  <si>
    <t>NO CORRIENTES</t>
  </si>
  <si>
    <t>TANGIBLES</t>
  </si>
  <si>
    <t>TERRENO</t>
  </si>
  <si>
    <t>EDIFICIOS</t>
  </si>
  <si>
    <t>MAQUINARIA Y EQUIPO</t>
  </si>
  <si>
    <t>CONSTRUCCIONES E INSTALACIONES</t>
  </si>
  <si>
    <t>VEHÍCULO</t>
  </si>
  <si>
    <t>EQUIPO DE COMPUTACIÓN</t>
  </si>
  <si>
    <t>MUEBLES Y ENSERES</t>
  </si>
  <si>
    <t>PROPIEDADES EN CONSTRUCCIÓN</t>
  </si>
  <si>
    <t>IMPORTACION EN TRANSITO</t>
  </si>
  <si>
    <t>(-)DEP ACUMULADA</t>
  </si>
  <si>
    <t>OTROS ACTIVOS NO CORRIENTES</t>
  </si>
  <si>
    <t>Activos por impuestos no corrientes</t>
  </si>
  <si>
    <t>Activos intangibles</t>
  </si>
  <si>
    <t>Otros activos</t>
  </si>
  <si>
    <t>TOTAL ACTIVOS</t>
  </si>
  <si>
    <t>PASIVOS</t>
  </si>
  <si>
    <t>Pasivo Corriente</t>
  </si>
  <si>
    <t>Préstamos</t>
  </si>
  <si>
    <t>Cuentas por pagar comerc</t>
  </si>
  <si>
    <t>Pasivos por impuestos corrientes</t>
  </si>
  <si>
    <t>15% Participación Trabajadores por pagar</t>
  </si>
  <si>
    <t>25% Impuesto a la Renta por pagar</t>
  </si>
  <si>
    <t>Obligaciones acumuladas</t>
  </si>
  <si>
    <t>PASIVO NO CORRIENTE</t>
  </si>
  <si>
    <t>Amortización del Préstamo</t>
  </si>
  <si>
    <t>Obligación por beneficios definido</t>
  </si>
  <si>
    <t>Otros pasivos financieros</t>
  </si>
  <si>
    <t>TOTAL PASIVOS</t>
  </si>
  <si>
    <t>PATRIMONIO</t>
  </si>
  <si>
    <t>Capital Social</t>
  </si>
  <si>
    <t xml:space="preserve">Reserval Legal </t>
  </si>
  <si>
    <t>Utilidad Acumulada</t>
  </si>
  <si>
    <t>Utilidad Neta</t>
  </si>
  <si>
    <t>TOTAL PATRIMONIO</t>
  </si>
  <si>
    <t>TOTAL PASIVO + PATRIMONIO</t>
  </si>
  <si>
    <t>CONTROL</t>
  </si>
  <si>
    <t>DETALLE</t>
  </si>
  <si>
    <t>(=)</t>
  </si>
  <si>
    <t>Ingresos por Ventas</t>
  </si>
  <si>
    <t>(+)</t>
  </si>
  <si>
    <t>(-)</t>
  </si>
  <si>
    <t>Costos de Ventas</t>
  </si>
  <si>
    <t>UTILIDAD BRUTA EN VENTAS</t>
  </si>
  <si>
    <t>GASTOS OPERACIONALES</t>
  </si>
  <si>
    <t>Gastos Administrativos</t>
  </si>
  <si>
    <t>Gastos de Ventas</t>
  </si>
  <si>
    <t>UTILIDAD OPERACIONAL</t>
  </si>
  <si>
    <t>Gasto Financiero (BID)</t>
  </si>
  <si>
    <t>Gasto Financiero (VARIOS BANCOS)</t>
  </si>
  <si>
    <t>Ingreso por Inversiones</t>
  </si>
  <si>
    <t>Otros gastos netos</t>
  </si>
  <si>
    <t>-</t>
  </si>
  <si>
    <t>UTILIDAD ANTES PARTIC. TRAB.</t>
  </si>
  <si>
    <t>15% Partic. Trabajadores</t>
  </si>
  <si>
    <t>UTILIDAD ANTES IMPUESTO RENTA</t>
  </si>
  <si>
    <t>25% Impuesto a la Renta</t>
  </si>
  <si>
    <t>UTILIDAD NETA</t>
  </si>
  <si>
    <t>Reserva Legal</t>
  </si>
  <si>
    <t>Anexo 2 Estado de Resultados Proyectado</t>
  </si>
  <si>
    <t>ESTADO DE RESULTADO PROYECTADO</t>
  </si>
  <si>
    <t>Anexo 1 Estado de Situación Proyectado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</si>
</sst>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_ &quot;$&quot;\ * #,##0_ ;_ &quot;$&quot;\ * \-#,##0_ ;_ &quot;$&quot;\ * &quot;-&quot;??_ ;_ @_ "/>
    <numFmt numFmtId="167" formatCode="_ &quot;$&quot;\ * #,##0.00_ ;_ &quot;$&quot;\ * \-#,##0.00_ ;_ &quot;$&quot;\ * &quot;-&quot;??_ ;_ @_ "/>
    <numFmt numFmtId="168" formatCode="_(&quot;$&quot;\ * #,##0_);_(&quot;$&quot;\ * \(#,##0\);_(&quot;$&quot;\ 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8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i/>
      <sz val="8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/>
    <xf numFmtId="9" fontId="4" fillId="2" borderId="1" xfId="0" applyNumberFormat="1" applyFont="1" applyFill="1" applyBorder="1"/>
    <xf numFmtId="0" fontId="6" fillId="0" borderId="1" xfId="0" applyFont="1" applyBorder="1"/>
    <xf numFmtId="9" fontId="4" fillId="0" borderId="1" xfId="0" applyNumberFormat="1" applyFont="1" applyBorder="1"/>
    <xf numFmtId="0" fontId="7" fillId="0" borderId="2" xfId="0" applyFont="1" applyBorder="1" applyAlignment="1">
      <alignment horizontal="center" wrapText="1"/>
    </xf>
    <xf numFmtId="0" fontId="8" fillId="0" borderId="0" xfId="0" applyFont="1"/>
    <xf numFmtId="0" fontId="7" fillId="3" borderId="3" xfId="0" applyFont="1" applyFill="1" applyBorder="1" applyAlignment="1">
      <alignment horizontal="center" vertical="center" wrapText="1"/>
    </xf>
    <xf numFmtId="0" fontId="7" fillId="3" borderId="4" xfId="2" applyNumberFormat="1" applyFont="1" applyFill="1" applyBorder="1" applyAlignment="1">
      <alignment horizontal="center" vertical="center"/>
    </xf>
    <xf numFmtId="0" fontId="7" fillId="3" borderId="5" xfId="2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wrapText="1"/>
    </xf>
    <xf numFmtId="0" fontId="9" fillId="0" borderId="1" xfId="2" applyNumberFormat="1" applyFont="1" applyBorder="1"/>
    <xf numFmtId="0" fontId="9" fillId="0" borderId="7" xfId="2" applyNumberFormat="1" applyFont="1" applyBorder="1"/>
    <xf numFmtId="0" fontId="7" fillId="0" borderId="6" xfId="0" applyFont="1" applyBorder="1" applyAlignment="1">
      <alignment wrapText="1"/>
    </xf>
    <xf numFmtId="165" fontId="7" fillId="0" borderId="1" xfId="2" applyNumberFormat="1" applyFont="1" applyBorder="1"/>
    <xf numFmtId="0" fontId="9" fillId="0" borderId="6" xfId="0" applyFont="1" applyBorder="1" applyAlignment="1">
      <alignment wrapText="1"/>
    </xf>
    <xf numFmtId="165" fontId="9" fillId="0" borderId="1" xfId="2" applyNumberFormat="1" applyFont="1" applyBorder="1"/>
    <xf numFmtId="165" fontId="9" fillId="0" borderId="1" xfId="2" applyNumberFormat="1" applyFont="1" applyBorder="1" applyAlignment="1">
      <alignment horizontal="left"/>
    </xf>
    <xf numFmtId="165" fontId="9" fillId="0" borderId="7" xfId="2" applyNumberFormat="1" applyFont="1" applyBorder="1"/>
    <xf numFmtId="0" fontId="10" fillId="0" borderId="6" xfId="0" applyFont="1" applyBorder="1" applyAlignment="1">
      <alignment wrapText="1"/>
    </xf>
    <xf numFmtId="165" fontId="7" fillId="0" borderId="7" xfId="2" applyNumberFormat="1" applyFont="1" applyBorder="1"/>
    <xf numFmtId="164" fontId="9" fillId="0" borderId="6" xfId="2" applyFont="1" applyBorder="1" applyAlignment="1">
      <alignment wrapText="1"/>
    </xf>
    <xf numFmtId="164" fontId="8" fillId="0" borderId="0" xfId="2" applyFont="1"/>
    <xf numFmtId="43" fontId="8" fillId="0" borderId="0" xfId="0" applyNumberFormat="1" applyFont="1"/>
    <xf numFmtId="0" fontId="7" fillId="3" borderId="3" xfId="0" applyFont="1" applyFill="1" applyBorder="1" applyAlignment="1">
      <alignment vertical="center" wrapText="1"/>
    </xf>
    <xf numFmtId="165" fontId="7" fillId="3" borderId="4" xfId="2" applyNumberFormat="1" applyFont="1" applyFill="1" applyBorder="1" applyAlignment="1">
      <alignment vertical="center"/>
    </xf>
    <xf numFmtId="0" fontId="7" fillId="0" borderId="0" xfId="0" applyFont="1" applyAlignment="1">
      <alignment wrapText="1"/>
    </xf>
    <xf numFmtId="164" fontId="9" fillId="0" borderId="0" xfId="2" applyFont="1"/>
    <xf numFmtId="0" fontId="9" fillId="0" borderId="0" xfId="0" applyFont="1" applyAlignment="1">
      <alignment wrapText="1"/>
    </xf>
    <xf numFmtId="0" fontId="2" fillId="4" borderId="0" xfId="0" applyFont="1" applyFill="1" applyBorder="1" applyAlignment="1">
      <alignment wrapText="1"/>
    </xf>
    <xf numFmtId="0" fontId="0" fillId="4" borderId="0" xfId="0" applyFill="1"/>
    <xf numFmtId="0" fontId="9" fillId="4" borderId="0" xfId="0" applyFont="1" applyFill="1"/>
    <xf numFmtId="0" fontId="7" fillId="3" borderId="4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wrapText="1"/>
    </xf>
    <xf numFmtId="166" fontId="7" fillId="4" borderId="1" xfId="0" applyNumberFormat="1" applyFont="1" applyFill="1" applyBorder="1"/>
    <xf numFmtId="0" fontId="9" fillId="4" borderId="6" xfId="0" applyFont="1" applyFill="1" applyBorder="1" applyAlignment="1">
      <alignment wrapText="1"/>
    </xf>
    <xf numFmtId="166" fontId="9" fillId="4" borderId="1" xfId="3" applyNumberFormat="1" applyFont="1" applyFill="1" applyBorder="1"/>
    <xf numFmtId="0" fontId="7" fillId="4" borderId="0" xfId="0" applyFont="1" applyFill="1"/>
    <xf numFmtId="0" fontId="7" fillId="3" borderId="11" xfId="0" applyFont="1" applyFill="1" applyBorder="1" applyAlignment="1">
      <alignment wrapText="1"/>
    </xf>
    <xf numFmtId="168" fontId="7" fillId="3" borderId="12" xfId="0" applyNumberFormat="1" applyFont="1" applyFill="1" applyBorder="1"/>
    <xf numFmtId="0" fontId="9" fillId="4" borderId="13" xfId="0" applyFont="1" applyFill="1" applyBorder="1" applyAlignment="1">
      <alignment wrapText="1"/>
    </xf>
    <xf numFmtId="168" fontId="9" fillId="4" borderId="14" xfId="1" applyNumberFormat="1" applyFont="1" applyFill="1" applyBorder="1"/>
    <xf numFmtId="0" fontId="7" fillId="4" borderId="3" xfId="0" applyFont="1" applyFill="1" applyBorder="1" applyAlignment="1">
      <alignment wrapText="1"/>
    </xf>
    <xf numFmtId="168" fontId="7" fillId="4" borderId="4" xfId="0" applyNumberFormat="1" applyFont="1" applyFill="1" applyBorder="1"/>
    <xf numFmtId="0" fontId="7" fillId="4" borderId="15" xfId="0" applyFont="1" applyFill="1" applyBorder="1" applyAlignment="1">
      <alignment wrapText="1"/>
    </xf>
    <xf numFmtId="168" fontId="7" fillId="4" borderId="16" xfId="3" applyNumberFormat="1" applyFont="1" applyFill="1" applyBorder="1"/>
    <xf numFmtId="0" fontId="7" fillId="4" borderId="17" xfId="0" applyFont="1" applyFill="1" applyBorder="1" applyAlignment="1">
      <alignment wrapText="1"/>
    </xf>
    <xf numFmtId="168" fontId="7" fillId="4" borderId="18" xfId="3" applyNumberFormat="1" applyFont="1" applyFill="1" applyBorder="1"/>
    <xf numFmtId="0" fontId="9" fillId="4" borderId="19" xfId="0" applyFont="1" applyFill="1" applyBorder="1" applyAlignment="1">
      <alignment wrapText="1"/>
    </xf>
    <xf numFmtId="168" fontId="9" fillId="4" borderId="20" xfId="0" applyNumberFormat="1" applyFont="1" applyFill="1" applyBorder="1"/>
    <xf numFmtId="168" fontId="9" fillId="4" borderId="21" xfId="0" applyNumberFormat="1" applyFont="1" applyFill="1" applyBorder="1"/>
    <xf numFmtId="0" fontId="7" fillId="3" borderId="3" xfId="0" applyFont="1" applyFill="1" applyBorder="1" applyAlignment="1">
      <alignment wrapText="1"/>
    </xf>
    <xf numFmtId="168" fontId="7" fillId="3" borderId="4" xfId="0" applyNumberFormat="1" applyFont="1" applyFill="1" applyBorder="1"/>
    <xf numFmtId="166" fontId="9" fillId="4" borderId="20" xfId="3" applyNumberFormat="1" applyFont="1" applyFill="1" applyBorder="1"/>
    <xf numFmtId="168" fontId="7" fillId="3" borderId="5" xfId="0" applyNumberFormat="1" applyFont="1" applyFill="1" applyBorder="1"/>
    <xf numFmtId="0" fontId="7" fillId="4" borderId="0" xfId="0" applyFont="1" applyFill="1" applyAlignment="1">
      <alignment vertical="center"/>
    </xf>
    <xf numFmtId="168" fontId="7" fillId="3" borderId="4" xfId="0" applyNumberFormat="1" applyFont="1" applyFill="1" applyBorder="1" applyAlignment="1">
      <alignment vertical="center"/>
    </xf>
    <xf numFmtId="168" fontId="7" fillId="3" borderId="5" xfId="0" applyNumberFormat="1" applyFont="1" applyFill="1" applyBorder="1" applyAlignment="1">
      <alignment vertical="center"/>
    </xf>
    <xf numFmtId="0" fontId="0" fillId="4" borderId="0" xfId="0" applyFill="1" applyAlignment="1">
      <alignment vertical="center"/>
    </xf>
    <xf numFmtId="166" fontId="7" fillId="3" borderId="4" xfId="0" applyNumberFormat="1" applyFont="1" applyFill="1" applyBorder="1" applyAlignment="1">
      <alignment vertical="center"/>
    </xf>
    <xf numFmtId="0" fontId="0" fillId="4" borderId="0" xfId="0" applyFill="1" applyAlignment="1">
      <alignment wrapText="1"/>
    </xf>
    <xf numFmtId="0" fontId="9" fillId="4" borderId="8" xfId="0" applyFont="1" applyFill="1" applyBorder="1" applyAlignment="1">
      <alignment wrapText="1"/>
    </xf>
    <xf numFmtId="0" fontId="9" fillId="4" borderId="9" xfId="0" applyFont="1" applyFill="1" applyBorder="1" applyAlignment="1">
      <alignment wrapText="1"/>
    </xf>
    <xf numFmtId="0" fontId="9" fillId="4" borderId="10" xfId="0" applyFont="1" applyFill="1" applyBorder="1" applyAlignment="1">
      <alignment wrapText="1"/>
    </xf>
    <xf numFmtId="0" fontId="7" fillId="3" borderId="5" xfId="0" applyFont="1" applyFill="1" applyBorder="1" applyAlignment="1">
      <alignment horizontal="center" vertical="center"/>
    </xf>
    <xf numFmtId="166" fontId="7" fillId="4" borderId="7" xfId="0" applyNumberFormat="1" applyFont="1" applyFill="1" applyBorder="1"/>
    <xf numFmtId="166" fontId="9" fillId="4" borderId="7" xfId="3" applyNumberFormat="1" applyFont="1" applyFill="1" applyBorder="1"/>
    <xf numFmtId="168" fontId="7" fillId="3" borderId="22" xfId="0" applyNumberFormat="1" applyFont="1" applyFill="1" applyBorder="1"/>
    <xf numFmtId="168" fontId="9" fillId="4" borderId="23" xfId="1" applyNumberFormat="1" applyFont="1" applyFill="1" applyBorder="1"/>
    <xf numFmtId="168" fontId="7" fillId="4" borderId="5" xfId="0" applyNumberFormat="1" applyFont="1" applyFill="1" applyBorder="1"/>
    <xf numFmtId="168" fontId="7" fillId="4" borderId="24" xfId="3" applyNumberFormat="1" applyFont="1" applyFill="1" applyBorder="1"/>
    <xf numFmtId="168" fontId="7" fillId="4" borderId="25" xfId="3" applyNumberFormat="1" applyFont="1" applyFill="1" applyBorder="1"/>
    <xf numFmtId="166" fontId="9" fillId="4" borderId="21" xfId="3" applyNumberFormat="1" applyFont="1" applyFill="1" applyBorder="1"/>
    <xf numFmtId="166" fontId="7" fillId="3" borderId="5" xfId="0" applyNumberFormat="1" applyFont="1" applyFill="1" applyBorder="1" applyAlignment="1">
      <alignment vertical="center"/>
    </xf>
    <xf numFmtId="0" fontId="11" fillId="4" borderId="2" xfId="0" applyFont="1" applyFill="1" applyBorder="1" applyAlignment="1">
      <alignment horizontal="center" wrapText="1"/>
    </xf>
    <xf numFmtId="165" fontId="9" fillId="0" borderId="7" xfId="2" applyNumberFormat="1" applyFont="1" applyBorder="1" applyAlignment="1">
      <alignment horizontal="left"/>
    </xf>
    <xf numFmtId="165" fontId="7" fillId="3" borderId="5" xfId="2" applyNumberFormat="1" applyFont="1" applyFill="1" applyBorder="1" applyAlignment="1">
      <alignment vertical="center"/>
    </xf>
  </cellXfs>
  <cellStyles count="4">
    <cellStyle name="Millares 2" xfId="2"/>
    <cellStyle name="Moneda 2" xf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NANCIERO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"/>
      <sheetName val="ER"/>
      <sheetName val="Hoja1"/>
      <sheetName val="BG"/>
      <sheetName val="FIN 2"/>
      <sheetName val="BID"/>
      <sheetName val="SUPUESTOS"/>
      <sheetName val="VAN y TIR"/>
      <sheetName val="DEP"/>
      <sheetName val="AMOR"/>
      <sheetName val="SUELDOS"/>
      <sheetName val="FOB"/>
      <sheetName val="SUM OFI"/>
      <sheetName val="SERV. BÁS."/>
      <sheetName val="VENTPRESP"/>
      <sheetName val="VTAS"/>
      <sheetName val="PRI y RB C"/>
      <sheetName val="CYG"/>
      <sheetName val="PE"/>
      <sheetName val="ESC"/>
      <sheetName val="FC"/>
      <sheetName val="IF"/>
      <sheetName val="Sheet3"/>
    </sheetNames>
    <sheetDataSet>
      <sheetData sheetId="0"/>
      <sheetData sheetId="1">
        <row r="23">
          <cell r="E23">
            <v>3634231.4373951093</v>
          </cell>
          <cell r="F23">
            <v>4225650.3708119299</v>
          </cell>
          <cell r="G23">
            <v>4991167.5247760816</v>
          </cell>
          <cell r="H23">
            <v>6063565.3063969351</v>
          </cell>
          <cell r="I23">
            <v>7492296.2553383159</v>
          </cell>
          <cell r="J23">
            <v>8621002.2769669052</v>
          </cell>
        </row>
        <row r="30">
          <cell r="E30">
            <v>1544548.3608929215</v>
          </cell>
          <cell r="F30">
            <v>1795901.4075950705</v>
          </cell>
          <cell r="G30">
            <v>2121246.1980298348</v>
          </cell>
          <cell r="H30">
            <v>2577015.2552186977</v>
          </cell>
          <cell r="I30">
            <v>3184225.9085187847</v>
          </cell>
        </row>
        <row r="31">
          <cell r="E31">
            <v>13900935.248036291</v>
          </cell>
          <cell r="F31">
            <v>16163112.668355634</v>
          </cell>
          <cell r="G31">
            <v>19091215.782268513</v>
          </cell>
          <cell r="H31">
            <v>23193137.296968281</v>
          </cell>
          <cell r="I31">
            <v>28658033.176669061</v>
          </cell>
          <cell r="J31">
            <v>32975333.709398419</v>
          </cell>
        </row>
      </sheetData>
      <sheetData sheetId="2"/>
      <sheetData sheetId="3"/>
      <sheetData sheetId="4">
        <row r="20">
          <cell r="M20">
            <v>4711909.0866924385</v>
          </cell>
        </row>
      </sheetData>
      <sheetData sheetId="5">
        <row r="5">
          <cell r="D5">
            <v>72500000</v>
          </cell>
        </row>
        <row r="20">
          <cell r="M20">
            <v>5815484.2933164705</v>
          </cell>
          <cell r="N20">
            <v>5383636.6320152553</v>
          </cell>
          <cell r="O20">
            <v>4917800.8211432658</v>
          </cell>
          <cell r="P20">
            <v>4415301.8564923843</v>
          </cell>
          <cell r="Q20">
            <v>3873254.2002537036</v>
          </cell>
          <cell r="R20">
            <v>3288545.2111755288</v>
          </cell>
        </row>
        <row r="27">
          <cell r="D27">
            <v>79000000</v>
          </cell>
        </row>
      </sheetData>
      <sheetData sheetId="6"/>
      <sheetData sheetId="7"/>
      <sheetData sheetId="8">
        <row r="13">
          <cell r="F13">
            <v>12785024</v>
          </cell>
        </row>
        <row r="22">
          <cell r="G22">
            <v>7973798.7999999998</v>
          </cell>
          <cell r="H22">
            <v>10473798.800000001</v>
          </cell>
          <cell r="I22">
            <v>12973798.800000001</v>
          </cell>
          <cell r="J22">
            <v>15473798.800000001</v>
          </cell>
          <cell r="K22">
            <v>17973798.800000001</v>
          </cell>
        </row>
      </sheetData>
      <sheetData sheetId="9"/>
      <sheetData sheetId="10"/>
      <sheetData sheetId="11"/>
      <sheetData sheetId="12"/>
      <sheetData sheetId="13"/>
      <sheetData sheetId="14">
        <row r="9">
          <cell r="C9" t="str">
            <v>TOTAL INGRESOS POR VENTA</v>
          </cell>
        </row>
        <row r="22">
          <cell r="E22">
            <v>299467016</v>
          </cell>
          <cell r="F22">
            <v>330338767.84800005</v>
          </cell>
          <cell r="G22">
            <v>351064222.543944</v>
          </cell>
          <cell r="H22">
            <v>376529385.71377307</v>
          </cell>
          <cell r="I22">
            <v>407492361.6644156</v>
          </cell>
          <cell r="J22">
            <v>433688776.35196555</v>
          </cell>
        </row>
      </sheetData>
      <sheetData sheetId="15"/>
      <sheetData sheetId="16"/>
      <sheetData sheetId="17">
        <row r="43">
          <cell r="D43">
            <v>232194674.03735703</v>
          </cell>
          <cell r="E43">
            <v>258311131.9758459</v>
          </cell>
          <cell r="F43">
            <v>273108234.77333915</v>
          </cell>
          <cell r="G43">
            <v>290587627.99778271</v>
          </cell>
          <cell r="H43">
            <v>311178726.67881846</v>
          </cell>
          <cell r="I43">
            <v>328994023.7332738</v>
          </cell>
        </row>
        <row r="63">
          <cell r="D63">
            <v>14440420</v>
          </cell>
          <cell r="E63">
            <v>14887175.573999999</v>
          </cell>
          <cell r="F63">
            <v>15349992.1922845</v>
          </cell>
          <cell r="G63">
            <v>15829469.513235457</v>
          </cell>
          <cell r="H63">
            <v>16326230.211051518</v>
          </cell>
          <cell r="I63">
            <v>16840920.876129873</v>
          </cell>
        </row>
        <row r="86">
          <cell r="D86">
            <v>19135919</v>
          </cell>
          <cell r="E86">
            <v>19875797.0165</v>
          </cell>
          <cell r="F86">
            <v>20645640.09266825</v>
          </cell>
          <cell r="G86">
            <v>21446661.813421313</v>
          </cell>
          <cell r="H86">
            <v>22280124.913864881</v>
          </cell>
          <cell r="I86">
            <v>23147343.269876402</v>
          </cell>
        </row>
      </sheetData>
      <sheetData sheetId="18"/>
      <sheetData sheetId="19"/>
      <sheetData sheetId="20">
        <row r="20">
          <cell r="H20">
            <v>25000000</v>
          </cell>
          <cell r="I20">
            <v>25000000</v>
          </cell>
          <cell r="J20">
            <v>25000000</v>
          </cell>
          <cell r="K20">
            <v>25000000</v>
          </cell>
          <cell r="L20">
            <v>25000000</v>
          </cell>
        </row>
        <row r="35">
          <cell r="G35">
            <v>39019382.078159481</v>
          </cell>
          <cell r="H35">
            <v>44848223.852906197</v>
          </cell>
          <cell r="I35">
            <v>56026967.202904217</v>
          </cell>
          <cell r="J35">
            <v>73827758.435376227</v>
          </cell>
          <cell r="K35">
            <v>99729161.772369802</v>
          </cell>
          <cell r="L35">
            <v>132413675.34461714</v>
          </cell>
        </row>
      </sheetData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8"/>
  <sheetViews>
    <sheetView tabSelected="1" zoomScaleNormal="100" workbookViewId="0">
      <selection activeCell="B21" sqref="B21"/>
    </sheetView>
  </sheetViews>
  <sheetFormatPr baseColWidth="10" defaultColWidth="9.140625" defaultRowHeight="15" x14ac:dyDescent="0.25"/>
  <cols>
    <col min="1" max="2" width="9.140625" style="10"/>
    <col min="3" max="3" width="35.42578125" style="32" customWidth="1"/>
    <col min="4" max="4" width="14.140625" style="31" bestFit="1" customWidth="1"/>
    <col min="5" max="9" width="14.7109375" style="31" bestFit="1" customWidth="1"/>
    <col min="10" max="10" width="9.140625" style="10"/>
    <col min="11" max="11" width="14" style="10" bestFit="1" customWidth="1"/>
    <col min="12" max="12" width="11" style="10" bestFit="1" customWidth="1"/>
    <col min="13" max="16384" width="9.140625" style="10"/>
  </cols>
  <sheetData>
    <row r="1" spans="2:9" s="2" customFormat="1" ht="15.75" x14ac:dyDescent="0.25">
      <c r="B1" s="1" t="s">
        <v>78</v>
      </c>
    </row>
    <row r="3" spans="2:9" ht="15.75" thickBot="1" x14ac:dyDescent="0.3">
      <c r="C3" s="9" t="s">
        <v>7</v>
      </c>
      <c r="D3" s="9"/>
      <c r="E3" s="9"/>
      <c r="F3" s="9"/>
      <c r="G3" s="9"/>
      <c r="H3" s="9"/>
      <c r="I3" s="9"/>
    </row>
    <row r="4" spans="2:9" ht="15.75" thickBot="1" x14ac:dyDescent="0.3">
      <c r="C4" s="11" t="s">
        <v>8</v>
      </c>
      <c r="D4" s="12">
        <v>2015</v>
      </c>
      <c r="E4" s="12">
        <v>2016</v>
      </c>
      <c r="F4" s="12">
        <v>2017</v>
      </c>
      <c r="G4" s="12">
        <v>2018</v>
      </c>
      <c r="H4" s="12">
        <v>2019</v>
      </c>
      <c r="I4" s="13">
        <v>2020</v>
      </c>
    </row>
    <row r="5" spans="2:9" x14ac:dyDescent="0.25">
      <c r="C5" s="14" t="s">
        <v>9</v>
      </c>
      <c r="D5" s="15"/>
      <c r="E5" s="15"/>
      <c r="F5" s="15"/>
      <c r="G5" s="15"/>
      <c r="H5" s="15"/>
      <c r="I5" s="16"/>
    </row>
    <row r="6" spans="2:9" x14ac:dyDescent="0.25">
      <c r="C6" s="17" t="s">
        <v>10</v>
      </c>
      <c r="D6" s="18">
        <f>+SUM(D7:D11)</f>
        <v>181516702.38815948</v>
      </c>
      <c r="E6" s="18">
        <f t="shared" ref="E6:I6" si="0">+SUM(E7:E11)</f>
        <v>194039216.70600623</v>
      </c>
      <c r="F6" s="18">
        <f t="shared" si="0"/>
        <v>212245542.00235522</v>
      </c>
      <c r="G6" s="18">
        <f t="shared" si="0"/>
        <v>237424515.85006356</v>
      </c>
      <c r="H6" s="18">
        <f t="shared" si="0"/>
        <v>271072228.26158726</v>
      </c>
      <c r="I6" s="24">
        <f t="shared" si="0"/>
        <v>311889579.40869838</v>
      </c>
    </row>
    <row r="7" spans="2:9" x14ac:dyDescent="0.25">
      <c r="C7" s="19" t="s">
        <v>11</v>
      </c>
      <c r="D7" s="20">
        <f>+[1]FC!G35</f>
        <v>39019382.078159481</v>
      </c>
      <c r="E7" s="20">
        <f>+[1]FC!H35</f>
        <v>44848223.852906197</v>
      </c>
      <c r="F7" s="20">
        <f>+[1]FC!I35</f>
        <v>56026967.202904217</v>
      </c>
      <c r="G7" s="20">
        <f>+[1]FC!J35</f>
        <v>73827758.435376227</v>
      </c>
      <c r="H7" s="21">
        <f>+[1]FC!K35</f>
        <v>99729161.772369802</v>
      </c>
      <c r="I7" s="79">
        <f>+[1]FC!L35</f>
        <v>132413675.34461714</v>
      </c>
    </row>
    <row r="8" spans="2:9" ht="23.25" x14ac:dyDescent="0.25">
      <c r="C8" s="19" t="s">
        <v>12</v>
      </c>
      <c r="D8" s="20">
        <v>38251660</v>
      </c>
      <c r="E8" s="20">
        <f>+D8*1.05</f>
        <v>40164243</v>
      </c>
      <c r="F8" s="20">
        <f t="shared" ref="F8:I9" si="1">+E8*1.05</f>
        <v>42172455.149999999</v>
      </c>
      <c r="G8" s="20">
        <f t="shared" si="1"/>
        <v>44281077.907499999</v>
      </c>
      <c r="H8" s="20">
        <f t="shared" si="1"/>
        <v>46495131.802874997</v>
      </c>
      <c r="I8" s="22">
        <f t="shared" si="1"/>
        <v>48819888.393018752</v>
      </c>
    </row>
    <row r="9" spans="2:9" x14ac:dyDescent="0.25">
      <c r="C9" s="19" t="s">
        <v>13</v>
      </c>
      <c r="D9" s="20">
        <v>95270778</v>
      </c>
      <c r="E9" s="20">
        <f>+D9*1.05</f>
        <v>100034316.90000001</v>
      </c>
      <c r="F9" s="20">
        <f t="shared" si="1"/>
        <v>105036032.745</v>
      </c>
      <c r="G9" s="20">
        <f t="shared" si="1"/>
        <v>110287834.38225001</v>
      </c>
      <c r="H9" s="20">
        <f t="shared" si="1"/>
        <v>115802226.10136251</v>
      </c>
      <c r="I9" s="22">
        <f t="shared" si="1"/>
        <v>121592337.40643065</v>
      </c>
    </row>
    <row r="10" spans="2:9" x14ac:dyDescent="0.25">
      <c r="C10" s="19" t="s">
        <v>14</v>
      </c>
      <c r="D10" s="20">
        <v>8022020</v>
      </c>
      <c r="E10" s="20">
        <f>+D10*1.001</f>
        <v>8030042.0199999996</v>
      </c>
      <c r="F10" s="20">
        <f t="shared" ref="F10:I10" si="2">+E10*1.001</f>
        <v>8038072.0620199982</v>
      </c>
      <c r="G10" s="20">
        <f t="shared" si="2"/>
        <v>8046110.1340820175</v>
      </c>
      <c r="H10" s="20">
        <f t="shared" si="2"/>
        <v>8054156.2442160985</v>
      </c>
      <c r="I10" s="22">
        <f t="shared" si="2"/>
        <v>8062210.400460314</v>
      </c>
    </row>
    <row r="11" spans="2:9" x14ac:dyDescent="0.25">
      <c r="C11" s="19" t="s">
        <v>15</v>
      </c>
      <c r="D11" s="20">
        <f>1139644-186783+1.31</f>
        <v>952862.31</v>
      </c>
      <c r="E11" s="20">
        <f>+D11*1.01</f>
        <v>962390.93310000002</v>
      </c>
      <c r="F11" s="20">
        <f t="shared" ref="F11:I11" si="3">+E11*1.01</f>
        <v>972014.84243100008</v>
      </c>
      <c r="G11" s="20">
        <f t="shared" si="3"/>
        <v>981734.99085531011</v>
      </c>
      <c r="H11" s="20">
        <f t="shared" si="3"/>
        <v>991552.34076386318</v>
      </c>
      <c r="I11" s="22">
        <f t="shared" si="3"/>
        <v>1001467.8641715018</v>
      </c>
    </row>
    <row r="12" spans="2:9" x14ac:dyDescent="0.25">
      <c r="C12" s="19"/>
      <c r="D12" s="20"/>
      <c r="E12" s="20"/>
      <c r="F12" s="20"/>
      <c r="G12" s="20"/>
      <c r="H12" s="21"/>
      <c r="I12" s="79"/>
    </row>
    <row r="13" spans="2:9" x14ac:dyDescent="0.25">
      <c r="C13" s="17" t="s">
        <v>16</v>
      </c>
      <c r="D13" s="20"/>
      <c r="E13" s="20"/>
      <c r="F13" s="20"/>
      <c r="G13" s="20"/>
      <c r="H13" s="20"/>
      <c r="I13" s="22"/>
    </row>
    <row r="14" spans="2:9" x14ac:dyDescent="0.25">
      <c r="C14" s="17"/>
      <c r="D14" s="20"/>
      <c r="E14" s="20"/>
      <c r="F14" s="20"/>
      <c r="G14" s="20"/>
      <c r="H14" s="20"/>
      <c r="I14" s="22"/>
    </row>
    <row r="15" spans="2:9" x14ac:dyDescent="0.25">
      <c r="C15" s="23" t="s">
        <v>17</v>
      </c>
      <c r="D15" s="18">
        <f t="shared" ref="D15:I15" si="4">SUM(D16:D25)</f>
        <v>171933950.82999998</v>
      </c>
      <c r="E15" s="18">
        <f>SUM(E16:E25)</f>
        <v>173139051.22999996</v>
      </c>
      <c r="F15" s="18">
        <f t="shared" si="4"/>
        <v>172451366.99000001</v>
      </c>
      <c r="G15" s="18">
        <f t="shared" si="4"/>
        <v>169749455.03800005</v>
      </c>
      <c r="H15" s="18">
        <f t="shared" si="4"/>
        <v>164936160.91640007</v>
      </c>
      <c r="I15" s="24">
        <f t="shared" si="4"/>
        <v>157933761.05912006</v>
      </c>
    </row>
    <row r="16" spans="2:9" x14ac:dyDescent="0.25">
      <c r="C16" s="19" t="s">
        <v>18</v>
      </c>
      <c r="D16" s="20">
        <v>14854323.4</v>
      </c>
      <c r="E16" s="20">
        <f t="shared" ref="E16:I23" si="5">+D16</f>
        <v>14854323.4</v>
      </c>
      <c r="F16" s="20">
        <f t="shared" si="5"/>
        <v>14854323.4</v>
      </c>
      <c r="G16" s="20">
        <f t="shared" si="5"/>
        <v>14854323.4</v>
      </c>
      <c r="H16" s="20">
        <f t="shared" si="5"/>
        <v>14854323.4</v>
      </c>
      <c r="I16" s="22">
        <f t="shared" si="5"/>
        <v>14854323.4</v>
      </c>
    </row>
    <row r="17" spans="3:9" x14ac:dyDescent="0.25">
      <c r="C17" s="19" t="s">
        <v>19</v>
      </c>
      <c r="D17" s="20">
        <v>30156269.300000001</v>
      </c>
      <c r="E17" s="20">
        <f t="shared" si="5"/>
        <v>30156269.300000001</v>
      </c>
      <c r="F17" s="20">
        <f t="shared" si="5"/>
        <v>30156269.300000001</v>
      </c>
      <c r="G17" s="20">
        <f t="shared" si="5"/>
        <v>30156269.300000001</v>
      </c>
      <c r="H17" s="20">
        <f t="shared" si="5"/>
        <v>30156269.300000001</v>
      </c>
      <c r="I17" s="22">
        <f t="shared" si="5"/>
        <v>30156269.300000001</v>
      </c>
    </row>
    <row r="18" spans="3:9" x14ac:dyDescent="0.25">
      <c r="C18" s="19" t="s">
        <v>20</v>
      </c>
      <c r="D18" s="20">
        <f>67404871</f>
        <v>67404871</v>
      </c>
      <c r="E18" s="20">
        <f>+D18+D23+[1]FC!H20</f>
        <v>147142859</v>
      </c>
      <c r="F18" s="20">
        <f>+E18+[1]FC!I20</f>
        <v>172142859</v>
      </c>
      <c r="G18" s="20">
        <f>+F18+[1]FC!J20</f>
        <v>197142859</v>
      </c>
      <c r="H18" s="20">
        <f>+G18+[1]FC!K20</f>
        <v>222142859</v>
      </c>
      <c r="I18" s="22">
        <f>+H18+[1]FC!L20</f>
        <v>247142859</v>
      </c>
    </row>
    <row r="19" spans="3:9" x14ac:dyDescent="0.25">
      <c r="C19" s="19" t="s">
        <v>21</v>
      </c>
      <c r="D19" s="20">
        <v>31991918</v>
      </c>
      <c r="E19" s="20">
        <f t="shared" si="5"/>
        <v>31991918</v>
      </c>
      <c r="F19" s="20">
        <f t="shared" si="5"/>
        <v>31991918</v>
      </c>
      <c r="G19" s="20">
        <f t="shared" si="5"/>
        <v>31991918</v>
      </c>
      <c r="H19" s="20">
        <f t="shared" si="5"/>
        <v>31991918</v>
      </c>
      <c r="I19" s="22">
        <f t="shared" si="5"/>
        <v>31991918</v>
      </c>
    </row>
    <row r="20" spans="3:9" x14ac:dyDescent="0.25">
      <c r="C20" s="19" t="s">
        <v>22</v>
      </c>
      <c r="D20" s="20">
        <v>19125740.100000001</v>
      </c>
      <c r="E20" s="20">
        <f t="shared" si="5"/>
        <v>19125740.100000001</v>
      </c>
      <c r="F20" s="20">
        <f t="shared" si="5"/>
        <v>19125740.100000001</v>
      </c>
      <c r="G20" s="20">
        <f t="shared" si="5"/>
        <v>19125740.100000001</v>
      </c>
      <c r="H20" s="20">
        <f t="shared" si="5"/>
        <v>19125740.100000001</v>
      </c>
      <c r="I20" s="22">
        <f t="shared" si="5"/>
        <v>19125740.100000001</v>
      </c>
    </row>
    <row r="21" spans="3:9" x14ac:dyDescent="0.25">
      <c r="C21" s="19" t="s">
        <v>23</v>
      </c>
      <c r="D21" s="20">
        <v>1877225.91</v>
      </c>
      <c r="E21" s="20">
        <f t="shared" si="5"/>
        <v>1877225.91</v>
      </c>
      <c r="F21" s="20">
        <f t="shared" si="5"/>
        <v>1877225.91</v>
      </c>
      <c r="G21" s="20">
        <f t="shared" si="5"/>
        <v>1877225.91</v>
      </c>
      <c r="H21" s="20">
        <f t="shared" si="5"/>
        <v>1877225.91</v>
      </c>
      <c r="I21" s="22">
        <f t="shared" si="5"/>
        <v>1877225.91</v>
      </c>
    </row>
    <row r="22" spans="3:9" x14ac:dyDescent="0.25">
      <c r="C22" s="19" t="s">
        <v>24</v>
      </c>
      <c r="D22" s="20">
        <v>712730.92</v>
      </c>
      <c r="E22" s="20">
        <f t="shared" si="5"/>
        <v>712730.92</v>
      </c>
      <c r="F22" s="20">
        <f t="shared" si="5"/>
        <v>712730.92</v>
      </c>
      <c r="G22" s="20">
        <f t="shared" si="5"/>
        <v>712730.92</v>
      </c>
      <c r="H22" s="20">
        <f t="shared" si="5"/>
        <v>712730.92</v>
      </c>
      <c r="I22" s="22">
        <f t="shared" si="5"/>
        <v>712730.92</v>
      </c>
    </row>
    <row r="23" spans="3:9" x14ac:dyDescent="0.25">
      <c r="C23" s="19" t="s">
        <v>25</v>
      </c>
      <c r="D23" s="20">
        <v>54737988</v>
      </c>
      <c r="E23" s="20">
        <v>0</v>
      </c>
      <c r="F23" s="20">
        <f t="shared" si="5"/>
        <v>0</v>
      </c>
      <c r="G23" s="20">
        <f t="shared" si="5"/>
        <v>0</v>
      </c>
      <c r="H23" s="20">
        <f t="shared" si="5"/>
        <v>0</v>
      </c>
      <c r="I23" s="22">
        <f t="shared" si="5"/>
        <v>0</v>
      </c>
    </row>
    <row r="24" spans="3:9" x14ac:dyDescent="0.25">
      <c r="C24" s="19" t="s">
        <v>26</v>
      </c>
      <c r="D24" s="20">
        <v>15180384</v>
      </c>
      <c r="E24" s="20">
        <f>+D24*0.8</f>
        <v>12144307.200000001</v>
      </c>
      <c r="F24" s="20">
        <f t="shared" ref="F24:I24" si="6">+E24*0.8</f>
        <v>9715445.7600000016</v>
      </c>
      <c r="G24" s="20">
        <f t="shared" si="6"/>
        <v>7772356.6080000019</v>
      </c>
      <c r="H24" s="20">
        <f t="shared" si="6"/>
        <v>6217885.2864000015</v>
      </c>
      <c r="I24" s="22">
        <f t="shared" si="6"/>
        <v>4974308.2291200012</v>
      </c>
    </row>
    <row r="25" spans="3:9" s="26" customFormat="1" x14ac:dyDescent="0.25">
      <c r="C25" s="25" t="s">
        <v>27</v>
      </c>
      <c r="D25" s="20">
        <v>-64107499.799999997</v>
      </c>
      <c r="E25" s="20">
        <f>-[1]DEP!G22-[1]DEP!$F$13+D25</f>
        <v>-84866322.599999994</v>
      </c>
      <c r="F25" s="20">
        <f>-[1]DEP!H22-[1]DEP!$F$13+E25</f>
        <v>-108125145.39999999</v>
      </c>
      <c r="G25" s="20">
        <f>-[1]DEP!I22-[1]DEP!$F$13+F25</f>
        <v>-133883968.19999999</v>
      </c>
      <c r="H25" s="20">
        <f>-[1]DEP!J22-[1]DEP!$F$13+G25</f>
        <v>-162142791</v>
      </c>
      <c r="I25" s="22">
        <f>-[1]DEP!K22-[1]DEP!$F$13+H25</f>
        <v>-192901613.80000001</v>
      </c>
    </row>
    <row r="26" spans="3:9" x14ac:dyDescent="0.25">
      <c r="C26" s="19"/>
      <c r="D26" s="20"/>
      <c r="E26" s="20"/>
      <c r="F26" s="20"/>
      <c r="G26" s="20"/>
      <c r="H26" s="20"/>
      <c r="I26" s="22"/>
    </row>
    <row r="27" spans="3:9" x14ac:dyDescent="0.25">
      <c r="C27" s="17" t="s">
        <v>28</v>
      </c>
      <c r="D27" s="20">
        <f>+SUM(D28:D30)</f>
        <v>3805837</v>
      </c>
      <c r="E27" s="20">
        <f t="shared" ref="E27:I27" si="7">+SUM(E28:E30)</f>
        <v>2912514</v>
      </c>
      <c r="F27" s="20">
        <f t="shared" si="7"/>
        <v>2912514</v>
      </c>
      <c r="G27" s="20">
        <f t="shared" si="7"/>
        <v>2912514</v>
      </c>
      <c r="H27" s="20">
        <f t="shared" si="7"/>
        <v>2912514</v>
      </c>
      <c r="I27" s="22">
        <f t="shared" si="7"/>
        <v>2912514</v>
      </c>
    </row>
    <row r="28" spans="3:9" x14ac:dyDescent="0.25">
      <c r="C28" s="19" t="s">
        <v>29</v>
      </c>
      <c r="D28" s="20">
        <v>2008086</v>
      </c>
      <c r="E28" s="20">
        <f>+D28</f>
        <v>2008086</v>
      </c>
      <c r="F28" s="20">
        <f t="shared" ref="F28:I28" si="8">+E28</f>
        <v>2008086</v>
      </c>
      <c r="G28" s="20">
        <f t="shared" si="8"/>
        <v>2008086</v>
      </c>
      <c r="H28" s="20">
        <f t="shared" si="8"/>
        <v>2008086</v>
      </c>
      <c r="I28" s="22">
        <f t="shared" si="8"/>
        <v>2008086</v>
      </c>
    </row>
    <row r="29" spans="3:9" x14ac:dyDescent="0.25">
      <c r="C29" s="19" t="s">
        <v>30</v>
      </c>
      <c r="D29" s="20">
        <v>893323</v>
      </c>
      <c r="E29" s="20">
        <v>0</v>
      </c>
      <c r="F29" s="20">
        <v>0</v>
      </c>
      <c r="G29" s="20">
        <v>0</v>
      </c>
      <c r="H29" s="20">
        <v>0</v>
      </c>
      <c r="I29" s="22">
        <v>0</v>
      </c>
    </row>
    <row r="30" spans="3:9" x14ac:dyDescent="0.25">
      <c r="C30" s="19" t="s">
        <v>31</v>
      </c>
      <c r="D30" s="20">
        <v>904428</v>
      </c>
      <c r="E30" s="20">
        <v>904428</v>
      </c>
      <c r="F30" s="20">
        <v>904428</v>
      </c>
      <c r="G30" s="20">
        <v>904428</v>
      </c>
      <c r="H30" s="20">
        <v>904428</v>
      </c>
      <c r="I30" s="22">
        <v>904428</v>
      </c>
    </row>
    <row r="31" spans="3:9" x14ac:dyDescent="0.25">
      <c r="C31" s="19"/>
      <c r="D31" s="20"/>
      <c r="E31" s="20"/>
      <c r="F31" s="20"/>
      <c r="G31" s="20"/>
      <c r="H31" s="20"/>
      <c r="I31" s="22"/>
    </row>
    <row r="32" spans="3:9" x14ac:dyDescent="0.25">
      <c r="C32" s="17" t="s">
        <v>32</v>
      </c>
      <c r="D32" s="18">
        <f t="shared" ref="D32:I32" si="9">+D27+D15+D6</f>
        <v>357256490.21815944</v>
      </c>
      <c r="E32" s="18">
        <f t="shared" si="9"/>
        <v>370090781.93600619</v>
      </c>
      <c r="F32" s="18">
        <f t="shared" si="9"/>
        <v>387609422.99235523</v>
      </c>
      <c r="G32" s="18">
        <f t="shared" si="9"/>
        <v>410086484.88806361</v>
      </c>
      <c r="H32" s="18">
        <f t="shared" si="9"/>
        <v>438920903.17798734</v>
      </c>
      <c r="I32" s="24">
        <f t="shared" si="9"/>
        <v>472735854.46781844</v>
      </c>
    </row>
    <row r="33" spans="3:9" x14ac:dyDescent="0.25">
      <c r="C33" s="14" t="s">
        <v>33</v>
      </c>
      <c r="D33" s="20"/>
      <c r="E33" s="20"/>
      <c r="F33" s="20"/>
      <c r="G33" s="20"/>
      <c r="H33" s="20"/>
      <c r="I33" s="22"/>
    </row>
    <row r="34" spans="3:9" x14ac:dyDescent="0.25">
      <c r="C34" s="14" t="s">
        <v>34</v>
      </c>
      <c r="D34" s="20">
        <f>+SUM(D35:D40)</f>
        <v>101651159.57000001</v>
      </c>
      <c r="E34" s="20">
        <f t="shared" ref="E34:I34" si="10">+SUM(E35:E40)</f>
        <v>102768439.45425992</v>
      </c>
      <c r="F34" s="20">
        <f t="shared" si="10"/>
        <v>105866027.29428011</v>
      </c>
      <c r="G34" s="20">
        <f t="shared" si="10"/>
        <v>110007046.89241384</v>
      </c>
      <c r="H34" s="20">
        <f t="shared" si="10"/>
        <v>115136743.89521296</v>
      </c>
      <c r="I34" s="22">
        <f t="shared" si="10"/>
        <v>120917223.90553762</v>
      </c>
    </row>
    <row r="35" spans="3:9" x14ac:dyDescent="0.25">
      <c r="C35" s="19" t="s">
        <v>35</v>
      </c>
      <c r="D35" s="20">
        <v>71537184.260000005</v>
      </c>
      <c r="E35" s="20">
        <v>72390729.745233834</v>
      </c>
      <c r="F35" s="20">
        <v>75001332.285521984</v>
      </c>
      <c r="G35" s="20">
        <v>78306706.178132176</v>
      </c>
      <c r="H35" s="20">
        <v>82208911.49667263</v>
      </c>
      <c r="I35" s="22">
        <v>87031738.860349</v>
      </c>
    </row>
    <row r="36" spans="3:9" x14ac:dyDescent="0.25">
      <c r="C36" s="19" t="s">
        <v>36</v>
      </c>
      <c r="D36" s="20">
        <v>23588489.309999999</v>
      </c>
      <c r="E36" s="20">
        <f>+D36</f>
        <v>23588489.309999999</v>
      </c>
      <c r="F36" s="20">
        <f t="shared" ref="F36:I37" si="11">+E36</f>
        <v>23588489.309999999</v>
      </c>
      <c r="G36" s="20">
        <f t="shared" si="11"/>
        <v>23588489.309999999</v>
      </c>
      <c r="H36" s="20">
        <f t="shared" si="11"/>
        <v>23588489.309999999</v>
      </c>
      <c r="I36" s="22">
        <f t="shared" si="11"/>
        <v>23588489.309999999</v>
      </c>
    </row>
    <row r="37" spans="3:9" x14ac:dyDescent="0.25">
      <c r="C37" s="19" t="s">
        <v>37</v>
      </c>
      <c r="D37" s="20">
        <v>706691</v>
      </c>
      <c r="E37" s="20">
        <f>+D37</f>
        <v>706691</v>
      </c>
      <c r="F37" s="20">
        <f t="shared" si="11"/>
        <v>706691</v>
      </c>
      <c r="G37" s="20">
        <f t="shared" si="11"/>
        <v>706691</v>
      </c>
      <c r="H37" s="20">
        <f t="shared" si="11"/>
        <v>706691</v>
      </c>
      <c r="I37" s="22">
        <f t="shared" si="11"/>
        <v>706691</v>
      </c>
    </row>
    <row r="38" spans="3:9" x14ac:dyDescent="0.25">
      <c r="C38" s="19" t="s">
        <v>38</v>
      </c>
      <c r="D38" s="20">
        <f>+[1]ER!E23</f>
        <v>3634231.4373951093</v>
      </c>
      <c r="E38" s="20">
        <f>+[1]ER!F23</f>
        <v>4225650.3708119299</v>
      </c>
      <c r="F38" s="20">
        <f>+[1]ER!G23</f>
        <v>4991167.5247760816</v>
      </c>
      <c r="G38" s="20">
        <f>+[1]ER!H23</f>
        <v>6063565.3063969351</v>
      </c>
      <c r="H38" s="20">
        <f>+[1]ER!I23</f>
        <v>7492296.2553383159</v>
      </c>
      <c r="I38" s="22">
        <f>+[1]ER!J23</f>
        <v>8621002.2769669052</v>
      </c>
    </row>
    <row r="39" spans="3:9" x14ac:dyDescent="0.25">
      <c r="C39" s="19" t="s">
        <v>39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2">
        <v>0</v>
      </c>
    </row>
    <row r="40" spans="3:9" x14ac:dyDescent="0.25">
      <c r="C40" s="19" t="s">
        <v>40</v>
      </c>
      <c r="D40" s="20">
        <f>5818795-D38</f>
        <v>2184563.5626048907</v>
      </c>
      <c r="E40" s="20">
        <f>+D40*0.85</f>
        <v>1856879.0282141571</v>
      </c>
      <c r="F40" s="20">
        <f t="shared" ref="F40:I40" si="12">+E40*0.85</f>
        <v>1578347.1739820335</v>
      </c>
      <c r="G40" s="20">
        <f t="shared" si="12"/>
        <v>1341595.0978847283</v>
      </c>
      <c r="H40" s="20">
        <f t="shared" si="12"/>
        <v>1140355.8332020191</v>
      </c>
      <c r="I40" s="22">
        <f t="shared" si="12"/>
        <v>969302.45822171622</v>
      </c>
    </row>
    <row r="41" spans="3:9" x14ac:dyDescent="0.25">
      <c r="C41" s="19"/>
      <c r="D41" s="20"/>
      <c r="E41" s="20"/>
      <c r="F41" s="20"/>
      <c r="G41" s="20"/>
      <c r="H41" s="20"/>
      <c r="I41" s="22"/>
    </row>
    <row r="42" spans="3:9" x14ac:dyDescent="0.25">
      <c r="C42" s="14" t="s">
        <v>41</v>
      </c>
      <c r="D42" s="20">
        <f>+SUM(D43:D45)</f>
        <v>95185280.109999999</v>
      </c>
      <c r="E42" s="20">
        <f t="shared" ref="E42:I42" si="13">+SUM(E43:E45)</f>
        <v>89194630.914338157</v>
      </c>
      <c r="F42" s="20">
        <f t="shared" si="13"/>
        <v>82728566.940803394</v>
      </c>
      <c r="G42" s="20">
        <f t="shared" si="13"/>
        <v>75750225.743379995</v>
      </c>
      <c r="H42" s="20">
        <f t="shared" si="13"/>
        <v>68219898.598616824</v>
      </c>
      <c r="I42" s="22">
        <f t="shared" si="13"/>
        <v>60094810.260206029</v>
      </c>
    </row>
    <row r="43" spans="3:9" x14ac:dyDescent="0.25">
      <c r="C43" s="19" t="s">
        <v>42</v>
      </c>
      <c r="D43" s="20">
        <f>+[1]BID!D27</f>
        <v>79000000</v>
      </c>
      <c r="E43" s="20">
        <v>73009350.804338157</v>
      </c>
      <c r="F43" s="20">
        <v>66543286.830803394</v>
      </c>
      <c r="G43" s="20">
        <v>59564945.633379996</v>
      </c>
      <c r="H43" s="20">
        <v>52034618.488616824</v>
      </c>
      <c r="I43" s="22">
        <v>43909530.150206029</v>
      </c>
    </row>
    <row r="44" spans="3:9" x14ac:dyDescent="0.25">
      <c r="C44" s="19" t="s">
        <v>43</v>
      </c>
      <c r="D44" s="20">
        <v>15627912.17</v>
      </c>
      <c r="E44" s="20">
        <f>+D44</f>
        <v>15627912.17</v>
      </c>
      <c r="F44" s="20">
        <f t="shared" ref="F44:I45" si="14">+E44</f>
        <v>15627912.17</v>
      </c>
      <c r="G44" s="20">
        <f t="shared" si="14"/>
        <v>15627912.17</v>
      </c>
      <c r="H44" s="20">
        <f t="shared" si="14"/>
        <v>15627912.17</v>
      </c>
      <c r="I44" s="22">
        <f t="shared" si="14"/>
        <v>15627912.17</v>
      </c>
    </row>
    <row r="45" spans="3:9" x14ac:dyDescent="0.25">
      <c r="C45" s="19" t="s">
        <v>44</v>
      </c>
      <c r="D45" s="20">
        <v>557367.93999999994</v>
      </c>
      <c r="E45" s="20">
        <f>+D45</f>
        <v>557367.93999999994</v>
      </c>
      <c r="F45" s="20">
        <f t="shared" si="14"/>
        <v>557367.93999999994</v>
      </c>
      <c r="G45" s="20">
        <f t="shared" si="14"/>
        <v>557367.93999999994</v>
      </c>
      <c r="H45" s="20">
        <f t="shared" si="14"/>
        <v>557367.93999999994</v>
      </c>
      <c r="I45" s="22">
        <f t="shared" si="14"/>
        <v>557367.93999999994</v>
      </c>
    </row>
    <row r="46" spans="3:9" x14ac:dyDescent="0.25">
      <c r="C46" s="19"/>
      <c r="D46" s="20"/>
      <c r="E46" s="20"/>
      <c r="F46" s="20"/>
      <c r="G46" s="20"/>
      <c r="H46" s="20"/>
      <c r="I46" s="22"/>
    </row>
    <row r="47" spans="3:9" x14ac:dyDescent="0.25">
      <c r="C47" s="19"/>
      <c r="D47" s="20"/>
      <c r="E47" s="20"/>
      <c r="F47" s="20"/>
      <c r="G47" s="20"/>
      <c r="H47" s="20"/>
      <c r="I47" s="22"/>
    </row>
    <row r="48" spans="3:9" x14ac:dyDescent="0.25">
      <c r="C48" s="19" t="s">
        <v>45</v>
      </c>
      <c r="D48" s="20">
        <f>+D34+D42</f>
        <v>196836439.68000001</v>
      </c>
      <c r="E48" s="20">
        <f>+E34+E42</f>
        <v>191963070.36859807</v>
      </c>
      <c r="F48" s="20">
        <f t="shared" ref="F48:I48" si="15">+F34+F42</f>
        <v>188594594.23508352</v>
      </c>
      <c r="G48" s="20">
        <f t="shared" si="15"/>
        <v>185757272.63579383</v>
      </c>
      <c r="H48" s="20">
        <f t="shared" si="15"/>
        <v>183356642.49382979</v>
      </c>
      <c r="I48" s="22">
        <f t="shared" si="15"/>
        <v>181012034.16574365</v>
      </c>
    </row>
    <row r="49" spans="3:11" x14ac:dyDescent="0.25">
      <c r="C49" s="14" t="s">
        <v>46</v>
      </c>
      <c r="D49" s="20"/>
      <c r="E49" s="20"/>
      <c r="F49" s="20"/>
      <c r="G49" s="20"/>
      <c r="H49" s="20"/>
      <c r="I49" s="22"/>
      <c r="K49" s="27"/>
    </row>
    <row r="50" spans="3:11" x14ac:dyDescent="0.25">
      <c r="C50" s="19"/>
      <c r="D50" s="20"/>
      <c r="E50" s="20"/>
      <c r="F50" s="20"/>
      <c r="G50" s="20"/>
      <c r="H50" s="20"/>
      <c r="I50" s="22"/>
    </row>
    <row r="51" spans="3:11" x14ac:dyDescent="0.25">
      <c r="C51" s="19" t="s">
        <v>47</v>
      </c>
      <c r="D51" s="20">
        <f>+[1]BID!D5</f>
        <v>72500000</v>
      </c>
      <c r="E51" s="20">
        <f>+D51</f>
        <v>72500000</v>
      </c>
      <c r="F51" s="20">
        <f t="shared" ref="F51:I51" si="16">+E51</f>
        <v>72500000</v>
      </c>
      <c r="G51" s="20">
        <f t="shared" si="16"/>
        <v>72500000</v>
      </c>
      <c r="H51" s="20">
        <f t="shared" si="16"/>
        <v>72500000</v>
      </c>
      <c r="I51" s="22">
        <f t="shared" si="16"/>
        <v>72500000</v>
      </c>
    </row>
    <row r="52" spans="3:11" x14ac:dyDescent="0.25">
      <c r="C52" s="19" t="s">
        <v>48</v>
      </c>
      <c r="D52" s="20">
        <f>15638580.9</f>
        <v>15638580.9</v>
      </c>
      <c r="E52" s="20">
        <f>+D52+[1]ER!E30</f>
        <v>17183129.26089292</v>
      </c>
      <c r="F52" s="20">
        <f>+E52+[1]ER!F30</f>
        <v>18979030.668487992</v>
      </c>
      <c r="G52" s="20">
        <f>+F52+[1]ER!G30</f>
        <v>21100276.866517827</v>
      </c>
      <c r="H52" s="20">
        <f>+G52+[1]ER!H30</f>
        <v>23677292.121736526</v>
      </c>
      <c r="I52" s="22">
        <f>+H52+[1]ER!I30</f>
        <v>26861518.03025531</v>
      </c>
    </row>
    <row r="53" spans="3:11" x14ac:dyDescent="0.25">
      <c r="C53" s="19" t="s">
        <v>49</v>
      </c>
      <c r="D53" s="20">
        <v>58380534.390123248</v>
      </c>
      <c r="E53" s="20">
        <f>+D54+D53</f>
        <v>72281469.638159543</v>
      </c>
      <c r="F53" s="20">
        <f>+E54+E53</f>
        <v>88444582.306515172</v>
      </c>
      <c r="G53" s="20">
        <f>+F54+F53</f>
        <v>107535798.08878368</v>
      </c>
      <c r="H53" s="20">
        <f>+G54+G53</f>
        <v>130728935.38575196</v>
      </c>
      <c r="I53" s="22">
        <f>+H54+H53</f>
        <v>159386968.56242102</v>
      </c>
    </row>
    <row r="54" spans="3:11" x14ac:dyDescent="0.25">
      <c r="C54" s="19" t="s">
        <v>50</v>
      </c>
      <c r="D54" s="20">
        <f>+[1]ER!E31</f>
        <v>13900935.248036291</v>
      </c>
      <c r="E54" s="20">
        <f>+[1]ER!F31</f>
        <v>16163112.668355634</v>
      </c>
      <c r="F54" s="20">
        <f>+[1]ER!G31</f>
        <v>19091215.782268513</v>
      </c>
      <c r="G54" s="20">
        <f>+[1]ER!H31</f>
        <v>23193137.296968281</v>
      </c>
      <c r="H54" s="20">
        <f>+[1]ER!I31</f>
        <v>28658033.176669061</v>
      </c>
      <c r="I54" s="22">
        <f>+[1]ER!J31</f>
        <v>32975333.709398419</v>
      </c>
    </row>
    <row r="55" spans="3:11" ht="15.75" thickBot="1" x14ac:dyDescent="0.3">
      <c r="C55" s="17" t="s">
        <v>51</v>
      </c>
      <c r="D55" s="18">
        <f t="shared" ref="D55:I55" si="17">SUM(D51:D54)</f>
        <v>160420050.53815955</v>
      </c>
      <c r="E55" s="18">
        <f t="shared" si="17"/>
        <v>178127711.56740811</v>
      </c>
      <c r="F55" s="18">
        <f t="shared" si="17"/>
        <v>199014828.75727171</v>
      </c>
      <c r="G55" s="18">
        <f t="shared" si="17"/>
        <v>224329212.2522698</v>
      </c>
      <c r="H55" s="18">
        <f t="shared" si="17"/>
        <v>255564260.68415755</v>
      </c>
      <c r="I55" s="24">
        <f t="shared" si="17"/>
        <v>291723820.30207479</v>
      </c>
    </row>
    <row r="56" spans="3:11" ht="15.75" thickBot="1" x14ac:dyDescent="0.3">
      <c r="C56" s="28" t="s">
        <v>52</v>
      </c>
      <c r="D56" s="29">
        <f>+D55+D48</f>
        <v>357256490.21815956</v>
      </c>
      <c r="E56" s="29">
        <f t="shared" ref="E56:I56" si="18">+E55+E48</f>
        <v>370090781.93600619</v>
      </c>
      <c r="F56" s="29">
        <f t="shared" si="18"/>
        <v>387609422.99235523</v>
      </c>
      <c r="G56" s="29">
        <f t="shared" si="18"/>
        <v>410086484.88806367</v>
      </c>
      <c r="H56" s="29">
        <f t="shared" si="18"/>
        <v>438920903.17798734</v>
      </c>
      <c r="I56" s="80">
        <f t="shared" si="18"/>
        <v>472735854.46781844</v>
      </c>
    </row>
    <row r="58" spans="3:11" x14ac:dyDescent="0.25">
      <c r="C58" s="30" t="s">
        <v>53</v>
      </c>
      <c r="D58" s="31">
        <f>+D32-D56</f>
        <v>0</v>
      </c>
      <c r="E58" s="31">
        <f t="shared" ref="E58:I58" si="19">+E32-E56</f>
        <v>0</v>
      </c>
      <c r="F58" s="31">
        <f t="shared" si="19"/>
        <v>0</v>
      </c>
      <c r="G58" s="31">
        <f t="shared" si="19"/>
        <v>0</v>
      </c>
      <c r="H58" s="31">
        <f t="shared" si="19"/>
        <v>0</v>
      </c>
      <c r="I58" s="31">
        <f t="shared" si="19"/>
        <v>0</v>
      </c>
    </row>
  </sheetData>
  <mergeCells count="1">
    <mergeCell ref="C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zoomScaleNormal="100" workbookViewId="0">
      <selection activeCell="M10" sqref="M10"/>
    </sheetView>
  </sheetViews>
  <sheetFormatPr baseColWidth="10" defaultColWidth="9.140625" defaultRowHeight="15" x14ac:dyDescent="0.25"/>
  <cols>
    <col min="1" max="2" width="9.140625" style="34"/>
    <col min="3" max="3" width="3.42578125" style="34" bestFit="1" customWidth="1"/>
    <col min="4" max="4" width="18.28515625" style="64" customWidth="1"/>
    <col min="5" max="10" width="14.7109375" style="34" bestFit="1" customWidth="1"/>
    <col min="11" max="16384" width="9.140625" style="34"/>
  </cols>
  <sheetData>
    <row r="1" spans="2:10" s="2" customFormat="1" ht="15.75" x14ac:dyDescent="0.25">
      <c r="B1" s="1" t="s">
        <v>76</v>
      </c>
    </row>
    <row r="3" spans="2:10" ht="15.75" customHeight="1" thickBot="1" x14ac:dyDescent="0.3">
      <c r="C3" s="33"/>
      <c r="D3" s="78" t="s">
        <v>77</v>
      </c>
      <c r="E3" s="78"/>
      <c r="F3" s="78"/>
      <c r="G3" s="78"/>
      <c r="H3" s="78"/>
      <c r="I3" s="78"/>
      <c r="J3" s="78"/>
    </row>
    <row r="4" spans="2:10" ht="24" customHeight="1" thickBot="1" x14ac:dyDescent="0.3">
      <c r="C4" s="35"/>
      <c r="D4" s="11" t="s">
        <v>54</v>
      </c>
      <c r="E4" s="36">
        <v>2015</v>
      </c>
      <c r="F4" s="36">
        <f>+E4+1</f>
        <v>2016</v>
      </c>
      <c r="G4" s="36">
        <f t="shared" ref="G4:J4" si="0">+F4+1</f>
        <v>2017</v>
      </c>
      <c r="H4" s="36">
        <f t="shared" si="0"/>
        <v>2018</v>
      </c>
      <c r="I4" s="36">
        <f t="shared" si="0"/>
        <v>2019</v>
      </c>
      <c r="J4" s="68">
        <f t="shared" si="0"/>
        <v>2020</v>
      </c>
    </row>
    <row r="5" spans="2:10" x14ac:dyDescent="0.25">
      <c r="C5" s="35" t="s">
        <v>55</v>
      </c>
      <c r="D5" s="37" t="s">
        <v>56</v>
      </c>
      <c r="E5" s="38">
        <f>+[1]VENTPRESP!E22</f>
        <v>299467016</v>
      </c>
      <c r="F5" s="38">
        <f>+[1]VENTPRESP!F22</f>
        <v>330338767.84800005</v>
      </c>
      <c r="G5" s="38">
        <f>+[1]VENTPRESP!G22</f>
        <v>351064222.543944</v>
      </c>
      <c r="H5" s="38">
        <f>+[1]VENTPRESP!H22</f>
        <v>376529385.71377307</v>
      </c>
      <c r="I5" s="38">
        <f>+[1]VENTPRESP!I22</f>
        <v>407492361.6644156</v>
      </c>
      <c r="J5" s="69">
        <f>+[1]VENTPRESP!J22</f>
        <v>433688776.35196555</v>
      </c>
    </row>
    <row r="6" spans="2:10" ht="23.25" x14ac:dyDescent="0.25">
      <c r="C6" s="35" t="s">
        <v>57</v>
      </c>
      <c r="D6" s="39" t="str">
        <f>+[1]VENTPRESP!C9</f>
        <v>TOTAL INGRESOS POR VENTA</v>
      </c>
      <c r="E6" s="40">
        <f>+E5</f>
        <v>299467016</v>
      </c>
      <c r="F6" s="40">
        <f t="shared" ref="F6:J6" si="1">+F5</f>
        <v>330338767.84800005</v>
      </c>
      <c r="G6" s="40">
        <f t="shared" si="1"/>
        <v>351064222.543944</v>
      </c>
      <c r="H6" s="40">
        <f t="shared" si="1"/>
        <v>376529385.71377307</v>
      </c>
      <c r="I6" s="40">
        <f t="shared" si="1"/>
        <v>407492361.6644156</v>
      </c>
      <c r="J6" s="70">
        <f t="shared" si="1"/>
        <v>433688776.35196555</v>
      </c>
    </row>
    <row r="7" spans="2:10" ht="15.75" thickBot="1" x14ac:dyDescent="0.3">
      <c r="C7" s="41" t="s">
        <v>58</v>
      </c>
      <c r="D7" s="37" t="s">
        <v>59</v>
      </c>
      <c r="E7" s="38">
        <f>+[1]CYG!D43</f>
        <v>232194674.03735703</v>
      </c>
      <c r="F7" s="38">
        <f>+[1]CYG!E43</f>
        <v>258311131.9758459</v>
      </c>
      <c r="G7" s="38">
        <f>+[1]CYG!F43</f>
        <v>273108234.77333915</v>
      </c>
      <c r="H7" s="38">
        <f>+[1]CYG!G43</f>
        <v>290587627.99778271</v>
      </c>
      <c r="I7" s="38">
        <f>+[1]CYG!H43</f>
        <v>311178726.67881846</v>
      </c>
      <c r="J7" s="69">
        <f>+[1]CYG!I43</f>
        <v>328994023.7332738</v>
      </c>
    </row>
    <row r="8" spans="2:10" ht="3" customHeight="1" thickBot="1" x14ac:dyDescent="0.3">
      <c r="C8" s="35"/>
      <c r="D8" s="65"/>
      <c r="E8" s="66"/>
      <c r="F8" s="66"/>
      <c r="G8" s="66"/>
      <c r="H8" s="66"/>
      <c r="I8" s="67"/>
      <c r="J8" s="67"/>
    </row>
    <row r="9" spans="2:10" ht="28.5" customHeight="1" thickBot="1" x14ac:dyDescent="0.3">
      <c r="C9" s="41" t="s">
        <v>55</v>
      </c>
      <c r="D9" s="42" t="s">
        <v>60</v>
      </c>
      <c r="E9" s="43">
        <f>+E5-E7</f>
        <v>67272341.962642968</v>
      </c>
      <c r="F9" s="43">
        <f t="shared" ref="F9:J9" si="2">+F5-F7</f>
        <v>72027635.872154146</v>
      </c>
      <c r="G9" s="43">
        <f t="shared" si="2"/>
        <v>77955987.770604849</v>
      </c>
      <c r="H9" s="43">
        <f t="shared" si="2"/>
        <v>85941757.715990365</v>
      </c>
      <c r="I9" s="43">
        <f t="shared" si="2"/>
        <v>96313634.985597134</v>
      </c>
      <c r="J9" s="71">
        <f t="shared" si="2"/>
        <v>104694752.61869174</v>
      </c>
    </row>
    <row r="10" spans="2:10" ht="14.25" customHeight="1" thickBot="1" x14ac:dyDescent="0.3">
      <c r="C10" s="35"/>
      <c r="D10" s="44"/>
      <c r="E10" s="45"/>
      <c r="F10" s="45"/>
      <c r="G10" s="45"/>
      <c r="H10" s="45"/>
      <c r="I10" s="45"/>
      <c r="J10" s="72"/>
    </row>
    <row r="11" spans="2:10" ht="23.25" thickBot="1" x14ac:dyDescent="0.3">
      <c r="C11" s="41" t="s">
        <v>58</v>
      </c>
      <c r="D11" s="46" t="s">
        <v>61</v>
      </c>
      <c r="E11" s="47">
        <f t="shared" ref="E11:J11" si="3">SUM(E12+E13)</f>
        <v>33576339</v>
      </c>
      <c r="F11" s="47">
        <f t="shared" si="3"/>
        <v>34762972.590499997</v>
      </c>
      <c r="G11" s="47">
        <f t="shared" si="3"/>
        <v>35995632.284952752</v>
      </c>
      <c r="H11" s="47">
        <f t="shared" si="3"/>
        <v>37276131.326656774</v>
      </c>
      <c r="I11" s="47">
        <f t="shared" si="3"/>
        <v>38606355.124916397</v>
      </c>
      <c r="J11" s="73">
        <f t="shared" si="3"/>
        <v>39988264.146006271</v>
      </c>
    </row>
    <row r="12" spans="2:10" ht="22.5" x14ac:dyDescent="0.25">
      <c r="C12" s="35"/>
      <c r="D12" s="48" t="s">
        <v>62</v>
      </c>
      <c r="E12" s="49">
        <f>+[1]CYG!D63</f>
        <v>14440420</v>
      </c>
      <c r="F12" s="49">
        <f>+[1]CYG!E63</f>
        <v>14887175.573999999</v>
      </c>
      <c r="G12" s="49">
        <f>+[1]CYG!F63</f>
        <v>15349992.1922845</v>
      </c>
      <c r="H12" s="49">
        <f>+[1]CYG!G63</f>
        <v>15829469.513235457</v>
      </c>
      <c r="I12" s="49">
        <f>+[1]CYG!H63</f>
        <v>16326230.211051518</v>
      </c>
      <c r="J12" s="74">
        <f>+[1]CYG!I63</f>
        <v>16840920.876129873</v>
      </c>
    </row>
    <row r="13" spans="2:10" ht="15.75" thickBot="1" x14ac:dyDescent="0.3">
      <c r="C13" s="35"/>
      <c r="D13" s="50" t="s">
        <v>63</v>
      </c>
      <c r="E13" s="51">
        <f>+[1]CYG!D86</f>
        <v>19135919</v>
      </c>
      <c r="F13" s="51">
        <f>+[1]CYG!E86</f>
        <v>19875797.0165</v>
      </c>
      <c r="G13" s="51">
        <f>+[1]CYG!F86</f>
        <v>20645640.09266825</v>
      </c>
      <c r="H13" s="51">
        <f>+[1]CYG!G86</f>
        <v>21446661.813421313</v>
      </c>
      <c r="I13" s="51">
        <f>+[1]CYG!H86</f>
        <v>22280124.913864881</v>
      </c>
      <c r="J13" s="75">
        <f>+[1]CYG!I86</f>
        <v>23147343.269876402</v>
      </c>
    </row>
    <row r="14" spans="2:10" ht="3" customHeight="1" thickBot="1" x14ac:dyDescent="0.3">
      <c r="C14" s="35"/>
      <c r="D14" s="52"/>
      <c r="E14" s="53"/>
      <c r="F14" s="53"/>
      <c r="G14" s="53"/>
      <c r="H14" s="53"/>
      <c r="I14" s="54"/>
      <c r="J14" s="54"/>
    </row>
    <row r="15" spans="2:10" ht="23.25" thickBot="1" x14ac:dyDescent="0.3">
      <c r="C15" s="41" t="s">
        <v>55</v>
      </c>
      <c r="D15" s="55" t="s">
        <v>64</v>
      </c>
      <c r="E15" s="56">
        <f t="shared" ref="E15:J15" si="4">+E9-E11</f>
        <v>33696002.962642968</v>
      </c>
      <c r="F15" s="56">
        <f t="shared" si="4"/>
        <v>37264663.281654149</v>
      </c>
      <c r="G15" s="56">
        <f t="shared" si="4"/>
        <v>41960355.485652097</v>
      </c>
      <c r="H15" s="56">
        <f t="shared" si="4"/>
        <v>48665626.389333591</v>
      </c>
      <c r="I15" s="56">
        <f t="shared" si="4"/>
        <v>57707279.860680737</v>
      </c>
      <c r="J15" s="58">
        <f t="shared" si="4"/>
        <v>64706488.472685471</v>
      </c>
    </row>
    <row r="16" spans="2:10" ht="3.75" customHeight="1" thickBot="1" x14ac:dyDescent="0.3">
      <c r="C16" s="35"/>
      <c r="D16" s="65"/>
      <c r="E16" s="66"/>
      <c r="F16" s="66"/>
      <c r="G16" s="66"/>
      <c r="H16" s="66"/>
      <c r="I16" s="67"/>
      <c r="J16" s="67"/>
    </row>
    <row r="17" spans="3:10" x14ac:dyDescent="0.25">
      <c r="C17" s="35" t="s">
        <v>58</v>
      </c>
      <c r="D17" s="52" t="s">
        <v>65</v>
      </c>
      <c r="E17" s="57">
        <f>+[1]BID!M20</f>
        <v>5815484.2933164705</v>
      </c>
      <c r="F17" s="57">
        <f>+[1]BID!N20</f>
        <v>5383636.6320152553</v>
      </c>
      <c r="G17" s="57">
        <f>+[1]BID!O20</f>
        <v>4917800.8211432658</v>
      </c>
      <c r="H17" s="57">
        <f>+[1]BID!P20</f>
        <v>4415301.8564923843</v>
      </c>
      <c r="I17" s="57">
        <f>+[1]BID!Q20</f>
        <v>3873254.2002537036</v>
      </c>
      <c r="J17" s="76">
        <f>+[1]BID!R20</f>
        <v>3288545.2111755288</v>
      </c>
    </row>
    <row r="18" spans="3:10" ht="23.25" x14ac:dyDescent="0.25">
      <c r="C18" s="35" t="s">
        <v>58</v>
      </c>
      <c r="D18" s="52" t="s">
        <v>66</v>
      </c>
      <c r="E18" s="57">
        <f>+'[1]FIN 2'!M20</f>
        <v>4711909.0866924385</v>
      </c>
      <c r="F18" s="57">
        <f>+E18*1.01</f>
        <v>4759028.1775593627</v>
      </c>
      <c r="G18" s="57">
        <f t="shared" ref="G18:J18" si="5">+F18*1.01</f>
        <v>4806618.4593349565</v>
      </c>
      <c r="H18" s="57">
        <f t="shared" si="5"/>
        <v>4854684.6439283062</v>
      </c>
      <c r="I18" s="57">
        <f t="shared" si="5"/>
        <v>4903231.4903675895</v>
      </c>
      <c r="J18" s="76">
        <f t="shared" si="5"/>
        <v>4952263.8052712651</v>
      </c>
    </row>
    <row r="19" spans="3:10" x14ac:dyDescent="0.25">
      <c r="C19" s="35" t="s">
        <v>57</v>
      </c>
      <c r="D19" s="52" t="s">
        <v>67</v>
      </c>
      <c r="E19" s="57">
        <v>1208400</v>
      </c>
      <c r="F19" s="57">
        <f>+E19*0.99</f>
        <v>1196316</v>
      </c>
      <c r="G19" s="57">
        <f t="shared" ref="G19:J20" si="6">+F19*0.99</f>
        <v>1184352.8400000001</v>
      </c>
      <c r="H19" s="57">
        <f t="shared" si="6"/>
        <v>1172509.3116000001</v>
      </c>
      <c r="I19" s="57">
        <f t="shared" si="6"/>
        <v>1160784.2184840001</v>
      </c>
      <c r="J19" s="76">
        <f t="shared" si="6"/>
        <v>1149176.3762991601</v>
      </c>
    </row>
    <row r="20" spans="3:10" ht="15.75" thickBot="1" x14ac:dyDescent="0.3">
      <c r="C20" s="35" t="s">
        <v>58</v>
      </c>
      <c r="D20" s="52" t="s">
        <v>68</v>
      </c>
      <c r="E20" s="57">
        <v>148800</v>
      </c>
      <c r="F20" s="57">
        <f>+E20*0.99</f>
        <v>147312</v>
      </c>
      <c r="G20" s="57">
        <f t="shared" si="6"/>
        <v>145838.88</v>
      </c>
      <c r="H20" s="57">
        <f t="shared" si="6"/>
        <v>144380.49119999999</v>
      </c>
      <c r="I20" s="57">
        <f t="shared" si="6"/>
        <v>142936.686288</v>
      </c>
      <c r="J20" s="76">
        <f t="shared" si="6"/>
        <v>141507.31942511999</v>
      </c>
    </row>
    <row r="21" spans="3:10" ht="4.5" customHeight="1" thickBot="1" x14ac:dyDescent="0.3">
      <c r="C21" s="35"/>
      <c r="D21" s="65" t="s">
        <v>69</v>
      </c>
      <c r="E21" s="66"/>
      <c r="F21" s="66"/>
      <c r="G21" s="66"/>
      <c r="H21" s="66"/>
      <c r="I21" s="67"/>
      <c r="J21" s="67"/>
    </row>
    <row r="22" spans="3:10" ht="23.25" thickBot="1" x14ac:dyDescent="0.3">
      <c r="C22" s="41" t="s">
        <v>55</v>
      </c>
      <c r="D22" s="55" t="s">
        <v>70</v>
      </c>
      <c r="E22" s="56">
        <f>+E15-E18-E17+E19-E20</f>
        <v>24228209.582634062</v>
      </c>
      <c r="F22" s="56">
        <f t="shared" ref="F22:J22" si="7">+F15-F18-F17+F19-F20</f>
        <v>28171002.472079534</v>
      </c>
      <c r="G22" s="56">
        <f t="shared" si="7"/>
        <v>33274450.165173877</v>
      </c>
      <c r="H22" s="56">
        <f t="shared" si="7"/>
        <v>40423768.709312901</v>
      </c>
      <c r="I22" s="56">
        <f t="shared" si="7"/>
        <v>49948641.702255443</v>
      </c>
      <c r="J22" s="58">
        <f t="shared" si="7"/>
        <v>57473348.513112709</v>
      </c>
    </row>
    <row r="23" spans="3:10" ht="3.75" customHeight="1" thickBot="1" x14ac:dyDescent="0.3">
      <c r="C23" s="35"/>
      <c r="D23" s="65"/>
      <c r="E23" s="66"/>
      <c r="F23" s="66"/>
      <c r="G23" s="66"/>
      <c r="H23" s="66"/>
      <c r="I23" s="67"/>
      <c r="J23" s="67"/>
    </row>
    <row r="24" spans="3:10" ht="15.75" thickBot="1" x14ac:dyDescent="0.3">
      <c r="C24" s="35" t="s">
        <v>58</v>
      </c>
      <c r="D24" s="52" t="s">
        <v>71</v>
      </c>
      <c r="E24" s="57">
        <f>+E22*0.15</f>
        <v>3634231.4373951093</v>
      </c>
      <c r="F24" s="57">
        <f>+F22*0.15</f>
        <v>4225650.3708119299</v>
      </c>
      <c r="G24" s="57">
        <f>+G22*0.15</f>
        <v>4991167.5247760816</v>
      </c>
      <c r="H24" s="57">
        <f>+H22*0.15</f>
        <v>6063565.3063969351</v>
      </c>
      <c r="I24" s="57">
        <f>+(I22*0.15)</f>
        <v>7492296.2553383159</v>
      </c>
      <c r="J24" s="76">
        <f>+(J22*0.15)</f>
        <v>8621002.2769669052</v>
      </c>
    </row>
    <row r="25" spans="3:10" ht="3" customHeight="1" thickBot="1" x14ac:dyDescent="0.3">
      <c r="C25" s="35"/>
      <c r="D25" s="65"/>
      <c r="E25" s="66"/>
      <c r="F25" s="66"/>
      <c r="G25" s="66"/>
      <c r="H25" s="66"/>
      <c r="I25" s="67"/>
      <c r="J25" s="67"/>
    </row>
    <row r="26" spans="3:10" ht="23.25" thickBot="1" x14ac:dyDescent="0.3">
      <c r="C26" s="41" t="s">
        <v>55</v>
      </c>
      <c r="D26" s="55" t="s">
        <v>72</v>
      </c>
      <c r="E26" s="56">
        <f t="shared" ref="E26:J26" si="8">+E22-E24</f>
        <v>20593978.145238951</v>
      </c>
      <c r="F26" s="56">
        <f t="shared" si="8"/>
        <v>23945352.101267606</v>
      </c>
      <c r="G26" s="56">
        <f t="shared" si="8"/>
        <v>28283282.640397795</v>
      </c>
      <c r="H26" s="56">
        <f t="shared" si="8"/>
        <v>34360203.402915969</v>
      </c>
      <c r="I26" s="58">
        <f t="shared" si="8"/>
        <v>42456345.446917124</v>
      </c>
      <c r="J26" s="58">
        <f t="shared" si="8"/>
        <v>48852346.236145802</v>
      </c>
    </row>
    <row r="27" spans="3:10" ht="3.75" customHeight="1" thickBot="1" x14ac:dyDescent="0.3">
      <c r="C27" s="35"/>
      <c r="D27" s="65"/>
      <c r="E27" s="66"/>
      <c r="F27" s="66"/>
      <c r="G27" s="66"/>
      <c r="H27" s="66"/>
      <c r="I27" s="67"/>
      <c r="J27" s="67"/>
    </row>
    <row r="28" spans="3:10" ht="15.75" thickBot="1" x14ac:dyDescent="0.3">
      <c r="C28" s="35" t="s">
        <v>58</v>
      </c>
      <c r="D28" s="52" t="s">
        <v>73</v>
      </c>
      <c r="E28" s="57">
        <f>+E26*0.25</f>
        <v>5148494.5363097377</v>
      </c>
      <c r="F28" s="57">
        <f t="shared" ref="F28:J28" si="9">+F26*0.25</f>
        <v>5986338.0253169015</v>
      </c>
      <c r="G28" s="57">
        <f t="shared" si="9"/>
        <v>7070820.6600994486</v>
      </c>
      <c r="H28" s="57">
        <f t="shared" si="9"/>
        <v>8590050.8507289924</v>
      </c>
      <c r="I28" s="57">
        <f t="shared" si="9"/>
        <v>10614086.361729281</v>
      </c>
      <c r="J28" s="76">
        <f t="shared" si="9"/>
        <v>12213086.55903645</v>
      </c>
    </row>
    <row r="29" spans="3:10" ht="3.75" customHeight="1" thickBot="1" x14ac:dyDescent="0.3">
      <c r="C29" s="35"/>
      <c r="D29" s="65"/>
      <c r="E29" s="66"/>
      <c r="F29" s="66"/>
      <c r="G29" s="66"/>
      <c r="H29" s="66"/>
      <c r="I29" s="67"/>
      <c r="J29" s="67"/>
    </row>
    <row r="30" spans="3:10" s="62" customFormat="1" ht="23.25" customHeight="1" thickBot="1" x14ac:dyDescent="0.3">
      <c r="C30" s="59" t="s">
        <v>55</v>
      </c>
      <c r="D30" s="28" t="s">
        <v>74</v>
      </c>
      <c r="E30" s="60">
        <f>+E26-E28</f>
        <v>15445483.608929213</v>
      </c>
      <c r="F30" s="60">
        <f t="shared" ref="F30:H30" si="10">+F26-F28</f>
        <v>17959014.075950705</v>
      </c>
      <c r="G30" s="60">
        <f t="shared" si="10"/>
        <v>21212461.980298348</v>
      </c>
      <c r="H30" s="60">
        <f t="shared" si="10"/>
        <v>25770152.552186977</v>
      </c>
      <c r="I30" s="61">
        <f>+I26-I28</f>
        <v>31842259.085187845</v>
      </c>
      <c r="J30" s="61">
        <f>+J26-J28</f>
        <v>36639259.677109353</v>
      </c>
    </row>
    <row r="31" spans="3:10" ht="15.75" thickBot="1" x14ac:dyDescent="0.3">
      <c r="C31" s="35" t="s">
        <v>58</v>
      </c>
      <c r="D31" s="52" t="s">
        <v>75</v>
      </c>
      <c r="E31" s="57">
        <f>+E30*0.1</f>
        <v>1544548.3608929215</v>
      </c>
      <c r="F31" s="57">
        <f>+F30*0.1</f>
        <v>1795901.4075950705</v>
      </c>
      <c r="G31" s="57">
        <f t="shared" ref="G31:J31" si="11">+G30*0.1</f>
        <v>2121246.1980298348</v>
      </c>
      <c r="H31" s="57">
        <f t="shared" si="11"/>
        <v>2577015.2552186977</v>
      </c>
      <c r="I31" s="57">
        <f t="shared" si="11"/>
        <v>3184225.9085187847</v>
      </c>
      <c r="J31" s="76">
        <f t="shared" si="11"/>
        <v>3663925.9677109355</v>
      </c>
    </row>
    <row r="32" spans="3:10" ht="15.75" thickBot="1" x14ac:dyDescent="0.3">
      <c r="D32" s="28" t="s">
        <v>74</v>
      </c>
      <c r="E32" s="63">
        <f>+E30-E31</f>
        <v>13900935.248036291</v>
      </c>
      <c r="F32" s="63">
        <f t="shared" ref="F32:J32" si="12">+F30-F31</f>
        <v>16163112.668355634</v>
      </c>
      <c r="G32" s="63">
        <f t="shared" si="12"/>
        <v>19091215.782268513</v>
      </c>
      <c r="H32" s="63">
        <f t="shared" si="12"/>
        <v>23193137.296968281</v>
      </c>
      <c r="I32" s="63">
        <f t="shared" si="12"/>
        <v>28658033.176669061</v>
      </c>
      <c r="J32" s="77">
        <f t="shared" si="12"/>
        <v>32975333.709398419</v>
      </c>
    </row>
  </sheetData>
  <mergeCells count="1">
    <mergeCell ref="D3:J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"/>
  <sheetViews>
    <sheetView workbookViewId="0">
      <selection activeCell="G33" sqref="G33"/>
    </sheetView>
  </sheetViews>
  <sheetFormatPr baseColWidth="10" defaultRowHeight="15.75" x14ac:dyDescent="0.25"/>
  <cols>
    <col min="1" max="2" width="11.42578125" style="2"/>
    <col min="3" max="3" width="13.5703125" style="2" customWidth="1"/>
    <col min="4" max="16384" width="11.42578125" style="2"/>
  </cols>
  <sheetData>
    <row r="2" spans="2:3" x14ac:dyDescent="0.25">
      <c r="B2" s="1" t="s">
        <v>0</v>
      </c>
    </row>
    <row r="4" spans="2:3" ht="36" customHeight="1" x14ac:dyDescent="0.25">
      <c r="B4" s="3" t="s">
        <v>1</v>
      </c>
      <c r="C4" s="4" t="s">
        <v>2</v>
      </c>
    </row>
    <row r="5" spans="2:3" x14ac:dyDescent="0.25">
      <c r="B5" s="5" t="s">
        <v>3</v>
      </c>
      <c r="C5" s="6">
        <v>0.11</v>
      </c>
    </row>
    <row r="6" spans="2:3" x14ac:dyDescent="0.25">
      <c r="B6" s="7" t="s">
        <v>4</v>
      </c>
      <c r="C6" s="8">
        <v>0.1</v>
      </c>
    </row>
    <row r="7" spans="2:3" x14ac:dyDescent="0.25">
      <c r="B7" s="7" t="s">
        <v>5</v>
      </c>
      <c r="C7" s="8">
        <v>0.08</v>
      </c>
    </row>
    <row r="9" spans="2:3" x14ac:dyDescent="0.25">
      <c r="B9" s="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Anexo 1</vt:lpstr>
      <vt:lpstr>Anexo 2</vt:lpstr>
      <vt:lpstr>Anexo 3</vt:lpstr>
    </vt:vector>
  </TitlesOfParts>
  <Company>PUCE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ESTUDIANTES</dc:creator>
  <cp:lastModifiedBy>ESTUDIANTES</cp:lastModifiedBy>
  <dcterms:created xsi:type="dcterms:W3CDTF">2017-02-07T13:11:11Z</dcterms:created>
  <dcterms:modified xsi:type="dcterms:W3CDTF">2017-02-07T13:15:36Z</dcterms:modified>
</cp:coreProperties>
</file>