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450" windowWidth="20490" windowHeight="7200" tabRatio="975" firstSheet="11" activeTab="19"/>
  </bookViews>
  <sheets>
    <sheet name="GASTOS DE CONSTITUCIÓN" sheetId="21" r:id="rId1"/>
    <sheet name="SUELDOS Y SALARIOS" sheetId="13" r:id="rId2"/>
    <sheet name="INSUMOS" sheetId="35" r:id="rId3"/>
    <sheet name="SERVICIOS BÁSICOS" sheetId="18" r:id="rId4"/>
    <sheet name="SUMINISTROS DE OFICINA" sheetId="16" r:id="rId5"/>
    <sheet name="PUBLICIDAD" sheetId="23" r:id="rId6"/>
    <sheet name="DEPRECIACIONES" sheetId="19" r:id="rId7"/>
    <sheet name="VENTAS" sheetId="36" r:id="rId8"/>
    <sheet name="PRESUPUESTO DE INGRESOS" sheetId="5" r:id="rId9"/>
    <sheet name="COSTO COMIDA" sheetId="33" r:id="rId10"/>
    <sheet name="COSTOS Y GASTOS" sheetId="2" r:id="rId11"/>
    <sheet name="ACTIVOS FIJOS" sheetId="1" r:id="rId12"/>
    <sheet name="ESTADO DE RESULTADOS" sheetId="20" r:id="rId13"/>
    <sheet name="BALANCE GENERAL" sheetId="28" r:id="rId14"/>
    <sheet name="FINANCIAMIENTO" sheetId="22" r:id="rId15"/>
    <sheet name="FLUJO DE CAJA" sheetId="24" r:id="rId16"/>
    <sheet name="VAN y TIR" sheetId="25" r:id="rId17"/>
    <sheet name="PRI y RB C" sheetId="26" r:id="rId18"/>
    <sheet name="PE" sheetId="29" r:id="rId19"/>
    <sheet name="INDICES FINANCIERO" sheetId="32" r:id="rId20"/>
    <sheet name="Sheet3" sheetId="31" state="hidden" r:id="rId2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28" l="1"/>
  <c r="E8" i="28"/>
  <c r="G30" i="24"/>
  <c r="G24" i="24" l="1"/>
  <c r="G22" i="24" s="1"/>
  <c r="E24" i="28" l="1"/>
  <c r="F23" i="20" l="1"/>
  <c r="G23" i="20" s="1"/>
  <c r="F23" i="2"/>
  <c r="E23" i="20"/>
  <c r="E23" i="29"/>
  <c r="E23" i="2"/>
  <c r="G23" i="2"/>
  <c r="E24" i="20"/>
  <c r="F24" i="20"/>
  <c r="G24" i="20"/>
  <c r="E24" i="29"/>
  <c r="G24" i="29"/>
  <c r="E10" i="28"/>
  <c r="F10" i="28" s="1"/>
  <c r="G10" i="28" s="1"/>
  <c r="F8" i="28"/>
  <c r="G8" i="28"/>
  <c r="D10" i="28"/>
  <c r="G18" i="20"/>
  <c r="G18" i="29"/>
  <c r="G18" i="2"/>
  <c r="G22" i="33"/>
  <c r="G21" i="33"/>
  <c r="I21" i="33"/>
  <c r="D20" i="36"/>
  <c r="D53" i="36"/>
  <c r="P6" i="13"/>
  <c r="D7" i="2"/>
  <c r="D19" i="22" l="1"/>
  <c r="E55" i="33"/>
  <c r="G55" i="33" s="1"/>
  <c r="E54" i="33"/>
  <c r="G54" i="33" s="1"/>
  <c r="E53" i="33"/>
  <c r="G53" i="33" s="1"/>
  <c r="E50" i="33"/>
  <c r="G50" i="33" s="1"/>
  <c r="E48" i="33"/>
  <c r="G48" i="33" s="1"/>
  <c r="E47" i="33"/>
  <c r="G47" i="33" s="1"/>
  <c r="E43" i="33"/>
  <c r="G43" i="33" s="1"/>
  <c r="E42" i="33"/>
  <c r="G42" i="33" s="1"/>
  <c r="E41" i="33"/>
  <c r="G41" i="33" s="1"/>
  <c r="E40" i="33"/>
  <c r="G40" i="33" s="1"/>
  <c r="E39" i="33"/>
  <c r="G39" i="33" s="1"/>
  <c r="E38" i="33"/>
  <c r="G38" i="33" s="1"/>
  <c r="E37" i="33"/>
  <c r="G37" i="33" s="1"/>
  <c r="E36" i="33"/>
  <c r="G36" i="33" s="1"/>
  <c r="E35" i="33"/>
  <c r="G35" i="33" s="1"/>
  <c r="E32" i="33"/>
  <c r="G32" i="33" s="1"/>
  <c r="E31" i="33"/>
  <c r="G31" i="33" s="1"/>
  <c r="E30" i="33"/>
  <c r="G30" i="33" s="1"/>
  <c r="E29" i="33"/>
  <c r="G29" i="33" s="1"/>
  <c r="E28" i="33"/>
  <c r="G28" i="33" s="1"/>
  <c r="E27" i="33"/>
  <c r="G27" i="33" s="1"/>
  <c r="E25" i="33"/>
  <c r="G25" i="33" s="1"/>
  <c r="E24" i="33"/>
  <c r="G24" i="33" s="1"/>
  <c r="E23" i="33"/>
  <c r="G23" i="33" s="1"/>
  <c r="E22" i="33"/>
  <c r="E21" i="33"/>
  <c r="D21" i="36"/>
  <c r="D22" i="36" s="1"/>
  <c r="D23" i="36" s="1"/>
  <c r="D24" i="36" s="1"/>
  <c r="D25" i="36" s="1"/>
  <c r="D26" i="36" s="1"/>
  <c r="D27" i="36" s="1"/>
  <c r="D28" i="36" s="1"/>
  <c r="D29" i="36" s="1"/>
  <c r="D30" i="36" s="1"/>
  <c r="D31" i="36" s="1"/>
  <c r="E20" i="36" s="1"/>
  <c r="E21" i="36" s="1"/>
  <c r="E22" i="36" s="1"/>
  <c r="E23" i="36" s="1"/>
  <c r="E24" i="36" s="1"/>
  <c r="E25" i="36" s="1"/>
  <c r="E26" i="36" s="1"/>
  <c r="E27" i="36" s="1"/>
  <c r="E28" i="36" s="1"/>
  <c r="E29" i="36" s="1"/>
  <c r="E30" i="36" s="1"/>
  <c r="E31" i="36" s="1"/>
  <c r="F20" i="36" s="1"/>
  <c r="F21" i="36" s="1"/>
  <c r="F22" i="36" s="1"/>
  <c r="F23" i="36" s="1"/>
  <c r="F24" i="36" s="1"/>
  <c r="F25" i="36" s="1"/>
  <c r="F26" i="36" s="1"/>
  <c r="F27" i="36" s="1"/>
  <c r="F28" i="36" s="1"/>
  <c r="F29" i="36" s="1"/>
  <c r="F30" i="36" s="1"/>
  <c r="F31" i="36" s="1"/>
  <c r="G20" i="36" s="1"/>
  <c r="G21" i="36" s="1"/>
  <c r="G22" i="36" s="1"/>
  <c r="G23" i="36" s="1"/>
  <c r="G24" i="36" s="1"/>
  <c r="G25" i="36" s="1"/>
  <c r="G26" i="36" s="1"/>
  <c r="G27" i="36" s="1"/>
  <c r="G28" i="36" s="1"/>
  <c r="G29" i="36" s="1"/>
  <c r="G30" i="36" s="1"/>
  <c r="G31" i="36" s="1"/>
  <c r="D64" i="36"/>
  <c r="E62" i="36"/>
  <c r="D54" i="36"/>
  <c r="E54" i="36" s="1"/>
  <c r="F54" i="36" s="1"/>
  <c r="G54" i="36" s="1"/>
  <c r="H54" i="36" s="1"/>
  <c r="I54" i="36" s="1"/>
  <c r="J54" i="36" s="1"/>
  <c r="K54" i="36" s="1"/>
  <c r="L54" i="36" s="1"/>
  <c r="M54" i="36" s="1"/>
  <c r="N54" i="36" s="1"/>
  <c r="O54" i="36" s="1"/>
  <c r="P54" i="36" s="1"/>
  <c r="E52" i="36"/>
  <c r="E53" i="36" s="1"/>
  <c r="D46" i="36"/>
  <c r="E44" i="36"/>
  <c r="F44" i="36" s="1"/>
  <c r="G44" i="36" s="1"/>
  <c r="H44" i="36" s="1"/>
  <c r="I44" i="36" s="1"/>
  <c r="J44" i="36" s="1"/>
  <c r="K44" i="36" s="1"/>
  <c r="L44" i="36" s="1"/>
  <c r="M44" i="36" s="1"/>
  <c r="N44" i="36" s="1"/>
  <c r="O44" i="36" s="1"/>
  <c r="C17" i="18"/>
  <c r="E91" i="1"/>
  <c r="E89" i="1"/>
  <c r="E88" i="1"/>
  <c r="E87" i="1"/>
  <c r="E86" i="1"/>
  <c r="E85" i="1"/>
  <c r="E84" i="1"/>
  <c r="E76" i="1"/>
  <c r="E75" i="1"/>
  <c r="E74" i="1"/>
  <c r="E62" i="1"/>
  <c r="E61" i="1"/>
  <c r="E60" i="1"/>
  <c r="E59" i="1"/>
  <c r="E58" i="1"/>
  <c r="E57" i="1"/>
  <c r="E51" i="1"/>
  <c r="H34" i="1"/>
  <c r="E7" i="19"/>
  <c r="F7" i="19" s="1"/>
  <c r="H9" i="13"/>
  <c r="H8" i="13"/>
  <c r="H7" i="13"/>
  <c r="H6" i="13"/>
  <c r="G57" i="33" l="1"/>
  <c r="E68" i="1"/>
  <c r="E56" i="36"/>
  <c r="D56" i="36"/>
  <c r="D47" i="36"/>
  <c r="D65" i="36"/>
  <c r="P44" i="36"/>
  <c r="F62" i="36"/>
  <c r="G62" i="36" s="1"/>
  <c r="H62" i="36" s="1"/>
  <c r="I62" i="36" s="1"/>
  <c r="J62" i="36" s="1"/>
  <c r="K62" i="36" s="1"/>
  <c r="L62" i="36" s="1"/>
  <c r="M62" i="36" s="1"/>
  <c r="N62" i="36" s="1"/>
  <c r="O62" i="36" s="1"/>
  <c r="E63" i="36"/>
  <c r="E45" i="36"/>
  <c r="F52" i="36"/>
  <c r="E78" i="1"/>
  <c r="F53" i="36" l="1"/>
  <c r="F56" i="36" s="1"/>
  <c r="G52" i="36"/>
  <c r="P62" i="36"/>
  <c r="E46" i="36"/>
  <c r="F45" i="36"/>
  <c r="E64" i="36"/>
  <c r="F63" i="36"/>
  <c r="D48" i="36"/>
  <c r="D66" i="36"/>
  <c r="E47" i="36" l="1"/>
  <c r="F64" i="36"/>
  <c r="F65" i="36" s="1"/>
  <c r="F66" i="36" s="1"/>
  <c r="G63" i="36"/>
  <c r="D68" i="36"/>
  <c r="E65" i="36"/>
  <c r="F46" i="36"/>
  <c r="F47" i="36" s="1"/>
  <c r="F48" i="36" s="1"/>
  <c r="G45" i="36"/>
  <c r="G53" i="36"/>
  <c r="G56" i="36" s="1"/>
  <c r="H52" i="36"/>
  <c r="G64" i="36" l="1"/>
  <c r="H63" i="36"/>
  <c r="E48" i="36"/>
  <c r="G46" i="36"/>
  <c r="G47" i="36" s="1"/>
  <c r="G48" i="36" s="1"/>
  <c r="H45" i="36"/>
  <c r="E66" i="36"/>
  <c r="F68" i="36"/>
  <c r="H53" i="36"/>
  <c r="H56" i="36" s="1"/>
  <c r="I52" i="36"/>
  <c r="F20" i="29"/>
  <c r="H20" i="29" s="1"/>
  <c r="E14" i="29"/>
  <c r="I53" i="36" l="1"/>
  <c r="I56" i="36" s="1"/>
  <c r="J52" i="36"/>
  <c r="E68" i="36"/>
  <c r="H46" i="36"/>
  <c r="I45" i="36"/>
  <c r="H64" i="36"/>
  <c r="H65" i="36" s="1"/>
  <c r="H66" i="36" s="1"/>
  <c r="I63" i="36"/>
  <c r="G65" i="36"/>
  <c r="I46" i="36" l="1"/>
  <c r="I47" i="36" s="1"/>
  <c r="I48" i="36" s="1"/>
  <c r="J45" i="36"/>
  <c r="H47" i="36"/>
  <c r="J53" i="36"/>
  <c r="J56" i="36" s="1"/>
  <c r="K52" i="36"/>
  <c r="G66" i="36"/>
  <c r="I64" i="36"/>
  <c r="I65" i="36" s="1"/>
  <c r="I66" i="36" s="1"/>
  <c r="J63" i="36"/>
  <c r="K53" i="36" l="1"/>
  <c r="K56" i="36" s="1"/>
  <c r="L52" i="36"/>
  <c r="G68" i="36"/>
  <c r="J46" i="36"/>
  <c r="K45" i="36"/>
  <c r="J64" i="36"/>
  <c r="J65" i="36" s="1"/>
  <c r="K63" i="36"/>
  <c r="I68" i="36"/>
  <c r="H48" i="36"/>
  <c r="K64" i="36" l="1"/>
  <c r="K65" i="36" s="1"/>
  <c r="K66" i="36" s="1"/>
  <c r="L63" i="36"/>
  <c r="H68" i="36"/>
  <c r="J66" i="36"/>
  <c r="K46" i="36"/>
  <c r="K47" i="36" s="1"/>
  <c r="K48" i="36" s="1"/>
  <c r="L45" i="36"/>
  <c r="L53" i="36"/>
  <c r="L56" i="36" s="1"/>
  <c r="M52" i="36"/>
  <c r="J47" i="36"/>
  <c r="M53" i="36" l="1"/>
  <c r="M56" i="36" s="1"/>
  <c r="N52" i="36"/>
  <c r="J48" i="36"/>
  <c r="J68" i="36" s="1"/>
  <c r="L64" i="36"/>
  <c r="L65" i="36" s="1"/>
  <c r="M63" i="36"/>
  <c r="L46" i="36"/>
  <c r="L47" i="36" s="1"/>
  <c r="L48" i="36" s="1"/>
  <c r="M45" i="36"/>
  <c r="K68" i="36"/>
  <c r="C34" i="2"/>
  <c r="D34" i="2" s="1"/>
  <c r="D25" i="13"/>
  <c r="O6" i="13"/>
  <c r="O5" i="13"/>
  <c r="P5" i="13"/>
  <c r="K4" i="2"/>
  <c r="L4" i="2"/>
  <c r="J3" i="2"/>
  <c r="D2" i="2" s="1"/>
  <c r="D3" i="2" s="1"/>
  <c r="D21" i="2" l="1"/>
  <c r="E21" i="2" s="1"/>
  <c r="F21" i="2" s="1"/>
  <c r="G21" i="2" s="1"/>
  <c r="I18" i="20" s="1"/>
  <c r="M46" i="36"/>
  <c r="M47" i="36" s="1"/>
  <c r="M48" i="36" s="1"/>
  <c r="N45" i="36"/>
  <c r="M64" i="36"/>
  <c r="M65" i="36" s="1"/>
  <c r="M66" i="36" s="1"/>
  <c r="N63" i="36"/>
  <c r="N53" i="36"/>
  <c r="N56" i="36" s="1"/>
  <c r="O52" i="36"/>
  <c r="L66" i="36"/>
  <c r="D32" i="36"/>
  <c r="C37" i="36" s="1"/>
  <c r="E32" i="36"/>
  <c r="C38" i="36" s="1"/>
  <c r="F32" i="36"/>
  <c r="C39" i="36" s="1"/>
  <c r="G32" i="36"/>
  <c r="C40" i="36" s="1"/>
  <c r="E21" i="20"/>
  <c r="N6" i="13"/>
  <c r="T18" i="13" s="1"/>
  <c r="U18" i="13" s="1"/>
  <c r="V18" i="13" s="1"/>
  <c r="W18" i="13" s="1"/>
  <c r="X18" i="13" s="1"/>
  <c r="M68" i="36" l="1"/>
  <c r="H18" i="20"/>
  <c r="F18" i="20"/>
  <c r="G5" i="5"/>
  <c r="F5" i="5"/>
  <c r="E5" i="5"/>
  <c r="G5" i="20" s="1"/>
  <c r="D5" i="5"/>
  <c r="L68" i="36"/>
  <c r="O53" i="36"/>
  <c r="O56" i="36" s="1"/>
  <c r="P56" i="36" s="1"/>
  <c r="P52" i="36"/>
  <c r="N46" i="36"/>
  <c r="N47" i="36" s="1"/>
  <c r="N48" i="36" s="1"/>
  <c r="O45" i="36"/>
  <c r="N64" i="36"/>
  <c r="N65" i="36" s="1"/>
  <c r="N66" i="36" s="1"/>
  <c r="O63" i="36"/>
  <c r="F21" i="20"/>
  <c r="T17" i="13"/>
  <c r="U17" i="13" s="1"/>
  <c r="V17" i="13" s="1"/>
  <c r="W17" i="13" s="1"/>
  <c r="X17" i="13" s="1"/>
  <c r="T16" i="13"/>
  <c r="U16" i="13" s="1"/>
  <c r="V16" i="13" s="1"/>
  <c r="W16" i="13" s="1"/>
  <c r="X16" i="13" s="1"/>
  <c r="C24" i="18"/>
  <c r="C23" i="18"/>
  <c r="C22" i="18"/>
  <c r="C21" i="18"/>
  <c r="C18" i="18"/>
  <c r="C16" i="18"/>
  <c r="C15" i="18"/>
  <c r="E9" i="13"/>
  <c r="G9" i="13" s="1"/>
  <c r="E8" i="13"/>
  <c r="F8" i="13" s="1"/>
  <c r="N68" i="36" l="1"/>
  <c r="O64" i="36"/>
  <c r="P63" i="36"/>
  <c r="O46" i="36"/>
  <c r="P45" i="36"/>
  <c r="G21" i="20"/>
  <c r="I9" i="13"/>
  <c r="F9" i="13"/>
  <c r="H23" i="20"/>
  <c r="I23" i="20" s="1"/>
  <c r="D35" i="2"/>
  <c r="D13" i="16"/>
  <c r="F7" i="16"/>
  <c r="F6" i="16"/>
  <c r="F5" i="16"/>
  <c r="D24" i="18"/>
  <c r="D15" i="18"/>
  <c r="D16" i="18"/>
  <c r="D23" i="18"/>
  <c r="D18" i="18"/>
  <c r="G9" i="18"/>
  <c r="G8" i="18"/>
  <c r="G7" i="18"/>
  <c r="G6" i="18"/>
  <c r="G5" i="18"/>
  <c r="E10" i="18"/>
  <c r="D10" i="18"/>
  <c r="C10" i="18"/>
  <c r="F22" i="35"/>
  <c r="F21" i="35"/>
  <c r="F20" i="35"/>
  <c r="F19" i="35"/>
  <c r="F18" i="35"/>
  <c r="F17" i="35"/>
  <c r="F16" i="35"/>
  <c r="F15" i="35"/>
  <c r="F14" i="35"/>
  <c r="F6" i="35"/>
  <c r="F7" i="35"/>
  <c r="F5" i="35"/>
  <c r="D26" i="13"/>
  <c r="H17" i="13"/>
  <c r="F23" i="35" l="1"/>
  <c r="C9" i="2" s="1"/>
  <c r="O47" i="36"/>
  <c r="P46" i="36"/>
  <c r="O65" i="36"/>
  <c r="P64" i="36"/>
  <c r="E22" i="20"/>
  <c r="H19" i="24"/>
  <c r="I19" i="24" s="1"/>
  <c r="J19" i="24" s="1"/>
  <c r="K19" i="24" s="1"/>
  <c r="L19" i="24" s="1"/>
  <c r="F22" i="29"/>
  <c r="H22" i="29" s="1"/>
  <c r="D37" i="2"/>
  <c r="H21" i="20"/>
  <c r="D29" i="13"/>
  <c r="K9" i="13"/>
  <c r="L9" i="13" s="1"/>
  <c r="C19" i="18"/>
  <c r="G10" i="18"/>
  <c r="D17" i="18"/>
  <c r="D19" i="18" s="1"/>
  <c r="C11" i="2" s="1"/>
  <c r="G21" i="29"/>
  <c r="H21" i="29" s="1"/>
  <c r="C25" i="18"/>
  <c r="F8" i="35"/>
  <c r="O66" i="36" l="1"/>
  <c r="P65" i="36"/>
  <c r="O48" i="36"/>
  <c r="P48" i="36" s="1"/>
  <c r="P47" i="36"/>
  <c r="D11" i="2"/>
  <c r="E11" i="2" s="1"/>
  <c r="F11" i="2" s="1"/>
  <c r="G11" i="2" s="1"/>
  <c r="G13" i="29"/>
  <c r="H13" i="29" s="1"/>
  <c r="F22" i="20"/>
  <c r="E20" i="20"/>
  <c r="H7" i="29"/>
  <c r="I21" i="20"/>
  <c r="O68" i="36" l="1"/>
  <c r="P68" i="36" s="1"/>
  <c r="C32" i="36" s="1"/>
  <c r="P66" i="36"/>
  <c r="G22" i="20"/>
  <c r="F20" i="20"/>
  <c r="D9" i="2"/>
  <c r="E9" i="2" s="1"/>
  <c r="F9" i="2" s="1"/>
  <c r="G9" i="2" s="1"/>
  <c r="G11" i="29"/>
  <c r="H11" i="29" s="1"/>
  <c r="F106" i="1"/>
  <c r="F107" i="1" s="1"/>
  <c r="F108" i="1" s="1"/>
  <c r="F97" i="1"/>
  <c r="C16" i="1" s="1"/>
  <c r="D13" i="28" s="1"/>
  <c r="E13" i="28" s="1"/>
  <c r="F13" i="28" s="1"/>
  <c r="G13" i="28" s="1"/>
  <c r="H13" i="28" s="1"/>
  <c r="I13" i="28" s="1"/>
  <c r="G15" i="33" l="1"/>
  <c r="C6" i="2" s="1"/>
  <c r="D6" i="2" s="1"/>
  <c r="E6" i="2" s="1"/>
  <c r="C36" i="36"/>
  <c r="C5" i="5" s="1"/>
  <c r="H22" i="20"/>
  <c r="G20" i="20"/>
  <c r="C17" i="1"/>
  <c r="F98" i="1"/>
  <c r="F99" i="1" s="1"/>
  <c r="F4" i="29" l="1"/>
  <c r="I22" i="20"/>
  <c r="I20" i="20" s="1"/>
  <c r="H20" i="20"/>
  <c r="I6" i="25"/>
  <c r="D9" i="22"/>
  <c r="E5" i="22" s="1"/>
  <c r="G5" i="22" s="1"/>
  <c r="G7" i="19"/>
  <c r="H7" i="19" s="1"/>
  <c r="I7" i="19" s="1"/>
  <c r="J7" i="19" s="1"/>
  <c r="E19" i="22" l="1"/>
  <c r="E9" i="21" l="1"/>
  <c r="F9" i="21" l="1"/>
  <c r="E9" i="29" l="1"/>
  <c r="E3" i="29"/>
  <c r="E8" i="21" l="1"/>
  <c r="E7" i="21"/>
  <c r="D28" i="22"/>
  <c r="F27" i="22"/>
  <c r="F8" i="21" l="1"/>
  <c r="F7" i="21"/>
  <c r="B28" i="2"/>
  <c r="D3" i="23"/>
  <c r="C28" i="2" s="1"/>
  <c r="D28" i="2" l="1"/>
  <c r="H24" i="29"/>
  <c r="D4" i="23"/>
  <c r="E13" i="19"/>
  <c r="C4" i="23"/>
  <c r="C29" i="2"/>
  <c r="E28" i="2" l="1"/>
  <c r="E5" i="19"/>
  <c r="F5" i="19" s="1"/>
  <c r="G5" i="19" s="1"/>
  <c r="C11" i="1"/>
  <c r="D8" i="28" s="1"/>
  <c r="H18" i="24"/>
  <c r="F13" i="19"/>
  <c r="G13" i="19" s="1"/>
  <c r="D29" i="2"/>
  <c r="H8" i="28" l="1"/>
  <c r="I8" i="28" s="1"/>
  <c r="F28" i="2"/>
  <c r="I18" i="24"/>
  <c r="E29" i="2"/>
  <c r="H5" i="19"/>
  <c r="H13" i="19"/>
  <c r="G28" i="2" l="1"/>
  <c r="I24" i="20" s="1"/>
  <c r="H24" i="20"/>
  <c r="E10" i="21"/>
  <c r="F10" i="21"/>
  <c r="C10" i="21"/>
  <c r="J18" i="24"/>
  <c r="F29" i="2"/>
  <c r="I5" i="19"/>
  <c r="I13" i="19"/>
  <c r="B6" i="19"/>
  <c r="D22" i="18"/>
  <c r="G29" i="2" l="1"/>
  <c r="C4" i="1"/>
  <c r="K18" i="24"/>
  <c r="J13" i="19"/>
  <c r="J5" i="19"/>
  <c r="L18" i="24" l="1"/>
  <c r="H23" i="24"/>
  <c r="E18" i="20"/>
  <c r="E13" i="16"/>
  <c r="F13" i="16" s="1"/>
  <c r="E12" i="16"/>
  <c r="F12" i="16" s="1"/>
  <c r="E11" i="16"/>
  <c r="F11" i="16" s="1"/>
  <c r="E10" i="16"/>
  <c r="D10" i="16"/>
  <c r="F4" i="16"/>
  <c r="F8" i="16" s="1"/>
  <c r="F10" i="16" l="1"/>
  <c r="F10" i="18"/>
  <c r="C26" i="18"/>
  <c r="D21" i="18"/>
  <c r="D25" i="18" s="1"/>
  <c r="C19" i="2" l="1"/>
  <c r="H18" i="29" s="1"/>
  <c r="D26" i="18"/>
  <c r="D19" i="2"/>
  <c r="E16" i="20"/>
  <c r="F14" i="16"/>
  <c r="F15" i="16" s="1"/>
  <c r="C17" i="2" s="1"/>
  <c r="F15" i="29" s="1"/>
  <c r="H15" i="29" s="1"/>
  <c r="H4" i="29"/>
  <c r="D17" i="2" l="1"/>
  <c r="E14" i="20"/>
  <c r="E19" i="2"/>
  <c r="F16" i="20"/>
  <c r="F19" i="2" l="1"/>
  <c r="G16" i="20"/>
  <c r="E17" i="2"/>
  <c r="F14" i="20"/>
  <c r="E17" i="13"/>
  <c r="I17" i="13" s="1"/>
  <c r="E7" i="13"/>
  <c r="E6" i="13"/>
  <c r="I6" i="13" s="1"/>
  <c r="F17" i="2" l="1"/>
  <c r="G14" i="20"/>
  <c r="G19" i="2"/>
  <c r="I16" i="20" s="1"/>
  <c r="H16" i="20"/>
  <c r="G7" i="13"/>
  <c r="I7" i="13"/>
  <c r="G8" i="13"/>
  <c r="I8" i="13"/>
  <c r="F6" i="13"/>
  <c r="G17" i="13"/>
  <c r="F17" i="13"/>
  <c r="G6" i="13"/>
  <c r="F7" i="13"/>
  <c r="G17" i="2" l="1"/>
  <c r="I14" i="20" s="1"/>
  <c r="H14" i="20"/>
  <c r="K6" i="13"/>
  <c r="L6" i="13" s="1"/>
  <c r="K7" i="13"/>
  <c r="L7" i="13" s="1"/>
  <c r="K17" i="13"/>
  <c r="L17" i="13" s="1"/>
  <c r="K8" i="13"/>
  <c r="L8" i="13" s="1"/>
  <c r="L10" i="13" l="1"/>
  <c r="L11" i="13" s="1"/>
  <c r="L20" i="13"/>
  <c r="O20" i="13" l="1"/>
  <c r="O16" i="13"/>
  <c r="O19" i="13"/>
  <c r="O18" i="13"/>
  <c r="O17" i="13"/>
  <c r="P16" i="13"/>
  <c r="C18" i="2"/>
  <c r="F16" i="29" s="1"/>
  <c r="H16" i="29" s="1"/>
  <c r="C7" i="2"/>
  <c r="C5" i="2" l="1"/>
  <c r="E7" i="20" s="1"/>
  <c r="F6" i="29"/>
  <c r="H6" i="29" s="1"/>
  <c r="D18" i="2"/>
  <c r="E15" i="20"/>
  <c r="Q16" i="13"/>
  <c r="P17" i="13"/>
  <c r="D5" i="2" s="1"/>
  <c r="E18" i="2" l="1"/>
  <c r="F15" i="20"/>
  <c r="P18" i="13"/>
  <c r="E7" i="2" s="1"/>
  <c r="Q17" i="13"/>
  <c r="F18" i="2" l="1"/>
  <c r="G15" i="20"/>
  <c r="P19" i="13"/>
  <c r="F7" i="2" s="1"/>
  <c r="Q18" i="13"/>
  <c r="I15" i="20" l="1"/>
  <c r="H15" i="20"/>
  <c r="P20" i="13"/>
  <c r="G7" i="2" s="1"/>
  <c r="Q19" i="13"/>
  <c r="Q20" i="13" l="1"/>
  <c r="C12" i="1" l="1"/>
  <c r="D9" i="28" s="1"/>
  <c r="E5" i="20"/>
  <c r="E4" i="20" s="1"/>
  <c r="C14" i="1"/>
  <c r="D11" i="28" s="1"/>
  <c r="E11" i="28" s="1"/>
  <c r="F11" i="28" s="1"/>
  <c r="G11" i="28" s="1"/>
  <c r="H11" i="28" s="1"/>
  <c r="I11" i="28" s="1"/>
  <c r="C13" i="1"/>
  <c r="H10" i="28" s="1"/>
  <c r="I10" i="28" s="1"/>
  <c r="E16" i="19"/>
  <c r="F16" i="19" s="1"/>
  <c r="G16" i="19" s="1"/>
  <c r="H16" i="19" s="1"/>
  <c r="E15" i="19"/>
  <c r="F15" i="19" s="1"/>
  <c r="G15" i="19" s="1"/>
  <c r="H15" i="19" s="1"/>
  <c r="I15" i="19" s="1"/>
  <c r="J15" i="19" s="1"/>
  <c r="E17" i="19"/>
  <c r="F17" i="19" s="1"/>
  <c r="G17" i="19" s="1"/>
  <c r="H17" i="19" s="1"/>
  <c r="I17" i="19" s="1"/>
  <c r="J17" i="19" s="1"/>
  <c r="E14" i="19"/>
  <c r="C15" i="1"/>
  <c r="D12" i="28" s="1"/>
  <c r="E12" i="28" s="1"/>
  <c r="F12" i="28" s="1"/>
  <c r="G12" i="28" s="1"/>
  <c r="H12" i="28" s="1"/>
  <c r="I12" i="28" s="1"/>
  <c r="E9" i="28" l="1"/>
  <c r="F9" i="28" s="1"/>
  <c r="G9" i="28" s="1"/>
  <c r="H9" i="28" s="1"/>
  <c r="I9" i="28" s="1"/>
  <c r="D7" i="28"/>
  <c r="C18" i="1"/>
  <c r="C3" i="1" s="1"/>
  <c r="C6" i="5"/>
  <c r="G39" i="29" s="1"/>
  <c r="H10" i="24"/>
  <c r="E18" i="19"/>
  <c r="C20" i="2" s="1"/>
  <c r="F19" i="29" s="1"/>
  <c r="H19" i="29" s="1"/>
  <c r="C18" i="19"/>
  <c r="F14" i="19"/>
  <c r="F18" i="19" s="1"/>
  <c r="D20" i="2" l="1"/>
  <c r="E17" i="20"/>
  <c r="E13" i="20" s="1"/>
  <c r="E12" i="20" s="1"/>
  <c r="D6" i="5"/>
  <c r="F5" i="20"/>
  <c r="F4" i="20" s="1"/>
  <c r="C8" i="19"/>
  <c r="C23" i="2"/>
  <c r="G4" i="20"/>
  <c r="E6" i="5"/>
  <c r="E6" i="19"/>
  <c r="E8" i="19" s="1"/>
  <c r="G14" i="19"/>
  <c r="G18" i="19" s="1"/>
  <c r="F17" i="20" l="1"/>
  <c r="F13" i="20" s="1"/>
  <c r="E20" i="2"/>
  <c r="F20" i="2" s="1"/>
  <c r="D23" i="2"/>
  <c r="E14" i="28"/>
  <c r="F14" i="28" s="1"/>
  <c r="C10" i="2"/>
  <c r="D10" i="2" s="1"/>
  <c r="E10" i="2" s="1"/>
  <c r="I10" i="24"/>
  <c r="J10" i="24"/>
  <c r="F7" i="20"/>
  <c r="G25" i="29"/>
  <c r="G38" i="29" s="1"/>
  <c r="F43" i="29" s="1"/>
  <c r="H5" i="20"/>
  <c r="H4" i="20" s="1"/>
  <c r="F6" i="5"/>
  <c r="H14" i="19"/>
  <c r="H18" i="19" s="1"/>
  <c r="F6" i="19"/>
  <c r="F8" i="19" s="1"/>
  <c r="E8" i="2" l="1"/>
  <c r="G8" i="20" s="1"/>
  <c r="F10" i="2"/>
  <c r="F12" i="29"/>
  <c r="H12" i="29" s="1"/>
  <c r="C8" i="2"/>
  <c r="G17" i="20"/>
  <c r="G13" i="20" s="1"/>
  <c r="E7" i="28"/>
  <c r="H17" i="20"/>
  <c r="H13" i="20" s="1"/>
  <c r="D40" i="2"/>
  <c r="K10" i="24"/>
  <c r="F12" i="20"/>
  <c r="I5" i="20"/>
  <c r="I4" i="20" s="1"/>
  <c r="G6" i="5"/>
  <c r="I14" i="19"/>
  <c r="I18" i="19" s="1"/>
  <c r="G6" i="19"/>
  <c r="C12" i="2" l="1"/>
  <c r="C40" i="2" s="1"/>
  <c r="E8" i="20"/>
  <c r="E6" i="20" s="1"/>
  <c r="F8" i="2"/>
  <c r="G10" i="2"/>
  <c r="G8" i="2" s="1"/>
  <c r="C41" i="2"/>
  <c r="E41" i="2" s="1"/>
  <c r="F41" i="2" s="1"/>
  <c r="G41" i="2" s="1"/>
  <c r="D41" i="2"/>
  <c r="G14" i="28"/>
  <c r="F7" i="28"/>
  <c r="G20" i="2"/>
  <c r="C5" i="36"/>
  <c r="G5" i="36" s="1"/>
  <c r="F5" i="36" s="1"/>
  <c r="D8" i="2"/>
  <c r="G8" i="19"/>
  <c r="H6" i="19"/>
  <c r="H8" i="19" s="1"/>
  <c r="L10" i="24"/>
  <c r="I17" i="24"/>
  <c r="G12" i="20"/>
  <c r="J17" i="24"/>
  <c r="F25" i="29"/>
  <c r="J14" i="19"/>
  <c r="J18" i="19" s="1"/>
  <c r="D12" i="2" l="1"/>
  <c r="C6" i="36" s="1"/>
  <c r="D6" i="36" s="1"/>
  <c r="F8" i="20"/>
  <c r="G37" i="24"/>
  <c r="H14" i="28"/>
  <c r="G7" i="28"/>
  <c r="D37" i="36"/>
  <c r="E37" i="36" s="1"/>
  <c r="D36" i="36"/>
  <c r="E36" i="36" s="1"/>
  <c r="I17" i="20"/>
  <c r="I13" i="20" s="1"/>
  <c r="H12" i="20"/>
  <c r="H25" i="29"/>
  <c r="F37" i="29"/>
  <c r="F42" i="29" s="1"/>
  <c r="F46" i="29" s="1"/>
  <c r="I49" i="29" s="1"/>
  <c r="F6" i="20"/>
  <c r="F10" i="20" s="1"/>
  <c r="H16" i="24"/>
  <c r="H26" i="24" s="1"/>
  <c r="I6" i="19"/>
  <c r="I8" i="19" s="1"/>
  <c r="I14" i="28" l="1"/>
  <c r="I7" i="28" s="1"/>
  <c r="H7" i="28"/>
  <c r="H5" i="36"/>
  <c r="G8" i="36" s="1"/>
  <c r="F26" i="20"/>
  <c r="I17" i="32" s="1"/>
  <c r="I13" i="32"/>
  <c r="K17" i="24"/>
  <c r="I12" i="20"/>
  <c r="I16" i="24"/>
  <c r="J6" i="19"/>
  <c r="J8" i="19" s="1"/>
  <c r="L11" i="24" s="1"/>
  <c r="I5" i="36" l="1"/>
  <c r="L17" i="24"/>
  <c r="H8" i="20"/>
  <c r="I8" i="20"/>
  <c r="H8" i="36" l="1"/>
  <c r="G9" i="36"/>
  <c r="H9" i="36" l="1"/>
  <c r="H17" i="24"/>
  <c r="D22" i="28" l="1"/>
  <c r="E5" i="25" l="1"/>
  <c r="G31" i="24"/>
  <c r="C26" i="24" s="1"/>
  <c r="E22" i="28"/>
  <c r="F22" i="28" s="1"/>
  <c r="G22" i="28" s="1"/>
  <c r="H22" i="28" s="1"/>
  <c r="I22" i="28" s="1"/>
  <c r="D25" i="28"/>
  <c r="G26" i="24"/>
  <c r="G28" i="24" s="1"/>
  <c r="D18" i="22"/>
  <c r="D23" i="22" s="1"/>
  <c r="E7" i="22"/>
  <c r="G7" i="22" s="1"/>
  <c r="G36" i="24" l="1"/>
  <c r="E9" i="22"/>
  <c r="G9" i="22"/>
  <c r="G11" i="22" s="1"/>
  <c r="G14" i="22" s="1"/>
  <c r="H27" i="22"/>
  <c r="G32" i="22" s="1"/>
  <c r="D27" i="22"/>
  <c r="H37" i="24" l="1"/>
  <c r="H9" i="24"/>
  <c r="H13" i="24" s="1"/>
  <c r="C42" i="2"/>
  <c r="G4" i="26"/>
  <c r="E16" i="25"/>
  <c r="D17" i="28"/>
  <c r="D31" i="22"/>
  <c r="H31" i="22" s="1"/>
  <c r="G33" i="22"/>
  <c r="D6" i="28" l="1"/>
  <c r="D5" i="28" s="1"/>
  <c r="D15" i="28" s="1"/>
  <c r="G2" i="26"/>
  <c r="H4" i="26" s="1"/>
  <c r="G38" i="24"/>
  <c r="F2" i="25"/>
  <c r="F5" i="25" s="1"/>
  <c r="G5" i="25" s="1"/>
  <c r="E5" i="26"/>
  <c r="C43" i="2"/>
  <c r="C5" i="1" s="1"/>
  <c r="C6" i="1" s="1"/>
  <c r="F7" i="25"/>
  <c r="F8" i="25"/>
  <c r="D32" i="22"/>
  <c r="E32" i="22" s="1"/>
  <c r="D20" i="28"/>
  <c r="D26" i="28" s="1"/>
  <c r="G34" i="22"/>
  <c r="F10" i="25" l="1"/>
  <c r="F6" i="25"/>
  <c r="F9" i="25"/>
  <c r="F5" i="26"/>
  <c r="D27" i="28"/>
  <c r="G35" i="22"/>
  <c r="E16" i="26"/>
  <c r="E28" i="26" s="1"/>
  <c r="F32" i="22"/>
  <c r="G36" i="22" l="1"/>
  <c r="H32" i="22"/>
  <c r="D33" i="22" l="1"/>
  <c r="E33" i="22" s="1"/>
  <c r="G37" i="22"/>
  <c r="G38" i="22" l="1"/>
  <c r="F33" i="22"/>
  <c r="G39" i="22" l="1"/>
  <c r="H33" i="22"/>
  <c r="D34" i="22" l="1"/>
  <c r="E34" i="22" s="1"/>
  <c r="G40" i="22"/>
  <c r="G41" i="22" l="1"/>
  <c r="F34" i="22"/>
  <c r="G42" i="22" l="1"/>
  <c r="H34" i="22"/>
  <c r="D35" i="22" l="1"/>
  <c r="E35" i="22" s="1"/>
  <c r="G43" i="22"/>
  <c r="G44" i="22" l="1"/>
  <c r="F35" i="22"/>
  <c r="G45" i="22" l="1"/>
  <c r="H35" i="22"/>
  <c r="D36" i="22" l="1"/>
  <c r="E36" i="22" s="1"/>
  <c r="G46" i="22"/>
  <c r="G47" i="22" l="1"/>
  <c r="F36" i="22"/>
  <c r="G48" i="22" l="1"/>
  <c r="H36" i="22"/>
  <c r="D37" i="22" l="1"/>
  <c r="E37" i="22" s="1"/>
  <c r="F37" i="22" s="1"/>
  <c r="H37" i="22" s="1"/>
  <c r="G49" i="22"/>
  <c r="D38" i="22" l="1"/>
  <c r="E38" i="22" s="1"/>
  <c r="F38" i="22" s="1"/>
  <c r="H38" i="22" s="1"/>
  <c r="G50" i="22"/>
  <c r="D39" i="22" l="1"/>
  <c r="E39" i="22" s="1"/>
  <c r="F39" i="22" s="1"/>
  <c r="H39" i="22" s="1"/>
  <c r="G51" i="22"/>
  <c r="D40" i="22" l="1"/>
  <c r="E40" i="22" s="1"/>
  <c r="F40" i="22" s="1"/>
  <c r="H40" i="22" s="1"/>
  <c r="G52" i="22"/>
  <c r="D41" i="22" l="1"/>
  <c r="E41" i="22" s="1"/>
  <c r="F41" i="22" s="1"/>
  <c r="H41" i="22" s="1"/>
  <c r="G53" i="22"/>
  <c r="D42" i="22" l="1"/>
  <c r="E42" i="22" s="1"/>
  <c r="F42" i="22" s="1"/>
  <c r="H42" i="22" s="1"/>
  <c r="G54" i="22"/>
  <c r="D43" i="22" l="1"/>
  <c r="E43" i="22" s="1"/>
  <c r="G55" i="22"/>
  <c r="G56" i="22" l="1"/>
  <c r="F43" i="22"/>
  <c r="M21" i="22" s="1"/>
  <c r="M20" i="22"/>
  <c r="E28" i="20" l="1"/>
  <c r="H20" i="24"/>
  <c r="H28" i="24" s="1"/>
  <c r="G57" i="22"/>
  <c r="H43" i="22"/>
  <c r="H32" i="24" l="1"/>
  <c r="H36" i="24" s="1"/>
  <c r="D44" i="22"/>
  <c r="E44" i="22" s="1"/>
  <c r="G58" i="22"/>
  <c r="G5" i="26"/>
  <c r="H5" i="26" s="1"/>
  <c r="M22" i="22"/>
  <c r="E6" i="28" l="1"/>
  <c r="E5" i="28" s="1"/>
  <c r="I9" i="24"/>
  <c r="E10" i="20"/>
  <c r="E6" i="25"/>
  <c r="G6" i="25" s="1"/>
  <c r="E19" i="28"/>
  <c r="I34" i="24"/>
  <c r="E18" i="28"/>
  <c r="I33" i="24"/>
  <c r="F44" i="22"/>
  <c r="G59" i="22"/>
  <c r="H13" i="32" l="1"/>
  <c r="E26" i="20"/>
  <c r="F6" i="2"/>
  <c r="G6" i="2" s="1"/>
  <c r="G5" i="2" s="1"/>
  <c r="E5" i="2"/>
  <c r="E20" i="28"/>
  <c r="G60" i="22"/>
  <c r="H44" i="22"/>
  <c r="G7" i="20" l="1"/>
  <c r="G6" i="20" s="1"/>
  <c r="G10" i="20" s="1"/>
  <c r="E12" i="2"/>
  <c r="H17" i="32"/>
  <c r="E30" i="20"/>
  <c r="E34" i="20" s="1"/>
  <c r="E38" i="20" s="1"/>
  <c r="E23" i="28" s="1"/>
  <c r="E25" i="28" s="1"/>
  <c r="F5" i="2"/>
  <c r="I13" i="24"/>
  <c r="E6" i="26" s="1"/>
  <c r="F6" i="26" s="1"/>
  <c r="D45" i="22"/>
  <c r="E45" i="22" s="1"/>
  <c r="G61" i="22"/>
  <c r="H21" i="32" l="1"/>
  <c r="F24" i="28"/>
  <c r="H7" i="20"/>
  <c r="H6" i="20" s="1"/>
  <c r="H10" i="20" s="1"/>
  <c r="F12" i="2"/>
  <c r="I7" i="20"/>
  <c r="I6" i="20" s="1"/>
  <c r="I10" i="20" s="1"/>
  <c r="G12" i="2"/>
  <c r="C7" i="36"/>
  <c r="J16" i="24"/>
  <c r="G26" i="20"/>
  <c r="J17" i="32" s="1"/>
  <c r="J13" i="32"/>
  <c r="G62" i="22"/>
  <c r="E17" i="25"/>
  <c r="F45" i="22"/>
  <c r="E26" i="28" l="1"/>
  <c r="D7" i="36"/>
  <c r="I8" i="36" s="1"/>
  <c r="D38" i="36"/>
  <c r="E38" i="36" s="1"/>
  <c r="L13" i="32"/>
  <c r="I26" i="20"/>
  <c r="L17" i="32" s="1"/>
  <c r="C8" i="36"/>
  <c r="K16" i="24"/>
  <c r="C9" i="36"/>
  <c r="L16" i="24"/>
  <c r="H26" i="20"/>
  <c r="K17" i="32" s="1"/>
  <c r="K13" i="32"/>
  <c r="E15" i="28"/>
  <c r="H29" i="32" s="1"/>
  <c r="H8" i="32"/>
  <c r="H25" i="32"/>
  <c r="H45" i="22"/>
  <c r="E17" i="26"/>
  <c r="F17" i="26" s="1"/>
  <c r="G63" i="22"/>
  <c r="D40" i="36" l="1"/>
  <c r="E40" i="36" s="1"/>
  <c r="D9" i="36"/>
  <c r="D39" i="36"/>
  <c r="E39" i="36" s="1"/>
  <c r="D8" i="36"/>
  <c r="J8" i="36" s="1"/>
  <c r="I9" i="36"/>
  <c r="E27" i="28"/>
  <c r="G64" i="22"/>
  <c r="D46" i="22"/>
  <c r="E46" i="22" s="1"/>
  <c r="K8" i="36" l="1"/>
  <c r="K9" i="36" s="1"/>
  <c r="J9" i="36"/>
  <c r="F46" i="22"/>
  <c r="G65" i="22"/>
  <c r="G66" i="22" l="1"/>
  <c r="H46" i="22"/>
  <c r="D47" i="22" l="1"/>
  <c r="E47" i="22" s="1"/>
  <c r="G67" i="22"/>
  <c r="G68" i="22" l="1"/>
  <c r="F47" i="22"/>
  <c r="G69" i="22" l="1"/>
  <c r="H47" i="22"/>
  <c r="D48" i="22" l="1"/>
  <c r="E48" i="22" s="1"/>
  <c r="G70" i="22"/>
  <c r="G71" i="22" l="1"/>
  <c r="F48" i="22"/>
  <c r="G72" i="22" l="1"/>
  <c r="H48" i="22"/>
  <c r="D49" i="22" l="1"/>
  <c r="E49" i="22" s="1"/>
  <c r="F49" i="22" s="1"/>
  <c r="H49" i="22" s="1"/>
  <c r="G73" i="22"/>
  <c r="D50" i="22" l="1"/>
  <c r="E50" i="22" s="1"/>
  <c r="F50" i="22" s="1"/>
  <c r="H50" i="22" s="1"/>
  <c r="G74" i="22"/>
  <c r="D51" i="22" l="1"/>
  <c r="E51" i="22" s="1"/>
  <c r="F51" i="22" s="1"/>
  <c r="H51" i="22" s="1"/>
  <c r="G75" i="22"/>
  <c r="D52" i="22" l="1"/>
  <c r="E52" i="22" s="1"/>
  <c r="F52" i="22" s="1"/>
  <c r="H52" i="22" s="1"/>
  <c r="G76" i="22"/>
  <c r="D53" i="22" l="1"/>
  <c r="E53" i="22" s="1"/>
  <c r="F53" i="22" s="1"/>
  <c r="H53" i="22" s="1"/>
  <c r="G77" i="22"/>
  <c r="D54" i="22" l="1"/>
  <c r="E54" i="22" s="1"/>
  <c r="F54" i="22" s="1"/>
  <c r="H54" i="22" s="1"/>
  <c r="G78" i="22"/>
  <c r="D55" i="22" l="1"/>
  <c r="E55" i="22" s="1"/>
  <c r="G79" i="22"/>
  <c r="G80" i="22" l="1"/>
  <c r="F55" i="22"/>
  <c r="N20" i="22"/>
  <c r="F28" i="20" l="1"/>
  <c r="F30" i="20" s="1"/>
  <c r="I20" i="24"/>
  <c r="I26" i="24" s="1"/>
  <c r="G81" i="22"/>
  <c r="N21" i="22"/>
  <c r="I32" i="24" s="1"/>
  <c r="H55" i="22"/>
  <c r="F18" i="28" l="1"/>
  <c r="J33" i="24"/>
  <c r="G6" i="26"/>
  <c r="H6" i="26" s="1"/>
  <c r="I28" i="24"/>
  <c r="I36" i="24" s="1"/>
  <c r="D56" i="22"/>
  <c r="E56" i="22" s="1"/>
  <c r="F17" i="28"/>
  <c r="G82" i="22"/>
  <c r="N22" i="22"/>
  <c r="J9" i="24" l="1"/>
  <c r="F6" i="28"/>
  <c r="F5" i="28" s="1"/>
  <c r="F34" i="20"/>
  <c r="G83" i="22"/>
  <c r="F56" i="22"/>
  <c r="J34" i="24" l="1"/>
  <c r="F19" i="28"/>
  <c r="F20" i="28" s="1"/>
  <c r="H56" i="22"/>
  <c r="G84" i="22"/>
  <c r="F38" i="20" l="1"/>
  <c r="F23" i="28" s="1"/>
  <c r="F25" i="28" s="1"/>
  <c r="G85" i="22"/>
  <c r="D57" i="22"/>
  <c r="E57" i="22" s="1"/>
  <c r="G24" i="28" l="1"/>
  <c r="E7" i="25"/>
  <c r="G7" i="25" s="1"/>
  <c r="I21" i="32"/>
  <c r="G86" i="22"/>
  <c r="F57" i="22"/>
  <c r="J13" i="24" l="1"/>
  <c r="E7" i="26" s="1"/>
  <c r="F7" i="26" s="1"/>
  <c r="F26" i="28"/>
  <c r="I25" i="32"/>
  <c r="H57" i="22"/>
  <c r="G87" i="22"/>
  <c r="E18" i="25"/>
  <c r="F15" i="28" l="1"/>
  <c r="F27" i="28" s="1"/>
  <c r="I8" i="32"/>
  <c r="E18" i="26"/>
  <c r="F18" i="26" s="1"/>
  <c r="G88" i="22"/>
  <c r="D58" i="22"/>
  <c r="E58" i="22" s="1"/>
  <c r="I29" i="32" l="1"/>
  <c r="F58" i="22"/>
  <c r="G89" i="22"/>
  <c r="G90" i="22" l="1"/>
  <c r="H58" i="22"/>
  <c r="D59" i="22" l="1"/>
  <c r="E59" i="22" s="1"/>
  <c r="G91" i="22"/>
  <c r="F59" i="22" l="1"/>
  <c r="H59" i="22" l="1"/>
  <c r="D60" i="22" l="1"/>
  <c r="E60" i="22" s="1"/>
  <c r="F60" i="22" l="1"/>
  <c r="H60" i="22" l="1"/>
  <c r="D61" i="22" l="1"/>
  <c r="E61" i="22" s="1"/>
  <c r="F61" i="22" s="1"/>
  <c r="H61" i="22" s="1"/>
  <c r="D62" i="22" l="1"/>
  <c r="E62" i="22" s="1"/>
  <c r="F62" i="22" s="1"/>
  <c r="H62" i="22" s="1"/>
  <c r="D63" i="22" l="1"/>
  <c r="E63" i="22" s="1"/>
  <c r="F63" i="22" s="1"/>
  <c r="H63" i="22" s="1"/>
  <c r="D64" i="22" l="1"/>
  <c r="E64" i="22" s="1"/>
  <c r="F64" i="22" s="1"/>
  <c r="H64" i="22" s="1"/>
  <c r="D65" i="22" l="1"/>
  <c r="E65" i="22" s="1"/>
  <c r="F65" i="22" s="1"/>
  <c r="H65" i="22" s="1"/>
  <c r="D66" i="22" l="1"/>
  <c r="E66" i="22" s="1"/>
  <c r="F66" i="22" s="1"/>
  <c r="H66" i="22" s="1"/>
  <c r="D67" i="22" l="1"/>
  <c r="E67" i="22" s="1"/>
  <c r="F67" i="22" l="1"/>
  <c r="O20" i="22"/>
  <c r="G28" i="20" l="1"/>
  <c r="G30" i="20" s="1"/>
  <c r="J20" i="24"/>
  <c r="J26" i="24" s="1"/>
  <c r="O21" i="22"/>
  <c r="J32" i="24" s="1"/>
  <c r="H67" i="22"/>
  <c r="G32" i="20" l="1"/>
  <c r="G18" i="28" s="1"/>
  <c r="D68" i="22"/>
  <c r="E68" i="22" s="1"/>
  <c r="G17" i="28"/>
  <c r="J28" i="24"/>
  <c r="G7" i="26"/>
  <c r="H7" i="26" s="1"/>
  <c r="O22" i="22"/>
  <c r="K33" i="24" l="1"/>
  <c r="G34" i="20"/>
  <c r="G36" i="20" s="1"/>
  <c r="F68" i="22"/>
  <c r="K34" i="24" l="1"/>
  <c r="G19" i="28"/>
  <c r="G20" i="28" s="1"/>
  <c r="G38" i="20"/>
  <c r="G23" i="28" s="1"/>
  <c r="G25" i="28" s="1"/>
  <c r="J36" i="24"/>
  <c r="G6" i="28" s="1"/>
  <c r="G5" i="28" s="1"/>
  <c r="H68" i="22"/>
  <c r="K9" i="24" l="1"/>
  <c r="E8" i="25"/>
  <c r="G8" i="25" s="1"/>
  <c r="J21" i="32"/>
  <c r="D69" i="22"/>
  <c r="E69" i="22" s="1"/>
  <c r="H24" i="28"/>
  <c r="K13" i="24" l="1"/>
  <c r="E8" i="26" s="1"/>
  <c r="F8" i="26" s="1"/>
  <c r="E19" i="25"/>
  <c r="F69" i="22"/>
  <c r="G15" i="28" l="1"/>
  <c r="J8" i="32"/>
  <c r="H69" i="22"/>
  <c r="E19" i="26"/>
  <c r="F19" i="26" l="1"/>
  <c r="J29" i="32"/>
  <c r="D70" i="22"/>
  <c r="E70" i="22" s="1"/>
  <c r="J25" i="32" l="1"/>
  <c r="G26" i="28"/>
  <c r="G27" i="28" s="1"/>
  <c r="F70" i="22"/>
  <c r="H70" i="22" l="1"/>
  <c r="D71" i="22" l="1"/>
  <c r="E71" i="22" s="1"/>
  <c r="F71" i="22" l="1"/>
  <c r="H71" i="22" l="1"/>
  <c r="D72" i="22" l="1"/>
  <c r="E72" i="22" s="1"/>
  <c r="F72" i="22" l="1"/>
  <c r="H72" i="22" l="1"/>
  <c r="D73" i="22" l="1"/>
  <c r="E73" i="22" s="1"/>
  <c r="F73" i="22" s="1"/>
  <c r="H73" i="22" s="1"/>
  <c r="D74" i="22" l="1"/>
  <c r="E74" i="22" s="1"/>
  <c r="F74" i="22" s="1"/>
  <c r="H74" i="22" s="1"/>
  <c r="D75" i="22" l="1"/>
  <c r="E75" i="22" s="1"/>
  <c r="F75" i="22" s="1"/>
  <c r="H75" i="22" s="1"/>
  <c r="D76" i="22" l="1"/>
  <c r="E76" i="22" s="1"/>
  <c r="F76" i="22" s="1"/>
  <c r="H76" i="22" s="1"/>
  <c r="D77" i="22" l="1"/>
  <c r="E77" i="22" s="1"/>
  <c r="F77" i="22" s="1"/>
  <c r="H77" i="22" s="1"/>
  <c r="D78" i="22" l="1"/>
  <c r="E78" i="22" s="1"/>
  <c r="F78" i="22" s="1"/>
  <c r="H78" i="22" s="1"/>
  <c r="D79" i="22" l="1"/>
  <c r="E79" i="22" s="1"/>
  <c r="F79" i="22" l="1"/>
  <c r="P20" i="22"/>
  <c r="H28" i="20" l="1"/>
  <c r="H30" i="20" s="1"/>
  <c r="K20" i="24"/>
  <c r="K26" i="24" s="1"/>
  <c r="P21" i="22"/>
  <c r="K32" i="24" s="1"/>
  <c r="H79" i="22"/>
  <c r="H32" i="20" l="1"/>
  <c r="H17" i="28"/>
  <c r="D80" i="22"/>
  <c r="E80" i="22" s="1"/>
  <c r="G8" i="26"/>
  <c r="H8" i="26" s="1"/>
  <c r="K28" i="24"/>
  <c r="P22" i="22"/>
  <c r="L33" i="24" l="1"/>
  <c r="H18" i="28"/>
  <c r="H34" i="20"/>
  <c r="H36" i="20" s="1"/>
  <c r="F80" i="22"/>
  <c r="L34" i="24" l="1"/>
  <c r="H19" i="28"/>
  <c r="H20" i="28" s="1"/>
  <c r="H38" i="20"/>
  <c r="H23" i="28" s="1"/>
  <c r="H25" i="28" s="1"/>
  <c r="H80" i="22"/>
  <c r="K36" i="24"/>
  <c r="L9" i="24" l="1"/>
  <c r="E9" i="25"/>
  <c r="G9" i="25" s="1"/>
  <c r="K21" i="32"/>
  <c r="H6" i="28"/>
  <c r="D81" i="22"/>
  <c r="E81" i="22" s="1"/>
  <c r="I24" i="28"/>
  <c r="L13" i="24" l="1"/>
  <c r="E9" i="26" s="1"/>
  <c r="F9" i="26" s="1"/>
  <c r="F10" i="26" s="1"/>
  <c r="H5" i="28"/>
  <c r="F81" i="22"/>
  <c r="E20" i="25"/>
  <c r="H15" i="28" l="1"/>
  <c r="K8" i="32"/>
  <c r="E20" i="26"/>
  <c r="F20" i="26" s="1"/>
  <c r="E29" i="26" s="1"/>
  <c r="H81" i="22"/>
  <c r="K29" i="32" l="1"/>
  <c r="D82" i="22"/>
  <c r="E82" i="22" s="1"/>
  <c r="K25" i="32" l="1"/>
  <c r="H26" i="28"/>
  <c r="H27" i="28" s="1"/>
  <c r="F82" i="22"/>
  <c r="H82" i="22" l="1"/>
  <c r="D83" i="22" l="1"/>
  <c r="E83" i="22" s="1"/>
  <c r="F83" i="22" l="1"/>
  <c r="H83" i="22" l="1"/>
  <c r="D84" i="22" l="1"/>
  <c r="E84" i="22" s="1"/>
  <c r="F84" i="22" l="1"/>
  <c r="H84" i="22" l="1"/>
  <c r="D85" i="22" l="1"/>
  <c r="E85" i="22" s="1"/>
  <c r="F85" i="22" s="1"/>
  <c r="H85" i="22" s="1"/>
  <c r="D86" i="22" l="1"/>
  <c r="E86" i="22" s="1"/>
  <c r="F86" i="22" s="1"/>
  <c r="H86" i="22" s="1"/>
  <c r="D87" i="22" l="1"/>
  <c r="E87" i="22" s="1"/>
  <c r="F87" i="22" s="1"/>
  <c r="H87" i="22" s="1"/>
  <c r="D88" i="22" l="1"/>
  <c r="E88" i="22" s="1"/>
  <c r="F88" i="22" s="1"/>
  <c r="H88" i="22" s="1"/>
  <c r="D89" i="22" l="1"/>
  <c r="E89" i="22" s="1"/>
  <c r="F89" i="22" s="1"/>
  <c r="H89" i="22" s="1"/>
  <c r="D90" i="22" l="1"/>
  <c r="E90" i="22" s="1"/>
  <c r="F90" i="22" s="1"/>
  <c r="H90" i="22" s="1"/>
  <c r="D91" i="22" l="1"/>
  <c r="E91" i="22" s="1"/>
  <c r="F91" i="22" l="1"/>
  <c r="Q20" i="22"/>
  <c r="L20" i="24" l="1"/>
  <c r="L26" i="24" s="1"/>
  <c r="I28" i="20"/>
  <c r="I30" i="20" s="1"/>
  <c r="Q21" i="22"/>
  <c r="H91" i="22"/>
  <c r="I32" i="20" l="1"/>
  <c r="I18" i="28" s="1"/>
  <c r="L32" i="24"/>
  <c r="I17" i="28"/>
  <c r="G9" i="26"/>
  <c r="H9" i="26" s="1"/>
  <c r="H10" i="26" s="1"/>
  <c r="G11" i="26" s="1"/>
  <c r="L28" i="24"/>
  <c r="Q22" i="22"/>
  <c r="I34" i="20" l="1"/>
  <c r="I36" i="20" s="1"/>
  <c r="I19" i="28" s="1"/>
  <c r="I20" i="28" s="1"/>
  <c r="L36" i="24" l="1"/>
  <c r="I6" i="28" s="1"/>
  <c r="I5" i="28" l="1"/>
  <c r="E10" i="25"/>
  <c r="G10" i="25" s="1"/>
  <c r="G11" i="25" s="1"/>
  <c r="I38" i="20"/>
  <c r="I23" i="28" s="1"/>
  <c r="I25" i="28" s="1"/>
  <c r="I15" i="28" l="1"/>
  <c r="L8" i="32"/>
  <c r="L21" i="32"/>
  <c r="E21" i="25"/>
  <c r="E13" i="25" s="1"/>
  <c r="F16" i="25" s="1"/>
  <c r="L29" i="32" l="1"/>
  <c r="E21" i="26"/>
  <c r="E30" i="26" s="1"/>
  <c r="E33" i="26" s="1"/>
  <c r="F21" i="25"/>
  <c r="G21" i="25" s="1"/>
  <c r="G16" i="25"/>
  <c r="F18" i="25"/>
  <c r="G18" i="25" s="1"/>
  <c r="F17" i="25"/>
  <c r="G17" i="25" s="1"/>
  <c r="F20" i="25"/>
  <c r="G20" i="25" s="1"/>
  <c r="F19" i="25"/>
  <c r="G19" i="25" s="1"/>
  <c r="I26" i="28" l="1"/>
  <c r="I27" i="28" s="1"/>
  <c r="L25" i="32"/>
  <c r="G22" i="25"/>
  <c r="F13" i="25" s="1"/>
  <c r="F21" i="26"/>
  <c r="G33" i="26" l="1"/>
  <c r="H33" i="26" s="1"/>
  <c r="I33" i="26" l="1"/>
</calcChain>
</file>

<file path=xl/comments1.xml><?xml version="1.0" encoding="utf-8"?>
<comments xmlns="http://schemas.openxmlformats.org/spreadsheetml/2006/main">
  <authors>
    <author>Usuario de Windows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resta en el flujo de caja porque no es salida de efectivo</t>
        </r>
      </text>
    </comment>
  </commentList>
</comments>
</file>

<file path=xl/comments2.xml><?xml version="1.0" encoding="utf-8"?>
<comments xmlns="http://schemas.openxmlformats.org/spreadsheetml/2006/main">
  <authors>
    <author>Majo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capital de trabajo
</t>
        </r>
      </text>
    </comment>
    <comment ref="I6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restar el valor residual de activos fijos y la recuperacion de cpital de trabajo por que ya esta contemplado en activos fijos y el capital de trabajp en el año 0.
</t>
        </r>
      </text>
    </comment>
  </commentList>
</comments>
</file>

<file path=xl/comments3.xml><?xml version="1.0" encoding="utf-8"?>
<comments xmlns="http://schemas.openxmlformats.org/spreadsheetml/2006/main">
  <authors>
    <author>Majo</author>
  </authors>
  <commentList>
    <comment ref="F5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tasa pasiva del banco lo que ganaria en intereses por tener en el banco. Dato: BCE</t>
        </r>
      </text>
    </comment>
    <comment ref="F7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tasa de interes del prestamo
</t>
        </r>
      </text>
    </comment>
    <comment ref="G7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multiplicado por 1-22% tasa de impuestos
</t>
        </r>
      </text>
    </comment>
    <comment ref="G12" authorId="0" shapeId="0">
      <text>
        <r>
          <rPr>
            <b/>
            <sz val="9"/>
            <color indexed="81"/>
            <rFont val="Tahoma"/>
            <family val="2"/>
          </rPr>
          <t>Majo:
dato del banco central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va o no la inflacion 
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Tasa minima aceptable de rentabilidad
</t>
        </r>
      </text>
    </comment>
  </commentList>
</comments>
</file>

<file path=xl/comments4.xml><?xml version="1.0" encoding="utf-8"?>
<comments xmlns="http://schemas.openxmlformats.org/spreadsheetml/2006/main">
  <authors>
    <author>Majo</author>
  </authors>
  <commentList>
    <comment ref="H32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DESEMBOLSANDO POR AÑO</t>
        </r>
      </text>
    </comment>
  </commentList>
</comments>
</file>

<file path=xl/comments5.xml><?xml version="1.0" encoding="utf-8"?>
<comments xmlns="http://schemas.openxmlformats.org/spreadsheetml/2006/main">
  <authors>
    <author>Majo</author>
  </authors>
  <commentList>
    <comment ref="F46" authorId="0" shapeId="0">
      <text>
        <r>
          <rPr>
            <b/>
            <sz val="9"/>
            <color indexed="81"/>
            <rFont val="Tahoma"/>
            <family val="2"/>
          </rPr>
          <t>Majo:</t>
        </r>
        <r>
          <rPr>
            <sz val="9"/>
            <color indexed="81"/>
            <rFont val="Tahoma"/>
            <family val="2"/>
          </rPr>
          <t xml:space="preserve">
para el primer año en ese punto no tengo ni perdidas ni ganancias, mi beneficio va a ser igual a cero
</t>
        </r>
      </text>
    </comment>
  </commentList>
</comments>
</file>

<file path=xl/sharedStrings.xml><?xml version="1.0" encoding="utf-8"?>
<sst xmlns="http://schemas.openxmlformats.org/spreadsheetml/2006/main" count="764" uniqueCount="476">
  <si>
    <t>INVERSION TOTAL</t>
  </si>
  <si>
    <t>ACTIVOS FIJOS</t>
  </si>
  <si>
    <t>MAQUINARIA Y EQUIPO</t>
  </si>
  <si>
    <t>DETALLE</t>
  </si>
  <si>
    <t>CANTIDAD</t>
  </si>
  <si>
    <t>PRECIO UNITARIO</t>
  </si>
  <si>
    <t>TOTAL</t>
  </si>
  <si>
    <t>TOTAL MAQUINARIA Y EQUIPO</t>
  </si>
  <si>
    <t>EQUIPOS DE OFICINA</t>
  </si>
  <si>
    <t>AREA ADMINISTRATIVA</t>
  </si>
  <si>
    <t>SUBTOTAL RECEPCIÓN</t>
  </si>
  <si>
    <t>TOTAL EQUIPO DE OFICINA</t>
  </si>
  <si>
    <t>EQUIPO DE COMPUTO</t>
  </si>
  <si>
    <t>TOTAL EQUIPO DE COMPUTO</t>
  </si>
  <si>
    <t>MUEBLES Y ENSERES</t>
  </si>
  <si>
    <t>TOTAL MUEBLES Y ENSERES</t>
  </si>
  <si>
    <t>TOTAL INVERSIÓN</t>
  </si>
  <si>
    <t>VALOR</t>
  </si>
  <si>
    <t>Descripción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</si>
  <si>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</si>
  <si>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</si>
  <si>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</si>
  <si>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</si>
  <si>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</si>
  <si>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</si>
  <si>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</si>
  <si>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</si>
  <si>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</si>
  <si>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</si>
  <si>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</si>
  <si>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</si>
  <si>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</si>
  <si>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AÑO 1</t>
  </si>
  <si>
    <t>AÑO 2</t>
  </si>
  <si>
    <t>AÑO 3</t>
  </si>
  <si>
    <t>AÑO 4</t>
  </si>
  <si>
    <t>AÑO 5</t>
  </si>
  <si>
    <t>MES</t>
  </si>
  <si>
    <t>SUBTOTAL</t>
  </si>
  <si>
    <t>TOTAL ANUAL</t>
  </si>
  <si>
    <t>MANO DE OBRA DIRECTA</t>
  </si>
  <si>
    <t>SUELDO</t>
  </si>
  <si>
    <t>TOTAL SUELDOS</t>
  </si>
  <si>
    <t>IESS</t>
  </si>
  <si>
    <t>13er SUELDO</t>
  </si>
  <si>
    <t>14to SUELDO</t>
  </si>
  <si>
    <t>VACACIONES</t>
  </si>
  <si>
    <t>FONDOS DE RESERVA</t>
  </si>
  <si>
    <t>TOTAL MES</t>
  </si>
  <si>
    <t>TOTAL AÑO</t>
  </si>
  <si>
    <t>TOTAL MANO DE OBRA</t>
  </si>
  <si>
    <t>SUELDOS ADMINISTRATIVOS</t>
  </si>
  <si>
    <t>SUBTOTAL ADMINISTRATIVO</t>
  </si>
  <si>
    <t>CANTIDAD TRIMESTRAL</t>
  </si>
  <si>
    <t>CANTIDAD ANUAL</t>
  </si>
  <si>
    <t>Perforadora</t>
  </si>
  <si>
    <t>Grapadora</t>
  </si>
  <si>
    <t>Papel bond (resma)</t>
  </si>
  <si>
    <t>TOTAL GASTOS EN SUMINISTROS DE OFICINA</t>
  </si>
  <si>
    <t>COSTOS DIRECTOS</t>
  </si>
  <si>
    <t>COSTOS INDIRECTOS</t>
  </si>
  <si>
    <t>AGUA</t>
  </si>
  <si>
    <t>ENERGIA ELECTRICA</t>
  </si>
  <si>
    <t>DEPARTAMENTO</t>
  </si>
  <si>
    <t>COSTO MENSUAL</t>
  </si>
  <si>
    <t>PRODUCCIÓN</t>
  </si>
  <si>
    <t>ADMINISTRACIÓN</t>
  </si>
  <si>
    <t>EQUIPO DE OFICINA</t>
  </si>
  <si>
    <t>EQUIPO DE COMPUTACIÓN</t>
  </si>
  <si>
    <t>TOTAL ACTIVOS FIJOS</t>
  </si>
  <si>
    <t>VIDA ÚTIL</t>
  </si>
  <si>
    <t>ACTIVOS</t>
  </si>
  <si>
    <t>10 años</t>
  </si>
  <si>
    <t>3 años</t>
  </si>
  <si>
    <t>DEPRECIACIÓN ANUAL</t>
  </si>
  <si>
    <t>VALOR EN LIBROS AÑO 0</t>
  </si>
  <si>
    <t>VALOR EN LIBROS AÑO 1</t>
  </si>
  <si>
    <t>VALOR EN LIBROS AÑO 2</t>
  </si>
  <si>
    <t>VALOR EN LIBROS AÑO 3</t>
  </si>
  <si>
    <t>VALOR EN LIBROS AÑO 4</t>
  </si>
  <si>
    <t>VALOR EN LIBROS AÑO 5</t>
  </si>
  <si>
    <t>Ingresos por Ventas</t>
  </si>
  <si>
    <t>(+)</t>
  </si>
  <si>
    <t>(=)</t>
  </si>
  <si>
    <t>(-)</t>
  </si>
  <si>
    <t>Costo de Producción</t>
  </si>
  <si>
    <t>UTILIDAD BRUTA EN VENTAS</t>
  </si>
  <si>
    <t>GASTOS OPERACIONALES</t>
  </si>
  <si>
    <t>Gastos Administrativos</t>
  </si>
  <si>
    <t>Gastos de Ventas</t>
  </si>
  <si>
    <t>UTILIDAD OPERACIONAL</t>
  </si>
  <si>
    <t>GASTOS ADMINISTRATIVAS</t>
  </si>
  <si>
    <t>GASTOS DE VENTAS</t>
  </si>
  <si>
    <t>PRESUPUESTO MENSUAL</t>
  </si>
  <si>
    <t>PRESUPUESTO ANUAL</t>
  </si>
  <si>
    <t>RECURSOS PROPIOS</t>
  </si>
  <si>
    <t>RECURSOS AJENOS</t>
  </si>
  <si>
    <t>Unidad</t>
  </si>
  <si>
    <t>Cantidad</t>
  </si>
  <si>
    <t>Precio unitario</t>
  </si>
  <si>
    <t>Precio global</t>
  </si>
  <si>
    <t>U</t>
  </si>
  <si>
    <t>SUBTOTAL:</t>
  </si>
  <si>
    <t>CONSTRUCCIONES E INSTALACIONES</t>
  </si>
  <si>
    <t>CONSTRUCCIONES</t>
  </si>
  <si>
    <t>20 años</t>
  </si>
  <si>
    <t>FUENTE</t>
  </si>
  <si>
    <t>APORTACIÓN</t>
  </si>
  <si>
    <t>%</t>
  </si>
  <si>
    <t>Préstamo CFN</t>
  </si>
  <si>
    <t>CUOTA FIJA</t>
  </si>
  <si>
    <t>PRÉSTAMO</t>
  </si>
  <si>
    <t>TASA INTERES</t>
  </si>
  <si>
    <t>Nº CUOTAS</t>
  </si>
  <si>
    <t>DEUDA</t>
  </si>
  <si>
    <t>PLAZO</t>
  </si>
  <si>
    <t xml:space="preserve">CUOTAS </t>
  </si>
  <si>
    <t>TASA DE INTERES</t>
  </si>
  <si>
    <t>PAGO ANUAL</t>
  </si>
  <si>
    <t>FIJAS</t>
  </si>
  <si>
    <t>TABLA DE AMORTIZACION DEL PRESTAMO</t>
  </si>
  <si>
    <t>INTERES</t>
  </si>
  <si>
    <t>CAPITAL</t>
  </si>
  <si>
    <t>CUOTAS</t>
  </si>
  <si>
    <t>SALDO</t>
  </si>
  <si>
    <t>Gasto de Interés</t>
  </si>
  <si>
    <t>Capital Amortizado</t>
  </si>
  <si>
    <t>AÑO 0</t>
  </si>
  <si>
    <t>A. FLUJO DE BENEFICIOS</t>
  </si>
  <si>
    <t>Venta de servicios</t>
  </si>
  <si>
    <t>Valor residual Activos</t>
  </si>
  <si>
    <t>TOTAL FLUJO DE BENEFICIOS</t>
  </si>
  <si>
    <t>B. FLUJO DE COSTOS</t>
  </si>
  <si>
    <t>Costos de Producción</t>
  </si>
  <si>
    <t>Gastos Financieros</t>
  </si>
  <si>
    <t>INVERSIONES</t>
  </si>
  <si>
    <t>TOTAL FLUJO DE COSTOS</t>
  </si>
  <si>
    <t>(A - B) FLUJO DE FONDOS ECONÓMICOS</t>
  </si>
  <si>
    <t>Gastos de Constitución</t>
  </si>
  <si>
    <t>Marca</t>
  </si>
  <si>
    <t>AMORTIZACIÓN ANUAL</t>
  </si>
  <si>
    <t>Préstamo</t>
  </si>
  <si>
    <t>Amortización de Préstamo</t>
  </si>
  <si>
    <t>15% Participación Trabajadores</t>
  </si>
  <si>
    <t>22% Impuesto a la Renta</t>
  </si>
  <si>
    <t>UTILIDAD ANTES PARTIC. TRAB.</t>
  </si>
  <si>
    <t>15% Partic. Trabajadores</t>
  </si>
  <si>
    <t>UTILIDAD ANTES IMPUESTO RENTA</t>
  </si>
  <si>
    <t>UTILIDAD NETA</t>
  </si>
  <si>
    <t>FLUJO DE FONDOS FINANCIEROS</t>
  </si>
  <si>
    <t>COSTO DE CAPITAL</t>
  </si>
  <si>
    <t>PONDERACIÓN</t>
  </si>
  <si>
    <t>Tasa R. País</t>
  </si>
  <si>
    <t>Tasa Infl.</t>
  </si>
  <si>
    <t>AÑO</t>
  </si>
  <si>
    <t>FLUJOS DE EFECTIVO</t>
  </si>
  <si>
    <t>VALOR ACTUAL</t>
  </si>
  <si>
    <t>VAN =</t>
  </si>
  <si>
    <t>FACTOR ACTUALIZACIÓN 1/(1+I)^n</t>
  </si>
  <si>
    <t>TIR</t>
  </si>
  <si>
    <t>TASA DE DESCUENTO =</t>
  </si>
  <si>
    <t>TIR =</t>
  </si>
  <si>
    <t>Ti + (Ts - Ti)</t>
  </si>
  <si>
    <t>VAN positivo</t>
  </si>
  <si>
    <t>-</t>
  </si>
  <si>
    <t>VAN negativo</t>
  </si>
  <si>
    <t>x</t>
  </si>
  <si>
    <t>BENEFICIOS</t>
  </si>
  <si>
    <t>BENEFICIOS ACTUALIZADOS</t>
  </si>
  <si>
    <t xml:space="preserve">COSTOS </t>
  </si>
  <si>
    <t>COSTOS ACTUALIZADOS</t>
  </si>
  <si>
    <t>TASA ACTUALIZACIÓN</t>
  </si>
  <si>
    <t>RELACIÓN B / C =</t>
  </si>
  <si>
    <t>FLUJOS ACUMULADOS</t>
  </si>
  <si>
    <t>PRI =</t>
  </si>
  <si>
    <t>a + (b - c) / d</t>
  </si>
  <si>
    <t>a =</t>
  </si>
  <si>
    <t>b =</t>
  </si>
  <si>
    <t>c =</t>
  </si>
  <si>
    <t>d =</t>
  </si>
  <si>
    <t>DATOS</t>
  </si>
  <si>
    <t>CORRIENTES</t>
  </si>
  <si>
    <t>Caja / Bancos</t>
  </si>
  <si>
    <t>NO CORRIENTES</t>
  </si>
  <si>
    <t>(-) DEPRECIACIÓN ACUMULADA</t>
  </si>
  <si>
    <t>PASIVOS</t>
  </si>
  <si>
    <t>Amortización del Préstamo</t>
  </si>
  <si>
    <t>PATRIMONIO</t>
  </si>
  <si>
    <t>Utilidad Neta</t>
  </si>
  <si>
    <t>Utilidad Acumulada</t>
  </si>
  <si>
    <t>TOTAL PASIVOS</t>
  </si>
  <si>
    <t>TOTAL PATRIMONIO</t>
  </si>
  <si>
    <t>DETALLE CUENTA</t>
  </si>
  <si>
    <t>TOTAL PASIVO + PATRIMONIO</t>
  </si>
  <si>
    <t>TOTAL ACTIVOS</t>
  </si>
  <si>
    <t>Capital Social</t>
  </si>
  <si>
    <t>COSTOS FIJOS</t>
  </si>
  <si>
    <t>COSTOS VARIABLES</t>
  </si>
  <si>
    <t>COSTOS TOTALES</t>
  </si>
  <si>
    <t>FECHA</t>
  </si>
  <si>
    <t>Noviembre-05-2014</t>
  </si>
  <si>
    <t>Noviembre-04-2014</t>
  </si>
  <si>
    <t>Noviembre-03-2014</t>
  </si>
  <si>
    <t>Noviembre-02-2014</t>
  </si>
  <si>
    <t>Noviembre-01-2014</t>
  </si>
  <si>
    <t>Octubre-31-2014</t>
  </si>
  <si>
    <t>Octubre-30-2014</t>
  </si>
  <si>
    <t>Octubre-29-2014</t>
  </si>
  <si>
    <t>Octubre-28-2014</t>
  </si>
  <si>
    <t>Octubre-27-2014</t>
  </si>
  <si>
    <t>Octubre-26-2014</t>
  </si>
  <si>
    <t>Octubre-25-2014</t>
  </si>
  <si>
    <t>Octubre-24-2014</t>
  </si>
  <si>
    <t>Octubre-23-2014</t>
  </si>
  <si>
    <t>Octubre-22-2014</t>
  </si>
  <si>
    <t>Octubre-21-2014</t>
  </si>
  <si>
    <t>Octubre-20-2014</t>
  </si>
  <si>
    <t>Octubre-19-2014</t>
  </si>
  <si>
    <t>Octubre-18-2014</t>
  </si>
  <si>
    <t>Octubre-17-2014</t>
  </si>
  <si>
    <t>Octubre-16-2014</t>
  </si>
  <si>
    <t>Octubre-15-2014</t>
  </si>
  <si>
    <t>Octubre-14-2014</t>
  </si>
  <si>
    <t>Octubre-13-2014</t>
  </si>
  <si>
    <t>Octubre-12-2014</t>
  </si>
  <si>
    <t>Octubre-11-2014</t>
  </si>
  <si>
    <t>Octubre-10-2014</t>
  </si>
  <si>
    <t>Octubre-09-2014</t>
  </si>
  <si>
    <t>Octubre-08-2014</t>
  </si>
  <si>
    <t>Octubre-07-2014</t>
  </si>
  <si>
    <t>PUNTO DE EQUILIBRIO GENERAL</t>
  </si>
  <si>
    <t>PE en dólares =</t>
  </si>
  <si>
    <t>1     -</t>
  </si>
  <si>
    <t>dólares</t>
  </si>
  <si>
    <t>CPPC / WACC</t>
  </si>
  <si>
    <t xml:space="preserve">TMAR / Tasa de descuento </t>
  </si>
  <si>
    <t>VAN</t>
  </si>
  <si>
    <t>TI</t>
  </si>
  <si>
    <t>vuelve un van positivo</t>
  </si>
  <si>
    <t>Ts</t>
  </si>
  <si>
    <t>vuelve  un van negativo</t>
  </si>
  <si>
    <t>Gasto Financiero (INTERES)</t>
  </si>
  <si>
    <t>=</t>
  </si>
  <si>
    <t>beneficio/ costo</t>
  </si>
  <si>
    <t>Periodo de recuperación de la inversión</t>
  </si>
  <si>
    <t>Año en el cual el flujo acumulado no sobrepasa la inversión inicial o flujo inicial del año 0</t>
  </si>
  <si>
    <t xml:space="preserve">flujo inicial o inversion inicial </t>
  </si>
  <si>
    <t>flujo acumulado que no sobrepasa la inversión inicial</t>
  </si>
  <si>
    <t>flujo no acumulado que hace que el flujo acumulado sobrepase la inversión inicial</t>
  </si>
  <si>
    <t>tiempo en el cual recupero mi capital invertido</t>
  </si>
  <si>
    <t>años</t>
  </si>
  <si>
    <t>meses</t>
  </si>
  <si>
    <t>dias</t>
  </si>
  <si>
    <t>Aporte socios</t>
  </si>
  <si>
    <t>APORTE SOCIOS</t>
  </si>
  <si>
    <t>Indice de Liquidez =</t>
  </si>
  <si>
    <t>Margen de Utilidad Bruta =</t>
  </si>
  <si>
    <t>Ventas</t>
  </si>
  <si>
    <t>Utilidad Bruta</t>
  </si>
  <si>
    <t>Margen de Utilidad Operacional =</t>
  </si>
  <si>
    <t>Utilidad Operacional</t>
  </si>
  <si>
    <t>Margen de Utilidad Neta =</t>
  </si>
  <si>
    <t>LIQUIDEZ</t>
  </si>
  <si>
    <t>INDICADORES</t>
  </si>
  <si>
    <t>FÓRMULA</t>
  </si>
  <si>
    <t>RENTABILIDAD</t>
  </si>
  <si>
    <t>Rendimiento Sobre el Patrimonio (ROE) =</t>
  </si>
  <si>
    <t>Patrimonio</t>
  </si>
  <si>
    <t>Rendimiento Sobre Activos Totales =</t>
  </si>
  <si>
    <t>Total Activos</t>
  </si>
  <si>
    <t>DEPRECIACIONES ADMINISTRATIVAS</t>
  </si>
  <si>
    <t>DEPRECIACIONES EN PRODUCCIÓN</t>
  </si>
  <si>
    <t>SUBTOTAL ADMINISTRACIÓN</t>
  </si>
  <si>
    <t>1 año</t>
  </si>
  <si>
    <t>SUMA =</t>
  </si>
  <si>
    <t>Activos Fijos/ Propiedad planta y equipo</t>
  </si>
  <si>
    <t>Flujo de efectivo inicial</t>
  </si>
  <si>
    <t>GASTOS DE CONSTITUCIÓN</t>
  </si>
  <si>
    <t>RP= recursos propios</t>
  </si>
  <si>
    <t>RT= inversión total</t>
  </si>
  <si>
    <t>TP= Costo de capital - Tasa pasiva (banco) lo que el banco paga por interés al ahorro</t>
  </si>
  <si>
    <t>RA= recursos ajenos</t>
  </si>
  <si>
    <t>TI=Costo de capital – tasa de interés (a lo que el banco nos presta el dinero)</t>
  </si>
  <si>
    <t>TImpuestos= el 22%</t>
  </si>
  <si>
    <t xml:space="preserve">la empresa debe tener un ingreso de </t>
  </si>
  <si>
    <t>para no tener perdidas ni ganancias</t>
  </si>
  <si>
    <t>GASTOS EXTRAS</t>
  </si>
  <si>
    <t>CAPITAL DE TRABAJO</t>
  </si>
  <si>
    <t>CAPITAL DE TRABAJO TOTAL</t>
  </si>
  <si>
    <t>DEPRE Y AMORT</t>
  </si>
  <si>
    <t>FACTOR ACTUALIZACIÓN    (TIR=58,87)</t>
  </si>
  <si>
    <t>LO Q APORTAN LOS SOCIOS</t>
  </si>
  <si>
    <t>15% Participación Trabajadores por pagar</t>
  </si>
  <si>
    <t>22% Impuesto a la Renta por pagar</t>
  </si>
  <si>
    <t>PESEBRERAS</t>
  </si>
  <si>
    <t>OFICINA CENTRAL</t>
  </si>
  <si>
    <t xml:space="preserve">SALA DE RECEPCIÓN </t>
  </si>
  <si>
    <t>BAÑOS</t>
  </si>
  <si>
    <t>TELÉFONO</t>
  </si>
  <si>
    <t xml:space="preserve">IMPRESORA MULTIFUNCIÓN </t>
  </si>
  <si>
    <t>SILLAS</t>
  </si>
  <si>
    <t>SILLONES</t>
  </si>
  <si>
    <t>MESAS</t>
  </si>
  <si>
    <t>CAJA REGISTRADORA</t>
  </si>
  <si>
    <t>TERRENO</t>
  </si>
  <si>
    <t xml:space="preserve">ALIMENTACIÓN </t>
  </si>
  <si>
    <t>Cantidad Metros Unitarios</t>
  </si>
  <si>
    <t>Total Metros</t>
  </si>
  <si>
    <t>BODEGA</t>
  </si>
  <si>
    <t>CABALLOS</t>
  </si>
  <si>
    <t>ADMINISTRATIVO</t>
  </si>
  <si>
    <t xml:space="preserve">TELEVISIÓN </t>
  </si>
  <si>
    <t>SUBTOTAL TERRENO</t>
  </si>
  <si>
    <t>TOTAL TERRENO</t>
  </si>
  <si>
    <t>VALOR UNITARIO</t>
  </si>
  <si>
    <t>VALOR TOTAL</t>
  </si>
  <si>
    <t>ACTIVO BIOLÓGICO</t>
  </si>
  <si>
    <t>14 años</t>
  </si>
  <si>
    <t>TOTAL GENERAL</t>
  </si>
  <si>
    <t>UNIDAD</t>
  </si>
  <si>
    <t xml:space="preserve">PRODUCCIÓN </t>
  </si>
  <si>
    <t>CONTADOR</t>
  </si>
  <si>
    <t>SUELDOS PRODUCCIÓN</t>
  </si>
  <si>
    <t>SUBTOTAL PRODUCCIÓN</t>
  </si>
  <si>
    <t xml:space="preserve">HONORARIOS </t>
  </si>
  <si>
    <t>VALOR MENSUAL</t>
  </si>
  <si>
    <t>VALOR ANUAL</t>
  </si>
  <si>
    <t>SEGURIDAD</t>
  </si>
  <si>
    <t>LT</t>
  </si>
  <si>
    <t>UTILES DE ASEO</t>
  </si>
  <si>
    <t>ESCOBA</t>
  </si>
  <si>
    <t>TRAPEADOR</t>
  </si>
  <si>
    <t xml:space="preserve">PESEBRERAS </t>
  </si>
  <si>
    <t xml:space="preserve">OFICINA CENTRAL </t>
  </si>
  <si>
    <t>BAÑO INDEPENDIENTE</t>
  </si>
  <si>
    <t>TV CABLE</t>
  </si>
  <si>
    <t xml:space="preserve">AGUA </t>
  </si>
  <si>
    <t xml:space="preserve">ENERGÍA ELÉCTRICA </t>
  </si>
  <si>
    <t>Tinta (impresora)</t>
  </si>
  <si>
    <t>MATERIAL POP</t>
  </si>
  <si>
    <t>ÚTILES DE ASEO</t>
  </si>
  <si>
    <t>DEPRECIACIONES</t>
  </si>
  <si>
    <t>SERVICIOS BÁSICOS</t>
  </si>
  <si>
    <t>SUMINISTROS DE OFICINA</t>
  </si>
  <si>
    <t>SUELDOS Y SALARIOS</t>
  </si>
  <si>
    <t>GASTOS CONSTITUCIÓN</t>
  </si>
  <si>
    <t>HONORARIOS</t>
  </si>
  <si>
    <t xml:space="preserve">Patente </t>
  </si>
  <si>
    <t>COSTO ANUAL</t>
  </si>
  <si>
    <t xml:space="preserve">COSTOS DE PRODUCCIÓN </t>
  </si>
  <si>
    <t>Costo diario</t>
  </si>
  <si>
    <t>Costo por hora</t>
  </si>
  <si>
    <t xml:space="preserve">INFLACIÓN ANUAL </t>
  </si>
  <si>
    <t xml:space="preserve">Enero </t>
  </si>
  <si>
    <t>http://www.ecuadorencifras.gob.ec/indice-de-precios-al-consumidor/</t>
  </si>
  <si>
    <t xml:space="preserve">Promedio </t>
  </si>
  <si>
    <t xml:space="preserve">INFLACIÓN </t>
  </si>
  <si>
    <t xml:space="preserve">Incremento </t>
  </si>
  <si>
    <t>Promedio</t>
  </si>
  <si>
    <t xml:space="preserve">PRODUCCIÓ </t>
  </si>
  <si>
    <t>JABÓN LÍQUIDO</t>
  </si>
  <si>
    <t>PAPEL HIGIÉNICO JUMBO</t>
  </si>
  <si>
    <t>TOALLAS PARA MANOS</t>
  </si>
  <si>
    <t>BOTIQUÍN DE PRIMEROS AUXILIOS</t>
  </si>
  <si>
    <t>ACTIVOS DIFERIDOS</t>
  </si>
  <si>
    <t xml:space="preserve"> MES</t>
  </si>
  <si>
    <t xml:space="preserve">TOTAL INGRESOS </t>
  </si>
  <si>
    <t xml:space="preserve">Costo mensual </t>
  </si>
  <si>
    <t>Costo por sesión</t>
  </si>
  <si>
    <t>COSTOS</t>
  </si>
  <si>
    <t>Costo Anual</t>
  </si>
  <si>
    <t>INGRESOS</t>
  </si>
  <si>
    <t>UTILIDAD</t>
  </si>
  <si>
    <t>Honorarios</t>
  </si>
  <si>
    <t>Gasto Honorarios</t>
  </si>
  <si>
    <t>El valor mensual que necesito para funcionar</t>
  </si>
  <si>
    <t>a que debe estos gastos extras, (un valor extra es tan elevado, este valor extra es mensual o anual) xq le estoy sumando con el capital de trabajo que es mensual</t>
  </si>
  <si>
    <t>Estos gastos extra son mayores que mis sueldos</t>
  </si>
  <si>
    <t>que significa el 33,7%</t>
  </si>
  <si>
    <t>PARA EL FINANCIEMIENTO HAY QUE DAR UNA GARANTÍA.</t>
  </si>
  <si>
    <t>donde se realizan estos calculos</t>
  </si>
  <si>
    <t xml:space="preserve">xq le resta 8 </t>
  </si>
  <si>
    <t xml:space="preserve">aquí estoy comparando un valor mensual con un valor anual…. </t>
  </si>
  <si>
    <t xml:space="preserve">Activo Corriente </t>
  </si>
  <si>
    <t>Pasivo Corriente</t>
  </si>
  <si>
    <t>4 años, 6 meses</t>
  </si>
  <si>
    <t>MESEROS</t>
  </si>
  <si>
    <t>CHEF</t>
  </si>
  <si>
    <t>MOTOCICLISTA Y AYUDANTE</t>
  </si>
  <si>
    <t>ASISTENTE DE COCINA 2</t>
  </si>
  <si>
    <t>ADMINISTRADOR</t>
  </si>
  <si>
    <t>COCINA</t>
  </si>
  <si>
    <t>FACHADA</t>
  </si>
  <si>
    <t>REMODELACIÓN LOCAL</t>
  </si>
  <si>
    <t>VAJILLA</t>
  </si>
  <si>
    <t>CUBERTERIA</t>
  </si>
  <si>
    <t>CRISTALERIA</t>
  </si>
  <si>
    <t>PLATERIA</t>
  </si>
  <si>
    <t>ACCESORIOS O COMPLEMENTOS</t>
  </si>
  <si>
    <t>EQUIPOS DE COCINA</t>
  </si>
  <si>
    <t>EXTINTOR 10 LITROS/sensoros humo</t>
  </si>
  <si>
    <t>SENALETICA</t>
  </si>
  <si>
    <t>LETRERO AFUERA</t>
  </si>
  <si>
    <t>COMPUTADORA</t>
  </si>
  <si>
    <t>IMPRESORA FACTURAS</t>
  </si>
  <si>
    <t>SALON</t>
  </si>
  <si>
    <t>BANCOS</t>
  </si>
  <si>
    <t>DECORACION PAREDES</t>
  </si>
  <si>
    <t>LAMPARAS</t>
  </si>
  <si>
    <t>INGRESOS AÑO 1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</si>
  <si>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</si>
  <si>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</si>
  <si>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</si>
  <si>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</si>
  <si>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</si>
  <si>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</si>
  <si>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</si>
  <si>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</si>
  <si>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</si>
  <si>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</si>
  <si>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</si>
  <si>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</si>
  <si>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CONSOLIDADO</t>
  </si>
  <si>
    <t>personas consumen diario</t>
  </si>
  <si>
    <t>consumo x pers.</t>
  </si>
  <si>
    <t>diario</t>
  </si>
  <si>
    <t>semanal</t>
  </si>
  <si>
    <t>mes</t>
  </si>
  <si>
    <t>FIN DE SEMANA</t>
  </si>
  <si>
    <t>MES FIN DE SEMAN</t>
  </si>
  <si>
    <t>MOTO MOTE</t>
  </si>
  <si>
    <t>pedidos diarios</t>
  </si>
  <si>
    <t>consumo promedio</t>
  </si>
  <si>
    <t>VENTAS TOTALES MENSUAL</t>
  </si>
  <si>
    <t>COSTO</t>
  </si>
  <si>
    <t>Precio sin IVA en formula</t>
  </si>
  <si>
    <t>Precio con Iva en formula</t>
  </si>
  <si>
    <t>Ceviche camarón</t>
  </si>
  <si>
    <t>Ceviche concha</t>
  </si>
  <si>
    <t>Mote chicharron</t>
  </si>
  <si>
    <t>Choclo con queso</t>
  </si>
  <si>
    <t>Tigrillo</t>
  </si>
  <si>
    <t>Sopa de bolas</t>
  </si>
  <si>
    <t>Caldo de patas</t>
  </si>
  <si>
    <t>Locro con queso</t>
  </si>
  <si>
    <t>Quinua</t>
  </si>
  <si>
    <t>Papas con cuero</t>
  </si>
  <si>
    <t>Biche de pescado</t>
  </si>
  <si>
    <t>Seco de chivo</t>
  </si>
  <si>
    <t>Fritada</t>
  </si>
  <si>
    <t>Llapingachos chorizo</t>
  </si>
  <si>
    <t>camarones al ajillo</t>
  </si>
  <si>
    <t>Filete de pescado con menestra</t>
  </si>
  <si>
    <t>Mote pillo con chuleta</t>
  </si>
  <si>
    <t>filete de pollo plancha</t>
  </si>
  <si>
    <t>churrasco</t>
  </si>
  <si>
    <t>guatita</t>
  </si>
  <si>
    <t>Higo con queso</t>
  </si>
  <si>
    <t>Helado</t>
  </si>
  <si>
    <t xml:space="preserve">jugos </t>
  </si>
  <si>
    <t>choclo con queso</t>
  </si>
  <si>
    <t>mote con chicharón</t>
  </si>
  <si>
    <t>fritada</t>
  </si>
  <si>
    <t>Promedio % DEL COSTO/PVP</t>
  </si>
  <si>
    <t>COSTO COMIDA</t>
  </si>
  <si>
    <t>VENTAS</t>
  </si>
  <si>
    <t>TOTAL INGRESOS POR VENTA DE COMIDA</t>
  </si>
  <si>
    <t>SERVICIO VENTA DE COMIDA</t>
  </si>
  <si>
    <t>CRECIMEINTO MENSUAL DESPUES DEL PRIMER año</t>
  </si>
  <si>
    <t>mensual 3er año</t>
  </si>
  <si>
    <t>Utilidad Neta/Perdida</t>
  </si>
  <si>
    <t>año 1</t>
  </si>
  <si>
    <t>año 2</t>
  </si>
  <si>
    <t>año 3</t>
  </si>
  <si>
    <t>año 4</t>
  </si>
  <si>
    <t>año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</si>
</sst>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\ _€_-;\-* #,##0.00\ _€_-;_-* &quot;-&quot;??\ _€_-;_-@_-"/>
    <numFmt numFmtId="164" formatCode="_ &quot;$&quot;* #,##0.00_ ;_ &quot;$&quot;* \-#,##0.00_ ;_ &quot;$&quot;* &quot;-&quot;??_ ;_ @_ "/>
    <numFmt numFmtId="165" formatCode="&quot;$&quot;\ #,##0.00_);[Red]\(&quot;$&quot;\ #,##0.00\)"/>
    <numFmt numFmtId="166" formatCode="_(&quot;$&quot;\ * #,##0.00_);_(&quot;$&quot;\ * \(#,##0.00\);_(&quot;$&quot;\ * &quot;-&quot;??_);_(@_)"/>
    <numFmt numFmtId="167" formatCode="_(* #,##0.00_);_(* \(#,##0.00\);_(* &quot;-&quot;??_);_(@_)"/>
    <numFmt numFmtId="168" formatCode="_ &quot;$&quot;\ * #,##0.00_ ;_ &quot;$&quot;\ * \-#,##0.00_ ;_ &quot;$&quot;\ * &quot;-&quot;??_ ;_ @_ "/>
    <numFmt numFmtId="169" formatCode="_-* #,##0\ _€_-;\-* #,##0\ _€_-;_-* &quot;-&quot;??\ _€_-;_-@_-"/>
    <numFmt numFmtId="170" formatCode="0.0000"/>
    <numFmt numFmtId="171" formatCode="_(* #,##0_);_(* \(#,##0\);_(* &quot;-&quot;??_);_(@_)"/>
    <numFmt numFmtId="172" formatCode="_(&quot;$&quot;\ * #,##0_);_(&quot;$&quot;\ * \(#,##0\);_(&quot;$&quot;\ * &quot;-&quot;??_);_(@_)"/>
    <numFmt numFmtId="173" formatCode="_(* #,##0.000_);_(* \(#,##0.000\);_(* &quot;-&quot;??_);_(@_)"/>
    <numFmt numFmtId="174" formatCode="_(* #,##0.0000_);_(* \(#,##0.0000\);_(* &quot;-&quot;??_);_(@_)"/>
    <numFmt numFmtId="175" formatCode="_ &quot;$&quot;\ * #,##0.0_ ;_ &quot;$&quot;\ * \-#,##0.0_ ;_ &quot;$&quot;\ * &quot;-&quot;??_ ;_ @_ "/>
    <numFmt numFmtId="176" formatCode="_(&quot;$&quot;\ * #,##0.0_);_(&quot;$&quot;\ * \(#,##0.0\);_(&quot;$&quot;\ * &quot;-&quot;?_);_(@_)"/>
    <numFmt numFmtId="177" formatCode="#,##0.0000000_);\(#,##0.0000000\)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i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7.5"/>
      <color rgb="FF313131"/>
      <name val="Verdana"/>
      <family val="2"/>
    </font>
    <font>
      <b/>
      <sz val="7.5"/>
      <color rgb="FF313131"/>
      <name val="Verdana"/>
      <family val="2"/>
    </font>
    <font>
      <sz val="11"/>
      <color rgb="FFFF0000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11"/>
      <name val="Times New Roman"/>
      <family val="1"/>
    </font>
    <font>
      <u/>
      <sz val="11"/>
      <color theme="10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8"/>
      <name val="Times New Roman"/>
      <family val="1"/>
    </font>
    <font>
      <sz val="16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rgb="FFFF0000"/>
      <name val="Tahoma"/>
      <family val="2"/>
    </font>
    <font>
      <sz val="10"/>
      <color rgb="FFFF0000"/>
      <name val="Verdana"/>
      <family val="2"/>
    </font>
    <font>
      <sz val="10"/>
      <color theme="0"/>
      <name val="Tahoma"/>
      <family val="2"/>
    </font>
    <font>
      <b/>
      <sz val="10"/>
      <color theme="0"/>
      <name val="Tahoma"/>
      <family val="2"/>
    </font>
    <font>
      <sz val="12"/>
      <color theme="1"/>
      <name val="Calibri"/>
      <family val="2"/>
      <scheme val="minor"/>
    </font>
    <font>
      <b/>
      <sz val="10"/>
      <color rgb="FFFF0000"/>
      <name val="Tahoma"/>
      <family val="2"/>
    </font>
    <font>
      <sz val="10"/>
      <color theme="0"/>
      <name val="Arial"/>
      <family val="2"/>
    </font>
    <font>
      <sz val="8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7D6D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4" fillId="0" borderId="0"/>
  </cellStyleXfs>
  <cellXfs count="752">
    <xf numFmtId="0" fontId="0" fillId="0" borderId="0" xfId="0"/>
    <xf numFmtId="0" fontId="5" fillId="4" borderId="10" xfId="0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18" xfId="0" applyFont="1" applyBorder="1"/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3" fillId="0" borderId="18" xfId="0" applyFont="1" applyBorder="1"/>
    <xf numFmtId="0" fontId="3" fillId="0" borderId="0" xfId="0" applyFont="1"/>
    <xf numFmtId="0" fontId="5" fillId="4" borderId="10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vertical="center"/>
    </xf>
    <xf numFmtId="168" fontId="3" fillId="0" borderId="1" xfId="2" applyFont="1" applyBorder="1"/>
    <xf numFmtId="168" fontId="3" fillId="0" borderId="1" xfId="0" applyNumberFormat="1" applyFont="1" applyBorder="1"/>
    <xf numFmtId="0" fontId="2" fillId="0" borderId="0" xfId="0" applyFont="1"/>
    <xf numFmtId="0" fontId="3" fillId="0" borderId="1" xfId="0" applyFont="1" applyBorder="1"/>
    <xf numFmtId="10" fontId="3" fillId="0" borderId="1" xfId="0" applyNumberFormat="1" applyFont="1" applyBorder="1"/>
    <xf numFmtId="168" fontId="4" fillId="0" borderId="1" xfId="2" applyFont="1" applyBorder="1"/>
    <xf numFmtId="0" fontId="3" fillId="0" borderId="0" xfId="0" applyFont="1" applyFill="1" applyBorder="1"/>
    <xf numFmtId="0" fontId="5" fillId="4" borderId="15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3" fillId="0" borderId="0" xfId="0" applyFont="1" applyFill="1"/>
    <xf numFmtId="0" fontId="2" fillId="0" borderId="18" xfId="0" applyFont="1" applyBorder="1"/>
    <xf numFmtId="0" fontId="3" fillId="0" borderId="24" xfId="0" applyFont="1" applyBorder="1"/>
    <xf numFmtId="0" fontId="3" fillId="0" borderId="23" xfId="0" applyFont="1" applyBorder="1"/>
    <xf numFmtId="0" fontId="2" fillId="4" borderId="10" xfId="0" applyFont="1" applyFill="1" applyBorder="1"/>
    <xf numFmtId="166" fontId="3" fillId="0" borderId="1" xfId="0" applyNumberFormat="1" applyFont="1" applyBorder="1"/>
    <xf numFmtId="0" fontId="3" fillId="0" borderId="19" xfId="0" applyFont="1" applyBorder="1"/>
    <xf numFmtId="0" fontId="3" fillId="0" borderId="29" xfId="0" applyFont="1" applyBorder="1"/>
    <xf numFmtId="0" fontId="3" fillId="0" borderId="0" xfId="0" applyFont="1" applyAlignment="1">
      <alignment vertical="center"/>
    </xf>
    <xf numFmtId="0" fontId="2" fillId="4" borderId="9" xfId="0" applyFont="1" applyFill="1" applyBorder="1" applyAlignment="1">
      <alignment horizontal="left" vertical="center"/>
    </xf>
    <xf numFmtId="0" fontId="2" fillId="4" borderId="14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5" fillId="4" borderId="11" xfId="0" applyFont="1" applyFill="1" applyBorder="1" applyAlignment="1">
      <alignment horizontal="center" vertical="center" wrapText="1"/>
    </xf>
    <xf numFmtId="166" fontId="2" fillId="4" borderId="11" xfId="0" applyNumberFormat="1" applyFont="1" applyFill="1" applyBorder="1" applyAlignment="1">
      <alignment vertical="center"/>
    </xf>
    <xf numFmtId="168" fontId="2" fillId="0" borderId="1" xfId="2" applyFont="1" applyBorder="1"/>
    <xf numFmtId="0" fontId="3" fillId="0" borderId="4" xfId="0" applyFont="1" applyBorder="1"/>
    <xf numFmtId="0" fontId="2" fillId="4" borderId="15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vertical="center"/>
    </xf>
    <xf numFmtId="166" fontId="2" fillId="4" borderId="10" xfId="0" applyNumberFormat="1" applyFont="1" applyFill="1" applyBorder="1" applyAlignment="1">
      <alignment vertical="center"/>
    </xf>
    <xf numFmtId="0" fontId="3" fillId="0" borderId="16" xfId="0" applyFont="1" applyBorder="1"/>
    <xf numFmtId="168" fontId="2" fillId="0" borderId="19" xfId="2" applyFont="1" applyBorder="1"/>
    <xf numFmtId="168" fontId="3" fillId="0" borderId="19" xfId="2" applyFont="1" applyBorder="1"/>
    <xf numFmtId="168" fontId="3" fillId="0" borderId="27" xfId="2" applyFont="1" applyBorder="1"/>
    <xf numFmtId="168" fontId="3" fillId="0" borderId="30" xfId="2" applyFont="1" applyBorder="1"/>
    <xf numFmtId="168" fontId="2" fillId="4" borderId="11" xfId="2" applyFont="1" applyFill="1" applyBorder="1" applyAlignment="1">
      <alignment vertical="center"/>
    </xf>
    <xf numFmtId="168" fontId="3" fillId="0" borderId="0" xfId="0" applyNumberFormat="1" applyFont="1"/>
    <xf numFmtId="168" fontId="2" fillId="4" borderId="10" xfId="0" applyNumberFormat="1" applyFont="1" applyFill="1" applyBorder="1" applyAlignment="1">
      <alignment vertical="center"/>
    </xf>
    <xf numFmtId="168" fontId="2" fillId="4" borderId="11" xfId="0" applyNumberFormat="1" applyFont="1" applyFill="1" applyBorder="1" applyAlignment="1">
      <alignment vertical="center"/>
    </xf>
    <xf numFmtId="168" fontId="3" fillId="0" borderId="27" xfId="0" applyNumberFormat="1" applyFont="1" applyBorder="1"/>
    <xf numFmtId="0" fontId="7" fillId="0" borderId="18" xfId="0" applyFont="1" applyBorder="1"/>
    <xf numFmtId="168" fontId="2" fillId="4" borderId="10" xfId="2" applyFont="1" applyFill="1" applyBorder="1" applyAlignment="1">
      <alignment vertical="center"/>
    </xf>
    <xf numFmtId="10" fontId="3" fillId="0" borderId="0" xfId="0" applyNumberFormat="1" applyFont="1"/>
    <xf numFmtId="168" fontId="3" fillId="0" borderId="0" xfId="2" applyFont="1"/>
    <xf numFmtId="0" fontId="2" fillId="4" borderId="15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167" fontId="2" fillId="4" borderId="10" xfId="0" applyNumberFormat="1" applyFont="1" applyFill="1" applyBorder="1"/>
    <xf numFmtId="167" fontId="2" fillId="4" borderId="11" xfId="0" applyNumberFormat="1" applyFont="1" applyFill="1" applyBorder="1"/>
    <xf numFmtId="0" fontId="5" fillId="0" borderId="0" xfId="0" applyFont="1"/>
    <xf numFmtId="166" fontId="3" fillId="0" borderId="0" xfId="0" applyNumberFormat="1" applyFont="1"/>
    <xf numFmtId="0" fontId="3" fillId="0" borderId="1" xfId="0" applyFont="1" applyBorder="1" applyAlignment="1">
      <alignment horizontal="center"/>
    </xf>
    <xf numFmtId="166" fontId="3" fillId="0" borderId="19" xfId="0" applyNumberFormat="1" applyFont="1" applyBorder="1"/>
    <xf numFmtId="0" fontId="2" fillId="4" borderId="9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vertical="center" wrapText="1"/>
    </xf>
    <xf numFmtId="0" fontId="3" fillId="4" borderId="9" xfId="0" applyFont="1" applyFill="1" applyBorder="1"/>
    <xf numFmtId="10" fontId="2" fillId="4" borderId="5" xfId="3" applyNumberFormat="1" applyFont="1" applyFill="1" applyBorder="1"/>
    <xf numFmtId="0" fontId="3" fillId="0" borderId="2" xfId="0" applyFont="1" applyBorder="1"/>
    <xf numFmtId="9" fontId="3" fillId="0" borderId="2" xfId="3" applyFont="1" applyBorder="1"/>
    <xf numFmtId="0" fontId="2" fillId="4" borderId="12" xfId="0" applyFont="1" applyFill="1" applyBorder="1" applyAlignment="1">
      <alignment horizontal="center" vertical="center"/>
    </xf>
    <xf numFmtId="0" fontId="3" fillId="0" borderId="7" xfId="0" applyFont="1" applyBorder="1"/>
    <xf numFmtId="9" fontId="3" fillId="0" borderId="50" xfId="3" applyFont="1" applyBorder="1"/>
    <xf numFmtId="9" fontId="2" fillId="4" borderId="12" xfId="3" applyFont="1" applyFill="1" applyBorder="1" applyAlignment="1">
      <alignment vertical="center"/>
    </xf>
    <xf numFmtId="10" fontId="3" fillId="0" borderId="19" xfId="3" applyNumberFormat="1" applyFont="1" applyBorder="1"/>
    <xf numFmtId="10" fontId="3" fillId="0" borderId="23" xfId="3" applyNumberFormat="1" applyFont="1" applyBorder="1"/>
    <xf numFmtId="0" fontId="3" fillId="4" borderId="10" xfId="0" applyFont="1" applyFill="1" applyBorder="1" applyAlignment="1">
      <alignment vertical="center"/>
    </xf>
    <xf numFmtId="168" fontId="3" fillId="0" borderId="4" xfId="2" applyFont="1" applyBorder="1"/>
    <xf numFmtId="168" fontId="3" fillId="0" borderId="17" xfId="2" applyFont="1" applyBorder="1"/>
    <xf numFmtId="0" fontId="12" fillId="8" borderId="0" xfId="0" applyFont="1" applyFill="1" applyAlignment="1">
      <alignment vertical="center" wrapText="1"/>
    </xf>
    <xf numFmtId="0" fontId="12" fillId="8" borderId="0" xfId="0" applyFont="1" applyFill="1" applyAlignment="1">
      <alignment horizontal="right" vertical="center" wrapText="1"/>
    </xf>
    <xf numFmtId="0" fontId="11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0" fillId="0" borderId="0" xfId="0" applyAlignment="1">
      <alignment vertical="top" wrapText="1"/>
    </xf>
    <xf numFmtId="0" fontId="2" fillId="4" borderId="15" xfId="0" applyFont="1" applyFill="1" applyBorder="1" applyAlignment="1">
      <alignment horizontal="center" vertical="center" wrapText="1"/>
    </xf>
    <xf numFmtId="167" fontId="4" fillId="0" borderId="0" xfId="4" applyFont="1"/>
    <xf numFmtId="167" fontId="4" fillId="0" borderId="0" xfId="0" applyNumberFormat="1" applyFont="1" applyFill="1" applyBorder="1"/>
    <xf numFmtId="9" fontId="3" fillId="0" borderId="0" xfId="0" applyNumberFormat="1" applyFont="1"/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166" fontId="3" fillId="0" borderId="1" xfId="0" applyNumberFormat="1" applyFont="1" applyFill="1" applyBorder="1"/>
    <xf numFmtId="166" fontId="3" fillId="0" borderId="19" xfId="0" applyNumberFormat="1" applyFont="1" applyFill="1" applyBorder="1"/>
    <xf numFmtId="168" fontId="2" fillId="0" borderId="10" xfId="0" applyNumberFormat="1" applyFont="1" applyFill="1" applyBorder="1" applyAlignment="1">
      <alignment vertical="center"/>
    </xf>
    <xf numFmtId="168" fontId="2" fillId="0" borderId="11" xfId="0" applyNumberFormat="1" applyFont="1" applyFill="1" applyBorder="1" applyAlignment="1">
      <alignment vertical="center"/>
    </xf>
    <xf numFmtId="0" fontId="3" fillId="6" borderId="0" xfId="0" applyFont="1" applyFill="1" applyAlignment="1">
      <alignment horizontal="left"/>
    </xf>
    <xf numFmtId="0" fontId="3" fillId="6" borderId="0" xfId="0" applyFont="1" applyFill="1" applyAlignment="1">
      <alignment horizontal="center"/>
    </xf>
    <xf numFmtId="0" fontId="3" fillId="6" borderId="0" xfId="0" applyFont="1" applyFill="1"/>
    <xf numFmtId="0" fontId="6" fillId="6" borderId="0" xfId="0" applyFont="1" applyFill="1" applyAlignment="1">
      <alignment horizontal="center" vertical="center"/>
    </xf>
    <xf numFmtId="0" fontId="3" fillId="6" borderId="51" xfId="0" applyFont="1" applyFill="1" applyBorder="1" applyAlignment="1">
      <alignment horizontal="center"/>
    </xf>
    <xf numFmtId="0" fontId="3" fillId="6" borderId="8" xfId="0" applyFont="1" applyFill="1" applyBorder="1" applyAlignment="1">
      <alignment horizontal="center"/>
    </xf>
    <xf numFmtId="0" fontId="3" fillId="6" borderId="43" xfId="0" applyFont="1" applyFill="1" applyBorder="1" applyAlignment="1">
      <alignment horizontal="center"/>
    </xf>
    <xf numFmtId="0" fontId="3" fillId="6" borderId="26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41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left"/>
    </xf>
    <xf numFmtId="0" fontId="3" fillId="6" borderId="30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left"/>
    </xf>
    <xf numFmtId="0" fontId="3" fillId="6" borderId="45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left"/>
    </xf>
    <xf numFmtId="0" fontId="3" fillId="6" borderId="17" xfId="0" applyFont="1" applyFill="1" applyBorder="1" applyAlignment="1">
      <alignment horizontal="center" vertical="center"/>
    </xf>
    <xf numFmtId="0" fontId="3" fillId="6" borderId="52" xfId="0" applyFont="1" applyFill="1" applyBorder="1" applyAlignment="1">
      <alignment horizontal="center" vertical="center"/>
    </xf>
    <xf numFmtId="9" fontId="3" fillId="6" borderId="23" xfId="3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horizontal="center" vertical="center"/>
    </xf>
    <xf numFmtId="0" fontId="3" fillId="6" borderId="42" xfId="0" applyFont="1" applyFill="1" applyBorder="1" applyAlignment="1">
      <alignment horizontal="center" vertical="center"/>
    </xf>
    <xf numFmtId="0" fontId="3" fillId="6" borderId="53" xfId="0" applyFont="1" applyFill="1" applyBorder="1" applyAlignment="1">
      <alignment horizontal="left"/>
    </xf>
    <xf numFmtId="0" fontId="3" fillId="6" borderId="54" xfId="0" applyFont="1" applyFill="1" applyBorder="1" applyAlignment="1">
      <alignment horizontal="center"/>
    </xf>
    <xf numFmtId="0" fontId="3" fillId="6" borderId="55" xfId="0" applyFont="1" applyFill="1" applyBorder="1" applyAlignment="1">
      <alignment horizontal="center" vertical="center"/>
    </xf>
    <xf numFmtId="0" fontId="3" fillId="6" borderId="56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166" fontId="3" fillId="0" borderId="3" xfId="0" applyNumberFormat="1" applyFont="1" applyFill="1" applyBorder="1"/>
    <xf numFmtId="168" fontId="2" fillId="0" borderId="13" xfId="0" applyNumberFormat="1" applyFont="1" applyFill="1" applyBorder="1" applyAlignment="1">
      <alignment vertical="center"/>
    </xf>
    <xf numFmtId="168" fontId="4" fillId="0" borderId="19" xfId="2" applyFont="1" applyFill="1" applyBorder="1"/>
    <xf numFmtId="0" fontId="2" fillId="4" borderId="10" xfId="0" applyFont="1" applyFill="1" applyBorder="1" applyAlignment="1">
      <alignment vertical="center"/>
    </xf>
    <xf numFmtId="0" fontId="2" fillId="4" borderId="39" xfId="0" applyFont="1" applyFill="1" applyBorder="1" applyAlignment="1">
      <alignment horizontal="center" vertical="center"/>
    </xf>
    <xf numFmtId="10" fontId="3" fillId="0" borderId="0" xfId="0" applyNumberFormat="1" applyFont="1" applyFill="1"/>
    <xf numFmtId="9" fontId="13" fillId="0" borderId="0" xfId="0" applyNumberFormat="1" applyFont="1" applyFill="1"/>
    <xf numFmtId="0" fontId="13" fillId="0" borderId="0" xfId="0" applyFont="1" applyFill="1"/>
    <xf numFmtId="10" fontId="3" fillId="0" borderId="18" xfId="0" applyNumberFormat="1" applyFont="1" applyFill="1" applyBorder="1"/>
    <xf numFmtId="9" fontId="3" fillId="0" borderId="0" xfId="3" applyFont="1"/>
    <xf numFmtId="167" fontId="3" fillId="0" borderId="0" xfId="4" applyFont="1"/>
    <xf numFmtId="0" fontId="3" fillId="6" borderId="4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/>
    </xf>
    <xf numFmtId="9" fontId="3" fillId="6" borderId="34" xfId="3" applyFont="1" applyFill="1" applyBorder="1" applyAlignment="1">
      <alignment horizontal="center" vertical="center"/>
    </xf>
    <xf numFmtId="9" fontId="3" fillId="6" borderId="0" xfId="3" applyFont="1" applyFill="1" applyBorder="1" applyAlignment="1">
      <alignment horizontal="center" vertical="center"/>
    </xf>
    <xf numFmtId="9" fontId="3" fillId="6" borderId="45" xfId="3" applyFont="1" applyFill="1" applyBorder="1" applyAlignment="1">
      <alignment horizontal="center" vertical="center"/>
    </xf>
    <xf numFmtId="0" fontId="14" fillId="0" borderId="0" xfId="0" applyFont="1"/>
    <xf numFmtId="0" fontId="15" fillId="4" borderId="10" xfId="0" applyFont="1" applyFill="1" applyBorder="1" applyAlignment="1">
      <alignment horizontal="center" vertical="center"/>
    </xf>
    <xf numFmtId="0" fontId="15" fillId="4" borderId="11" xfId="0" applyFont="1" applyFill="1" applyBorder="1" applyAlignment="1">
      <alignment horizontal="center" vertical="center"/>
    </xf>
    <xf numFmtId="0" fontId="14" fillId="0" borderId="1" xfId="0" applyFont="1" applyBorder="1"/>
    <xf numFmtId="0" fontId="14" fillId="0" borderId="19" xfId="0" applyFont="1" applyBorder="1"/>
    <xf numFmtId="166" fontId="15" fillId="4" borderId="10" xfId="0" applyNumberFormat="1" applyFont="1" applyFill="1" applyBorder="1" applyAlignment="1">
      <alignment vertical="center"/>
    </xf>
    <xf numFmtId="166" fontId="15" fillId="4" borderId="11" xfId="0" applyNumberFormat="1" applyFont="1" applyFill="1" applyBorder="1" applyAlignment="1">
      <alignment vertical="center"/>
    </xf>
    <xf numFmtId="166" fontId="14" fillId="0" borderId="0" xfId="0" applyNumberFormat="1" applyFont="1"/>
    <xf numFmtId="168" fontId="14" fillId="0" borderId="0" xfId="0" applyNumberFormat="1" applyFont="1"/>
    <xf numFmtId="0" fontId="14" fillId="0" borderId="0" xfId="0" applyFont="1" applyAlignment="1">
      <alignment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wrapText="1"/>
    </xf>
    <xf numFmtId="0" fontId="15" fillId="4" borderId="15" xfId="0" applyFont="1" applyFill="1" applyBorder="1" applyAlignment="1">
      <alignment vertical="center" wrapText="1"/>
    </xf>
    <xf numFmtId="0" fontId="3" fillId="6" borderId="0" xfId="0" applyFont="1" applyFill="1" applyAlignment="1">
      <alignment horizontal="right"/>
    </xf>
    <xf numFmtId="0" fontId="2" fillId="6" borderId="16" xfId="0" applyFont="1" applyFill="1" applyBorder="1"/>
    <xf numFmtId="0" fontId="3" fillId="6" borderId="4" xfId="0" applyFont="1" applyFill="1" applyBorder="1"/>
    <xf numFmtId="0" fontId="3" fillId="6" borderId="17" xfId="0" applyFont="1" applyFill="1" applyBorder="1"/>
    <xf numFmtId="0" fontId="2" fillId="6" borderId="18" xfId="0" applyFont="1" applyFill="1" applyBorder="1"/>
    <xf numFmtId="0" fontId="3" fillId="6" borderId="1" xfId="0" applyFont="1" applyFill="1" applyBorder="1"/>
    <xf numFmtId="0" fontId="3" fillId="6" borderId="19" xfId="0" applyFont="1" applyFill="1" applyBorder="1"/>
    <xf numFmtId="0" fontId="3" fillId="6" borderId="18" xfId="0" applyFont="1" applyFill="1" applyBorder="1"/>
    <xf numFmtId="166" fontId="3" fillId="6" borderId="1" xfId="0" applyNumberFormat="1" applyFont="1" applyFill="1" applyBorder="1"/>
    <xf numFmtId="166" fontId="3" fillId="6" borderId="19" xfId="0" applyNumberFormat="1" applyFont="1" applyFill="1" applyBorder="1"/>
    <xf numFmtId="0" fontId="3" fillId="6" borderId="18" xfId="0" applyFont="1" applyFill="1" applyBorder="1" applyAlignment="1">
      <alignment horizontal="left" indent="2"/>
    </xf>
    <xf numFmtId="168" fontId="3" fillId="6" borderId="1" xfId="2" applyFont="1" applyFill="1" applyBorder="1"/>
    <xf numFmtId="0" fontId="3" fillId="6" borderId="29" xfId="0" applyFont="1" applyFill="1" applyBorder="1"/>
    <xf numFmtId="0" fontId="3" fillId="6" borderId="27" xfId="0" applyFont="1" applyFill="1" applyBorder="1"/>
    <xf numFmtId="0" fontId="2" fillId="3" borderId="15" xfId="0" applyFont="1" applyFill="1" applyBorder="1"/>
    <xf numFmtId="0" fontId="3" fillId="3" borderId="10" xfId="0" applyFont="1" applyFill="1" applyBorder="1"/>
    <xf numFmtId="168" fontId="2" fillId="3" borderId="10" xfId="0" applyNumberFormat="1" applyFont="1" applyFill="1" applyBorder="1"/>
    <xf numFmtId="0" fontId="3" fillId="6" borderId="16" xfId="0" applyFont="1" applyFill="1" applyBorder="1"/>
    <xf numFmtId="168" fontId="3" fillId="6" borderId="27" xfId="2" applyFont="1" applyFill="1" applyBorder="1"/>
    <xf numFmtId="0" fontId="3" fillId="6" borderId="30" xfId="0" applyFont="1" applyFill="1" applyBorder="1"/>
    <xf numFmtId="168" fontId="2" fillId="3" borderId="10" xfId="2" applyFont="1" applyFill="1" applyBorder="1"/>
    <xf numFmtId="168" fontId="2" fillId="3" borderId="11" xfId="2" applyFont="1" applyFill="1" applyBorder="1"/>
    <xf numFmtId="0" fontId="3" fillId="6" borderId="44" xfId="0" applyFont="1" applyFill="1" applyBorder="1"/>
    <xf numFmtId="0" fontId="3" fillId="6" borderId="34" xfId="0" applyFont="1" applyFill="1" applyBorder="1"/>
    <xf numFmtId="0" fontId="3" fillId="6" borderId="45" xfId="0" applyFont="1" applyFill="1" applyBorder="1"/>
    <xf numFmtId="168" fontId="3" fillId="6" borderId="0" xfId="0" applyNumberFormat="1" applyFont="1" applyFill="1"/>
    <xf numFmtId="166" fontId="3" fillId="6" borderId="0" xfId="0" applyNumberFormat="1" applyFont="1" applyFill="1"/>
    <xf numFmtId="10" fontId="3" fillId="6" borderId="0" xfId="0" applyNumberFormat="1" applyFont="1" applyFill="1"/>
    <xf numFmtId="0" fontId="2" fillId="6" borderId="0" xfId="0" applyFont="1" applyFill="1"/>
    <xf numFmtId="166" fontId="2" fillId="6" borderId="0" xfId="0" applyNumberFormat="1" applyFont="1" applyFill="1"/>
    <xf numFmtId="0" fontId="3" fillId="0" borderId="18" xfId="0" applyFont="1" applyBorder="1" applyAlignment="1">
      <alignment horizontal="center"/>
    </xf>
    <xf numFmtId="170" fontId="3" fillId="0" borderId="1" xfId="0" applyNumberFormat="1" applyFont="1" applyBorder="1"/>
    <xf numFmtId="0" fontId="2" fillId="3" borderId="9" xfId="0" applyFont="1" applyFill="1" applyBorder="1"/>
    <xf numFmtId="10" fontId="3" fillId="3" borderId="5" xfId="0" applyNumberFormat="1" applyFont="1" applyFill="1" applyBorder="1"/>
    <xf numFmtId="0" fontId="3" fillId="6" borderId="0" xfId="0" applyFont="1" applyFill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4" borderId="13" xfId="0" applyFont="1" applyFill="1" applyBorder="1" applyAlignment="1">
      <alignment vertical="center"/>
    </xf>
    <xf numFmtId="0" fontId="2" fillId="4" borderId="11" xfId="0" applyFont="1" applyFill="1" applyBorder="1" applyAlignment="1">
      <alignment vertical="center"/>
    </xf>
    <xf numFmtId="0" fontId="2" fillId="4" borderId="10" xfId="0" applyFont="1" applyFill="1" applyBorder="1" applyAlignment="1">
      <alignment horizontal="center" wrapText="1"/>
    </xf>
    <xf numFmtId="0" fontId="2" fillId="4" borderId="11" xfId="0" applyFont="1" applyFill="1" applyBorder="1" applyAlignment="1">
      <alignment horizontal="center" wrapText="1"/>
    </xf>
    <xf numFmtId="0" fontId="3" fillId="0" borderId="38" xfId="0" applyFont="1" applyBorder="1" applyAlignment="1">
      <alignment horizontal="center" vertical="center"/>
    </xf>
    <xf numFmtId="166" fontId="3" fillId="0" borderId="39" xfId="0" applyNumberFormat="1" applyFont="1" applyBorder="1"/>
    <xf numFmtId="166" fontId="3" fillId="0" borderId="40" xfId="0" applyNumberFormat="1" applyFont="1" applyBorder="1"/>
    <xf numFmtId="166" fontId="3" fillId="0" borderId="1" xfId="0" applyNumberFormat="1" applyFont="1" applyBorder="1" applyAlignment="1">
      <alignment horizontal="center" vertical="center"/>
    </xf>
    <xf numFmtId="2" fontId="3" fillId="0" borderId="0" xfId="0" applyNumberFormat="1" applyFont="1"/>
    <xf numFmtId="0" fontId="17" fillId="0" borderId="0" xfId="5" applyFont="1"/>
    <xf numFmtId="167" fontId="3" fillId="0" borderId="0" xfId="4" applyFont="1" applyFill="1" applyBorder="1"/>
    <xf numFmtId="168" fontId="3" fillId="0" borderId="1" xfId="2" applyFont="1" applyBorder="1" applyAlignment="1">
      <alignment horizontal="center"/>
    </xf>
    <xf numFmtId="4" fontId="2" fillId="4" borderId="36" xfId="0" applyNumberFormat="1" applyFont="1" applyFill="1" applyBorder="1" applyAlignment="1">
      <alignment horizontal="center" vertical="center"/>
    </xf>
    <xf numFmtId="167" fontId="2" fillId="4" borderId="36" xfId="0" applyNumberFormat="1" applyFont="1" applyFill="1" applyBorder="1" applyAlignment="1">
      <alignment horizontal="center" vertical="center"/>
    </xf>
    <xf numFmtId="0" fontId="2" fillId="4" borderId="59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center" vertical="center"/>
    </xf>
    <xf numFmtId="0" fontId="18" fillId="4" borderId="38" xfId="0" applyFont="1" applyFill="1" applyBorder="1" applyAlignment="1">
      <alignment horizontal="center" vertical="center"/>
    </xf>
    <xf numFmtId="10" fontId="2" fillId="4" borderId="39" xfId="0" applyNumberFormat="1" applyFont="1" applyFill="1" applyBorder="1" applyAlignment="1">
      <alignment horizontal="center" vertical="center"/>
    </xf>
    <xf numFmtId="0" fontId="2" fillId="4" borderId="60" xfId="0" applyFont="1" applyFill="1" applyBorder="1" applyAlignment="1">
      <alignment horizontal="center" vertical="center"/>
    </xf>
    <xf numFmtId="0" fontId="2" fillId="4" borderId="55" xfId="0" applyFont="1" applyFill="1" applyBorder="1" applyAlignment="1">
      <alignment horizontal="center" vertical="center"/>
    </xf>
    <xf numFmtId="0" fontId="19" fillId="0" borderId="35" xfId="0" applyFont="1" applyFill="1" applyBorder="1" applyAlignment="1">
      <alignment horizontal="center"/>
    </xf>
    <xf numFmtId="0" fontId="19" fillId="0" borderId="36" xfId="0" applyFont="1" applyFill="1" applyBorder="1" applyAlignment="1">
      <alignment horizontal="center"/>
    </xf>
    <xf numFmtId="0" fontId="19" fillId="0" borderId="37" xfId="0" applyFont="1" applyFill="1" applyBorder="1" applyAlignment="1">
      <alignment horizontal="center"/>
    </xf>
    <xf numFmtId="0" fontId="19" fillId="0" borderId="18" xfId="0" applyFont="1" applyFill="1" applyBorder="1" applyAlignment="1">
      <alignment horizontal="center"/>
    </xf>
    <xf numFmtId="168" fontId="19" fillId="0" borderId="1" xfId="2" applyFont="1" applyFill="1" applyBorder="1" applyAlignment="1">
      <alignment horizontal="center"/>
    </xf>
    <xf numFmtId="168" fontId="19" fillId="0" borderId="19" xfId="2" applyFont="1" applyFill="1" applyBorder="1" applyAlignment="1">
      <alignment horizontal="center"/>
    </xf>
    <xf numFmtId="168" fontId="3" fillId="0" borderId="19" xfId="2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168" fontId="3" fillId="0" borderId="39" xfId="2" applyFont="1" applyBorder="1" applyAlignment="1">
      <alignment horizontal="center"/>
    </xf>
    <xf numFmtId="168" fontId="3" fillId="0" borderId="40" xfId="2" applyFont="1" applyBorder="1" applyAlignment="1">
      <alignment horizontal="center"/>
    </xf>
    <xf numFmtId="0" fontId="2" fillId="0" borderId="0" xfId="0" applyFont="1" applyFill="1" applyBorder="1" applyAlignment="1"/>
    <xf numFmtId="0" fontId="20" fillId="0" borderId="0" xfId="0" applyFont="1" applyFill="1" applyBorder="1" applyAlignment="1">
      <alignment vertical="center"/>
    </xf>
    <xf numFmtId="167" fontId="3" fillId="0" borderId="0" xfId="4" applyFont="1" applyFill="1" applyBorder="1" applyAlignment="1">
      <alignment horizontal="left"/>
    </xf>
    <xf numFmtId="43" fontId="3" fillId="6" borderId="6" xfId="0" applyNumberFormat="1" applyFont="1" applyFill="1" applyBorder="1"/>
    <xf numFmtId="167" fontId="3" fillId="0" borderId="0" xfId="0" applyNumberFormat="1" applyFont="1" applyFill="1" applyBorder="1" applyAlignment="1">
      <alignment vertical="center"/>
    </xf>
    <xf numFmtId="43" fontId="3" fillId="0" borderId="0" xfId="0" applyNumberFormat="1" applyFont="1" applyFill="1" applyBorder="1" applyAlignment="1">
      <alignment vertical="center"/>
    </xf>
    <xf numFmtId="167" fontId="3" fillId="0" borderId="0" xfId="4" applyFont="1" applyFill="1" applyBorder="1" applyAlignment="1">
      <alignment vertical="center"/>
    </xf>
    <xf numFmtId="167" fontId="3" fillId="6" borderId="0" xfId="4" applyFont="1" applyFill="1"/>
    <xf numFmtId="0" fontId="3" fillId="0" borderId="0" xfId="0" applyFont="1" applyFill="1" applyBorder="1" applyAlignment="1">
      <alignment vertical="center"/>
    </xf>
    <xf numFmtId="167" fontId="3" fillId="6" borderId="41" xfId="4" applyFont="1" applyFill="1" applyBorder="1"/>
    <xf numFmtId="43" fontId="3" fillId="0" borderId="0" xfId="0" applyNumberFormat="1" applyFont="1" applyFill="1" applyBorder="1"/>
    <xf numFmtId="43" fontId="3" fillId="0" borderId="0" xfId="4" applyNumberFormat="1" applyFont="1" applyFill="1" applyBorder="1"/>
    <xf numFmtId="0" fontId="20" fillId="6" borderId="0" xfId="0" applyFont="1" applyFill="1" applyAlignment="1">
      <alignment vertical="center"/>
    </xf>
    <xf numFmtId="167" fontId="2" fillId="6" borderId="0" xfId="4" applyFont="1" applyFill="1"/>
    <xf numFmtId="169" fontId="2" fillId="0" borderId="0" xfId="4" applyNumberFormat="1" applyFont="1" applyFill="1" applyBorder="1"/>
    <xf numFmtId="0" fontId="2" fillId="0" borderId="0" xfId="0" applyFont="1" applyFill="1" applyBorder="1"/>
    <xf numFmtId="0" fontId="20" fillId="0" borderId="0" xfId="0" applyFont="1" applyAlignment="1">
      <alignment vertical="center"/>
    </xf>
    <xf numFmtId="1" fontId="3" fillId="0" borderId="0" xfId="0" applyNumberFormat="1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7" fontId="3" fillId="0" borderId="0" xfId="0" applyNumberFormat="1" applyFont="1" applyFill="1" applyBorder="1"/>
    <xf numFmtId="169" fontId="3" fillId="0" borderId="0" xfId="4" applyNumberFormat="1" applyFont="1" applyFill="1" applyBorder="1"/>
    <xf numFmtId="169" fontId="3" fillId="0" borderId="0" xfId="0" applyNumberFormat="1" applyFont="1" applyFill="1" applyBorder="1"/>
    <xf numFmtId="0" fontId="3" fillId="6" borderId="38" xfId="0" applyFont="1" applyFill="1" applyBorder="1"/>
    <xf numFmtId="0" fontId="3" fillId="6" borderId="39" xfId="0" applyFont="1" applyFill="1" applyBorder="1"/>
    <xf numFmtId="168" fontId="3" fillId="6" borderId="40" xfId="0" applyNumberFormat="1" applyFont="1" applyFill="1" applyBorder="1"/>
    <xf numFmtId="172" fontId="21" fillId="0" borderId="1" xfId="0" applyNumberFormat="1" applyFont="1" applyFill="1" applyBorder="1" applyAlignment="1">
      <alignment horizontal="center" vertical="center"/>
    </xf>
    <xf numFmtId="171" fontId="21" fillId="0" borderId="1" xfId="4" applyNumberFormat="1" applyFont="1" applyFill="1" applyBorder="1" applyAlignment="1">
      <alignment vertical="center"/>
    </xf>
    <xf numFmtId="168" fontId="21" fillId="0" borderId="0" xfId="2" applyFont="1" applyFill="1" applyBorder="1" applyAlignment="1">
      <alignment vertical="center"/>
    </xf>
    <xf numFmtId="165" fontId="21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165" fontId="22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2" fontId="21" fillId="0" borderId="0" xfId="0" applyNumberFormat="1" applyFont="1" applyFill="1" applyBorder="1" applyAlignment="1">
      <alignment horizontal="center" vertical="center"/>
    </xf>
    <xf numFmtId="171" fontId="21" fillId="0" borderId="0" xfId="4" applyNumberFormat="1" applyFont="1" applyFill="1" applyBorder="1" applyAlignment="1">
      <alignment vertical="center"/>
    </xf>
    <xf numFmtId="171" fontId="22" fillId="0" borderId="0" xfId="4" applyNumberFormat="1" applyFont="1" applyFill="1" applyBorder="1" applyAlignment="1">
      <alignment vertical="center"/>
    </xf>
    <xf numFmtId="0" fontId="21" fillId="0" borderId="0" xfId="0" applyFont="1"/>
    <xf numFmtId="0" fontId="22" fillId="4" borderId="15" xfId="0" applyFont="1" applyFill="1" applyBorder="1" applyAlignment="1">
      <alignment horizontal="center" vertical="center"/>
    </xf>
    <xf numFmtId="0" fontId="22" fillId="4" borderId="10" xfId="0" applyFont="1" applyFill="1" applyBorder="1" applyAlignment="1">
      <alignment horizontal="center" vertical="center" wrapText="1"/>
    </xf>
    <xf numFmtId="168" fontId="22" fillId="4" borderId="10" xfId="2" applyFont="1" applyFill="1" applyBorder="1" applyAlignment="1">
      <alignment horizontal="center" vertical="center" wrapText="1"/>
    </xf>
    <xf numFmtId="168" fontId="22" fillId="4" borderId="11" xfId="2" applyFont="1" applyFill="1" applyBorder="1" applyAlignment="1">
      <alignment horizontal="center" vertical="center" wrapText="1"/>
    </xf>
    <xf numFmtId="0" fontId="22" fillId="4" borderId="0" xfId="0" applyFont="1" applyFill="1" applyBorder="1" applyAlignment="1">
      <alignment horizontal="center" vertical="center"/>
    </xf>
    <xf numFmtId="171" fontId="21" fillId="0" borderId="0" xfId="4" applyNumberFormat="1" applyFont="1"/>
    <xf numFmtId="0" fontId="21" fillId="0" borderId="0" xfId="0" applyFont="1" applyFill="1" applyBorder="1"/>
    <xf numFmtId="0" fontId="21" fillId="0" borderId="0" xfId="0" applyFont="1" applyAlignment="1">
      <alignment horizontal="center"/>
    </xf>
    <xf numFmtId="0" fontId="21" fillId="0" borderId="0" xfId="0" applyFont="1" applyFill="1" applyBorder="1" applyAlignment="1">
      <alignment horizontal="center"/>
    </xf>
    <xf numFmtId="171" fontId="21" fillId="0" borderId="0" xfId="4" applyNumberFormat="1" applyFont="1" applyBorder="1"/>
    <xf numFmtId="0" fontId="21" fillId="0" borderId="0" xfId="0" applyFont="1" applyBorder="1"/>
    <xf numFmtId="0" fontId="22" fillId="0" borderId="0" xfId="0" applyFont="1" applyFill="1" applyBorder="1" applyAlignment="1">
      <alignment horizontal="left"/>
    </xf>
    <xf numFmtId="0" fontId="22" fillId="4" borderId="11" xfId="0" applyFont="1" applyFill="1" applyBorder="1" applyAlignment="1">
      <alignment horizontal="center" vertical="center" wrapText="1"/>
    </xf>
    <xf numFmtId="0" fontId="21" fillId="0" borderId="0" xfId="0" applyFont="1" applyFill="1"/>
    <xf numFmtId="0" fontId="21" fillId="0" borderId="18" xfId="0" applyFont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168" fontId="21" fillId="0" borderId="1" xfId="2" applyFont="1" applyBorder="1" applyAlignment="1">
      <alignment vertical="center"/>
    </xf>
    <xf numFmtId="168" fontId="21" fillId="0" borderId="19" xfId="2" applyFont="1" applyBorder="1" applyAlignment="1">
      <alignment vertical="center"/>
    </xf>
    <xf numFmtId="0" fontId="21" fillId="0" borderId="18" xfId="0" applyFont="1" applyBorder="1"/>
    <xf numFmtId="0" fontId="21" fillId="0" borderId="1" xfId="0" applyFont="1" applyFill="1" applyBorder="1" applyAlignment="1">
      <alignment horizontal="center"/>
    </xf>
    <xf numFmtId="168" fontId="21" fillId="0" borderId="1" xfId="2" applyFont="1" applyBorder="1"/>
    <xf numFmtId="0" fontId="22" fillId="0" borderId="18" xfId="0" applyFont="1" applyBorder="1"/>
    <xf numFmtId="0" fontId="22" fillId="0" borderId="1" xfId="0" applyFont="1" applyBorder="1"/>
    <xf numFmtId="166" fontId="22" fillId="0" borderId="19" xfId="0" applyNumberFormat="1" applyFont="1" applyBorder="1"/>
    <xf numFmtId="0" fontId="22" fillId="4" borderId="15" xfId="0" applyFont="1" applyFill="1" applyBorder="1"/>
    <xf numFmtId="0" fontId="22" fillId="4" borderId="10" xfId="0" applyFont="1" applyFill="1" applyBorder="1"/>
    <xf numFmtId="166" fontId="22" fillId="4" borderId="11" xfId="0" applyNumberFormat="1" applyFont="1" applyFill="1" applyBorder="1"/>
    <xf numFmtId="0" fontId="22" fillId="0" borderId="0" xfId="0" applyFont="1"/>
    <xf numFmtId="0" fontId="21" fillId="0" borderId="1" xfId="0" applyFont="1" applyBorder="1" applyAlignment="1">
      <alignment horizontal="center"/>
    </xf>
    <xf numFmtId="0" fontId="22" fillId="4" borderId="9" xfId="0" applyFont="1" applyFill="1" applyBorder="1" applyAlignment="1">
      <alignment vertical="center"/>
    </xf>
    <xf numFmtId="0" fontId="21" fillId="4" borderId="14" xfId="0" applyFont="1" applyFill="1" applyBorder="1"/>
    <xf numFmtId="166" fontId="22" fillId="4" borderId="5" xfId="0" applyNumberFormat="1" applyFont="1" applyFill="1" applyBorder="1"/>
    <xf numFmtId="168" fontId="21" fillId="0" borderId="1" xfId="2" applyFont="1" applyFill="1" applyBorder="1" applyAlignment="1">
      <alignment vertical="center"/>
    </xf>
    <xf numFmtId="168" fontId="21" fillId="0" borderId="1" xfId="2" applyFont="1" applyFill="1" applyBorder="1"/>
    <xf numFmtId="166" fontId="21" fillId="0" borderId="0" xfId="0" applyNumberFormat="1" applyFont="1"/>
    <xf numFmtId="0" fontId="22" fillId="4" borderId="9" xfId="0" applyFont="1" applyFill="1" applyBorder="1" applyAlignment="1">
      <alignment horizontal="center" vertical="center"/>
    </xf>
    <xf numFmtId="0" fontId="22" fillId="4" borderId="14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1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171" fontId="22" fillId="4" borderId="5" xfId="4" applyNumberFormat="1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18" xfId="0" applyFont="1" applyBorder="1" applyAlignment="1">
      <alignment horizontal="left" vertical="center"/>
    </xf>
    <xf numFmtId="171" fontId="21" fillId="0" borderId="1" xfId="4" applyNumberFormat="1" applyFont="1" applyBorder="1" applyAlignment="1">
      <alignment horizontal="center"/>
    </xf>
    <xf numFmtId="171" fontId="21" fillId="0" borderId="19" xfId="4" applyNumberFormat="1" applyFont="1" applyBorder="1"/>
    <xf numFmtId="171" fontId="22" fillId="0" borderId="19" xfId="4" applyNumberFormat="1" applyFont="1" applyBorder="1"/>
    <xf numFmtId="171" fontId="22" fillId="4" borderId="11" xfId="4" applyNumberFormat="1" applyFont="1" applyFill="1" applyBorder="1" applyAlignment="1">
      <alignment vertical="center"/>
    </xf>
    <xf numFmtId="171" fontId="21" fillId="0" borderId="17" xfId="4" applyNumberFormat="1" applyFont="1" applyBorder="1"/>
    <xf numFmtId="0" fontId="21" fillId="0" borderId="1" xfId="0" applyFont="1" applyFill="1" applyBorder="1"/>
    <xf numFmtId="0" fontId="21" fillId="0" borderId="1" xfId="0" applyFont="1" applyFill="1" applyBorder="1" applyAlignment="1">
      <alignment horizontal="left"/>
    </xf>
    <xf numFmtId="0" fontId="24" fillId="0" borderId="1" xfId="0" applyFont="1" applyFill="1" applyBorder="1" applyAlignment="1">
      <alignment horizontal="left"/>
    </xf>
    <xf numFmtId="171" fontId="21" fillId="0" borderId="1" xfId="4" applyNumberFormat="1" applyFont="1" applyBorder="1" applyAlignment="1">
      <alignment horizontal="right"/>
    </xf>
    <xf numFmtId="171" fontId="21" fillId="0" borderId="1" xfId="4" applyNumberFormat="1" applyFont="1" applyFill="1" applyBorder="1" applyAlignment="1">
      <alignment horizontal="left"/>
    </xf>
    <xf numFmtId="171" fontId="21" fillId="0" borderId="1" xfId="4" applyNumberFormat="1" applyFont="1" applyBorder="1"/>
    <xf numFmtId="171" fontId="22" fillId="0" borderId="1" xfId="4" applyNumberFormat="1" applyFont="1" applyBorder="1"/>
    <xf numFmtId="0" fontId="21" fillId="0" borderId="1" xfId="0" applyFont="1" applyBorder="1"/>
    <xf numFmtId="171" fontId="22" fillId="4" borderId="56" xfId="4" applyNumberFormat="1" applyFont="1" applyFill="1" applyBorder="1" applyAlignment="1">
      <alignment vertical="center"/>
    </xf>
    <xf numFmtId="171" fontId="22" fillId="4" borderId="14" xfId="4" applyNumberFormat="1" applyFont="1" applyFill="1" applyBorder="1" applyAlignment="1">
      <alignment vertical="center"/>
    </xf>
    <xf numFmtId="171" fontId="22" fillId="4" borderId="5" xfId="4" applyNumberFormat="1" applyFont="1" applyFill="1" applyBorder="1" applyAlignment="1">
      <alignment vertical="center"/>
    </xf>
    <xf numFmtId="0" fontId="22" fillId="4" borderId="15" xfId="0" applyFont="1" applyFill="1" applyBorder="1" applyAlignment="1">
      <alignment horizontal="center" vertical="center" wrapText="1"/>
    </xf>
    <xf numFmtId="171" fontId="21" fillId="0" borderId="1" xfId="4" applyNumberFormat="1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left" vertical="center" wrapText="1"/>
    </xf>
    <xf numFmtId="171" fontId="21" fillId="0" borderId="1" xfId="4" applyNumberFormat="1" applyFont="1" applyFill="1" applyBorder="1"/>
    <xf numFmtId="0" fontId="22" fillId="0" borderId="18" xfId="0" applyFont="1" applyFill="1" applyBorder="1" applyAlignment="1">
      <alignment horizontal="left" vertical="center"/>
    </xf>
    <xf numFmtId="171" fontId="22" fillId="0" borderId="1" xfId="4" applyNumberFormat="1" applyFont="1" applyFill="1" applyBorder="1" applyAlignment="1">
      <alignment horizontal="center"/>
    </xf>
    <xf numFmtId="171" fontId="21" fillId="0" borderId="1" xfId="4" applyNumberFormat="1" applyFont="1" applyFill="1" applyBorder="1" applyAlignment="1">
      <alignment horizontal="center"/>
    </xf>
    <xf numFmtId="0" fontId="22" fillId="0" borderId="18" xfId="0" applyFont="1" applyBorder="1" applyAlignment="1">
      <alignment vertical="center"/>
    </xf>
    <xf numFmtId="0" fontId="21" fillId="0" borderId="29" xfId="0" applyFont="1" applyBorder="1" applyAlignment="1">
      <alignment vertical="center"/>
    </xf>
    <xf numFmtId="0" fontId="22" fillId="4" borderId="15" xfId="0" applyFont="1" applyFill="1" applyBorder="1" applyAlignment="1">
      <alignment vertical="center"/>
    </xf>
    <xf numFmtId="0" fontId="21" fillId="4" borderId="10" xfId="0" applyFont="1" applyFill="1" applyBorder="1"/>
    <xf numFmtId="171" fontId="22" fillId="4" borderId="11" xfId="4" applyNumberFormat="1" applyFont="1" applyFill="1" applyBorder="1"/>
    <xf numFmtId="172" fontId="21" fillId="0" borderId="0" xfId="0" applyNumberFormat="1" applyFont="1"/>
    <xf numFmtId="0" fontId="21" fillId="0" borderId="4" xfId="0" applyFont="1" applyBorder="1"/>
    <xf numFmtId="0" fontId="21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168" fontId="21" fillId="0" borderId="0" xfId="0" applyNumberFormat="1" applyFont="1"/>
    <xf numFmtId="0" fontId="22" fillId="4" borderId="11" xfId="0" applyFont="1" applyFill="1" applyBorder="1" applyAlignment="1">
      <alignment horizontal="center" vertical="center"/>
    </xf>
    <xf numFmtId="0" fontId="21" fillId="0" borderId="16" xfId="0" applyFont="1" applyBorder="1" applyAlignment="1">
      <alignment vertical="center"/>
    </xf>
    <xf numFmtId="172" fontId="21" fillId="0" borderId="0" xfId="0" applyNumberFormat="1" applyFont="1" applyFill="1"/>
    <xf numFmtId="171" fontId="21" fillId="0" borderId="30" xfId="4" applyNumberFormat="1" applyFont="1" applyBorder="1"/>
    <xf numFmtId="171" fontId="22" fillId="0" borderId="0" xfId="4" applyNumberFormat="1" applyFont="1" applyFill="1" applyBorder="1"/>
    <xf numFmtId="9" fontId="21" fillId="0" borderId="0" xfId="3" applyFont="1"/>
    <xf numFmtId="172" fontId="22" fillId="4" borderId="10" xfId="0" applyNumberFormat="1" applyFont="1" applyFill="1" applyBorder="1" applyAlignment="1">
      <alignment horizontal="center" vertical="center"/>
    </xf>
    <xf numFmtId="172" fontId="22" fillId="4" borderId="10" xfId="0" applyNumberFormat="1" applyFont="1" applyFill="1" applyBorder="1" applyAlignment="1">
      <alignment horizontal="center" vertical="center" wrapText="1"/>
    </xf>
    <xf numFmtId="0" fontId="26" fillId="0" borderId="0" xfId="0" applyFont="1"/>
    <xf numFmtId="171" fontId="21" fillId="0" borderId="0" xfId="4" applyNumberFormat="1" applyFont="1" applyFill="1"/>
    <xf numFmtId="172" fontId="21" fillId="0" borderId="0" xfId="0" applyNumberFormat="1" applyFont="1" applyFill="1" applyBorder="1"/>
    <xf numFmtId="172" fontId="22" fillId="4" borderId="10" xfId="1" applyNumberFormat="1" applyFont="1" applyFill="1" applyBorder="1" applyAlignment="1">
      <alignment horizontal="center" vertical="center" wrapText="1"/>
    </xf>
    <xf numFmtId="172" fontId="22" fillId="4" borderId="11" xfId="1" applyNumberFormat="1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justify" vertical="center" wrapText="1"/>
    </xf>
    <xf numFmtId="0" fontId="21" fillId="0" borderId="1" xfId="0" applyFont="1" applyBorder="1" applyAlignment="1">
      <alignment horizontal="center" vertical="center" wrapText="1"/>
    </xf>
    <xf numFmtId="172" fontId="21" fillId="0" borderId="1" xfId="1" applyNumberFormat="1" applyFont="1" applyBorder="1"/>
    <xf numFmtId="0" fontId="21" fillId="0" borderId="20" xfId="0" applyFont="1" applyBorder="1" applyAlignment="1">
      <alignment horizontal="left" vertical="center"/>
    </xf>
    <xf numFmtId="0" fontId="21" fillId="0" borderId="20" xfId="0" applyFont="1" applyBorder="1" applyAlignment="1">
      <alignment horizontal="justify" vertical="center" wrapText="1"/>
    </xf>
    <xf numFmtId="0" fontId="22" fillId="0" borderId="20" xfId="0" applyFont="1" applyBorder="1" applyAlignment="1">
      <alignment horizontal="justify" vertical="center" wrapText="1"/>
    </xf>
    <xf numFmtId="0" fontId="22" fillId="4" borderId="12" xfId="0" applyFont="1" applyFill="1" applyBorder="1" applyAlignment="1">
      <alignment horizontal="center" vertical="center" wrapText="1"/>
    </xf>
    <xf numFmtId="0" fontId="22" fillId="0" borderId="20" xfId="0" applyFont="1" applyBorder="1"/>
    <xf numFmtId="0" fontId="23" fillId="0" borderId="0" xfId="0" applyFont="1" applyFill="1"/>
    <xf numFmtId="172" fontId="21" fillId="0" borderId="1" xfId="0" applyNumberFormat="1" applyFont="1" applyBorder="1"/>
    <xf numFmtId="0" fontId="22" fillId="4" borderId="33" xfId="0" applyFont="1" applyFill="1" applyBorder="1"/>
    <xf numFmtId="172" fontId="22" fillId="4" borderId="33" xfId="0" applyNumberFormat="1" applyFont="1" applyFill="1" applyBorder="1"/>
    <xf numFmtId="172" fontId="22" fillId="4" borderId="32" xfId="0" applyNumberFormat="1" applyFont="1" applyFill="1" applyBorder="1" applyAlignment="1">
      <alignment vertical="center"/>
    </xf>
    <xf numFmtId="0" fontId="26" fillId="0" borderId="0" xfId="0" applyFont="1" applyAlignment="1">
      <alignment horizontal="right"/>
    </xf>
    <xf numFmtId="172" fontId="22" fillId="4" borderId="14" xfId="0" applyNumberFormat="1" applyFont="1" applyFill="1" applyBorder="1" applyAlignment="1">
      <alignment horizontal="center" vertical="center"/>
    </xf>
    <xf numFmtId="172" fontId="22" fillId="4" borderId="14" xfId="0" applyNumberFormat="1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vertical="center"/>
    </xf>
    <xf numFmtId="171" fontId="21" fillId="0" borderId="19" xfId="4" applyNumberFormat="1" applyFont="1" applyFill="1" applyBorder="1" applyAlignment="1">
      <alignment vertical="center"/>
    </xf>
    <xf numFmtId="0" fontId="21" fillId="0" borderId="38" xfId="0" applyFont="1" applyFill="1" applyBorder="1" applyAlignment="1">
      <alignment vertical="center"/>
    </xf>
    <xf numFmtId="0" fontId="21" fillId="0" borderId="39" xfId="0" applyFont="1" applyFill="1" applyBorder="1"/>
    <xf numFmtId="172" fontId="21" fillId="0" borderId="39" xfId="0" applyNumberFormat="1" applyFont="1" applyFill="1" applyBorder="1" applyAlignment="1">
      <alignment horizontal="center" vertical="center"/>
    </xf>
    <xf numFmtId="171" fontId="21" fillId="0" borderId="39" xfId="4" applyNumberFormat="1" applyFont="1" applyFill="1" applyBorder="1"/>
    <xf numFmtId="171" fontId="21" fillId="0" borderId="39" xfId="4" applyNumberFormat="1" applyFont="1" applyFill="1" applyBorder="1" applyAlignment="1">
      <alignment vertical="center"/>
    </xf>
    <xf numFmtId="171" fontId="21" fillId="0" borderId="40" xfId="4" applyNumberFormat="1" applyFont="1" applyFill="1" applyBorder="1" applyAlignment="1">
      <alignment vertical="center"/>
    </xf>
    <xf numFmtId="171" fontId="22" fillId="4" borderId="15" xfId="4" applyNumberFormat="1" applyFont="1" applyFill="1" applyBorder="1" applyAlignment="1">
      <alignment vertical="center"/>
    </xf>
    <xf numFmtId="172" fontId="22" fillId="4" borderId="14" xfId="1" applyNumberFormat="1" applyFont="1" applyFill="1" applyBorder="1" applyAlignment="1">
      <alignment horizontal="center" vertical="center" wrapText="1"/>
    </xf>
    <xf numFmtId="172" fontId="22" fillId="4" borderId="5" xfId="1" applyNumberFormat="1" applyFont="1" applyFill="1" applyBorder="1" applyAlignment="1">
      <alignment horizontal="center" vertical="center" wrapText="1"/>
    </xf>
    <xf numFmtId="171" fontId="21" fillId="0" borderId="1" xfId="4" applyNumberFormat="1" applyFont="1" applyBorder="1" applyAlignment="1">
      <alignment horizontal="center" vertical="center" wrapText="1"/>
    </xf>
    <xf numFmtId="171" fontId="21" fillId="0" borderId="6" xfId="4" applyNumberFormat="1" applyFont="1" applyBorder="1"/>
    <xf numFmtId="171" fontId="21" fillId="0" borderId="21" xfId="4" applyNumberFormat="1" applyFont="1" applyBorder="1"/>
    <xf numFmtId="171" fontId="22" fillId="0" borderId="21" xfId="4" applyNumberFormat="1" applyFont="1" applyBorder="1"/>
    <xf numFmtId="171" fontId="21" fillId="0" borderId="6" xfId="4" applyNumberFormat="1" applyFont="1" applyBorder="1" applyAlignment="1">
      <alignment horizontal="center" vertical="center" wrapText="1"/>
    </xf>
    <xf numFmtId="171" fontId="22" fillId="4" borderId="14" xfId="4" applyNumberFormat="1" applyFont="1" applyFill="1" applyBorder="1"/>
    <xf numFmtId="171" fontId="22" fillId="4" borderId="5" xfId="4" applyNumberFormat="1" applyFont="1" applyFill="1" applyBorder="1"/>
    <xf numFmtId="171" fontId="21" fillId="0" borderId="18" xfId="4" applyNumberFormat="1" applyFont="1" applyBorder="1" applyAlignment="1">
      <alignment horizontal="left" vertical="center"/>
    </xf>
    <xf numFmtId="171" fontId="21" fillId="0" borderId="18" xfId="4" applyNumberFormat="1" applyFont="1" applyBorder="1" applyAlignment="1">
      <alignment horizontal="justify" vertical="center" wrapText="1"/>
    </xf>
    <xf numFmtId="171" fontId="21" fillId="0" borderId="7" xfId="4" applyNumberFormat="1" applyFont="1" applyBorder="1" applyAlignment="1">
      <alignment horizontal="center"/>
    </xf>
    <xf numFmtId="171" fontId="21" fillId="0" borderId="4" xfId="4" applyNumberFormat="1" applyFont="1" applyBorder="1"/>
    <xf numFmtId="171" fontId="22" fillId="0" borderId="18" xfId="4" applyNumberFormat="1" applyFont="1" applyBorder="1" applyAlignment="1">
      <alignment horizontal="justify" vertical="center" wrapText="1"/>
    </xf>
    <xf numFmtId="171" fontId="22" fillId="4" borderId="9" xfId="4" applyNumberFormat="1" applyFont="1" applyFill="1" applyBorder="1" applyAlignment="1">
      <alignment vertical="center"/>
    </xf>
    <xf numFmtId="171" fontId="21" fillId="4" borderId="14" xfId="4" applyNumberFormat="1" applyFont="1" applyFill="1" applyBorder="1"/>
    <xf numFmtId="171" fontId="21" fillId="0" borderId="20" xfId="4" applyNumberFormat="1" applyFont="1" applyBorder="1" applyAlignment="1">
      <alignment horizontal="left" vertical="center" wrapText="1"/>
    </xf>
    <xf numFmtId="172" fontId="22" fillId="4" borderId="5" xfId="0" applyNumberFormat="1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vertical="center"/>
    </xf>
    <xf numFmtId="171" fontId="21" fillId="0" borderId="40" xfId="4" applyNumberFormat="1" applyFont="1" applyBorder="1"/>
    <xf numFmtId="171" fontId="22" fillId="4" borderId="33" xfId="4" applyNumberFormat="1" applyFont="1" applyFill="1" applyBorder="1"/>
    <xf numFmtId="171" fontId="22" fillId="4" borderId="32" xfId="4" applyNumberFormat="1" applyFont="1" applyFill="1" applyBorder="1" applyAlignment="1">
      <alignment vertical="center"/>
    </xf>
    <xf numFmtId="0" fontId="21" fillId="0" borderId="16" xfId="0" applyFont="1" applyBorder="1"/>
    <xf numFmtId="168" fontId="21" fillId="0" borderId="4" xfId="2" applyFont="1" applyBorder="1"/>
    <xf numFmtId="0" fontId="21" fillId="0" borderId="4" xfId="0" applyFont="1" applyBorder="1" applyAlignment="1">
      <alignment horizontal="center"/>
    </xf>
    <xf numFmtId="168" fontId="21" fillId="0" borderId="4" xfId="0" applyNumberFormat="1" applyFont="1" applyBorder="1"/>
    <xf numFmtId="168" fontId="21" fillId="0" borderId="17" xfId="0" applyNumberFormat="1" applyFont="1" applyBorder="1"/>
    <xf numFmtId="166" fontId="21" fillId="0" borderId="1" xfId="0" applyNumberFormat="1" applyFont="1" applyBorder="1"/>
    <xf numFmtId="166" fontId="21" fillId="0" borderId="19" xfId="0" applyNumberFormat="1" applyFont="1" applyBorder="1"/>
    <xf numFmtId="168" fontId="22" fillId="4" borderId="10" xfId="0" applyNumberFormat="1" applyFont="1" applyFill="1" applyBorder="1" applyAlignment="1">
      <alignment vertical="center"/>
    </xf>
    <xf numFmtId="0" fontId="22" fillId="4" borderId="10" xfId="0" applyFont="1" applyFill="1" applyBorder="1" applyAlignment="1">
      <alignment vertical="center"/>
    </xf>
    <xf numFmtId="168" fontId="22" fillId="4" borderId="11" xfId="0" applyNumberFormat="1" applyFont="1" applyFill="1" applyBorder="1" applyAlignment="1">
      <alignment vertical="center"/>
    </xf>
    <xf numFmtId="171" fontId="22" fillId="0" borderId="30" xfId="4" applyNumberFormat="1" applyFont="1" applyBorder="1"/>
    <xf numFmtId="0" fontId="22" fillId="4" borderId="33" xfId="0" applyFont="1" applyFill="1" applyBorder="1" applyAlignment="1">
      <alignment vertical="center"/>
    </xf>
    <xf numFmtId="171" fontId="22" fillId="4" borderId="32" xfId="0" applyNumberFormat="1" applyFont="1" applyFill="1" applyBorder="1" applyAlignment="1">
      <alignment vertical="center"/>
    </xf>
    <xf numFmtId="0" fontId="22" fillId="4" borderId="46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 wrapText="1"/>
    </xf>
    <xf numFmtId="168" fontId="22" fillId="4" borderId="47" xfId="2" applyFont="1" applyFill="1" applyBorder="1" applyAlignment="1">
      <alignment horizontal="center" vertical="center" wrapText="1"/>
    </xf>
    <xf numFmtId="0" fontId="22" fillId="4" borderId="48" xfId="0" applyFont="1" applyFill="1" applyBorder="1" applyAlignment="1">
      <alignment horizontal="center" vertical="center" wrapText="1"/>
    </xf>
    <xf numFmtId="168" fontId="21" fillId="0" borderId="4" xfId="2" applyFont="1" applyBorder="1" applyAlignment="1">
      <alignment vertical="center"/>
    </xf>
    <xf numFmtId="168" fontId="21" fillId="0" borderId="17" xfId="2" applyFont="1" applyBorder="1" applyAlignment="1">
      <alignment vertical="center"/>
    </xf>
    <xf numFmtId="0" fontId="21" fillId="0" borderId="4" xfId="0" applyFont="1" applyBorder="1" applyAlignment="1">
      <alignment horizontal="center" vertical="center"/>
    </xf>
    <xf numFmtId="171" fontId="22" fillId="0" borderId="0" xfId="0" applyNumberFormat="1" applyFont="1" applyFill="1" applyBorder="1" applyAlignment="1">
      <alignment vertical="center"/>
    </xf>
    <xf numFmtId="171" fontId="22" fillId="4" borderId="10" xfId="4" applyNumberFormat="1" applyFont="1" applyFill="1" applyBorder="1" applyAlignment="1">
      <alignment horizontal="center" vertical="center"/>
    </xf>
    <xf numFmtId="171" fontId="22" fillId="4" borderId="11" xfId="4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justify" vertical="center" wrapText="1"/>
    </xf>
    <xf numFmtId="0" fontId="21" fillId="0" borderId="0" xfId="0" applyFont="1" applyFill="1" applyBorder="1" applyAlignment="1">
      <alignment horizontal="center" vertical="center" wrapText="1"/>
    </xf>
    <xf numFmtId="172" fontId="21" fillId="0" borderId="0" xfId="1" applyNumberFormat="1" applyFont="1" applyFill="1" applyBorder="1"/>
    <xf numFmtId="0" fontId="21" fillId="0" borderId="0" xfId="0" applyFont="1" applyFill="1" applyBorder="1" applyAlignment="1">
      <alignment horizontal="left" vertical="center"/>
    </xf>
    <xf numFmtId="167" fontId="21" fillId="0" borderId="0" xfId="4" applyFont="1" applyFill="1"/>
    <xf numFmtId="171" fontId="22" fillId="4" borderId="10" xfId="4" applyNumberFormat="1" applyFont="1" applyFill="1" applyBorder="1" applyAlignment="1">
      <alignment vertical="center"/>
    </xf>
    <xf numFmtId="0" fontId="21" fillId="0" borderId="18" xfId="0" applyFont="1" applyFill="1" applyBorder="1"/>
    <xf numFmtId="0" fontId="21" fillId="0" borderId="18" xfId="0" applyFont="1" applyBorder="1" applyAlignment="1">
      <alignment horizontal="left"/>
    </xf>
    <xf numFmtId="0" fontId="22" fillId="4" borderId="49" xfId="0" applyFont="1" applyFill="1" applyBorder="1" applyAlignment="1">
      <alignment vertical="center"/>
    </xf>
    <xf numFmtId="171" fontId="22" fillId="4" borderId="32" xfId="4" applyNumberFormat="1" applyFont="1" applyFill="1" applyBorder="1"/>
    <xf numFmtId="0" fontId="21" fillId="2" borderId="0" xfId="0" applyFont="1" applyFill="1"/>
    <xf numFmtId="171" fontId="21" fillId="2" borderId="0" xfId="4" applyNumberFormat="1" applyFont="1" applyFill="1"/>
    <xf numFmtId="168" fontId="21" fillId="2" borderId="0" xfId="2" applyFont="1" applyFill="1"/>
    <xf numFmtId="171" fontId="22" fillId="2" borderId="0" xfId="4" applyNumberFormat="1" applyFont="1" applyFill="1"/>
    <xf numFmtId="166" fontId="21" fillId="2" borderId="0" xfId="0" applyNumberFormat="1" applyFont="1" applyFill="1"/>
    <xf numFmtId="9" fontId="21" fillId="0" borderId="0" xfId="3" applyNumberFormat="1" applyFont="1"/>
    <xf numFmtId="171" fontId="21" fillId="0" borderId="1" xfId="4" applyNumberFormat="1" applyFont="1" applyFill="1" applyBorder="1" applyAlignment="1">
      <alignment horizontal="right"/>
    </xf>
    <xf numFmtId="0" fontId="21" fillId="0" borderId="18" xfId="0" applyFont="1" applyFill="1" applyBorder="1" applyAlignment="1">
      <alignment horizontal="left"/>
    </xf>
    <xf numFmtId="171" fontId="21" fillId="0" borderId="19" xfId="4" applyNumberFormat="1" applyFont="1" applyFill="1" applyBorder="1"/>
    <xf numFmtId="171" fontId="21" fillId="0" borderId="1" xfId="4" applyNumberFormat="1" applyFont="1" applyBorder="1" applyAlignment="1">
      <alignment vertical="center"/>
    </xf>
    <xf numFmtId="171" fontId="21" fillId="0" borderId="19" xfId="4" applyNumberFormat="1" applyFont="1" applyBorder="1" applyAlignment="1">
      <alignment vertical="center"/>
    </xf>
    <xf numFmtId="171" fontId="22" fillId="0" borderId="1" xfId="4" applyNumberFormat="1" applyFont="1" applyBorder="1" applyAlignment="1">
      <alignment vertical="center"/>
    </xf>
    <xf numFmtId="171" fontId="22" fillId="0" borderId="19" xfId="4" applyNumberFormat="1" applyFont="1" applyBorder="1" applyAlignment="1">
      <alignment vertical="center"/>
    </xf>
    <xf numFmtId="0" fontId="22" fillId="4" borderId="15" xfId="0" applyFont="1" applyFill="1" applyBorder="1" applyAlignment="1">
      <alignment vertical="center" wrapText="1"/>
    </xf>
    <xf numFmtId="0" fontId="22" fillId="0" borderId="16" xfId="0" applyFont="1" applyFill="1" applyBorder="1" applyAlignment="1">
      <alignment horizontal="left" vertical="center" wrapText="1"/>
    </xf>
    <xf numFmtId="171" fontId="22" fillId="0" borderId="4" xfId="4" applyNumberFormat="1" applyFont="1" applyFill="1" applyBorder="1" applyAlignment="1">
      <alignment horizontal="center" vertical="center" wrapText="1"/>
    </xf>
    <xf numFmtId="171" fontId="21" fillId="0" borderId="17" xfId="4" applyNumberFormat="1" applyFont="1" applyFill="1" applyBorder="1" applyAlignment="1">
      <alignment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9" xfId="0" applyFont="1" applyFill="1" applyBorder="1"/>
    <xf numFmtId="171" fontId="22" fillId="4" borderId="55" xfId="4" applyNumberFormat="1" applyFont="1" applyFill="1" applyBorder="1"/>
    <xf numFmtId="0" fontId="21" fillId="0" borderId="35" xfId="0" applyFont="1" applyFill="1" applyBorder="1"/>
    <xf numFmtId="171" fontId="21" fillId="0" borderId="36" xfId="4" applyNumberFormat="1" applyFont="1" applyFill="1" applyBorder="1"/>
    <xf numFmtId="0" fontId="21" fillId="0" borderId="38" xfId="0" applyFont="1" applyFill="1" applyBorder="1"/>
    <xf numFmtId="171" fontId="22" fillId="4" borderId="55" xfId="4" applyNumberFormat="1" applyFont="1" applyFill="1" applyBorder="1" applyAlignment="1">
      <alignment vertical="center"/>
    </xf>
    <xf numFmtId="0" fontId="22" fillId="0" borderId="38" xfId="0" applyFont="1" applyBorder="1" applyAlignment="1">
      <alignment vertical="center"/>
    </xf>
    <xf numFmtId="171" fontId="22" fillId="0" borderId="39" xfId="4" applyNumberFormat="1" applyFont="1" applyBorder="1" applyAlignment="1">
      <alignment vertical="center"/>
    </xf>
    <xf numFmtId="171" fontId="22" fillId="0" borderId="40" xfId="4" applyNumberFormat="1" applyFont="1" applyBorder="1" applyAlignment="1">
      <alignment vertical="center"/>
    </xf>
    <xf numFmtId="0" fontId="4" fillId="0" borderId="18" xfId="0" applyFont="1" applyFill="1" applyBorder="1"/>
    <xf numFmtId="168" fontId="4" fillId="0" borderId="1" xfId="2" applyFont="1" applyFill="1" applyBorder="1"/>
    <xf numFmtId="0" fontId="3" fillId="0" borderId="1" xfId="0" applyFont="1" applyFill="1" applyBorder="1" applyAlignment="1">
      <alignment horizontal="center"/>
    </xf>
    <xf numFmtId="168" fontId="3" fillId="0" borderId="1" xfId="2" applyFont="1" applyFill="1" applyBorder="1"/>
    <xf numFmtId="171" fontId="21" fillId="0" borderId="0" xfId="0" applyNumberFormat="1" applyFont="1"/>
    <xf numFmtId="171" fontId="21" fillId="0" borderId="37" xfId="4" applyNumberFormat="1" applyFont="1" applyFill="1" applyBorder="1"/>
    <xf numFmtId="171" fontId="21" fillId="0" borderId="40" xfId="4" applyNumberFormat="1" applyFont="1" applyFill="1" applyBorder="1"/>
    <xf numFmtId="171" fontId="22" fillId="4" borderId="47" xfId="4" applyNumberFormat="1" applyFont="1" applyFill="1" applyBorder="1" applyAlignment="1">
      <alignment horizontal="center" vertical="center"/>
    </xf>
    <xf numFmtId="171" fontId="22" fillId="4" borderId="48" xfId="4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left"/>
    </xf>
    <xf numFmtId="0" fontId="22" fillId="4" borderId="36" xfId="0" applyFont="1" applyFill="1" applyBorder="1" applyAlignment="1">
      <alignment horizontal="center" vertical="center"/>
    </xf>
    <xf numFmtId="0" fontId="22" fillId="4" borderId="37" xfId="0" applyFont="1" applyFill="1" applyBorder="1" applyAlignment="1">
      <alignment horizontal="center" vertical="center"/>
    </xf>
    <xf numFmtId="0" fontId="22" fillId="4" borderId="39" xfId="0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168" fontId="21" fillId="0" borderId="1" xfId="2" applyFont="1" applyBorder="1" applyAlignment="1">
      <alignment horizontal="center"/>
    </xf>
    <xf numFmtId="168" fontId="21" fillId="0" borderId="19" xfId="2" applyFont="1" applyBorder="1" applyAlignment="1">
      <alignment horizontal="center"/>
    </xf>
    <xf numFmtId="0" fontId="22" fillId="4" borderId="15" xfId="0" applyFont="1" applyFill="1" applyBorder="1" applyAlignment="1">
      <alignment horizontal="left" vertical="center"/>
    </xf>
    <xf numFmtId="3" fontId="21" fillId="0" borderId="0" xfId="0" applyNumberFormat="1" applyFont="1"/>
    <xf numFmtId="168" fontId="22" fillId="4" borderId="10" xfId="0" applyNumberFormat="1" applyFont="1" applyFill="1" applyBorder="1"/>
    <xf numFmtId="0" fontId="21" fillId="0" borderId="24" xfId="0" applyFont="1" applyBorder="1"/>
    <xf numFmtId="0" fontId="25" fillId="5" borderId="5" xfId="0" applyFont="1" applyFill="1" applyBorder="1" applyAlignment="1">
      <alignment horizontal="center" vertical="center" wrapText="1"/>
    </xf>
    <xf numFmtId="3" fontId="21" fillId="0" borderId="23" xfId="0" applyNumberFormat="1" applyFont="1" applyBorder="1"/>
    <xf numFmtId="0" fontId="21" fillId="0" borderId="53" xfId="0" applyFont="1" applyBorder="1"/>
    <xf numFmtId="3" fontId="22" fillId="0" borderId="5" xfId="0" applyNumberFormat="1" applyFont="1" applyBorder="1"/>
    <xf numFmtId="0" fontId="25" fillId="5" borderId="9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22" fillId="4" borderId="14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/>
    </xf>
    <xf numFmtId="0" fontId="22" fillId="4" borderId="14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171" fontId="21" fillId="0" borderId="0" xfId="0" applyNumberFormat="1" applyFont="1" applyFill="1"/>
    <xf numFmtId="168" fontId="21" fillId="0" borderId="4" xfId="2" applyFont="1" applyFill="1" applyBorder="1"/>
    <xf numFmtId="171" fontId="21" fillId="0" borderId="0" xfId="4" applyNumberFormat="1" applyFont="1" applyFill="1" applyBorder="1"/>
    <xf numFmtId="171" fontId="22" fillId="0" borderId="0" xfId="4" applyNumberFormat="1" applyFont="1" applyFill="1" applyBorder="1" applyAlignment="1">
      <alignment horizontal="center" vertical="center"/>
    </xf>
    <xf numFmtId="10" fontId="21" fillId="0" borderId="0" xfId="3" applyNumberFormat="1" applyFont="1"/>
    <xf numFmtId="10" fontId="21" fillId="0" borderId="0" xfId="0" applyNumberFormat="1" applyFont="1"/>
    <xf numFmtId="167" fontId="21" fillId="0" borderId="0" xfId="4" applyFont="1"/>
    <xf numFmtId="173" fontId="21" fillId="0" borderId="0" xfId="4" applyNumberFormat="1" applyFont="1"/>
    <xf numFmtId="174" fontId="21" fillId="0" borderId="0" xfId="4" applyNumberFormat="1" applyFont="1"/>
    <xf numFmtId="167" fontId="21" fillId="0" borderId="0" xfId="4" applyNumberFormat="1" applyFont="1"/>
    <xf numFmtId="171" fontId="27" fillId="13" borderId="0" xfId="4" applyNumberFormat="1" applyFont="1" applyFill="1"/>
    <xf numFmtId="0" fontId="27" fillId="13" borderId="0" xfId="0" applyFont="1" applyFill="1"/>
    <xf numFmtId="10" fontId="21" fillId="0" borderId="41" xfId="3" applyNumberFormat="1" applyFont="1" applyFill="1" applyBorder="1"/>
    <xf numFmtId="10" fontId="21" fillId="0" borderId="41" xfId="3" applyNumberFormat="1" applyFont="1" applyBorder="1"/>
    <xf numFmtId="2" fontId="21" fillId="0" borderId="0" xfId="0" applyNumberFormat="1" applyFont="1"/>
    <xf numFmtId="0" fontId="22" fillId="0" borderId="0" xfId="0" applyFont="1" applyFill="1" applyBorder="1"/>
    <xf numFmtId="168" fontId="22" fillId="0" borderId="0" xfId="0" applyNumberFormat="1" applyFont="1" applyFill="1" applyBorder="1"/>
    <xf numFmtId="166" fontId="22" fillId="0" borderId="0" xfId="0" applyNumberFormat="1" applyFont="1" applyFill="1" applyBorder="1"/>
    <xf numFmtId="0" fontId="27" fillId="13" borderId="0" xfId="0" applyFont="1" applyFill="1" applyBorder="1"/>
    <xf numFmtId="0" fontId="21" fillId="12" borderId="1" xfId="0" applyFont="1" applyFill="1" applyBorder="1" applyAlignment="1">
      <alignment vertical="center"/>
    </xf>
    <xf numFmtId="171" fontId="21" fillId="12" borderId="1" xfId="4" applyNumberFormat="1" applyFont="1" applyFill="1" applyBorder="1"/>
    <xf numFmtId="3" fontId="21" fillId="0" borderId="33" xfId="0" applyNumberFormat="1" applyFont="1" applyBorder="1"/>
    <xf numFmtId="171" fontId="21" fillId="0" borderId="24" xfId="0" applyNumberFormat="1" applyFont="1" applyBorder="1"/>
    <xf numFmtId="3" fontId="21" fillId="0" borderId="0" xfId="0" applyNumberFormat="1" applyFont="1" applyBorder="1"/>
    <xf numFmtId="171" fontId="21" fillId="0" borderId="53" xfId="0" applyNumberFormat="1" applyFont="1" applyBorder="1"/>
    <xf numFmtId="3" fontId="21" fillId="0" borderId="32" xfId="0" applyNumberFormat="1" applyFont="1" applyBorder="1"/>
    <xf numFmtId="0" fontId="21" fillId="0" borderId="61" xfId="0" applyFont="1" applyBorder="1"/>
    <xf numFmtId="0" fontId="21" fillId="0" borderId="62" xfId="0" applyFont="1" applyBorder="1"/>
    <xf numFmtId="0" fontId="21" fillId="0" borderId="31" xfId="0" applyFont="1" applyBorder="1"/>
    <xf numFmtId="0" fontId="21" fillId="6" borderId="0" xfId="0" applyFont="1" applyFill="1"/>
    <xf numFmtId="0" fontId="21" fillId="6" borderId="0" xfId="0" applyFont="1" applyFill="1" applyAlignment="1">
      <alignment wrapText="1"/>
    </xf>
    <xf numFmtId="0" fontId="22" fillId="6" borderId="18" xfId="0" applyFont="1" applyFill="1" applyBorder="1" applyAlignment="1">
      <alignment wrapText="1"/>
    </xf>
    <xf numFmtId="0" fontId="21" fillId="6" borderId="18" xfId="0" applyFont="1" applyFill="1" applyBorder="1" applyAlignment="1">
      <alignment wrapText="1"/>
    </xf>
    <xf numFmtId="0" fontId="22" fillId="6" borderId="0" xfId="0" applyFont="1" applyFill="1"/>
    <xf numFmtId="0" fontId="21" fillId="6" borderId="29" xfId="0" applyFont="1" applyFill="1" applyBorder="1" applyAlignment="1">
      <alignment wrapText="1"/>
    </xf>
    <xf numFmtId="0" fontId="22" fillId="3" borderId="49" xfId="0" applyFont="1" applyFill="1" applyBorder="1" applyAlignment="1">
      <alignment wrapText="1"/>
    </xf>
    <xf numFmtId="0" fontId="21" fillId="6" borderId="46" xfId="0" applyFont="1" applyFill="1" applyBorder="1" applyAlignment="1">
      <alignment wrapText="1"/>
    </xf>
    <xf numFmtId="0" fontId="22" fillId="6" borderId="15" xfId="0" applyFont="1" applyFill="1" applyBorder="1" applyAlignment="1">
      <alignment wrapText="1"/>
    </xf>
    <xf numFmtId="0" fontId="22" fillId="6" borderId="35" xfId="0" applyFont="1" applyFill="1" applyBorder="1" applyAlignment="1">
      <alignment wrapText="1"/>
    </xf>
    <xf numFmtId="0" fontId="22" fillId="6" borderId="38" xfId="0" applyFont="1" applyFill="1" applyBorder="1" applyAlignment="1">
      <alignment wrapText="1"/>
    </xf>
    <xf numFmtId="0" fontId="21" fillId="6" borderId="44" xfId="0" applyFont="1" applyFill="1" applyBorder="1" applyAlignment="1">
      <alignment wrapText="1"/>
    </xf>
    <xf numFmtId="0" fontId="22" fillId="3" borderId="15" xfId="0" applyFont="1" applyFill="1" applyBorder="1" applyAlignment="1">
      <alignment wrapText="1"/>
    </xf>
    <xf numFmtId="0" fontId="21" fillId="6" borderId="0" xfId="0" applyFont="1" applyFill="1" applyAlignment="1">
      <alignment vertical="center"/>
    </xf>
    <xf numFmtId="0" fontId="22" fillId="6" borderId="0" xfId="0" applyFont="1" applyFill="1" applyAlignment="1">
      <alignment vertical="center"/>
    </xf>
    <xf numFmtId="166" fontId="21" fillId="6" borderId="0" xfId="0" applyNumberFormat="1" applyFont="1" applyFill="1" applyAlignment="1">
      <alignment vertical="center"/>
    </xf>
    <xf numFmtId="171" fontId="21" fillId="6" borderId="0" xfId="4" applyNumberFormat="1" applyFont="1" applyFill="1"/>
    <xf numFmtId="171" fontId="22" fillId="6" borderId="1" xfId="4" applyNumberFormat="1" applyFont="1" applyFill="1" applyBorder="1"/>
    <xf numFmtId="171" fontId="22" fillId="6" borderId="19" xfId="4" applyNumberFormat="1" applyFont="1" applyFill="1" applyBorder="1"/>
    <xf numFmtId="171" fontId="21" fillId="6" borderId="1" xfId="4" applyNumberFormat="1" applyFont="1" applyFill="1" applyBorder="1"/>
    <xf numFmtId="171" fontId="21" fillId="6" borderId="19" xfId="4" applyNumberFormat="1" applyFont="1" applyFill="1" applyBorder="1"/>
    <xf numFmtId="171" fontId="21" fillId="6" borderId="27" xfId="4" applyNumberFormat="1" applyFont="1" applyFill="1" applyBorder="1"/>
    <xf numFmtId="171" fontId="21" fillId="6" borderId="30" xfId="4" applyNumberFormat="1" applyFont="1" applyFill="1" applyBorder="1"/>
    <xf numFmtId="171" fontId="22" fillId="3" borderId="55" xfId="4" applyNumberFormat="1" applyFont="1" applyFill="1" applyBorder="1"/>
    <xf numFmtId="171" fontId="22" fillId="3" borderId="56" xfId="4" applyNumberFormat="1" applyFont="1" applyFill="1" applyBorder="1"/>
    <xf numFmtId="171" fontId="21" fillId="6" borderId="47" xfId="4" applyNumberFormat="1" applyFont="1" applyFill="1" applyBorder="1"/>
    <xf numFmtId="171" fontId="21" fillId="6" borderId="48" xfId="4" applyNumberFormat="1" applyFont="1" applyFill="1" applyBorder="1"/>
    <xf numFmtId="171" fontId="22" fillId="6" borderId="10" xfId="4" applyNumberFormat="1" applyFont="1" applyFill="1" applyBorder="1"/>
    <xf numFmtId="171" fontId="22" fillId="6" borderId="36" xfId="4" applyNumberFormat="1" applyFont="1" applyFill="1" applyBorder="1"/>
    <xf numFmtId="171" fontId="22" fillId="6" borderId="39" xfId="4" applyNumberFormat="1" applyFont="1" applyFill="1" applyBorder="1"/>
    <xf numFmtId="171" fontId="22" fillId="6" borderId="40" xfId="4" applyNumberFormat="1" applyFont="1" applyFill="1" applyBorder="1"/>
    <xf numFmtId="171" fontId="21" fillId="6" borderId="34" xfId="4" applyNumberFormat="1" applyFont="1" applyFill="1" applyBorder="1"/>
    <xf numFmtId="171" fontId="21" fillId="6" borderId="45" xfId="4" applyNumberFormat="1" applyFont="1" applyFill="1" applyBorder="1"/>
    <xf numFmtId="171" fontId="22" fillId="3" borderId="10" xfId="4" applyNumberFormat="1" applyFont="1" applyFill="1" applyBorder="1"/>
    <xf numFmtId="171" fontId="22" fillId="3" borderId="11" xfId="4" applyNumberFormat="1" applyFont="1" applyFill="1" applyBorder="1"/>
    <xf numFmtId="0" fontId="25" fillId="5" borderId="28" xfId="0" applyFont="1" applyFill="1" applyBorder="1" applyAlignment="1">
      <alignment horizontal="center" vertical="center" wrapText="1"/>
    </xf>
    <xf numFmtId="167" fontId="21" fillId="0" borderId="0" xfId="4" applyFont="1" applyBorder="1"/>
    <xf numFmtId="167" fontId="21" fillId="0" borderId="23" xfId="4" applyFont="1" applyBorder="1"/>
    <xf numFmtId="167" fontId="21" fillId="0" borderId="33" xfId="4" applyFont="1" applyBorder="1"/>
    <xf numFmtId="167" fontId="21" fillId="0" borderId="32" xfId="4" applyFont="1" applyBorder="1"/>
    <xf numFmtId="167" fontId="21" fillId="0" borderId="33" xfId="4" applyFont="1" applyBorder="1" applyAlignment="1">
      <alignment horizontal="center"/>
    </xf>
    <xf numFmtId="167" fontId="21" fillId="0" borderId="31" xfId="4" applyFont="1" applyBorder="1" applyAlignment="1">
      <alignment horizontal="center"/>
    </xf>
    <xf numFmtId="167" fontId="21" fillId="0" borderId="32" xfId="4" applyFont="1" applyBorder="1" applyAlignment="1">
      <alignment horizontal="center"/>
    </xf>
    <xf numFmtId="167" fontId="21" fillId="0" borderId="62" xfId="4" applyFont="1" applyBorder="1"/>
    <xf numFmtId="167" fontId="21" fillId="0" borderId="31" xfId="4" applyFont="1" applyBorder="1"/>
    <xf numFmtId="0" fontId="24" fillId="5" borderId="14" xfId="0" applyFont="1" applyFill="1" applyBorder="1" applyAlignment="1">
      <alignment horizontal="center" vertical="center" wrapText="1"/>
    </xf>
    <xf numFmtId="0" fontId="22" fillId="0" borderId="28" xfId="0" applyFont="1" applyBorder="1"/>
    <xf numFmtId="171" fontId="21" fillId="0" borderId="62" xfId="4" applyNumberFormat="1" applyFont="1" applyBorder="1"/>
    <xf numFmtId="171" fontId="21" fillId="0" borderId="31" xfId="4" applyNumberFormat="1" applyFont="1" applyBorder="1"/>
    <xf numFmtId="0" fontId="24" fillId="5" borderId="28" xfId="0" applyFont="1" applyFill="1" applyBorder="1" applyAlignment="1">
      <alignment horizontal="center" vertical="center" wrapText="1"/>
    </xf>
    <xf numFmtId="0" fontId="22" fillId="4" borderId="31" xfId="0" applyFont="1" applyFill="1" applyBorder="1"/>
    <xf numFmtId="171" fontId="22" fillId="4" borderId="31" xfId="0" applyNumberFormat="1" applyFont="1" applyFill="1" applyBorder="1"/>
    <xf numFmtId="171" fontId="22" fillId="4" borderId="33" xfId="0" applyNumberFormat="1" applyFont="1" applyFill="1" applyBorder="1"/>
    <xf numFmtId="171" fontId="22" fillId="4" borderId="32" xfId="0" applyNumberFormat="1" applyFont="1" applyFill="1" applyBorder="1"/>
    <xf numFmtId="168" fontId="3" fillId="14" borderId="1" xfId="2" applyFont="1" applyFill="1" applyBorder="1"/>
    <xf numFmtId="176" fontId="3" fillId="6" borderId="0" xfId="0" applyNumberFormat="1" applyFont="1" applyFill="1"/>
    <xf numFmtId="168" fontId="3" fillId="15" borderId="19" xfId="2" applyFont="1" applyFill="1" applyBorder="1"/>
    <xf numFmtId="175" fontId="21" fillId="15" borderId="0" xfId="0" applyNumberFormat="1" applyFont="1" applyFill="1"/>
    <xf numFmtId="166" fontId="3" fillId="6" borderId="4" xfId="0" applyNumberFormat="1" applyFont="1" applyFill="1" applyBorder="1"/>
    <xf numFmtId="171" fontId="21" fillId="16" borderId="0" xfId="4" applyNumberFormat="1" applyFont="1" applyFill="1"/>
    <xf numFmtId="0" fontId="21" fillId="16" borderId="0" xfId="0" applyFont="1" applyFill="1"/>
    <xf numFmtId="171" fontId="21" fillId="17" borderId="0" xfId="4" applyNumberFormat="1" applyFont="1" applyFill="1"/>
    <xf numFmtId="0" fontId="21" fillId="2" borderId="0" xfId="0" applyFont="1" applyFill="1" applyAlignment="1">
      <alignment horizontal="left"/>
    </xf>
    <xf numFmtId="17" fontId="3" fillId="0" borderId="0" xfId="0" applyNumberFormat="1" applyFont="1"/>
    <xf numFmtId="10" fontId="3" fillId="2" borderId="18" xfId="3" applyNumberFormat="1" applyFont="1" applyFill="1" applyBorder="1"/>
    <xf numFmtId="10" fontId="3" fillId="2" borderId="19" xfId="3" applyNumberFormat="1" applyFont="1" applyFill="1" applyBorder="1"/>
    <xf numFmtId="14" fontId="3" fillId="0" borderId="0" xfId="0" applyNumberFormat="1" applyFont="1"/>
    <xf numFmtId="0" fontId="3" fillId="3" borderId="1" xfId="0" applyFont="1" applyFill="1" applyBorder="1"/>
    <xf numFmtId="10" fontId="3" fillId="3" borderId="1" xfId="0" applyNumberFormat="1" applyFont="1" applyFill="1" applyBorder="1"/>
    <xf numFmtId="0" fontId="3" fillId="2" borderId="0" xfId="0" applyFont="1" applyFill="1"/>
    <xf numFmtId="171" fontId="3" fillId="0" borderId="0" xfId="4" applyNumberFormat="1" applyFont="1" applyFill="1"/>
    <xf numFmtId="166" fontId="21" fillId="6" borderId="0" xfId="0" applyNumberFormat="1" applyFont="1" applyFill="1"/>
    <xf numFmtId="0" fontId="21" fillId="0" borderId="44" xfId="0" applyFont="1" applyFill="1" applyBorder="1" applyAlignment="1">
      <alignment wrapText="1"/>
    </xf>
    <xf numFmtId="171" fontId="21" fillId="0" borderId="34" xfId="4" applyNumberFormat="1" applyFont="1" applyFill="1" applyBorder="1"/>
    <xf numFmtId="171" fontId="21" fillId="0" borderId="45" xfId="4" applyNumberFormat="1" applyFont="1" applyFill="1" applyBorder="1"/>
    <xf numFmtId="0" fontId="3" fillId="0" borderId="18" xfId="0" applyFont="1" applyFill="1" applyBorder="1" applyAlignment="1">
      <alignment horizontal="left" indent="2"/>
    </xf>
    <xf numFmtId="0" fontId="3" fillId="0" borderId="1" xfId="0" applyFont="1" applyFill="1" applyBorder="1"/>
    <xf numFmtId="168" fontId="3" fillId="0" borderId="19" xfId="2" applyFont="1" applyFill="1" applyBorder="1"/>
    <xf numFmtId="0" fontId="3" fillId="0" borderId="19" xfId="0" applyFont="1" applyFill="1" applyBorder="1"/>
    <xf numFmtId="0" fontId="3" fillId="0" borderId="18" xfId="0" applyFont="1" applyFill="1" applyBorder="1"/>
    <xf numFmtId="168" fontId="16" fillId="0" borderId="1" xfId="2" applyFont="1" applyFill="1" applyBorder="1"/>
    <xf numFmtId="168" fontId="16" fillId="0" borderId="19" xfId="2" applyFont="1" applyFill="1" applyBorder="1"/>
    <xf numFmtId="0" fontId="3" fillId="14" borderId="0" xfId="0" applyFont="1" applyFill="1"/>
    <xf numFmtId="0" fontId="3" fillId="14" borderId="0" xfId="0" applyFont="1" applyFill="1" applyAlignment="1">
      <alignment horizontal="right"/>
    </xf>
    <xf numFmtId="0" fontId="3" fillId="14" borderId="18" xfId="0" applyFont="1" applyFill="1" applyBorder="1" applyAlignment="1">
      <alignment horizontal="left" indent="2"/>
    </xf>
    <xf numFmtId="0" fontId="2" fillId="14" borderId="0" xfId="0" applyFont="1" applyFill="1"/>
    <xf numFmtId="2" fontId="3" fillId="14" borderId="0" xfId="0" applyNumberFormat="1" applyFont="1" applyFill="1"/>
    <xf numFmtId="0" fontId="2" fillId="0" borderId="1" xfId="0" applyFont="1" applyBorder="1" applyAlignment="1">
      <alignment horizontal="center" wrapText="1"/>
    </xf>
    <xf numFmtId="10" fontId="2" fillId="0" borderId="1" xfId="0" applyNumberFormat="1" applyFont="1" applyBorder="1" applyAlignment="1">
      <alignment vertical="center"/>
    </xf>
    <xf numFmtId="171" fontId="3" fillId="0" borderId="0" xfId="4" applyNumberFormat="1" applyFont="1"/>
    <xf numFmtId="171" fontId="3" fillId="0" borderId="0" xfId="0" applyNumberFormat="1" applyFont="1"/>
    <xf numFmtId="166" fontId="3" fillId="14" borderId="0" xfId="0" applyNumberFormat="1" applyFont="1" applyFill="1"/>
    <xf numFmtId="0" fontId="3" fillId="11" borderId="18" xfId="0" applyFont="1" applyFill="1" applyBorder="1" applyAlignment="1">
      <alignment horizontal="center" vertical="center"/>
    </xf>
    <xf numFmtId="166" fontId="3" fillId="11" borderId="1" xfId="0" applyNumberFormat="1" applyFont="1" applyFill="1" applyBorder="1"/>
    <xf numFmtId="166" fontId="3" fillId="11" borderId="19" xfId="0" applyNumberFormat="1" applyFont="1" applyFill="1" applyBorder="1"/>
    <xf numFmtId="0" fontId="3" fillId="0" borderId="18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wrapText="1"/>
    </xf>
    <xf numFmtId="0" fontId="14" fillId="0" borderId="18" xfId="0" applyFont="1" applyFill="1" applyBorder="1" applyAlignment="1">
      <alignment wrapText="1"/>
    </xf>
    <xf numFmtId="168" fontId="14" fillId="0" borderId="1" xfId="2" applyFont="1" applyFill="1" applyBorder="1"/>
    <xf numFmtId="168" fontId="14" fillId="0" borderId="1" xfId="0" applyNumberFormat="1" applyFont="1" applyFill="1" applyBorder="1"/>
    <xf numFmtId="168" fontId="14" fillId="0" borderId="19" xfId="0" applyNumberFormat="1" applyFont="1" applyFill="1" applyBorder="1"/>
    <xf numFmtId="166" fontId="14" fillId="0" borderId="1" xfId="0" applyNumberFormat="1" applyFont="1" applyFill="1" applyBorder="1"/>
    <xf numFmtId="166" fontId="14" fillId="0" borderId="19" xfId="0" applyNumberFormat="1" applyFont="1" applyFill="1" applyBorder="1"/>
    <xf numFmtId="0" fontId="15" fillId="0" borderId="18" xfId="0" applyFont="1" applyFill="1" applyBorder="1" applyAlignment="1">
      <alignment wrapText="1"/>
    </xf>
    <xf numFmtId="168" fontId="15" fillId="0" borderId="1" xfId="2" applyFont="1" applyFill="1" applyBorder="1"/>
    <xf numFmtId="168" fontId="15" fillId="0" borderId="19" xfId="2" applyFont="1" applyFill="1" applyBorder="1"/>
    <xf numFmtId="168" fontId="14" fillId="0" borderId="19" xfId="2" applyFont="1" applyFill="1" applyBorder="1"/>
    <xf numFmtId="9" fontId="14" fillId="0" borderId="18" xfId="0" applyNumberFormat="1" applyFont="1" applyFill="1" applyBorder="1" applyAlignment="1">
      <alignment wrapText="1"/>
    </xf>
    <xf numFmtId="0" fontId="14" fillId="0" borderId="1" xfId="0" applyFont="1" applyFill="1" applyBorder="1"/>
    <xf numFmtId="168" fontId="15" fillId="0" borderId="1" xfId="0" applyNumberFormat="1" applyFont="1" applyFill="1" applyBorder="1"/>
    <xf numFmtId="166" fontId="3" fillId="0" borderId="0" xfId="0" applyNumberFormat="1" applyFont="1" applyFill="1"/>
    <xf numFmtId="166" fontId="15" fillId="0" borderId="1" xfId="0" applyNumberFormat="1" applyFont="1" applyFill="1" applyBorder="1"/>
    <xf numFmtId="167" fontId="20" fillId="0" borderId="0" xfId="0" applyNumberFormat="1" applyFont="1" applyFill="1" applyBorder="1" applyAlignment="1">
      <alignment vertical="center"/>
    </xf>
    <xf numFmtId="165" fontId="3" fillId="0" borderId="0" xfId="0" applyNumberFormat="1" applyFont="1"/>
    <xf numFmtId="0" fontId="3" fillId="6" borderId="68" xfId="0" applyFont="1" applyFill="1" applyBorder="1" applyAlignment="1">
      <alignment horizontal="left"/>
    </xf>
    <xf numFmtId="0" fontId="3" fillId="6" borderId="70" xfId="0" applyFont="1" applyFill="1" applyBorder="1" applyAlignment="1">
      <alignment horizontal="center"/>
    </xf>
    <xf numFmtId="0" fontId="3" fillId="6" borderId="47" xfId="0" applyFont="1" applyFill="1" applyBorder="1" applyAlignment="1">
      <alignment horizontal="center" vertical="center"/>
    </xf>
    <xf numFmtId="0" fontId="3" fillId="6" borderId="67" xfId="0" applyFont="1" applyFill="1" applyBorder="1" applyAlignment="1">
      <alignment horizontal="center" vertical="center"/>
    </xf>
    <xf numFmtId="0" fontId="3" fillId="6" borderId="48" xfId="0" applyFont="1" applyFill="1" applyBorder="1" applyAlignment="1">
      <alignment horizontal="center" vertical="center"/>
    </xf>
    <xf numFmtId="0" fontId="3" fillId="6" borderId="53" xfId="0" applyFont="1" applyFill="1" applyBorder="1" applyAlignment="1">
      <alignment horizontal="left" vertical="center"/>
    </xf>
    <xf numFmtId="9" fontId="3" fillId="6" borderId="55" xfId="3" applyFont="1" applyFill="1" applyBorder="1" applyAlignment="1">
      <alignment horizontal="center" vertical="center"/>
    </xf>
    <xf numFmtId="9" fontId="3" fillId="6" borderId="33" xfId="3" applyFont="1" applyFill="1" applyBorder="1" applyAlignment="1">
      <alignment horizontal="center" vertical="center"/>
    </xf>
    <xf numFmtId="9" fontId="3" fillId="6" borderId="56" xfId="3" applyFont="1" applyFill="1" applyBorder="1" applyAlignment="1">
      <alignment horizontal="center" vertical="center"/>
    </xf>
    <xf numFmtId="168" fontId="21" fillId="18" borderId="4" xfId="2" applyFont="1" applyFill="1" applyBorder="1" applyAlignment="1">
      <alignment vertical="center"/>
    </xf>
    <xf numFmtId="168" fontId="21" fillId="18" borderId="1" xfId="2" applyFont="1" applyFill="1" applyBorder="1" applyAlignment="1">
      <alignment vertical="center"/>
    </xf>
    <xf numFmtId="168" fontId="21" fillId="0" borderId="19" xfId="2" applyFont="1" applyBorder="1"/>
    <xf numFmtId="168" fontId="21" fillId="0" borderId="2" xfId="2" applyFont="1" applyBorder="1"/>
    <xf numFmtId="168" fontId="21" fillId="0" borderId="21" xfId="2" applyFont="1" applyBorder="1"/>
    <xf numFmtId="0" fontId="28" fillId="0" borderId="0" xfId="0" applyFont="1" applyFill="1"/>
    <xf numFmtId="168" fontId="28" fillId="0" borderId="0" xfId="2" applyFont="1" applyFill="1"/>
    <xf numFmtId="168" fontId="0" fillId="0" borderId="0" xfId="2" applyFont="1"/>
    <xf numFmtId="168" fontId="29" fillId="0" borderId="62" xfId="2" applyFont="1" applyFill="1" applyBorder="1"/>
    <xf numFmtId="168" fontId="30" fillId="0" borderId="0" xfId="2" applyFont="1" applyFill="1"/>
    <xf numFmtId="168" fontId="31" fillId="0" borderId="0" xfId="2" applyFont="1"/>
    <xf numFmtId="0" fontId="32" fillId="20" borderId="1" xfId="0" applyFont="1" applyFill="1" applyBorder="1"/>
    <xf numFmtId="168" fontId="32" fillId="20" borderId="5" xfId="2" applyFont="1" applyFill="1" applyBorder="1"/>
    <xf numFmtId="168" fontId="32" fillId="20" borderId="28" xfId="2" applyFont="1" applyFill="1" applyBorder="1"/>
    <xf numFmtId="0" fontId="0" fillId="0" borderId="0" xfId="0" applyFill="1"/>
    <xf numFmtId="0" fontId="32" fillId="19" borderId="1" xfId="0" applyFont="1" applyFill="1" applyBorder="1"/>
    <xf numFmtId="0" fontId="33" fillId="19" borderId="5" xfId="0" applyFont="1" applyFill="1" applyBorder="1"/>
    <xf numFmtId="0" fontId="33" fillId="19" borderId="28" xfId="0" applyFont="1" applyFill="1" applyBorder="1"/>
    <xf numFmtId="168" fontId="33" fillId="19" borderId="62" xfId="2" applyFont="1" applyFill="1" applyBorder="1"/>
    <xf numFmtId="9" fontId="21" fillId="2" borderId="0" xfId="0" applyNumberFormat="1" applyFont="1" applyFill="1"/>
    <xf numFmtId="0" fontId="34" fillId="0" borderId="1" xfId="6" applyBorder="1"/>
    <xf numFmtId="0" fontId="34" fillId="0" borderId="1" xfId="6" applyFill="1" applyBorder="1"/>
    <xf numFmtId="0" fontId="29" fillId="0" borderId="1" xfId="6" applyFont="1" applyBorder="1"/>
    <xf numFmtId="0" fontId="29" fillId="0" borderId="1" xfId="6" applyFont="1" applyFill="1" applyBorder="1"/>
    <xf numFmtId="0" fontId="35" fillId="0" borderId="1" xfId="6" applyFont="1" applyBorder="1"/>
    <xf numFmtId="2" fontId="22" fillId="18" borderId="1" xfId="0" applyNumberFormat="1" applyFont="1" applyFill="1" applyBorder="1"/>
    <xf numFmtId="9" fontId="21" fillId="0" borderId="1" xfId="3" applyFont="1" applyBorder="1"/>
    <xf numFmtId="164" fontId="29" fillId="0" borderId="1" xfId="6" applyNumberFormat="1" applyFont="1" applyBorder="1"/>
    <xf numFmtId="164" fontId="35" fillId="0" borderId="1" xfId="6" applyNumberFormat="1" applyFont="1" applyBorder="1"/>
    <xf numFmtId="2" fontId="22" fillId="2" borderId="1" xfId="0" applyNumberFormat="1" applyFont="1" applyFill="1" applyBorder="1"/>
    <xf numFmtId="9" fontId="36" fillId="14" borderId="0" xfId="0" applyNumberFormat="1" applyFont="1" applyFill="1"/>
    <xf numFmtId="177" fontId="2" fillId="4" borderId="11" xfId="0" applyNumberFormat="1" applyFont="1" applyFill="1" applyBorder="1" applyAlignment="1">
      <alignment vertical="center"/>
    </xf>
    <xf numFmtId="164" fontId="3" fillId="6" borderId="0" xfId="0" applyNumberFormat="1" applyFont="1" applyFill="1"/>
    <xf numFmtId="9" fontId="21" fillId="0" borderId="0" xfId="0" applyNumberFormat="1" applyFont="1"/>
    <xf numFmtId="0" fontId="22" fillId="4" borderId="9" xfId="0" applyFont="1" applyFill="1" applyBorder="1" applyAlignment="1">
      <alignment horizontal="center" vertical="center"/>
    </xf>
    <xf numFmtId="0" fontId="22" fillId="4" borderId="14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left"/>
    </xf>
    <xf numFmtId="0" fontId="22" fillId="4" borderId="9" xfId="0" applyFont="1" applyFill="1" applyBorder="1" applyAlignment="1">
      <alignment horizontal="left" vertical="center" wrapText="1"/>
    </xf>
    <xf numFmtId="0" fontId="22" fillId="4" borderId="14" xfId="0" applyFont="1" applyFill="1" applyBorder="1" applyAlignment="1">
      <alignment horizontal="left" vertical="center" wrapText="1"/>
    </xf>
    <xf numFmtId="0" fontId="22" fillId="3" borderId="24" xfId="0" applyFont="1" applyFill="1" applyBorder="1" applyAlignment="1">
      <alignment horizontal="center"/>
    </xf>
    <xf numFmtId="0" fontId="22" fillId="3" borderId="0" xfId="0" applyFont="1" applyFill="1" applyBorder="1" applyAlignment="1">
      <alignment horizontal="center"/>
    </xf>
    <xf numFmtId="0" fontId="22" fillId="3" borderId="23" xfId="0" applyFont="1" applyFill="1" applyBorder="1" applyAlignment="1">
      <alignment horizontal="center"/>
    </xf>
    <xf numFmtId="0" fontId="22" fillId="3" borderId="35" xfId="0" applyFont="1" applyFill="1" applyBorder="1" applyAlignment="1">
      <alignment horizontal="left"/>
    </xf>
    <xf numFmtId="0" fontId="22" fillId="3" borderId="57" xfId="0" applyFont="1" applyFill="1" applyBorder="1" applyAlignment="1">
      <alignment horizontal="left"/>
    </xf>
    <xf numFmtId="0" fontId="22" fillId="3" borderId="58" xfId="0" applyFont="1" applyFill="1" applyBorder="1" applyAlignment="1">
      <alignment horizontal="left"/>
    </xf>
    <xf numFmtId="0" fontId="22" fillId="3" borderId="18" xfId="0" applyFont="1" applyFill="1" applyBorder="1" applyAlignment="1">
      <alignment horizontal="left"/>
    </xf>
    <xf numFmtId="0" fontId="22" fillId="3" borderId="1" xfId="0" applyFont="1" applyFill="1" applyBorder="1" applyAlignment="1">
      <alignment horizontal="left"/>
    </xf>
    <xf numFmtId="0" fontId="22" fillId="3" borderId="19" xfId="0" applyFont="1" applyFill="1" applyBorder="1" applyAlignment="1">
      <alignment horizontal="left"/>
    </xf>
    <xf numFmtId="0" fontId="25" fillId="5" borderId="9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/>
    </xf>
    <xf numFmtId="0" fontId="22" fillId="4" borderId="38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/>
    </xf>
    <xf numFmtId="0" fontId="22" fillId="0" borderId="1" xfId="0" applyFont="1" applyBorder="1" applyAlignment="1">
      <alignment horizontal="left"/>
    </xf>
    <xf numFmtId="0" fontId="22" fillId="3" borderId="66" xfId="0" applyFont="1" applyFill="1" applyBorder="1" applyAlignment="1">
      <alignment horizontal="left"/>
    </xf>
    <xf numFmtId="0" fontId="22" fillId="0" borderId="22" xfId="0" applyFont="1" applyBorder="1" applyAlignment="1">
      <alignment horizontal="left" wrapText="1"/>
    </xf>
    <xf numFmtId="0" fontId="22" fillId="0" borderId="26" xfId="0" applyFont="1" applyBorder="1" applyAlignment="1">
      <alignment horizontal="left" wrapText="1"/>
    </xf>
    <xf numFmtId="0" fontId="22" fillId="0" borderId="51" xfId="0" applyFont="1" applyBorder="1" applyAlignment="1">
      <alignment horizontal="left" wrapText="1"/>
    </xf>
    <xf numFmtId="0" fontId="22" fillId="0" borderId="63" xfId="0" applyFont="1" applyBorder="1" applyAlignment="1">
      <alignment horizontal="left"/>
    </xf>
    <xf numFmtId="0" fontId="22" fillId="0" borderId="64" xfId="0" applyFont="1" applyBorder="1" applyAlignment="1">
      <alignment horizontal="left"/>
    </xf>
    <xf numFmtId="0" fontId="22" fillId="0" borderId="65" xfId="0" applyFont="1" applyBorder="1" applyAlignment="1">
      <alignment horizontal="left"/>
    </xf>
    <xf numFmtId="0" fontId="22" fillId="3" borderId="20" xfId="0" applyFont="1" applyFill="1" applyBorder="1" applyAlignment="1">
      <alignment horizontal="left"/>
    </xf>
    <xf numFmtId="0" fontId="22" fillId="3" borderId="6" xfId="0" applyFont="1" applyFill="1" applyBorder="1" applyAlignment="1">
      <alignment horizontal="left"/>
    </xf>
    <xf numFmtId="0" fontId="22" fillId="3" borderId="21" xfId="0" applyFont="1" applyFill="1" applyBorder="1" applyAlignment="1">
      <alignment horizontal="left"/>
    </xf>
    <xf numFmtId="0" fontId="22" fillId="4" borderId="9" xfId="0" applyFont="1" applyFill="1" applyBorder="1" applyAlignment="1">
      <alignment horizontal="left" vertical="center"/>
    </xf>
    <xf numFmtId="0" fontId="22" fillId="4" borderId="14" xfId="0" applyFont="1" applyFill="1" applyBorder="1" applyAlignment="1">
      <alignment horizontal="left" vertical="center"/>
    </xf>
    <xf numFmtId="0" fontId="22" fillId="4" borderId="13" xfId="0" applyFont="1" applyFill="1" applyBorder="1" applyAlignment="1">
      <alignment horizontal="left" vertical="center"/>
    </xf>
    <xf numFmtId="0" fontId="22" fillId="4" borderId="53" xfId="0" applyFont="1" applyFill="1" applyBorder="1" applyAlignment="1">
      <alignment horizontal="center" vertical="center" wrapText="1"/>
    </xf>
    <xf numFmtId="0" fontId="22" fillId="4" borderId="33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0" fontId="22" fillId="4" borderId="14" xfId="0" applyFont="1" applyFill="1" applyBorder="1" applyAlignment="1">
      <alignment horizontal="center" vertical="center" wrapText="1"/>
    </xf>
    <xf numFmtId="0" fontId="22" fillId="4" borderId="24" xfId="0" applyFont="1" applyFill="1" applyBorder="1" applyAlignment="1">
      <alignment horizontal="center" vertical="center" wrapText="1"/>
    </xf>
    <xf numFmtId="0" fontId="22" fillId="4" borderId="0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3" borderId="25" xfId="0" applyFont="1" applyFill="1" applyBorder="1" applyAlignment="1">
      <alignment horizontal="left"/>
    </xf>
    <xf numFmtId="0" fontId="22" fillId="3" borderId="41" xfId="0" applyFont="1" applyFill="1" applyBorder="1" applyAlignment="1">
      <alignment horizontal="left"/>
    </xf>
    <xf numFmtId="0" fontId="22" fillId="3" borderId="42" xfId="0" applyFont="1" applyFill="1" applyBorder="1" applyAlignment="1">
      <alignment horizontal="left"/>
    </xf>
    <xf numFmtId="0" fontId="22" fillId="4" borderId="5" xfId="0" applyFont="1" applyFill="1" applyBorder="1" applyAlignment="1">
      <alignment horizontal="center" vertical="center" wrapText="1"/>
    </xf>
    <xf numFmtId="0" fontId="22" fillId="4" borderId="68" xfId="0" applyFont="1" applyFill="1" applyBorder="1" applyAlignment="1">
      <alignment horizontal="center" vertical="center" wrapText="1"/>
    </xf>
    <xf numFmtId="0" fontId="22" fillId="4" borderId="67" xfId="0" applyFont="1" applyFill="1" applyBorder="1" applyAlignment="1">
      <alignment horizontal="center" vertical="center" wrapText="1"/>
    </xf>
    <xf numFmtId="0" fontId="22" fillId="4" borderId="69" xfId="0" applyFont="1" applyFill="1" applyBorder="1" applyAlignment="1">
      <alignment horizontal="center" vertical="center" wrapText="1"/>
    </xf>
    <xf numFmtId="0" fontId="27" fillId="19" borderId="20" xfId="0" applyFont="1" applyFill="1" applyBorder="1" applyAlignment="1">
      <alignment horizontal="left"/>
    </xf>
    <xf numFmtId="0" fontId="27" fillId="19" borderId="6" xfId="0" applyFont="1" applyFill="1" applyBorder="1" applyAlignment="1">
      <alignment horizontal="left"/>
    </xf>
    <xf numFmtId="0" fontId="27" fillId="19" borderId="21" xfId="0" applyFont="1" applyFill="1" applyBorder="1" applyAlignment="1">
      <alignment horizontal="left"/>
    </xf>
    <xf numFmtId="0" fontId="21" fillId="6" borderId="9" xfId="0" applyFont="1" applyFill="1" applyBorder="1" applyAlignment="1">
      <alignment horizontal="center" wrapText="1"/>
    </xf>
    <xf numFmtId="0" fontId="21" fillId="6" borderId="14" xfId="0" applyFont="1" applyFill="1" applyBorder="1" applyAlignment="1">
      <alignment horizontal="center" wrapText="1"/>
    </xf>
    <xf numFmtId="0" fontId="21" fillId="6" borderId="5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0" fontId="21" fillId="0" borderId="5" xfId="0" applyFont="1" applyFill="1" applyBorder="1" applyAlignment="1">
      <alignment horizontal="center" wrapText="1"/>
    </xf>
    <xf numFmtId="2" fontId="2" fillId="4" borderId="48" xfId="0" applyNumberFormat="1" applyFont="1" applyFill="1" applyBorder="1" applyAlignment="1">
      <alignment horizontal="center" vertical="center"/>
    </xf>
    <xf numFmtId="2" fontId="2" fillId="4" borderId="56" xfId="0" applyNumberFormat="1" applyFont="1" applyFill="1" applyBorder="1" applyAlignment="1">
      <alignment horizontal="center" vertical="center"/>
    </xf>
    <xf numFmtId="0" fontId="19" fillId="4" borderId="15" xfId="0" applyFont="1" applyFill="1" applyBorder="1" applyAlignment="1">
      <alignment horizontal="center"/>
    </xf>
    <xf numFmtId="0" fontId="19" fillId="4" borderId="10" xfId="0" applyFont="1" applyFill="1" applyBorder="1" applyAlignment="1">
      <alignment horizontal="center"/>
    </xf>
    <xf numFmtId="0" fontId="19" fillId="4" borderId="11" xfId="0" applyFont="1" applyFill="1" applyBorder="1" applyAlignment="1">
      <alignment horizontal="center"/>
    </xf>
    <xf numFmtId="0" fontId="3" fillId="6" borderId="0" xfId="0" applyFont="1" applyFill="1" applyAlignment="1">
      <alignment horizontal="center" vertical="center"/>
    </xf>
    <xf numFmtId="0" fontId="3" fillId="6" borderId="41" xfId="0" applyFont="1" applyFill="1" applyBorder="1" applyAlignment="1">
      <alignment horizontal="center"/>
    </xf>
    <xf numFmtId="0" fontId="20" fillId="6" borderId="0" xfId="0" applyFont="1" applyFill="1" applyAlignment="1">
      <alignment horizontal="left" vertical="center"/>
    </xf>
    <xf numFmtId="0" fontId="2" fillId="10" borderId="1" xfId="0" applyFont="1" applyFill="1" applyBorder="1" applyAlignment="1">
      <alignment horizontal="center"/>
    </xf>
    <xf numFmtId="167" fontId="3" fillId="6" borderId="41" xfId="4" applyFont="1" applyFill="1" applyBorder="1" applyAlignment="1">
      <alignment horizontal="center"/>
    </xf>
    <xf numFmtId="167" fontId="3" fillId="6" borderId="0" xfId="4" applyFont="1" applyFill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left"/>
    </xf>
    <xf numFmtId="0" fontId="5" fillId="7" borderId="14" xfId="0" applyFont="1" applyFill="1" applyBorder="1" applyAlignment="1">
      <alignment horizontal="left"/>
    </xf>
    <xf numFmtId="0" fontId="5" fillId="7" borderId="5" xfId="0" applyFont="1" applyFill="1" applyBorder="1" applyAlignment="1">
      <alignment horizontal="left"/>
    </xf>
    <xf numFmtId="0" fontId="3" fillId="6" borderId="39" xfId="0" applyFont="1" applyFill="1" applyBorder="1" applyAlignment="1">
      <alignment horizontal="center" vertical="center"/>
    </xf>
    <xf numFmtId="0" fontId="3" fillId="6" borderId="36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left" vertical="center"/>
    </xf>
    <xf numFmtId="167" fontId="3" fillId="6" borderId="34" xfId="4" applyFont="1" applyFill="1" applyBorder="1" applyAlignment="1">
      <alignment horizontal="center" vertical="center"/>
    </xf>
    <xf numFmtId="167" fontId="3" fillId="6" borderId="45" xfId="4" applyFont="1" applyFill="1" applyBorder="1" applyAlignment="1">
      <alignment horizontal="center" vertical="center"/>
    </xf>
    <xf numFmtId="0" fontId="0" fillId="8" borderId="0" xfId="0" applyFill="1" applyAlignment="1">
      <alignment vertical="center" wrapText="1"/>
    </xf>
    <xf numFmtId="0" fontId="0" fillId="0" borderId="0" xfId="0" applyAlignment="1">
      <alignment horizontal="right" vertical="top" wrapText="1"/>
    </xf>
  </cellXfs>
  <cellStyles count="7">
    <cellStyle name="Hipervínculo" xfId="5" builtinId="8"/>
    <cellStyle name="Millares" xfId="4" builtinId="3"/>
    <cellStyle name="Moneda" xfId="2" builtinId="4"/>
    <cellStyle name="Moneda 2" xfId="1"/>
    <cellStyle name="Normal" xfId="0" builtinId="0"/>
    <cellStyle name="Normal 2" xfId="6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16</xdr:row>
      <xdr:rowOff>120850</xdr:rowOff>
    </xdr:from>
    <xdr:to>
      <xdr:col>7</xdr:col>
      <xdr:colOff>455521</xdr:colOff>
      <xdr:row>21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6681" t="48183" r="35798" b="40289"/>
        <a:stretch/>
      </xdr:blipFill>
      <xdr:spPr>
        <a:xfrm>
          <a:off x="4457700" y="3273625"/>
          <a:ext cx="2752726" cy="1022149"/>
        </a:xfrm>
        <a:prstGeom prst="rect">
          <a:avLst/>
        </a:prstGeom>
      </xdr:spPr>
    </xdr:pic>
    <xdr:clientData/>
  </xdr:twoCellAnchor>
  <xdr:twoCellAnchor>
    <xdr:from>
      <xdr:col>8</xdr:col>
      <xdr:colOff>261938</xdr:colOff>
      <xdr:row>12</xdr:row>
      <xdr:rowOff>152400</xdr:rowOff>
    </xdr:from>
    <xdr:to>
      <xdr:col>12</xdr:col>
      <xdr:colOff>676276</xdr:colOff>
      <xdr:row>14</xdr:row>
      <xdr:rowOff>35720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01126" y="2545556"/>
          <a:ext cx="3402806" cy="4429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28</xdr:row>
      <xdr:rowOff>0</xdr:rowOff>
    </xdr:from>
    <xdr:to>
      <xdr:col>7</xdr:col>
      <xdr:colOff>1038225</xdr:colOff>
      <xdr:row>31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039100"/>
          <a:ext cx="579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3:J10"/>
  <sheetViews>
    <sheetView topLeftCell="A5" zoomScale="90" zoomScaleNormal="90" workbookViewId="0">
      <selection activeCell="D20" sqref="C20:D27"/>
    </sheetView>
  </sheetViews>
  <sheetFormatPr baseColWidth="10" defaultColWidth="9.140625" defaultRowHeight="15" x14ac:dyDescent="0.25"/>
  <cols>
    <col min="1" max="1" width="6.42578125" style="7" customWidth="1"/>
    <col min="2" max="2" width="32.28515625" style="7" bestFit="1" customWidth="1"/>
    <col min="3" max="4" width="11.85546875" style="7" bestFit="1" customWidth="1"/>
    <col min="5" max="5" width="20.42578125" style="7" customWidth="1"/>
    <col min="6" max="6" width="19.85546875" style="7" customWidth="1"/>
    <col min="7" max="9" width="11.85546875" style="7" hidden="1" customWidth="1"/>
    <col min="10" max="10" width="0" style="7" hidden="1" customWidth="1"/>
    <col min="11" max="16384" width="9.140625" style="7"/>
  </cols>
  <sheetData>
    <row r="3" spans="2:10" ht="15.75" x14ac:dyDescent="0.25">
      <c r="B3" s="60"/>
    </row>
    <row r="4" spans="2:10" ht="15.75" x14ac:dyDescent="0.25">
      <c r="B4" s="60" t="s">
        <v>277</v>
      </c>
      <c r="C4" s="5"/>
    </row>
    <row r="5" spans="2:10" ht="16.5" thickBot="1" x14ac:dyDescent="0.3">
      <c r="B5" s="5"/>
      <c r="C5" s="5"/>
    </row>
    <row r="6" spans="2:10" ht="60.75" thickBot="1" x14ac:dyDescent="0.3">
      <c r="B6" s="17" t="s">
        <v>3</v>
      </c>
      <c r="C6" s="8" t="s">
        <v>17</v>
      </c>
      <c r="D6" s="1" t="s">
        <v>70</v>
      </c>
      <c r="E6" s="1" t="s">
        <v>140</v>
      </c>
      <c r="F6" s="32" t="s">
        <v>76</v>
      </c>
      <c r="G6" s="122" t="s">
        <v>77</v>
      </c>
      <c r="H6" s="88" t="s">
        <v>78</v>
      </c>
      <c r="I6" s="88" t="s">
        <v>79</v>
      </c>
      <c r="J6" s="89" t="s">
        <v>80</v>
      </c>
    </row>
    <row r="7" spans="2:10" s="20" customFormat="1" ht="15.75" x14ac:dyDescent="0.25">
      <c r="B7" s="453" t="s">
        <v>347</v>
      </c>
      <c r="C7" s="454">
        <v>30</v>
      </c>
      <c r="D7" s="455" t="s">
        <v>273</v>
      </c>
      <c r="E7" s="456">
        <f t="shared" ref="E7:E9" si="0">+C7</f>
        <v>30</v>
      </c>
      <c r="F7" s="125">
        <f t="shared" ref="F7:F9" si="1">+C7</f>
        <v>30</v>
      </c>
      <c r="G7" s="123"/>
      <c r="H7" s="90"/>
      <c r="I7" s="90"/>
      <c r="J7" s="91"/>
    </row>
    <row r="8" spans="2:10" ht="15.75" x14ac:dyDescent="0.25">
      <c r="B8" s="3" t="s">
        <v>138</v>
      </c>
      <c r="C8" s="15">
        <v>500</v>
      </c>
      <c r="D8" s="62" t="s">
        <v>273</v>
      </c>
      <c r="E8" s="10">
        <f t="shared" si="0"/>
        <v>500</v>
      </c>
      <c r="F8" s="125">
        <f t="shared" si="1"/>
        <v>500</v>
      </c>
      <c r="G8" s="123"/>
      <c r="H8" s="90"/>
      <c r="I8" s="90"/>
      <c r="J8" s="91"/>
    </row>
    <row r="9" spans="2:10" ht="16.5" thickBot="1" x14ac:dyDescent="0.3">
      <c r="B9" s="3" t="s">
        <v>139</v>
      </c>
      <c r="C9" s="15">
        <v>300</v>
      </c>
      <c r="D9" s="62" t="s">
        <v>273</v>
      </c>
      <c r="E9" s="10">
        <f t="shared" si="0"/>
        <v>300</v>
      </c>
      <c r="F9" s="125">
        <f t="shared" si="1"/>
        <v>300</v>
      </c>
      <c r="G9" s="123"/>
      <c r="H9" s="90"/>
      <c r="I9" s="90"/>
      <c r="J9" s="91"/>
    </row>
    <row r="10" spans="2:10" ht="20.25" customHeight="1" thickBot="1" x14ac:dyDescent="0.3">
      <c r="B10" s="9" t="s">
        <v>6</v>
      </c>
      <c r="C10" s="52">
        <f>SUM(C7:C9)</f>
        <v>830</v>
      </c>
      <c r="D10" s="76"/>
      <c r="E10" s="48">
        <f>SUM(E7:E9)</f>
        <v>830</v>
      </c>
      <c r="F10" s="49">
        <f>SUM(F7:F9)</f>
        <v>830</v>
      </c>
      <c r="G10" s="124"/>
      <c r="H10" s="92"/>
      <c r="I10" s="92"/>
      <c r="J10" s="9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B1:I57"/>
  <sheetViews>
    <sheetView topLeftCell="A36" workbookViewId="0">
      <selection activeCell="D53" sqref="D53"/>
    </sheetView>
  </sheetViews>
  <sheetFormatPr baseColWidth="10" defaultColWidth="9.140625" defaultRowHeight="12.75" x14ac:dyDescent="0.2"/>
  <cols>
    <col min="1" max="1" width="9.140625" style="255"/>
    <col min="2" max="2" width="25" style="255" bestFit="1" customWidth="1"/>
    <col min="3" max="3" width="8" style="263" bestFit="1" customWidth="1"/>
    <col min="4" max="4" width="13" style="255" customWidth="1"/>
    <col min="5" max="5" width="13.28515625" style="255" customWidth="1"/>
    <col min="6" max="6" width="13.7109375" style="255" customWidth="1"/>
    <col min="7" max="7" width="9.5703125" style="255" bestFit="1" customWidth="1"/>
    <col min="8" max="16384" width="9.140625" style="255"/>
  </cols>
  <sheetData>
    <row r="1" spans="2:9" ht="13.5" thickBot="1" x14ac:dyDescent="0.25"/>
    <row r="2" spans="2:9" ht="13.5" thickBot="1" x14ac:dyDescent="0.25">
      <c r="B2" s="291"/>
      <c r="C2" s="292"/>
      <c r="D2" s="294"/>
      <c r="E2" s="294"/>
      <c r="F2" s="294"/>
      <c r="G2" s="295"/>
    </row>
    <row r="3" spans="2:9" ht="15" customHeight="1" x14ac:dyDescent="0.2">
      <c r="B3" s="692"/>
      <c r="C3" s="680"/>
      <c r="D3" s="680"/>
      <c r="E3" s="680"/>
      <c r="F3" s="680"/>
      <c r="G3" s="681"/>
    </row>
    <row r="4" spans="2:9" x14ac:dyDescent="0.2">
      <c r="B4" s="274"/>
      <c r="C4" s="284"/>
      <c r="D4" s="310"/>
      <c r="E4" s="310"/>
      <c r="F4" s="310"/>
      <c r="G4" s="301"/>
    </row>
    <row r="5" spans="2:9" x14ac:dyDescent="0.2">
      <c r="B5" s="274"/>
      <c r="C5" s="284"/>
      <c r="D5" s="310"/>
      <c r="E5" s="310"/>
      <c r="F5" s="310"/>
      <c r="G5" s="301"/>
    </row>
    <row r="6" spans="2:9" x14ac:dyDescent="0.2">
      <c r="B6" s="274"/>
      <c r="C6" s="284"/>
      <c r="D6" s="310"/>
      <c r="E6" s="310"/>
      <c r="F6" s="310"/>
      <c r="G6" s="301"/>
    </row>
    <row r="7" spans="2:9" x14ac:dyDescent="0.2">
      <c r="B7" s="274"/>
      <c r="C7" s="284"/>
      <c r="D7" s="310"/>
      <c r="E7" s="310"/>
      <c r="F7" s="310"/>
      <c r="G7" s="301"/>
    </row>
    <row r="8" spans="2:9" x14ac:dyDescent="0.2">
      <c r="B8" s="274"/>
      <c r="C8" s="275"/>
      <c r="D8" s="310"/>
      <c r="E8" s="310"/>
      <c r="F8" s="310"/>
      <c r="G8" s="301"/>
    </row>
    <row r="9" spans="2:9" x14ac:dyDescent="0.2">
      <c r="B9" s="690"/>
      <c r="C9" s="691"/>
      <c r="D9" s="691"/>
      <c r="E9" s="691"/>
      <c r="F9" s="691"/>
      <c r="G9" s="302"/>
    </row>
    <row r="10" spans="2:9" x14ac:dyDescent="0.2">
      <c r="B10" s="682"/>
      <c r="C10" s="683"/>
      <c r="D10" s="683"/>
      <c r="E10" s="683"/>
      <c r="F10" s="683"/>
      <c r="G10" s="684"/>
    </row>
    <row r="11" spans="2:9" x14ac:dyDescent="0.2">
      <c r="B11" s="274"/>
      <c r="C11" s="284"/>
      <c r="D11" s="310"/>
      <c r="E11" s="310"/>
      <c r="F11" s="310"/>
      <c r="G11" s="301"/>
    </row>
    <row r="12" spans="2:9" x14ac:dyDescent="0.2">
      <c r="B12" s="274"/>
      <c r="C12" s="284"/>
      <c r="D12" s="310"/>
      <c r="E12" s="310"/>
      <c r="F12" s="310"/>
      <c r="G12" s="301"/>
    </row>
    <row r="13" spans="2:9" x14ac:dyDescent="0.2">
      <c r="B13" s="274"/>
      <c r="C13" s="284"/>
      <c r="D13" s="310"/>
      <c r="E13" s="310"/>
      <c r="F13" s="310"/>
      <c r="G13" s="301"/>
    </row>
    <row r="14" spans="2:9" ht="13.5" thickBot="1" x14ac:dyDescent="0.25">
      <c r="B14" s="693"/>
      <c r="C14" s="694"/>
      <c r="D14" s="694"/>
      <c r="E14" s="694"/>
      <c r="F14" s="695"/>
      <c r="G14" s="403"/>
    </row>
    <row r="15" spans="2:9" ht="13.5" thickBot="1" x14ac:dyDescent="0.25">
      <c r="B15" s="291" t="s">
        <v>318</v>
      </c>
      <c r="C15" s="292"/>
      <c r="D15" s="292"/>
      <c r="E15" s="292"/>
      <c r="F15" s="292"/>
      <c r="G15" s="296">
        <f>+VENTAS!C32*G57</f>
        <v>41129.889892984131</v>
      </c>
      <c r="H15" s="261"/>
      <c r="I15" s="457"/>
    </row>
    <row r="18" spans="2:9" x14ac:dyDescent="0.2">
      <c r="C18" s="269"/>
      <c r="F18" s="655"/>
      <c r="G18" s="426"/>
    </row>
    <row r="19" spans="2:9" ht="15.75" x14ac:dyDescent="0.25">
      <c r="B19" s="656"/>
      <c r="C19" s="657"/>
      <c r="D19" s="658" t="s">
        <v>434</v>
      </c>
      <c r="E19" s="658" t="s">
        <v>435</v>
      </c>
      <c r="F19" s="312" t="s">
        <v>436</v>
      </c>
      <c r="G19" s="312"/>
    </row>
    <row r="20" spans="2:9" x14ac:dyDescent="0.2">
      <c r="B20" s="312"/>
      <c r="C20" s="305"/>
      <c r="D20" s="312"/>
      <c r="E20" s="312"/>
      <c r="F20" s="312"/>
      <c r="G20" s="312"/>
    </row>
    <row r="21" spans="2:9" ht="15.75" x14ac:dyDescent="0.25">
      <c r="B21" s="659" t="s">
        <v>437</v>
      </c>
      <c r="C21" s="656"/>
      <c r="D21" s="660">
        <v>3</v>
      </c>
      <c r="E21" s="656">
        <f>F21/1.14</f>
        <v>6.1403508771929829</v>
      </c>
      <c r="F21" s="661">
        <v>7</v>
      </c>
      <c r="G21" s="662">
        <f>+D21*100%/E21</f>
        <v>0.48857142857142855</v>
      </c>
      <c r="I21" s="255">
        <f>+D21/100*E21</f>
        <v>0.18421052631578949</v>
      </c>
    </row>
    <row r="22" spans="2:9" ht="15.75" x14ac:dyDescent="0.25">
      <c r="B22" s="659" t="s">
        <v>438</v>
      </c>
      <c r="C22" s="656"/>
      <c r="D22" s="660">
        <v>2</v>
      </c>
      <c r="E22" s="656">
        <f t="shared" ref="E22:E43" si="0">F22/1.14</f>
        <v>5.9649122807017552</v>
      </c>
      <c r="F22" s="661">
        <v>6.8</v>
      </c>
      <c r="G22" s="662">
        <f>+D22*100%/E22</f>
        <v>0.3352941176470588</v>
      </c>
    </row>
    <row r="23" spans="2:9" ht="15.75" x14ac:dyDescent="0.25">
      <c r="B23" s="659" t="s">
        <v>439</v>
      </c>
      <c r="C23" s="659"/>
      <c r="D23" s="658">
        <v>1</v>
      </c>
      <c r="E23" s="656">
        <f t="shared" si="0"/>
        <v>2.2807017543859653</v>
      </c>
      <c r="F23" s="661">
        <v>2.6</v>
      </c>
      <c r="G23" s="662">
        <f t="shared" ref="G23:G55" si="1">D23/E23</f>
        <v>0.4384615384615384</v>
      </c>
    </row>
    <row r="24" spans="2:9" ht="15.75" x14ac:dyDescent="0.25">
      <c r="B24" s="659" t="s">
        <v>440</v>
      </c>
      <c r="C24" s="659"/>
      <c r="D24" s="658">
        <v>0.25</v>
      </c>
      <c r="E24" s="656">
        <f>F24/1.14</f>
        <v>1.4912280701754388</v>
      </c>
      <c r="F24" s="661">
        <v>1.7</v>
      </c>
      <c r="G24" s="662">
        <f t="shared" si="1"/>
        <v>0.1676470588235294</v>
      </c>
    </row>
    <row r="25" spans="2:9" ht="15.75" x14ac:dyDescent="0.25">
      <c r="B25" s="659" t="s">
        <v>441</v>
      </c>
      <c r="C25" s="659"/>
      <c r="D25" s="658">
        <v>1.2</v>
      </c>
      <c r="E25" s="656">
        <f t="shared" si="0"/>
        <v>2.6315789473684212</v>
      </c>
      <c r="F25" s="661">
        <v>3</v>
      </c>
      <c r="G25" s="662">
        <f t="shared" si="1"/>
        <v>0.45599999999999996</v>
      </c>
    </row>
    <row r="26" spans="2:9" ht="15.75" x14ac:dyDescent="0.25">
      <c r="B26" s="659"/>
      <c r="C26" s="659"/>
      <c r="D26" s="656"/>
      <c r="E26" s="656"/>
      <c r="F26" s="661"/>
      <c r="G26" s="662"/>
    </row>
    <row r="27" spans="2:9" ht="15.75" x14ac:dyDescent="0.25">
      <c r="B27" s="659" t="s">
        <v>442</v>
      </c>
      <c r="C27" s="659"/>
      <c r="D27" s="658">
        <v>2</v>
      </c>
      <c r="E27" s="656">
        <f t="shared" si="0"/>
        <v>5.2631578947368425</v>
      </c>
      <c r="F27" s="661">
        <v>6</v>
      </c>
      <c r="G27" s="662">
        <f t="shared" si="1"/>
        <v>0.37999999999999995</v>
      </c>
    </row>
    <row r="28" spans="2:9" ht="15.75" x14ac:dyDescent="0.25">
      <c r="B28" s="659" t="s">
        <v>443</v>
      </c>
      <c r="C28" s="659"/>
      <c r="D28" s="658">
        <v>2.5</v>
      </c>
      <c r="E28" s="656">
        <f t="shared" si="0"/>
        <v>5.2631578947368425</v>
      </c>
      <c r="F28" s="661">
        <v>6</v>
      </c>
      <c r="G28" s="662">
        <f t="shared" si="1"/>
        <v>0.47499999999999998</v>
      </c>
    </row>
    <row r="29" spans="2:9" ht="15.75" x14ac:dyDescent="0.25">
      <c r="B29" s="659" t="s">
        <v>444</v>
      </c>
      <c r="C29" s="659"/>
      <c r="D29" s="658">
        <v>1.25</v>
      </c>
      <c r="E29" s="656">
        <f>F29/1.14</f>
        <v>3.9473684210526319</v>
      </c>
      <c r="F29" s="661">
        <v>4.5</v>
      </c>
      <c r="G29" s="662">
        <f t="shared" si="1"/>
        <v>0.31666666666666665</v>
      </c>
    </row>
    <row r="30" spans="2:9" ht="15.75" x14ac:dyDescent="0.25">
      <c r="B30" s="659" t="s">
        <v>445</v>
      </c>
      <c r="C30" s="659"/>
      <c r="D30" s="658">
        <v>1.6</v>
      </c>
      <c r="E30" s="656">
        <f t="shared" si="0"/>
        <v>3.9473684210526319</v>
      </c>
      <c r="F30" s="661">
        <v>4.5</v>
      </c>
      <c r="G30" s="662">
        <f t="shared" si="1"/>
        <v>0.40533333333333332</v>
      </c>
    </row>
    <row r="31" spans="2:9" ht="15.75" x14ac:dyDescent="0.25">
      <c r="B31" s="659" t="s">
        <v>446</v>
      </c>
      <c r="C31" s="659"/>
      <c r="D31" s="658">
        <v>1.6</v>
      </c>
      <c r="E31" s="656">
        <f t="shared" si="0"/>
        <v>3.9473684210526319</v>
      </c>
      <c r="F31" s="661">
        <v>4.5</v>
      </c>
      <c r="G31" s="662">
        <f t="shared" si="1"/>
        <v>0.40533333333333332</v>
      </c>
    </row>
    <row r="32" spans="2:9" ht="15.75" x14ac:dyDescent="0.25">
      <c r="B32" s="659" t="s">
        <v>447</v>
      </c>
      <c r="C32" s="659"/>
      <c r="D32" s="658">
        <v>2.25</v>
      </c>
      <c r="E32" s="656">
        <f t="shared" si="0"/>
        <v>5.7017543859649127</v>
      </c>
      <c r="F32" s="661">
        <v>6.5</v>
      </c>
      <c r="G32" s="662">
        <f t="shared" si="1"/>
        <v>0.39461538461538459</v>
      </c>
    </row>
    <row r="33" spans="2:7" ht="15.75" x14ac:dyDescent="0.25">
      <c r="B33" s="659"/>
      <c r="C33" s="659"/>
      <c r="D33" s="656"/>
      <c r="E33" s="656"/>
      <c r="F33" s="661"/>
      <c r="G33" s="662"/>
    </row>
    <row r="34" spans="2:7" ht="15.75" x14ac:dyDescent="0.25">
      <c r="B34" s="659"/>
      <c r="C34" s="659"/>
      <c r="D34" s="656"/>
      <c r="E34" s="656"/>
      <c r="F34" s="661"/>
      <c r="G34" s="662"/>
    </row>
    <row r="35" spans="2:7" ht="15.75" x14ac:dyDescent="0.25">
      <c r="B35" s="659" t="s">
        <v>448</v>
      </c>
      <c r="C35" s="656"/>
      <c r="D35" s="658">
        <v>3.25</v>
      </c>
      <c r="E35" s="656">
        <f t="shared" si="0"/>
        <v>7.0175438596491233</v>
      </c>
      <c r="F35" s="661">
        <v>8</v>
      </c>
      <c r="G35" s="662">
        <f t="shared" si="1"/>
        <v>0.46312499999999995</v>
      </c>
    </row>
    <row r="36" spans="2:7" ht="15.75" x14ac:dyDescent="0.25">
      <c r="B36" s="659" t="s">
        <v>449</v>
      </c>
      <c r="C36" s="656"/>
      <c r="D36" s="663">
        <v>2</v>
      </c>
      <c r="E36" s="656">
        <f t="shared" si="0"/>
        <v>5.7017543859649127</v>
      </c>
      <c r="F36" s="661">
        <v>6.5</v>
      </c>
      <c r="G36" s="662">
        <f t="shared" si="1"/>
        <v>0.35076923076923072</v>
      </c>
    </row>
    <row r="37" spans="2:7" ht="15.75" x14ac:dyDescent="0.25">
      <c r="B37" s="659" t="s">
        <v>450</v>
      </c>
      <c r="C37" s="656"/>
      <c r="D37" s="663">
        <v>2.4</v>
      </c>
      <c r="E37" s="656">
        <f t="shared" si="0"/>
        <v>5.2631578947368425</v>
      </c>
      <c r="F37" s="661">
        <v>6</v>
      </c>
      <c r="G37" s="662">
        <f t="shared" si="1"/>
        <v>0.45599999999999996</v>
      </c>
    </row>
    <row r="38" spans="2:7" ht="15.75" x14ac:dyDescent="0.25">
      <c r="B38" s="659" t="s">
        <v>451</v>
      </c>
      <c r="C38" s="656"/>
      <c r="D38" s="664">
        <v>3</v>
      </c>
      <c r="E38" s="656">
        <f t="shared" si="0"/>
        <v>7.0175438596491233</v>
      </c>
      <c r="F38" s="661">
        <v>8</v>
      </c>
      <c r="G38" s="662">
        <f t="shared" si="1"/>
        <v>0.42749999999999999</v>
      </c>
    </row>
    <row r="39" spans="2:7" ht="15.75" x14ac:dyDescent="0.25">
      <c r="B39" s="659" t="s">
        <v>452</v>
      </c>
      <c r="C39" s="656"/>
      <c r="D39" s="664">
        <v>3</v>
      </c>
      <c r="E39" s="656">
        <f t="shared" si="0"/>
        <v>6.1403508771929829</v>
      </c>
      <c r="F39" s="661">
        <v>7</v>
      </c>
      <c r="G39" s="662">
        <f t="shared" si="1"/>
        <v>0.48857142857142855</v>
      </c>
    </row>
    <row r="40" spans="2:7" ht="15.75" x14ac:dyDescent="0.25">
      <c r="B40" s="659" t="s">
        <v>453</v>
      </c>
      <c r="C40" s="656"/>
      <c r="D40" s="663">
        <v>2.2000000000000002</v>
      </c>
      <c r="E40" s="656">
        <f t="shared" si="0"/>
        <v>5.7017543859649127</v>
      </c>
      <c r="F40" s="661">
        <v>6.5</v>
      </c>
      <c r="G40" s="662">
        <f t="shared" si="1"/>
        <v>0.38584615384615384</v>
      </c>
    </row>
    <row r="41" spans="2:7" ht="15.75" x14ac:dyDescent="0.25">
      <c r="B41" s="659" t="s">
        <v>454</v>
      </c>
      <c r="C41" s="656"/>
      <c r="D41" s="663">
        <v>1.71</v>
      </c>
      <c r="E41" s="656">
        <f t="shared" si="0"/>
        <v>5.7017543859649127</v>
      </c>
      <c r="F41" s="661">
        <v>6.5</v>
      </c>
      <c r="G41" s="662">
        <f t="shared" si="1"/>
        <v>0.29990769230769226</v>
      </c>
    </row>
    <row r="42" spans="2:7" ht="15.75" x14ac:dyDescent="0.25">
      <c r="B42" s="659" t="s">
        <v>455</v>
      </c>
      <c r="C42" s="656"/>
      <c r="D42" s="663">
        <v>2.61</v>
      </c>
      <c r="E42" s="656">
        <f t="shared" si="0"/>
        <v>5.7017543859649127</v>
      </c>
      <c r="F42" s="661">
        <v>6.5</v>
      </c>
      <c r="G42" s="662">
        <f t="shared" si="1"/>
        <v>0.45775384615384612</v>
      </c>
    </row>
    <row r="43" spans="2:7" ht="15.75" x14ac:dyDescent="0.25">
      <c r="B43" s="659" t="s">
        <v>456</v>
      </c>
      <c r="C43" s="656"/>
      <c r="D43" s="658">
        <v>2</v>
      </c>
      <c r="E43" s="656">
        <f t="shared" si="0"/>
        <v>5.2631578947368425</v>
      </c>
      <c r="F43" s="661">
        <v>6</v>
      </c>
      <c r="G43" s="662">
        <f t="shared" si="1"/>
        <v>0.37999999999999995</v>
      </c>
    </row>
    <row r="44" spans="2:7" ht="15.75" x14ac:dyDescent="0.25">
      <c r="B44" s="312"/>
      <c r="C44" s="284"/>
      <c r="D44" s="312"/>
      <c r="E44" s="656"/>
      <c r="F44" s="661"/>
      <c r="G44" s="662"/>
    </row>
    <row r="45" spans="2:7" ht="15.75" x14ac:dyDescent="0.25">
      <c r="B45" s="312"/>
      <c r="C45" s="284"/>
      <c r="D45" s="312"/>
      <c r="E45" s="656"/>
      <c r="F45" s="661"/>
      <c r="G45" s="662"/>
    </row>
    <row r="46" spans="2:7" ht="15.75" x14ac:dyDescent="0.25">
      <c r="B46" s="312"/>
      <c r="C46" s="284"/>
      <c r="D46" s="312"/>
      <c r="E46" s="656"/>
      <c r="F46" s="661"/>
      <c r="G46" s="662"/>
    </row>
    <row r="47" spans="2:7" ht="15.75" x14ac:dyDescent="0.25">
      <c r="B47" s="659" t="s">
        <v>457</v>
      </c>
      <c r="C47" s="656"/>
      <c r="D47" s="658">
        <v>0.6</v>
      </c>
      <c r="E47" s="656">
        <f>F47/1.14</f>
        <v>1.5789473684210529</v>
      </c>
      <c r="F47" s="661">
        <v>1.8</v>
      </c>
      <c r="G47" s="662">
        <f t="shared" si="1"/>
        <v>0.37999999999999995</v>
      </c>
    </row>
    <row r="48" spans="2:7" ht="15.75" x14ac:dyDescent="0.25">
      <c r="B48" s="659" t="s">
        <v>458</v>
      </c>
      <c r="C48" s="656"/>
      <c r="D48" s="658">
        <v>0.9</v>
      </c>
      <c r="E48" s="656">
        <f>F48/1.14</f>
        <v>1.7543859649122808</v>
      </c>
      <c r="F48" s="661">
        <v>2</v>
      </c>
      <c r="G48" s="662">
        <f t="shared" si="1"/>
        <v>0.51300000000000001</v>
      </c>
    </row>
    <row r="49" spans="2:7" ht="15.75" x14ac:dyDescent="0.25">
      <c r="B49" s="659"/>
      <c r="C49" s="656"/>
      <c r="D49" s="658"/>
      <c r="E49" s="656"/>
      <c r="F49" s="661"/>
      <c r="G49" s="662"/>
    </row>
    <row r="50" spans="2:7" ht="15.75" x14ac:dyDescent="0.25">
      <c r="B50" s="659" t="s">
        <v>459</v>
      </c>
      <c r="C50" s="656"/>
      <c r="D50" s="658">
        <v>0.5</v>
      </c>
      <c r="E50" s="656">
        <f>F50/1.14</f>
        <v>2.192982456140351</v>
      </c>
      <c r="F50" s="661">
        <v>2.5</v>
      </c>
      <c r="G50" s="662">
        <f t="shared" si="1"/>
        <v>0.22799999999999998</v>
      </c>
    </row>
    <row r="51" spans="2:7" ht="15.75" x14ac:dyDescent="0.25">
      <c r="B51" s="312"/>
      <c r="C51" s="284"/>
      <c r="D51" s="312"/>
      <c r="E51" s="656"/>
      <c r="F51" s="661"/>
      <c r="G51" s="662"/>
    </row>
    <row r="52" spans="2:7" ht="15.75" x14ac:dyDescent="0.25">
      <c r="B52" s="659"/>
      <c r="C52" s="656"/>
      <c r="D52" s="658"/>
      <c r="E52" s="656"/>
      <c r="F52" s="661"/>
      <c r="G52" s="662"/>
    </row>
    <row r="53" spans="2:7" ht="15.75" x14ac:dyDescent="0.25">
      <c r="B53" s="659" t="s">
        <v>460</v>
      </c>
      <c r="C53" s="656"/>
      <c r="D53" s="658">
        <v>0.6</v>
      </c>
      <c r="E53" s="656">
        <f>F53/1.14</f>
        <v>1.3157894736842106</v>
      </c>
      <c r="F53" s="665">
        <v>1.5</v>
      </c>
      <c r="G53" s="662">
        <f t="shared" si="1"/>
        <v>0.45599999999999996</v>
      </c>
    </row>
    <row r="54" spans="2:7" ht="15.75" x14ac:dyDescent="0.25">
      <c r="B54" s="659" t="s">
        <v>461</v>
      </c>
      <c r="C54" s="656"/>
      <c r="D54" s="658">
        <v>0.8</v>
      </c>
      <c r="E54" s="656">
        <f>F54/1.14</f>
        <v>2.192982456140351</v>
      </c>
      <c r="F54" s="665">
        <v>2.5</v>
      </c>
      <c r="G54" s="662">
        <f t="shared" si="1"/>
        <v>0.36480000000000001</v>
      </c>
    </row>
    <row r="55" spans="2:7" ht="15.75" x14ac:dyDescent="0.25">
      <c r="B55" s="659" t="s">
        <v>462</v>
      </c>
      <c r="C55" s="656"/>
      <c r="D55" s="658">
        <v>2</v>
      </c>
      <c r="E55" s="656">
        <f>F55/1.14</f>
        <v>3.3333333333333335</v>
      </c>
      <c r="F55" s="665">
        <v>3.8</v>
      </c>
      <c r="G55" s="662">
        <f t="shared" si="1"/>
        <v>0.6</v>
      </c>
    </row>
    <row r="56" spans="2:7" ht="15.75" x14ac:dyDescent="0.25">
      <c r="B56" s="312"/>
      <c r="C56" s="284"/>
      <c r="D56" s="312"/>
      <c r="E56" s="656"/>
      <c r="F56" s="661"/>
      <c r="G56" s="662"/>
    </row>
    <row r="57" spans="2:7" x14ac:dyDescent="0.2">
      <c r="F57" s="255" t="s">
        <v>463</v>
      </c>
      <c r="G57" s="666">
        <f>+AVERAGE(G20:G56)</f>
        <v>0.40439216204233169</v>
      </c>
    </row>
  </sheetData>
  <mergeCells count="4">
    <mergeCell ref="B9:F9"/>
    <mergeCell ref="B3:G3"/>
    <mergeCell ref="B10:G10"/>
    <mergeCell ref="B14:F1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</sheetPr>
  <dimension ref="A1:T44"/>
  <sheetViews>
    <sheetView topLeftCell="A13" zoomScale="85" zoomScaleNormal="85" workbookViewId="0">
      <selection activeCell="C12" sqref="C12"/>
    </sheetView>
  </sheetViews>
  <sheetFormatPr baseColWidth="10" defaultColWidth="11.42578125" defaultRowHeight="12.75" x14ac:dyDescent="0.2"/>
  <cols>
    <col min="1" max="1" width="16.140625" style="255" customWidth="1"/>
    <col min="2" max="2" width="43.28515625" style="255" bestFit="1" customWidth="1"/>
    <col min="3" max="3" width="15.28515625" style="261" bestFit="1" customWidth="1"/>
    <col min="4" max="7" width="14.42578125" style="261" bestFit="1" customWidth="1"/>
    <col min="8" max="10" width="14.42578125" style="342" customWidth="1"/>
    <col min="11" max="16384" width="11.42578125" style="255"/>
  </cols>
  <sheetData>
    <row r="1" spans="1:20" x14ac:dyDescent="0.2">
      <c r="D1" s="261">
        <v>1</v>
      </c>
      <c r="E1" s="492"/>
      <c r="F1" s="493"/>
      <c r="J1" s="342" t="s">
        <v>352</v>
      </c>
      <c r="L1" s="255" t="s">
        <v>354</v>
      </c>
    </row>
    <row r="2" spans="1:20" x14ac:dyDescent="0.2">
      <c r="B2" s="283" t="s">
        <v>349</v>
      </c>
      <c r="C2" s="261" t="s">
        <v>356</v>
      </c>
      <c r="D2" s="488">
        <f>+J3</f>
        <v>3.5166666666666672E-2</v>
      </c>
      <c r="J2" s="494" t="s">
        <v>355</v>
      </c>
      <c r="K2" s="494">
        <v>2015</v>
      </c>
      <c r="L2" s="495">
        <v>2014</v>
      </c>
      <c r="M2" s="495">
        <v>2013</v>
      </c>
    </row>
    <row r="3" spans="1:20" ht="13.5" thickBot="1" x14ac:dyDescent="0.25">
      <c r="D3" s="491">
        <f>+D1+D2</f>
        <v>1.0351666666666666</v>
      </c>
      <c r="I3" s="494" t="s">
        <v>353</v>
      </c>
      <c r="J3" s="496">
        <f>+(K3+L3+M3)/3</f>
        <v>3.5166666666666672E-2</v>
      </c>
      <c r="K3" s="496">
        <v>3.5299999999999998E-2</v>
      </c>
      <c r="L3" s="497">
        <v>2.92E-2</v>
      </c>
      <c r="M3" s="497">
        <v>4.1000000000000002E-2</v>
      </c>
      <c r="N3" s="488"/>
      <c r="O3" s="488"/>
    </row>
    <row r="4" spans="1:20" x14ac:dyDescent="0.2">
      <c r="A4" s="269"/>
      <c r="B4" s="406" t="s">
        <v>3</v>
      </c>
      <c r="C4" s="460" t="s">
        <v>32</v>
      </c>
      <c r="D4" s="460" t="s">
        <v>33</v>
      </c>
      <c r="E4" s="460" t="s">
        <v>34</v>
      </c>
      <c r="F4" s="460" t="s">
        <v>35</v>
      </c>
      <c r="G4" s="461" t="s">
        <v>36</v>
      </c>
      <c r="H4" s="487"/>
      <c r="I4" s="487" t="s">
        <v>357</v>
      </c>
      <c r="J4" s="487"/>
      <c r="K4" s="489">
        <f>+K3-L3</f>
        <v>6.0999999999999978E-3</v>
      </c>
      <c r="L4" s="489">
        <f>+L3-M3</f>
        <v>-1.1800000000000001E-2</v>
      </c>
    </row>
    <row r="5" spans="1:20" x14ac:dyDescent="0.2">
      <c r="A5" s="269"/>
      <c r="B5" s="278" t="s">
        <v>59</v>
      </c>
      <c r="C5" s="311">
        <f>+SUM(C6:C7)</f>
        <v>89791.589892984135</v>
      </c>
      <c r="D5" s="311">
        <f>+SUM(D6:D7)</f>
        <v>93923.115902500431</v>
      </c>
      <c r="E5" s="311">
        <f>+SUM(E6:E7)</f>
        <v>98253.670679499512</v>
      </c>
      <c r="F5" s="311">
        <f>+SUM(F6:F7)</f>
        <v>102793.21856662868</v>
      </c>
      <c r="G5" s="311">
        <f>+SUM(G6:G7)</f>
        <v>107552.2379353297</v>
      </c>
      <c r="H5" s="337"/>
      <c r="I5" s="337"/>
      <c r="J5" s="337"/>
      <c r="M5" s="416"/>
      <c r="N5" s="417"/>
      <c r="O5" s="418"/>
      <c r="P5" s="418"/>
      <c r="Q5" s="262"/>
      <c r="R5" s="262"/>
      <c r="S5" s="262"/>
      <c r="T5" s="262"/>
    </row>
    <row r="6" spans="1:20" x14ac:dyDescent="0.2">
      <c r="A6" s="269"/>
      <c r="B6" s="312" t="s">
        <v>464</v>
      </c>
      <c r="C6" s="310">
        <f>+'COSTO COMIDA'!G15</f>
        <v>41129.889892984131</v>
      </c>
      <c r="D6" s="310">
        <f>+C6*$D$3</f>
        <v>42576.291020887402</v>
      </c>
      <c r="E6" s="310">
        <f>+D6*$D$3</f>
        <v>44073.557255121937</v>
      </c>
      <c r="F6" s="310">
        <f>+E6*$D$3</f>
        <v>45623.477351927053</v>
      </c>
      <c r="G6" s="310">
        <f>+F6*$D$3</f>
        <v>47227.902972136486</v>
      </c>
      <c r="H6" s="486"/>
      <c r="I6" s="486"/>
      <c r="J6" s="486"/>
      <c r="M6" s="419"/>
      <c r="N6" s="264"/>
      <c r="O6" s="418"/>
      <c r="P6" s="418"/>
      <c r="Q6" s="262"/>
      <c r="R6" s="262"/>
      <c r="S6" s="262"/>
      <c r="T6" s="262"/>
    </row>
    <row r="7" spans="1:20" x14ac:dyDescent="0.2">
      <c r="A7" s="269"/>
      <c r="B7" s="312" t="s">
        <v>40</v>
      </c>
      <c r="C7" s="310">
        <f>+'SUELDOS Y SALARIOS'!L11</f>
        <v>48661.7</v>
      </c>
      <c r="D7" s="310">
        <f>+'SUELDOS Y SALARIOS'!P17</f>
        <v>51346.824881613022</v>
      </c>
      <c r="E7" s="310">
        <f>+'SUELDOS Y SALARIOS'!P18</f>
        <v>54180.113424377574</v>
      </c>
      <c r="F7" s="310">
        <f>+'SUELDOS Y SALARIOS'!P19</f>
        <v>57169.741214701629</v>
      </c>
      <c r="G7" s="310">
        <f>+'SUELDOS Y SALARIOS'!P20</f>
        <v>60324.334963193214</v>
      </c>
      <c r="H7" s="486"/>
      <c r="I7" s="486"/>
      <c r="J7" s="486"/>
    </row>
    <row r="8" spans="1:20" x14ac:dyDescent="0.2">
      <c r="A8" s="269"/>
      <c r="B8" s="278" t="s">
        <v>60</v>
      </c>
      <c r="C8" s="311">
        <f>+SUM(C9:C11)</f>
        <v>3567.8</v>
      </c>
      <c r="D8" s="311">
        <f>+SUM(D9:D11)</f>
        <v>3593.042633333333</v>
      </c>
      <c r="E8" s="311">
        <f>+SUM(E9:E11)</f>
        <v>3619.1729659388889</v>
      </c>
      <c r="F8" s="311">
        <f>+SUM(F9:F11)</f>
        <v>3646.2222152410732</v>
      </c>
      <c r="G8" s="311">
        <f>+SUM(G9:G11)</f>
        <v>3674.2226964770502</v>
      </c>
      <c r="H8" s="337"/>
      <c r="I8" s="337"/>
      <c r="J8" s="337"/>
    </row>
    <row r="9" spans="1:20" x14ac:dyDescent="0.2">
      <c r="A9" s="269"/>
      <c r="B9" s="312" t="s">
        <v>340</v>
      </c>
      <c r="C9" s="310">
        <f>+INSUMOS!F23</f>
        <v>153.80000000000001</v>
      </c>
      <c r="D9" s="310">
        <f>+C9*$D$3</f>
        <v>159.20863333333332</v>
      </c>
      <c r="E9" s="310">
        <f t="shared" ref="E9:G11" si="0">+D9*$D$3</f>
        <v>164.80747027222219</v>
      </c>
      <c r="F9" s="310">
        <f t="shared" ref="F9:G9" si="1">+E9*$D$3</f>
        <v>170.60319964346198</v>
      </c>
      <c r="G9" s="310">
        <f t="shared" si="1"/>
        <v>176.60274549759038</v>
      </c>
      <c r="H9" s="486"/>
      <c r="I9" s="486"/>
      <c r="J9" s="486"/>
    </row>
    <row r="10" spans="1:20" x14ac:dyDescent="0.2">
      <c r="A10" s="269"/>
      <c r="B10" s="312" t="s">
        <v>341</v>
      </c>
      <c r="C10" s="310">
        <f>+DEPRECIACIONES!E8</f>
        <v>2850</v>
      </c>
      <c r="D10" s="310">
        <f>+C10</f>
        <v>2850</v>
      </c>
      <c r="E10" s="310">
        <f>+D10</f>
        <v>2850</v>
      </c>
      <c r="F10" s="310">
        <f>+E10</f>
        <v>2850</v>
      </c>
      <c r="G10" s="310">
        <f>+F10</f>
        <v>2850</v>
      </c>
      <c r="H10" s="486"/>
      <c r="I10" s="486"/>
      <c r="J10" s="486"/>
    </row>
    <row r="11" spans="1:20" x14ac:dyDescent="0.2">
      <c r="A11" s="269"/>
      <c r="B11" s="312" t="s">
        <v>342</v>
      </c>
      <c r="C11" s="310">
        <f>+'SERVICIOS BÁSICOS'!D19</f>
        <v>564</v>
      </c>
      <c r="D11" s="310">
        <f>+C11*$D$3</f>
        <v>583.83399999999995</v>
      </c>
      <c r="E11" s="310">
        <f t="shared" si="0"/>
        <v>604.36549566666656</v>
      </c>
      <c r="F11" s="310">
        <f t="shared" si="0"/>
        <v>625.619015597611</v>
      </c>
      <c r="G11" s="310">
        <f t="shared" si="0"/>
        <v>647.61995097946021</v>
      </c>
      <c r="H11" s="486"/>
      <c r="I11" s="486"/>
      <c r="J11" s="486"/>
      <c r="L11" s="420"/>
    </row>
    <row r="12" spans="1:20" ht="13.5" thickBot="1" x14ac:dyDescent="0.25">
      <c r="A12" s="269"/>
      <c r="B12" s="424" t="s">
        <v>6</v>
      </c>
      <c r="C12" s="449">
        <f>+C8+C5</f>
        <v>93359.389892984138</v>
      </c>
      <c r="D12" s="449">
        <f>+D8+D5</f>
        <v>97516.158535833762</v>
      </c>
      <c r="E12" s="449">
        <f>+E8+E5</f>
        <v>101872.84364543841</v>
      </c>
      <c r="F12" s="449">
        <f>+F8+F5</f>
        <v>106439.44078186975</v>
      </c>
      <c r="G12" s="449">
        <f>+G8+G5</f>
        <v>111226.46063180675</v>
      </c>
      <c r="H12" s="254"/>
      <c r="I12" s="254"/>
      <c r="J12" s="254"/>
      <c r="L12" s="457"/>
      <c r="M12" s="457"/>
      <c r="N12" s="457"/>
      <c r="P12" s="457"/>
    </row>
    <row r="14" spans="1:20" x14ac:dyDescent="0.2">
      <c r="B14" s="283" t="s">
        <v>91</v>
      </c>
      <c r="E14" s="490"/>
      <c r="F14" s="490"/>
      <c r="G14" s="490"/>
      <c r="P14" s="457"/>
    </row>
    <row r="15" spans="1:20" ht="13.5" thickBot="1" x14ac:dyDescent="0.25">
      <c r="P15" s="457"/>
    </row>
    <row r="16" spans="1:20" ht="13.5" thickBot="1" x14ac:dyDescent="0.25">
      <c r="B16" s="256" t="s">
        <v>3</v>
      </c>
      <c r="C16" s="414" t="s">
        <v>32</v>
      </c>
      <c r="D16" s="414" t="s">
        <v>33</v>
      </c>
      <c r="E16" s="414" t="s">
        <v>34</v>
      </c>
      <c r="F16" s="414" t="s">
        <v>35</v>
      </c>
      <c r="G16" s="415" t="s">
        <v>36</v>
      </c>
      <c r="H16" s="487"/>
      <c r="I16" s="487"/>
      <c r="J16" s="487"/>
    </row>
    <row r="17" spans="2:16" x14ac:dyDescent="0.2">
      <c r="B17" s="274" t="s">
        <v>343</v>
      </c>
      <c r="C17" s="310">
        <f>+'SUMINISTROS DE OFICINA'!F15</f>
        <v>0</v>
      </c>
      <c r="D17" s="310">
        <f>+C17*$D$3</f>
        <v>0</v>
      </c>
      <c r="E17" s="310">
        <f t="shared" ref="E17:G19" si="2">+D17*$D$3</f>
        <v>0</v>
      </c>
      <c r="F17" s="310">
        <f t="shared" si="2"/>
        <v>0</v>
      </c>
      <c r="G17" s="310">
        <f t="shared" si="2"/>
        <v>0</v>
      </c>
      <c r="H17" s="486"/>
      <c r="I17" s="486"/>
      <c r="J17" s="486"/>
      <c r="L17" s="420"/>
    </row>
    <row r="18" spans="2:16" x14ac:dyDescent="0.2">
      <c r="B18" s="274" t="s">
        <v>344</v>
      </c>
      <c r="C18" s="310">
        <f>+'SUELDOS Y SALARIOS'!L20</f>
        <v>10824.599999999999</v>
      </c>
      <c r="D18" s="310">
        <f>+C18</f>
        <v>10824.599999999999</v>
      </c>
      <c r="E18" s="310">
        <f>+D18</f>
        <v>10824.599999999999</v>
      </c>
      <c r="F18" s="310">
        <f>+E18</f>
        <v>10824.599999999999</v>
      </c>
      <c r="G18" s="310">
        <f>+F18</f>
        <v>10824.599999999999</v>
      </c>
      <c r="H18" s="486"/>
      <c r="I18" s="486"/>
      <c r="J18" s="486"/>
      <c r="K18" s="457"/>
      <c r="L18" s="420"/>
    </row>
    <row r="19" spans="2:16" x14ac:dyDescent="0.2">
      <c r="B19" s="422" t="s">
        <v>342</v>
      </c>
      <c r="C19" s="319">
        <f>+'SERVICIOS BÁSICOS'!D25</f>
        <v>1296</v>
      </c>
      <c r="D19" s="310">
        <f>+C19*$D$3</f>
        <v>1341.5759999999998</v>
      </c>
      <c r="E19" s="310">
        <f t="shared" si="2"/>
        <v>1388.7547559999996</v>
      </c>
      <c r="F19" s="310">
        <f t="shared" si="2"/>
        <v>1437.5926315859995</v>
      </c>
      <c r="G19" s="310">
        <f t="shared" si="2"/>
        <v>1488.1479724634403</v>
      </c>
      <c r="H19" s="486"/>
      <c r="I19" s="486"/>
      <c r="J19" s="486"/>
      <c r="L19" s="420"/>
    </row>
    <row r="20" spans="2:16" s="269" customFormat="1" x14ac:dyDescent="0.2">
      <c r="B20" s="422" t="s">
        <v>341</v>
      </c>
      <c r="C20" s="319">
        <f>+DEPRECIACIONES!E18</f>
        <v>1183.3333333333335</v>
      </c>
      <c r="D20" s="319">
        <f>+C20</f>
        <v>1183.3333333333335</v>
      </c>
      <c r="E20" s="319">
        <f>+D20-DEPRECIACIONES!E16</f>
        <v>350.00000000000011</v>
      </c>
      <c r="F20" s="319">
        <f>+E20</f>
        <v>350.00000000000011</v>
      </c>
      <c r="G20" s="319">
        <f>+F20</f>
        <v>350.00000000000011</v>
      </c>
      <c r="H20" s="486"/>
      <c r="I20" s="486"/>
      <c r="J20" s="486"/>
      <c r="L20" s="420"/>
    </row>
    <row r="21" spans="2:16" x14ac:dyDescent="0.2">
      <c r="B21" s="422" t="s">
        <v>345</v>
      </c>
      <c r="C21" s="319">
        <v>0</v>
      </c>
      <c r="D21" s="310">
        <f>+C21*$D$3</f>
        <v>0</v>
      </c>
      <c r="E21" s="310">
        <f t="shared" ref="E21:G21" si="3">+D21*$D$3</f>
        <v>0</v>
      </c>
      <c r="F21" s="310">
        <f t="shared" si="3"/>
        <v>0</v>
      </c>
      <c r="G21" s="310">
        <f t="shared" si="3"/>
        <v>0</v>
      </c>
      <c r="H21" s="486"/>
      <c r="I21" s="486"/>
      <c r="J21" s="486"/>
      <c r="L21" s="420"/>
    </row>
    <row r="22" spans="2:16" ht="13.5" thickBot="1" x14ac:dyDescent="0.25">
      <c r="B22" s="274"/>
      <c r="C22" s="310"/>
      <c r="D22" s="310"/>
      <c r="E22" s="310"/>
      <c r="F22" s="310"/>
      <c r="G22" s="310"/>
      <c r="H22" s="486"/>
      <c r="I22" s="486"/>
      <c r="J22" s="486"/>
      <c r="L22" s="269"/>
    </row>
    <row r="23" spans="2:16" ht="13.5" thickBot="1" x14ac:dyDescent="0.25">
      <c r="B23" s="325" t="s">
        <v>6</v>
      </c>
      <c r="C23" s="421">
        <f>SUM(C17:C22)</f>
        <v>13303.933333333332</v>
      </c>
      <c r="D23" s="421">
        <f>SUM(D17:D22)</f>
        <v>13349.509333333332</v>
      </c>
      <c r="E23" s="421">
        <f>SUM(E17:E22)</f>
        <v>12563.354755999999</v>
      </c>
      <c r="F23" s="421">
        <f>SUM(F17:F22)</f>
        <v>12612.192631585998</v>
      </c>
      <c r="G23" s="421">
        <f>SUM(G17:G22)</f>
        <v>12662.74797246344</v>
      </c>
      <c r="H23" s="254"/>
      <c r="I23" s="254"/>
      <c r="J23" s="254"/>
      <c r="L23" s="457"/>
      <c r="M23" s="457"/>
      <c r="P23" s="457"/>
    </row>
    <row r="25" spans="2:16" x14ac:dyDescent="0.2">
      <c r="B25" s="283" t="s">
        <v>92</v>
      </c>
      <c r="P25" s="457"/>
    </row>
    <row r="26" spans="2:16" ht="13.5" thickBot="1" x14ac:dyDescent="0.25">
      <c r="P26" s="457"/>
    </row>
    <row r="27" spans="2:16" ht="27" customHeight="1" thickBot="1" x14ac:dyDescent="0.25">
      <c r="B27" s="256" t="s">
        <v>3</v>
      </c>
      <c r="C27" s="414" t="s">
        <v>32</v>
      </c>
      <c r="D27" s="414" t="s">
        <v>33</v>
      </c>
      <c r="E27" s="414" t="s">
        <v>34</v>
      </c>
      <c r="F27" s="414" t="s">
        <v>35</v>
      </c>
      <c r="G27" s="415" t="s">
        <v>36</v>
      </c>
      <c r="H27" s="487"/>
      <c r="I27" s="487"/>
      <c r="J27" s="487"/>
    </row>
    <row r="28" spans="2:16" x14ac:dyDescent="0.2">
      <c r="B28" s="274" t="str">
        <f>+PUBLICIDAD!B3</f>
        <v>MATERIAL POP</v>
      </c>
      <c r="C28" s="310">
        <f>+PUBLICIDAD!D3</f>
        <v>4200</v>
      </c>
      <c r="D28" s="310">
        <f>+C28*$D$3</f>
        <v>4347.7</v>
      </c>
      <c r="E28" s="310">
        <f t="shared" ref="E28:G28" si="4">+D28*$D$3</f>
        <v>4500.5941166666662</v>
      </c>
      <c r="F28" s="310">
        <f t="shared" si="4"/>
        <v>4658.8650097694435</v>
      </c>
      <c r="G28" s="310">
        <f t="shared" si="4"/>
        <v>4822.7017626130018</v>
      </c>
      <c r="H28" s="486"/>
      <c r="I28" s="486"/>
      <c r="J28" s="486"/>
    </row>
    <row r="29" spans="2:16" ht="13.5" thickBot="1" x14ac:dyDescent="0.25">
      <c r="B29" s="424" t="s">
        <v>6</v>
      </c>
      <c r="C29" s="391">
        <f>SUM(C28:C28)</f>
        <v>4200</v>
      </c>
      <c r="D29" s="391">
        <f>SUM(D28:D28)</f>
        <v>4347.7</v>
      </c>
      <c r="E29" s="391">
        <f>SUM(E28:E28)</f>
        <v>4500.5941166666662</v>
      </c>
      <c r="F29" s="391">
        <f>SUM(F28:F28)</f>
        <v>4658.8650097694435</v>
      </c>
      <c r="G29" s="425">
        <f>SUM(G28:G28)</f>
        <v>4822.7017626130018</v>
      </c>
      <c r="H29" s="337"/>
      <c r="I29" s="337"/>
      <c r="J29" s="337"/>
    </row>
    <row r="30" spans="2:16" s="269" customFormat="1" x14ac:dyDescent="0.2">
      <c r="B30" s="249"/>
      <c r="C30" s="337"/>
      <c r="D30" s="337"/>
      <c r="E30" s="337"/>
      <c r="F30" s="337"/>
      <c r="G30" s="337"/>
      <c r="H30" s="337"/>
      <c r="I30" s="337"/>
      <c r="J30" s="337"/>
    </row>
    <row r="31" spans="2:16" s="269" customFormat="1" x14ac:dyDescent="0.2">
      <c r="B31" s="249" t="s">
        <v>346</v>
      </c>
      <c r="C31" s="337"/>
      <c r="D31" s="337"/>
      <c r="E31" s="337"/>
      <c r="F31" s="337"/>
      <c r="G31" s="337"/>
      <c r="H31" s="337"/>
      <c r="I31" s="337"/>
      <c r="J31" s="337"/>
    </row>
    <row r="32" spans="2:16" s="269" customFormat="1" ht="13.5" thickBot="1" x14ac:dyDescent="0.25">
      <c r="B32" s="249"/>
      <c r="C32" s="337"/>
      <c r="D32" s="337"/>
      <c r="E32" s="337"/>
      <c r="F32" s="337"/>
      <c r="G32" s="337"/>
      <c r="H32" s="337"/>
      <c r="I32" s="337"/>
      <c r="J32" s="337"/>
    </row>
    <row r="33" spans="1:12" s="269" customFormat="1" ht="26.25" thickBot="1" x14ac:dyDescent="0.25">
      <c r="B33" s="291" t="s">
        <v>3</v>
      </c>
      <c r="C33" s="294" t="s">
        <v>325</v>
      </c>
      <c r="D33" s="295" t="s">
        <v>326</v>
      </c>
      <c r="E33" s="337"/>
      <c r="F33" s="337"/>
      <c r="G33" s="337"/>
      <c r="H33" s="337"/>
      <c r="I33" s="337"/>
      <c r="J33" s="337"/>
    </row>
    <row r="34" spans="1:12" s="269" customFormat="1" x14ac:dyDescent="0.2">
      <c r="B34" s="274" t="s">
        <v>321</v>
      </c>
      <c r="C34" s="310">
        <f>+'SUELDOS Y SALARIOS'!C25</f>
        <v>200</v>
      </c>
      <c r="D34" s="301">
        <f>+C34*12</f>
        <v>2400</v>
      </c>
      <c r="E34" s="337"/>
      <c r="F34" s="337"/>
      <c r="G34" s="337"/>
      <c r="H34" s="337"/>
      <c r="I34" s="337"/>
      <c r="J34" s="337"/>
    </row>
    <row r="35" spans="1:12" s="269" customFormat="1" x14ac:dyDescent="0.2">
      <c r="B35" s="274" t="s">
        <v>327</v>
      </c>
      <c r="C35" s="310">
        <v>200</v>
      </c>
      <c r="D35" s="301">
        <f>+C35*12</f>
        <v>2400</v>
      </c>
      <c r="E35" s="337"/>
      <c r="F35" s="337"/>
      <c r="G35" s="337"/>
      <c r="H35" s="337"/>
      <c r="I35" s="337"/>
      <c r="J35" s="337"/>
    </row>
    <row r="36" spans="1:12" s="269" customFormat="1" x14ac:dyDescent="0.2">
      <c r="B36" s="274"/>
      <c r="C36" s="310"/>
      <c r="D36" s="301"/>
      <c r="E36" s="337"/>
      <c r="F36" s="337"/>
      <c r="G36" s="337"/>
      <c r="H36" s="337"/>
      <c r="I36" s="337"/>
      <c r="J36" s="337"/>
    </row>
    <row r="37" spans="1:12" ht="13.5" thickBot="1" x14ac:dyDescent="0.25">
      <c r="B37" s="389" t="s">
        <v>6</v>
      </c>
      <c r="C37" s="404"/>
      <c r="D37" s="405">
        <f>+SUM(D34:D36)</f>
        <v>4800</v>
      </c>
      <c r="L37" s="457"/>
    </row>
    <row r="38" spans="1:12" s="269" customFormat="1" x14ac:dyDescent="0.2">
      <c r="B38" s="249"/>
      <c r="C38" s="249"/>
      <c r="D38" s="413"/>
      <c r="E38" s="342"/>
      <c r="F38" s="342"/>
      <c r="G38" s="342"/>
      <c r="H38" s="342"/>
      <c r="I38" s="342"/>
      <c r="J38" s="342"/>
    </row>
    <row r="39" spans="1:12" x14ac:dyDescent="0.2">
      <c r="A39" s="426"/>
      <c r="B39" s="426"/>
      <c r="C39" s="427"/>
      <c r="D39" s="427" t="s">
        <v>289</v>
      </c>
      <c r="E39" s="427"/>
      <c r="F39" s="427"/>
      <c r="G39" s="427"/>
    </row>
    <row r="40" spans="1:12" x14ac:dyDescent="0.2">
      <c r="A40" s="426"/>
      <c r="B40" s="428"/>
      <c r="C40" s="429">
        <f>+C29+C23+C12+D37</f>
        <v>115663.32322631747</v>
      </c>
      <c r="D40" s="427">
        <f>+C10+C20+C21</f>
        <v>4033.3333333333335</v>
      </c>
      <c r="E40" s="427"/>
      <c r="F40" s="427"/>
      <c r="G40" s="427"/>
      <c r="I40" s="574"/>
    </row>
    <row r="41" spans="1:12" x14ac:dyDescent="0.2">
      <c r="A41" s="573" t="s">
        <v>375</v>
      </c>
      <c r="B41" s="430" t="s">
        <v>287</v>
      </c>
      <c r="C41" s="429">
        <f>+(C40-D40)/360*30</f>
        <v>9302.499157748678</v>
      </c>
      <c r="D41" s="574">
        <f>+(C40-D40)/365*12</f>
        <v>3670.0270649748209</v>
      </c>
      <c r="E41" s="574">
        <f>+C41*12</f>
        <v>111629.98989298413</v>
      </c>
      <c r="F41" s="574">
        <f>+E41+D40</f>
        <v>115663.32322631746</v>
      </c>
      <c r="G41" s="574">
        <f>+F41-C40</f>
        <v>0</v>
      </c>
      <c r="I41" s="572"/>
      <c r="K41" s="290"/>
    </row>
    <row r="42" spans="1:12" x14ac:dyDescent="0.2">
      <c r="A42" s="575" t="s">
        <v>376</v>
      </c>
      <c r="B42" s="430" t="s">
        <v>286</v>
      </c>
      <c r="C42" s="429">
        <f>+'FLUJO DE CAJA'!H37</f>
        <v>4662.500842251322</v>
      </c>
      <c r="D42" s="427"/>
      <c r="E42" s="427" t="s">
        <v>377</v>
      </c>
      <c r="F42" s="427"/>
      <c r="G42" s="427"/>
      <c r="K42" s="431"/>
    </row>
    <row r="43" spans="1:12" x14ac:dyDescent="0.2">
      <c r="A43" s="426"/>
      <c r="B43" s="426" t="s">
        <v>288</v>
      </c>
      <c r="C43" s="429">
        <f>+C41+C42</f>
        <v>13965</v>
      </c>
      <c r="D43" s="427"/>
      <c r="E43" s="427"/>
      <c r="F43" s="427"/>
      <c r="G43" s="427"/>
    </row>
    <row r="44" spans="1:12" x14ac:dyDescent="0.2">
      <c r="A44" s="426"/>
      <c r="B44" s="426"/>
      <c r="C44" s="427"/>
      <c r="D44" s="427"/>
      <c r="E44" s="427"/>
      <c r="F44" s="427"/>
      <c r="G44" s="427"/>
    </row>
  </sheetData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2:L108"/>
  <sheetViews>
    <sheetView zoomScaleNormal="100" workbookViewId="0">
      <selection activeCell="G24" sqref="G24"/>
    </sheetView>
  </sheetViews>
  <sheetFormatPr baseColWidth="10" defaultColWidth="11.42578125" defaultRowHeight="12.75" x14ac:dyDescent="0.2"/>
  <cols>
    <col min="1" max="1" width="11.42578125" style="255"/>
    <col min="2" max="2" width="51.140625" style="298" bestFit="1" customWidth="1"/>
    <col min="3" max="3" width="10.85546875" style="255" bestFit="1" customWidth="1"/>
    <col min="4" max="4" width="20.42578125" style="328" customWidth="1"/>
    <col min="5" max="5" width="17.42578125" style="328" customWidth="1"/>
    <col min="6" max="6" width="16" style="255" bestFit="1" customWidth="1"/>
    <col min="7" max="7" width="27" style="255" bestFit="1" customWidth="1"/>
    <col min="8" max="8" width="13.85546875" style="255" customWidth="1"/>
    <col min="9" max="9" width="12.28515625" style="255" bestFit="1" customWidth="1"/>
    <col min="10" max="10" width="11.42578125" style="255"/>
    <col min="11" max="11" width="16.28515625" style="255" bestFit="1" customWidth="1"/>
    <col min="12" max="16384" width="11.42578125" style="255"/>
  </cols>
  <sheetData>
    <row r="2" spans="2:10" x14ac:dyDescent="0.2">
      <c r="B2" s="260" t="s">
        <v>0</v>
      </c>
      <c r="C2" s="260" t="s">
        <v>17</v>
      </c>
      <c r="F2" s="269"/>
      <c r="G2" s="269"/>
      <c r="H2" s="269"/>
      <c r="I2" s="269"/>
      <c r="J2" s="269"/>
    </row>
    <row r="3" spans="2:10" x14ac:dyDescent="0.2">
      <c r="B3" s="330" t="s">
        <v>1</v>
      </c>
      <c r="C3" s="310">
        <f>+C18</f>
        <v>46865</v>
      </c>
      <c r="F3" s="335"/>
      <c r="G3" s="484"/>
      <c r="H3" s="269"/>
      <c r="I3" s="269"/>
      <c r="J3" s="269"/>
    </row>
    <row r="4" spans="2:10" x14ac:dyDescent="0.2">
      <c r="B4" s="330" t="s">
        <v>364</v>
      </c>
      <c r="C4" s="319">
        <f>+'GASTOS DE CONSTITUCIÓN'!C10</f>
        <v>830</v>
      </c>
      <c r="D4" s="335" t="s">
        <v>138</v>
      </c>
      <c r="F4" s="269"/>
      <c r="G4" s="269"/>
      <c r="H4" s="269"/>
      <c r="I4" s="269"/>
      <c r="J4" s="269"/>
    </row>
    <row r="5" spans="2:10" x14ac:dyDescent="0.2">
      <c r="B5" s="503" t="s">
        <v>287</v>
      </c>
      <c r="C5" s="504">
        <f>+'COSTOS Y GASTOS'!C43</f>
        <v>13965</v>
      </c>
      <c r="F5" s="269"/>
      <c r="G5" s="269"/>
      <c r="H5" s="269"/>
      <c r="I5" s="269"/>
      <c r="J5" s="269"/>
    </row>
    <row r="6" spans="2:10" x14ac:dyDescent="0.2">
      <c r="B6" s="331" t="s">
        <v>16</v>
      </c>
      <c r="C6" s="311">
        <f>SUM(C3:C5)</f>
        <v>61660</v>
      </c>
      <c r="F6" s="269"/>
      <c r="G6" s="269"/>
      <c r="H6" s="269"/>
      <c r="I6" s="269"/>
      <c r="J6" s="269"/>
    </row>
    <row r="7" spans="2:10" x14ac:dyDescent="0.2">
      <c r="C7" s="332"/>
    </row>
    <row r="8" spans="2:10" x14ac:dyDescent="0.2">
      <c r="B8" s="297" t="s">
        <v>1</v>
      </c>
    </row>
    <row r="9" spans="2:10" ht="13.5" thickBot="1" x14ac:dyDescent="0.25">
      <c r="B9" s="297"/>
    </row>
    <row r="10" spans="2:10" ht="13.5" thickBot="1" x14ac:dyDescent="0.25">
      <c r="B10" s="256" t="s">
        <v>3</v>
      </c>
      <c r="C10" s="333" t="s">
        <v>17</v>
      </c>
    </row>
    <row r="11" spans="2:10" x14ac:dyDescent="0.2">
      <c r="B11" s="334" t="s">
        <v>103</v>
      </c>
      <c r="C11" s="304">
        <f>+H34</f>
        <v>25500</v>
      </c>
      <c r="D11" s="335"/>
    </row>
    <row r="12" spans="2:10" x14ac:dyDescent="0.2">
      <c r="B12" s="270" t="s">
        <v>2</v>
      </c>
      <c r="C12" s="301">
        <f>+E51</f>
        <v>13900</v>
      </c>
      <c r="D12" s="255"/>
      <c r="E12" s="255"/>
    </row>
    <row r="13" spans="2:10" x14ac:dyDescent="0.2">
      <c r="B13" s="270" t="s">
        <v>67</v>
      </c>
      <c r="C13" s="301">
        <f>+E68</f>
        <v>2135</v>
      </c>
    </row>
    <row r="14" spans="2:10" x14ac:dyDescent="0.2">
      <c r="B14" s="270" t="s">
        <v>68</v>
      </c>
      <c r="C14" s="301">
        <f>+E78</f>
        <v>950</v>
      </c>
    </row>
    <row r="15" spans="2:10" x14ac:dyDescent="0.2">
      <c r="B15" s="270" t="s">
        <v>14</v>
      </c>
      <c r="C15" s="301">
        <f>+E91</f>
        <v>4380</v>
      </c>
    </row>
    <row r="16" spans="2:10" x14ac:dyDescent="0.2">
      <c r="B16" s="324" t="s">
        <v>304</v>
      </c>
      <c r="C16" s="336">
        <f>+F97</f>
        <v>0</v>
      </c>
    </row>
    <row r="17" spans="1:12" ht="13.5" thickBot="1" x14ac:dyDescent="0.25">
      <c r="B17" s="324" t="s">
        <v>316</v>
      </c>
      <c r="C17" s="336">
        <f>+F108</f>
        <v>0</v>
      </c>
    </row>
    <row r="18" spans="1:12" ht="13.5" thickBot="1" x14ac:dyDescent="0.25">
      <c r="B18" s="325" t="s">
        <v>69</v>
      </c>
      <c r="C18" s="327">
        <f>SUM(C11:C17)</f>
        <v>46865</v>
      </c>
      <c r="F18" s="328"/>
    </row>
    <row r="19" spans="1:12" s="269" customFormat="1" x14ac:dyDescent="0.2">
      <c r="B19" s="249"/>
      <c r="C19" s="337"/>
      <c r="D19" s="335"/>
      <c r="E19" s="335"/>
    </row>
    <row r="20" spans="1:12" x14ac:dyDescent="0.2">
      <c r="B20" s="297" t="s">
        <v>103</v>
      </c>
      <c r="J20" s="338"/>
      <c r="K20" s="338"/>
    </row>
    <row r="21" spans="1:12" ht="13.5" thickBot="1" x14ac:dyDescent="0.25"/>
    <row r="22" spans="1:12" ht="26.25" thickBot="1" x14ac:dyDescent="0.25">
      <c r="B22" s="481" t="s">
        <v>18</v>
      </c>
      <c r="C22" s="482" t="s">
        <v>98</v>
      </c>
      <c r="D22" s="360" t="s">
        <v>97</v>
      </c>
      <c r="E22" s="361" t="s">
        <v>306</v>
      </c>
      <c r="F22" s="480" t="s">
        <v>307</v>
      </c>
      <c r="G22" s="482" t="s">
        <v>99</v>
      </c>
      <c r="H22" s="483" t="s">
        <v>100</v>
      </c>
      <c r="J22" s="249"/>
      <c r="K22" s="266"/>
      <c r="L22" s="249"/>
    </row>
    <row r="23" spans="1:12" x14ac:dyDescent="0.2">
      <c r="B23" s="710" t="s">
        <v>65</v>
      </c>
      <c r="C23" s="711"/>
      <c r="D23" s="711"/>
      <c r="E23" s="711"/>
      <c r="F23" s="711"/>
      <c r="G23" s="711"/>
      <c r="H23" s="712"/>
      <c r="J23" s="249"/>
      <c r="K23" s="266"/>
      <c r="L23" s="249"/>
    </row>
    <row r="24" spans="1:12" s="269" customFormat="1" x14ac:dyDescent="0.2">
      <c r="B24" s="362" t="s">
        <v>393</v>
      </c>
      <c r="C24" s="312"/>
      <c r="D24" s="245"/>
      <c r="E24" s="310"/>
      <c r="F24" s="246"/>
      <c r="G24" s="246"/>
      <c r="H24" s="363">
        <v>10000</v>
      </c>
      <c r="J24" s="249"/>
      <c r="K24" s="262"/>
      <c r="L24" s="249"/>
    </row>
    <row r="25" spans="1:12" s="269" customFormat="1" x14ac:dyDescent="0.2">
      <c r="B25" s="362" t="s">
        <v>308</v>
      </c>
      <c r="C25" s="312"/>
      <c r="D25" s="245"/>
      <c r="E25" s="310"/>
      <c r="F25" s="246"/>
      <c r="G25" s="246"/>
      <c r="H25" s="363">
        <v>3000</v>
      </c>
      <c r="J25" s="249"/>
      <c r="K25" s="262"/>
      <c r="L25" s="249"/>
    </row>
    <row r="26" spans="1:12" s="269" customFormat="1" x14ac:dyDescent="0.2">
      <c r="B26" s="362" t="s">
        <v>392</v>
      </c>
      <c r="C26" s="312"/>
      <c r="D26" s="245"/>
      <c r="E26" s="310"/>
      <c r="F26" s="246"/>
      <c r="G26" s="246"/>
      <c r="H26" s="363">
        <v>2000</v>
      </c>
      <c r="J26" s="413"/>
      <c r="K26" s="262"/>
      <c r="L26" s="249"/>
    </row>
    <row r="27" spans="1:12" s="269" customFormat="1" x14ac:dyDescent="0.2">
      <c r="B27" s="362" t="s">
        <v>297</v>
      </c>
      <c r="C27" s="312"/>
      <c r="D27" s="245"/>
      <c r="E27" s="310"/>
      <c r="F27" s="246"/>
      <c r="G27" s="246"/>
      <c r="H27" s="363">
        <v>3500</v>
      </c>
      <c r="J27" s="249"/>
      <c r="K27" s="262"/>
      <c r="L27" s="249"/>
    </row>
    <row r="28" spans="1:12" s="269" customFormat="1" x14ac:dyDescent="0.2">
      <c r="B28" s="305" t="s">
        <v>391</v>
      </c>
      <c r="C28" s="305"/>
      <c r="D28" s="305"/>
      <c r="E28" s="305"/>
      <c r="F28" s="305"/>
      <c r="G28" s="305"/>
      <c r="H28" s="305">
        <v>5000</v>
      </c>
      <c r="J28" s="249"/>
      <c r="K28" s="262"/>
      <c r="L28" s="249"/>
    </row>
    <row r="29" spans="1:12" x14ac:dyDescent="0.2">
      <c r="A29" s="359"/>
      <c r="B29" s="362" t="s">
        <v>295</v>
      </c>
      <c r="C29" s="312"/>
      <c r="D29" s="245"/>
      <c r="E29" s="310"/>
      <c r="F29" s="246"/>
      <c r="G29" s="246"/>
      <c r="H29" s="363">
        <v>2000</v>
      </c>
      <c r="J29" s="247"/>
      <c r="K29" s="266"/>
      <c r="L29" s="248"/>
    </row>
    <row r="30" spans="1:12" x14ac:dyDescent="0.2">
      <c r="B30" s="362"/>
      <c r="C30" s="312"/>
      <c r="D30" s="245"/>
      <c r="E30" s="310"/>
      <c r="F30" s="246"/>
      <c r="G30" s="246"/>
      <c r="H30" s="363"/>
      <c r="J30" s="247"/>
      <c r="K30" s="266"/>
      <c r="L30" s="248"/>
    </row>
    <row r="31" spans="1:12" x14ac:dyDescent="0.2">
      <c r="B31" s="362"/>
      <c r="C31" s="312"/>
      <c r="D31" s="245"/>
      <c r="E31" s="310"/>
      <c r="F31" s="246"/>
      <c r="G31" s="246"/>
      <c r="H31" s="363"/>
      <c r="J31" s="247"/>
      <c r="K31" s="266"/>
      <c r="L31" s="248"/>
    </row>
    <row r="32" spans="1:12" x14ac:dyDescent="0.2">
      <c r="A32" s="269"/>
      <c r="B32" s="362"/>
      <c r="C32" s="305"/>
      <c r="D32" s="245"/>
      <c r="E32" s="319"/>
      <c r="F32" s="246"/>
      <c r="G32" s="246"/>
      <c r="H32" s="363"/>
      <c r="J32" s="247"/>
      <c r="K32" s="266"/>
      <c r="L32" s="248"/>
    </row>
    <row r="33" spans="1:12" ht="13.5" thickBot="1" x14ac:dyDescent="0.25">
      <c r="A33" s="269"/>
      <c r="B33" s="364"/>
      <c r="C33" s="365"/>
      <c r="D33" s="366"/>
      <c r="E33" s="367"/>
      <c r="F33" s="368"/>
      <c r="G33" s="368"/>
      <c r="H33" s="369"/>
      <c r="J33" s="247"/>
      <c r="K33" s="266"/>
      <c r="L33" s="248"/>
    </row>
    <row r="34" spans="1:12" ht="13.5" thickBot="1" x14ac:dyDescent="0.25">
      <c r="B34" s="251"/>
      <c r="C34" s="266"/>
      <c r="D34" s="252"/>
      <c r="E34" s="265"/>
      <c r="F34" s="253"/>
      <c r="G34" s="370" t="s">
        <v>102</v>
      </c>
      <c r="H34" s="303">
        <f>+H24+H25+H26+H27+H29+H30+H31+H32+H33+H28</f>
        <v>25500</v>
      </c>
      <c r="J34" s="249"/>
      <c r="K34" s="266"/>
      <c r="L34" s="250"/>
    </row>
    <row r="35" spans="1:12" s="262" customFormat="1" x14ac:dyDescent="0.2">
      <c r="B35" s="251"/>
      <c r="D35" s="252"/>
      <c r="E35" s="343"/>
      <c r="F35" s="253"/>
      <c r="G35" s="254"/>
      <c r="H35" s="254"/>
      <c r="J35" s="249"/>
      <c r="L35" s="250"/>
    </row>
    <row r="36" spans="1:12" x14ac:dyDescent="0.2">
      <c r="A36" s="341"/>
    </row>
    <row r="38" spans="1:12" x14ac:dyDescent="0.2">
      <c r="B38" s="297" t="s">
        <v>2</v>
      </c>
    </row>
    <row r="39" spans="1:12" ht="13.5" thickBot="1" x14ac:dyDescent="0.25"/>
    <row r="40" spans="1:12" s="298" customFormat="1" ht="13.5" thickBot="1" x14ac:dyDescent="0.3">
      <c r="B40" s="479" t="s">
        <v>3</v>
      </c>
      <c r="C40" s="480" t="s">
        <v>4</v>
      </c>
      <c r="D40" s="371" t="s">
        <v>5</v>
      </c>
      <c r="E40" s="372" t="s">
        <v>6</v>
      </c>
    </row>
    <row r="41" spans="1:12" s="298" customFormat="1" ht="13.5" thickBot="1" x14ac:dyDescent="0.3">
      <c r="B41" s="708" t="s">
        <v>65</v>
      </c>
      <c r="C41" s="709"/>
      <c r="D41" s="709"/>
      <c r="E41" s="716"/>
    </row>
    <row r="42" spans="1:12" s="269" customFormat="1" x14ac:dyDescent="0.2">
      <c r="B42" s="699" t="s">
        <v>294</v>
      </c>
      <c r="C42" s="700"/>
      <c r="D42" s="700"/>
      <c r="E42" s="701"/>
    </row>
    <row r="43" spans="1:12" x14ac:dyDescent="0.2">
      <c r="B43" s="346" t="s">
        <v>302</v>
      </c>
      <c r="C43" s="373"/>
      <c r="D43" s="289"/>
      <c r="E43" s="638">
        <v>1500</v>
      </c>
    </row>
    <row r="44" spans="1:12" x14ac:dyDescent="0.2">
      <c r="B44" s="346" t="s">
        <v>394</v>
      </c>
      <c r="C44" s="373"/>
      <c r="D44" s="288"/>
      <c r="E44" s="638">
        <v>900</v>
      </c>
    </row>
    <row r="45" spans="1:12" x14ac:dyDescent="0.2">
      <c r="B45" s="299" t="s">
        <v>395</v>
      </c>
      <c r="C45" s="322"/>
      <c r="D45" s="276"/>
      <c r="E45" s="638">
        <v>500</v>
      </c>
    </row>
    <row r="46" spans="1:12" x14ac:dyDescent="0.2">
      <c r="B46" s="299" t="s">
        <v>396</v>
      </c>
      <c r="C46" s="322"/>
      <c r="D46" s="276"/>
      <c r="E46" s="638">
        <v>500</v>
      </c>
    </row>
    <row r="47" spans="1:12" x14ac:dyDescent="0.2">
      <c r="B47" s="299" t="s">
        <v>397</v>
      </c>
      <c r="C47" s="322"/>
      <c r="D47" s="276"/>
      <c r="E47" s="638">
        <v>500</v>
      </c>
    </row>
    <row r="48" spans="1:12" x14ac:dyDescent="0.2">
      <c r="B48" s="299" t="s">
        <v>398</v>
      </c>
      <c r="C48" s="322"/>
      <c r="D48" s="276"/>
      <c r="E48" s="639">
        <v>500</v>
      </c>
    </row>
    <row r="49" spans="1:5" x14ac:dyDescent="0.2">
      <c r="B49" s="299" t="s">
        <v>399</v>
      </c>
      <c r="C49" s="322"/>
      <c r="D49" s="276"/>
      <c r="E49" s="639">
        <v>9500</v>
      </c>
    </row>
    <row r="50" spans="1:5" ht="13.5" thickBot="1" x14ac:dyDescent="0.25">
      <c r="B50" s="299"/>
      <c r="C50" s="322"/>
      <c r="D50" s="310"/>
      <c r="E50" s="301"/>
    </row>
    <row r="51" spans="1:5" ht="13.5" thickBot="1" x14ac:dyDescent="0.25">
      <c r="A51" s="269"/>
      <c r="B51" s="702" t="s">
        <v>7</v>
      </c>
      <c r="C51" s="703"/>
      <c r="D51" s="704"/>
      <c r="E51" s="327">
        <f>+SUM(E43:E50)</f>
        <v>13900</v>
      </c>
    </row>
    <row r="53" spans="1:5" s="262" customFormat="1" x14ac:dyDescent="0.2">
      <c r="B53" s="673" t="s">
        <v>8</v>
      </c>
      <c r="C53" s="673"/>
      <c r="D53" s="673"/>
      <c r="E53" s="673"/>
    </row>
    <row r="54" spans="1:5" ht="13.5" thickBot="1" x14ac:dyDescent="0.25">
      <c r="A54" s="269"/>
      <c r="B54" s="255"/>
    </row>
    <row r="55" spans="1:5" ht="13.5" thickBot="1" x14ac:dyDescent="0.25">
      <c r="A55" s="269"/>
      <c r="B55" s="479" t="s">
        <v>3</v>
      </c>
      <c r="C55" s="480" t="s">
        <v>4</v>
      </c>
      <c r="D55" s="371" t="s">
        <v>5</v>
      </c>
      <c r="E55" s="372" t="s">
        <v>6</v>
      </c>
    </row>
    <row r="56" spans="1:5" ht="13.5" thickBot="1" x14ac:dyDescent="0.25">
      <c r="A56" s="269"/>
      <c r="B56" s="705" t="s">
        <v>310</v>
      </c>
      <c r="C56" s="706"/>
      <c r="D56" s="706"/>
      <c r="E56" s="707"/>
    </row>
    <row r="57" spans="1:5" x14ac:dyDescent="0.2">
      <c r="A57" s="269"/>
      <c r="B57" s="349" t="s">
        <v>298</v>
      </c>
      <c r="C57" s="322">
        <v>1</v>
      </c>
      <c r="D57" s="276">
        <v>30</v>
      </c>
      <c r="E57" s="638">
        <f t="shared" ref="E57:E62" si="0">+D57*C57</f>
        <v>30</v>
      </c>
    </row>
    <row r="58" spans="1:5" x14ac:dyDescent="0.2">
      <c r="A58" s="269"/>
      <c r="B58" s="350" t="s">
        <v>400</v>
      </c>
      <c r="C58" s="322">
        <v>5</v>
      </c>
      <c r="D58" s="276">
        <v>35</v>
      </c>
      <c r="E58" s="638">
        <f t="shared" si="0"/>
        <v>175</v>
      </c>
    </row>
    <row r="59" spans="1:5" x14ac:dyDescent="0.2">
      <c r="A59" s="269"/>
      <c r="B59" s="350" t="s">
        <v>303</v>
      </c>
      <c r="C59" s="373">
        <v>1</v>
      </c>
      <c r="D59" s="276">
        <v>250</v>
      </c>
      <c r="E59" s="640">
        <f t="shared" si="0"/>
        <v>250</v>
      </c>
    </row>
    <row r="60" spans="1:5" x14ac:dyDescent="0.2">
      <c r="A60" s="269"/>
      <c r="B60" s="350" t="s">
        <v>311</v>
      </c>
      <c r="C60" s="373">
        <v>2</v>
      </c>
      <c r="D60" s="276">
        <v>700</v>
      </c>
      <c r="E60" s="640">
        <f t="shared" si="0"/>
        <v>1400</v>
      </c>
    </row>
    <row r="61" spans="1:5" x14ac:dyDescent="0.2">
      <c r="A61" s="269"/>
      <c r="B61" s="350" t="s">
        <v>401</v>
      </c>
      <c r="C61" s="322">
        <v>1</v>
      </c>
      <c r="D61" s="310">
        <v>80</v>
      </c>
      <c r="E61" s="375">
        <f t="shared" si="0"/>
        <v>80</v>
      </c>
    </row>
    <row r="62" spans="1:5" x14ac:dyDescent="0.2">
      <c r="A62" s="269"/>
      <c r="B62" s="350" t="s">
        <v>402</v>
      </c>
      <c r="C62" s="373">
        <v>1</v>
      </c>
      <c r="D62" s="310">
        <v>200</v>
      </c>
      <c r="E62" s="375">
        <f t="shared" si="0"/>
        <v>200</v>
      </c>
    </row>
    <row r="63" spans="1:5" x14ac:dyDescent="0.2">
      <c r="A63" s="269"/>
      <c r="B63" s="350"/>
      <c r="C63" s="322"/>
      <c r="D63" s="310"/>
      <c r="E63" s="375"/>
    </row>
    <row r="64" spans="1:5" x14ac:dyDescent="0.2">
      <c r="A64" s="269"/>
      <c r="B64" s="350"/>
      <c r="C64" s="373"/>
      <c r="D64" s="310"/>
      <c r="E64" s="375"/>
    </row>
    <row r="65" spans="1:5" x14ac:dyDescent="0.2">
      <c r="A65" s="269"/>
      <c r="B65" s="350"/>
      <c r="C65" s="373"/>
      <c r="D65" s="310"/>
      <c r="E65" s="375"/>
    </row>
    <row r="66" spans="1:5" x14ac:dyDescent="0.2">
      <c r="A66" s="269"/>
      <c r="B66" s="350"/>
      <c r="C66" s="373"/>
      <c r="D66" s="310"/>
      <c r="E66" s="375"/>
    </row>
    <row r="67" spans="1:5" ht="13.5" thickBot="1" x14ac:dyDescent="0.25">
      <c r="A67" s="269"/>
      <c r="B67" s="351"/>
      <c r="C67" s="377"/>
      <c r="D67" s="374"/>
      <c r="E67" s="376"/>
    </row>
    <row r="68" spans="1:5" ht="13.5" thickBot="1" x14ac:dyDescent="0.25">
      <c r="A68" s="269"/>
      <c r="B68" s="285" t="s">
        <v>11</v>
      </c>
      <c r="C68" s="378"/>
      <c r="D68" s="378"/>
      <c r="E68" s="379">
        <f>+SUM(E57:E67)</f>
        <v>2135</v>
      </c>
    </row>
    <row r="70" spans="1:5" x14ac:dyDescent="0.2">
      <c r="B70" s="297" t="s">
        <v>12</v>
      </c>
    </row>
    <row r="71" spans="1:5" ht="13.5" thickBot="1" x14ac:dyDescent="0.25"/>
    <row r="72" spans="1:5" ht="13.5" thickBot="1" x14ac:dyDescent="0.25">
      <c r="B72" s="316" t="s">
        <v>3</v>
      </c>
      <c r="C72" s="352" t="s">
        <v>4</v>
      </c>
      <c r="D72" s="344" t="s">
        <v>5</v>
      </c>
      <c r="E72" s="345" t="s">
        <v>6</v>
      </c>
    </row>
    <row r="73" spans="1:5" x14ac:dyDescent="0.2">
      <c r="B73" s="717" t="s">
        <v>310</v>
      </c>
      <c r="C73" s="718"/>
      <c r="D73" s="718"/>
      <c r="E73" s="719"/>
    </row>
    <row r="74" spans="1:5" s="269" customFormat="1" x14ac:dyDescent="0.2">
      <c r="B74" s="380" t="s">
        <v>403</v>
      </c>
      <c r="C74" s="300">
        <v>1</v>
      </c>
      <c r="D74" s="276">
        <v>500</v>
      </c>
      <c r="E74" s="638">
        <f t="shared" ref="E74:E76" si="1">+D74*C74</f>
        <v>500</v>
      </c>
    </row>
    <row r="75" spans="1:5" s="269" customFormat="1" x14ac:dyDescent="0.2">
      <c r="B75" s="380" t="s">
        <v>404</v>
      </c>
      <c r="C75" s="382">
        <v>1</v>
      </c>
      <c r="D75" s="394">
        <v>250</v>
      </c>
      <c r="E75" s="638">
        <f t="shared" si="1"/>
        <v>250</v>
      </c>
    </row>
    <row r="76" spans="1:5" s="269" customFormat="1" x14ac:dyDescent="0.2">
      <c r="B76" s="381" t="s">
        <v>299</v>
      </c>
      <c r="C76" s="382">
        <v>1</v>
      </c>
      <c r="D76" s="394">
        <v>200</v>
      </c>
      <c r="E76" s="638">
        <f t="shared" si="1"/>
        <v>200</v>
      </c>
    </row>
    <row r="77" spans="1:5" ht="13.5" thickBot="1" x14ac:dyDescent="0.25">
      <c r="B77" s="384"/>
      <c r="C77" s="377"/>
      <c r="D77" s="374"/>
      <c r="E77" s="376"/>
    </row>
    <row r="78" spans="1:5" ht="13.5" thickBot="1" x14ac:dyDescent="0.25">
      <c r="B78" s="385" t="s">
        <v>13</v>
      </c>
      <c r="C78" s="386"/>
      <c r="D78" s="386"/>
      <c r="E78" s="379">
        <f>+SUM(E74:E77)</f>
        <v>950</v>
      </c>
    </row>
    <row r="80" spans="1:5" x14ac:dyDescent="0.2">
      <c r="B80" s="297" t="s">
        <v>14</v>
      </c>
    </row>
    <row r="81" spans="2:6" ht="13.5" thickBot="1" x14ac:dyDescent="0.25"/>
    <row r="82" spans="2:6" ht="13.5" thickBot="1" x14ac:dyDescent="0.25">
      <c r="B82" s="316" t="s">
        <v>3</v>
      </c>
      <c r="C82" s="352" t="s">
        <v>4</v>
      </c>
      <c r="D82" s="344" t="s">
        <v>5</v>
      </c>
      <c r="E82" s="345" t="s">
        <v>6</v>
      </c>
    </row>
    <row r="83" spans="2:6" x14ac:dyDescent="0.2">
      <c r="B83" s="720" t="s">
        <v>405</v>
      </c>
      <c r="C83" s="721"/>
      <c r="D83" s="721"/>
      <c r="E83" s="722"/>
    </row>
    <row r="84" spans="2:6" x14ac:dyDescent="0.2">
      <c r="B84" s="299" t="s">
        <v>302</v>
      </c>
      <c r="C84" s="373">
        <v>16</v>
      </c>
      <c r="D84" s="310">
        <v>100</v>
      </c>
      <c r="E84" s="373">
        <f>C84*D84</f>
        <v>1600</v>
      </c>
    </row>
    <row r="85" spans="2:6" x14ac:dyDescent="0.2">
      <c r="B85" s="380" t="s">
        <v>300</v>
      </c>
      <c r="C85" s="373">
        <v>64</v>
      </c>
      <c r="D85" s="310">
        <v>30</v>
      </c>
      <c r="E85" s="301">
        <f>+D85*C85</f>
        <v>1920</v>
      </c>
    </row>
    <row r="86" spans="2:6" x14ac:dyDescent="0.2">
      <c r="B86" s="380" t="s">
        <v>301</v>
      </c>
      <c r="C86" s="373">
        <v>3</v>
      </c>
      <c r="D86" s="310">
        <v>35</v>
      </c>
      <c r="E86" s="301">
        <f t="shared" ref="E86:E89" si="2">+D86*C86</f>
        <v>105</v>
      </c>
    </row>
    <row r="87" spans="2:6" x14ac:dyDescent="0.2">
      <c r="B87" s="387" t="s">
        <v>406</v>
      </c>
      <c r="C87" s="373">
        <v>3</v>
      </c>
      <c r="D87" s="310">
        <v>25</v>
      </c>
      <c r="E87" s="375">
        <f t="shared" si="2"/>
        <v>75</v>
      </c>
    </row>
    <row r="88" spans="2:6" x14ac:dyDescent="0.2">
      <c r="B88" s="387" t="s">
        <v>407</v>
      </c>
      <c r="C88" s="373">
        <v>10</v>
      </c>
      <c r="D88" s="310">
        <v>35</v>
      </c>
      <c r="E88" s="375">
        <f t="shared" si="2"/>
        <v>350</v>
      </c>
    </row>
    <row r="89" spans="2:6" x14ac:dyDescent="0.2">
      <c r="B89" s="387" t="s">
        <v>408</v>
      </c>
      <c r="C89" s="373">
        <v>6</v>
      </c>
      <c r="D89" s="310">
        <v>55</v>
      </c>
      <c r="E89" s="375">
        <f t="shared" si="2"/>
        <v>330</v>
      </c>
    </row>
    <row r="90" spans="2:6" ht="13.5" thickBot="1" x14ac:dyDescent="0.25">
      <c r="B90" s="387"/>
      <c r="C90" s="373"/>
      <c r="D90" s="310"/>
      <c r="E90" s="375"/>
    </row>
    <row r="91" spans="2:6" ht="13.5" thickBot="1" x14ac:dyDescent="0.25">
      <c r="B91" s="385" t="s">
        <v>15</v>
      </c>
      <c r="C91" s="378"/>
      <c r="D91" s="378"/>
      <c r="E91" s="315">
        <f>+SUM(E84:E90)</f>
        <v>4380</v>
      </c>
    </row>
    <row r="93" spans="2:6" x14ac:dyDescent="0.2">
      <c r="B93" s="297" t="s">
        <v>304</v>
      </c>
    </row>
    <row r="94" spans="2:6" ht="13.5" thickBot="1" x14ac:dyDescent="0.25"/>
    <row r="95" spans="2:6" ht="26.25" thickBot="1" x14ac:dyDescent="0.25">
      <c r="B95" s="479" t="s">
        <v>3</v>
      </c>
      <c r="C95" s="360" t="s">
        <v>97</v>
      </c>
      <c r="D95" s="360" t="s">
        <v>98</v>
      </c>
      <c r="E95" s="361" t="s">
        <v>314</v>
      </c>
      <c r="F95" s="388" t="s">
        <v>315</v>
      </c>
    </row>
    <row r="96" spans="2:6" x14ac:dyDescent="0.2">
      <c r="B96" s="713" t="s">
        <v>304</v>
      </c>
      <c r="C96" s="714"/>
      <c r="D96" s="714"/>
      <c r="E96" s="714"/>
      <c r="F96" s="715"/>
    </row>
    <row r="97" spans="1:6" x14ac:dyDescent="0.2">
      <c r="A97" s="354"/>
      <c r="B97" s="299"/>
      <c r="C97" s="373"/>
      <c r="D97" s="310"/>
      <c r="E97" s="310"/>
      <c r="F97" s="301">
        <f>+D97*E97</f>
        <v>0</v>
      </c>
    </row>
    <row r="98" spans="1:6" ht="15.75" customHeight="1" thickBot="1" x14ac:dyDescent="0.25">
      <c r="B98" s="696" t="s">
        <v>312</v>
      </c>
      <c r="C98" s="697"/>
      <c r="D98" s="697"/>
      <c r="E98" s="698"/>
      <c r="F98" s="390">
        <f>+F97</f>
        <v>0</v>
      </c>
    </row>
    <row r="99" spans="1:6" ht="13.5" thickBot="1" x14ac:dyDescent="0.25">
      <c r="B99" s="389" t="s">
        <v>313</v>
      </c>
      <c r="C99" s="391"/>
      <c r="D99" s="391"/>
      <c r="E99" s="392"/>
      <c r="F99" s="392">
        <f>+F98</f>
        <v>0</v>
      </c>
    </row>
    <row r="101" spans="1:6" x14ac:dyDescent="0.2">
      <c r="B101" s="297"/>
    </row>
    <row r="102" spans="1:6" ht="13.5" thickBot="1" x14ac:dyDescent="0.25"/>
    <row r="103" spans="1:6" ht="26.25" thickBot="1" x14ac:dyDescent="0.25">
      <c r="B103" s="316" t="s">
        <v>3</v>
      </c>
      <c r="C103" s="339" t="s">
        <v>97</v>
      </c>
      <c r="D103" s="339" t="s">
        <v>98</v>
      </c>
      <c r="E103" s="340" t="s">
        <v>314</v>
      </c>
      <c r="F103" s="340" t="s">
        <v>315</v>
      </c>
    </row>
    <row r="104" spans="1:6" ht="15.75" customHeight="1" thickBot="1" x14ac:dyDescent="0.25">
      <c r="B104" s="708" t="s">
        <v>320</v>
      </c>
      <c r="C104" s="709"/>
      <c r="D104" s="709"/>
      <c r="E104" s="709"/>
      <c r="F104" s="709"/>
    </row>
    <row r="105" spans="1:6" x14ac:dyDescent="0.2">
      <c r="B105" s="692" t="s">
        <v>309</v>
      </c>
      <c r="C105" s="680"/>
      <c r="D105" s="680"/>
      <c r="E105" s="680"/>
      <c r="F105" s="680"/>
    </row>
    <row r="106" spans="1:6" x14ac:dyDescent="0.2">
      <c r="B106" s="299"/>
      <c r="C106" s="347"/>
      <c r="D106" s="310"/>
      <c r="E106" s="348"/>
      <c r="F106" s="355">
        <f>+D106*E106</f>
        <v>0</v>
      </c>
    </row>
    <row r="107" spans="1:6" ht="13.5" thickBot="1" x14ac:dyDescent="0.25">
      <c r="B107" s="353" t="s">
        <v>312</v>
      </c>
      <c r="C107" s="347"/>
      <c r="D107" s="348"/>
      <c r="E107" s="348"/>
      <c r="F107" s="355">
        <f>+F106</f>
        <v>0</v>
      </c>
    </row>
    <row r="108" spans="1:6" ht="13.5" thickBot="1" x14ac:dyDescent="0.25">
      <c r="B108" s="285" t="s">
        <v>313</v>
      </c>
      <c r="C108" s="356"/>
      <c r="D108" s="357"/>
      <c r="E108" s="358"/>
      <c r="F108" s="358">
        <f>+F107</f>
        <v>0</v>
      </c>
    </row>
  </sheetData>
  <mergeCells count="12">
    <mergeCell ref="B23:H23"/>
    <mergeCell ref="B96:F96"/>
    <mergeCell ref="B41:E41"/>
    <mergeCell ref="B73:E73"/>
    <mergeCell ref="B83:E83"/>
    <mergeCell ref="B105:F105"/>
    <mergeCell ref="B98:E98"/>
    <mergeCell ref="B42:E42"/>
    <mergeCell ref="B51:D51"/>
    <mergeCell ref="B53:E53"/>
    <mergeCell ref="B56:E56"/>
    <mergeCell ref="B104:F104"/>
  </mergeCells>
  <pageMargins left="0.7" right="0.7" top="0.75" bottom="0.75" header="0.3" footer="0.3"/>
  <pageSetup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C2:L39"/>
  <sheetViews>
    <sheetView topLeftCell="A16" zoomScale="90" zoomScaleNormal="90" workbookViewId="0">
      <selection activeCell="J5" sqref="J5"/>
    </sheetView>
  </sheetViews>
  <sheetFormatPr baseColWidth="10" defaultColWidth="9.140625" defaultRowHeight="12.75" x14ac:dyDescent="0.2"/>
  <cols>
    <col min="1" max="2" width="9.140625" style="513"/>
    <col min="3" max="3" width="3.42578125" style="513" bestFit="1" customWidth="1"/>
    <col min="4" max="4" width="24.28515625" style="514" customWidth="1"/>
    <col min="5" max="7" width="14.28515625" style="529" bestFit="1" customWidth="1"/>
    <col min="8" max="8" width="14" style="529" bestFit="1" customWidth="1"/>
    <col min="9" max="9" width="14.28515625" style="529" bestFit="1" customWidth="1"/>
    <col min="10" max="10" width="14.42578125" style="513" customWidth="1"/>
    <col min="11" max="16384" width="9.140625" style="513"/>
  </cols>
  <sheetData>
    <row r="2" spans="3:9" ht="13.5" thickBot="1" x14ac:dyDescent="0.25"/>
    <row r="3" spans="3:9" ht="24" customHeight="1" thickBot="1" x14ac:dyDescent="0.25">
      <c r="D3" s="316" t="s">
        <v>3</v>
      </c>
      <c r="E3" s="414" t="s">
        <v>471</v>
      </c>
      <c r="F3" s="414" t="s">
        <v>472</v>
      </c>
      <c r="G3" s="414" t="s">
        <v>473</v>
      </c>
      <c r="H3" s="414" t="s">
        <v>474</v>
      </c>
      <c r="I3" s="414" t="s">
        <v>475</v>
      </c>
    </row>
    <row r="4" spans="3:9" x14ac:dyDescent="0.2">
      <c r="C4" s="513" t="s">
        <v>83</v>
      </c>
      <c r="D4" s="515" t="s">
        <v>81</v>
      </c>
      <c r="E4" s="530">
        <f>SUM(E5:E5)</f>
        <v>101707.93045360425</v>
      </c>
      <c r="F4" s="530">
        <f>SUM(F5:F5)</f>
        <v>122747.56105004555</v>
      </c>
      <c r="G4" s="530">
        <f>SUM(G5:G5)</f>
        <v>155786.34377572616</v>
      </c>
      <c r="H4" s="530">
        <f>SUM(H5:H5)</f>
        <v>190713.22922474035</v>
      </c>
      <c r="I4" s="531">
        <f>SUM(I5:I5)</f>
        <v>233470.62983703951</v>
      </c>
    </row>
    <row r="5" spans="3:9" x14ac:dyDescent="0.2">
      <c r="C5" s="513" t="s">
        <v>82</v>
      </c>
      <c r="D5" s="516" t="s">
        <v>465</v>
      </c>
      <c r="E5" s="532">
        <f>+'PRESUPUESTO DE INGRESOS'!C5</f>
        <v>101707.93045360425</v>
      </c>
      <c r="F5" s="532">
        <f>+'PRESUPUESTO DE INGRESOS'!D5</f>
        <v>122747.56105004555</v>
      </c>
      <c r="G5" s="532">
        <f>+'PRESUPUESTO DE INGRESOS'!E5</f>
        <v>155786.34377572616</v>
      </c>
      <c r="H5" s="532">
        <f>+'PRESUPUESTO DE INGRESOS'!F5</f>
        <v>190713.22922474035</v>
      </c>
      <c r="I5" s="533">
        <f>+'PRESUPUESTO DE INGRESOS'!G5</f>
        <v>233470.62983703951</v>
      </c>
    </row>
    <row r="6" spans="3:9" x14ac:dyDescent="0.2">
      <c r="C6" s="517" t="s">
        <v>84</v>
      </c>
      <c r="D6" s="515" t="s">
        <v>85</v>
      </c>
      <c r="E6" s="530">
        <f>SUM(E7:E8)</f>
        <v>93359.389892984138</v>
      </c>
      <c r="F6" s="530">
        <f t="shared" ref="F6:I6" si="0">SUM(F7:F8)</f>
        <v>97516.158535833762</v>
      </c>
      <c r="G6" s="530">
        <f t="shared" si="0"/>
        <v>101872.84364543841</v>
      </c>
      <c r="H6" s="530">
        <f t="shared" si="0"/>
        <v>106439.44078186975</v>
      </c>
      <c r="I6" s="531">
        <f t="shared" si="0"/>
        <v>111226.46063180675</v>
      </c>
    </row>
    <row r="7" spans="3:9" x14ac:dyDescent="0.2">
      <c r="D7" s="516" t="s">
        <v>59</v>
      </c>
      <c r="E7" s="532">
        <f>+'COSTOS Y GASTOS'!C5</f>
        <v>89791.589892984135</v>
      </c>
      <c r="F7" s="532">
        <f>+'COSTOS Y GASTOS'!D5</f>
        <v>93923.115902500431</v>
      </c>
      <c r="G7" s="532">
        <f>+'COSTOS Y GASTOS'!E5</f>
        <v>98253.670679499512</v>
      </c>
      <c r="H7" s="532">
        <f>+'COSTOS Y GASTOS'!F5</f>
        <v>102793.21856662868</v>
      </c>
      <c r="I7" s="533">
        <f>+'COSTOS Y GASTOS'!G5</f>
        <v>107552.2379353297</v>
      </c>
    </row>
    <row r="8" spans="3:9" ht="13.5" thickBot="1" x14ac:dyDescent="0.25">
      <c r="D8" s="518" t="s">
        <v>60</v>
      </c>
      <c r="E8" s="534">
        <f>+'COSTOS Y GASTOS'!C8</f>
        <v>3567.8</v>
      </c>
      <c r="F8" s="534">
        <f>+'COSTOS Y GASTOS'!D8</f>
        <v>3593.042633333333</v>
      </c>
      <c r="G8" s="534">
        <f>+'COSTOS Y GASTOS'!E8</f>
        <v>3619.1729659388889</v>
      </c>
      <c r="H8" s="534">
        <f>+'COSTOS Y GASTOS'!F8</f>
        <v>3646.2222152410732</v>
      </c>
      <c r="I8" s="535">
        <f>+'COSTOS Y GASTOS'!G8</f>
        <v>3674.2226964770502</v>
      </c>
    </row>
    <row r="9" spans="3:9" ht="3" customHeight="1" thickBot="1" x14ac:dyDescent="0.25">
      <c r="D9" s="723"/>
      <c r="E9" s="724"/>
      <c r="F9" s="724"/>
      <c r="G9" s="724"/>
      <c r="H9" s="724"/>
      <c r="I9" s="725"/>
    </row>
    <row r="10" spans="3:9" ht="28.5" customHeight="1" thickBot="1" x14ac:dyDescent="0.25">
      <c r="C10" s="517" t="s">
        <v>83</v>
      </c>
      <c r="D10" s="519" t="s">
        <v>86</v>
      </c>
      <c r="E10" s="536">
        <f>+E4-E6</f>
        <v>8348.5405606201093</v>
      </c>
      <c r="F10" s="536">
        <f>+F4-F6</f>
        <v>25231.40251421179</v>
      </c>
      <c r="G10" s="536">
        <f>+G4-G6</f>
        <v>53913.50013028775</v>
      </c>
      <c r="H10" s="536">
        <f>+H4-H6</f>
        <v>84273.788442870602</v>
      </c>
      <c r="I10" s="537">
        <f>+I4-I6</f>
        <v>122244.16920523276</v>
      </c>
    </row>
    <row r="11" spans="3:9" ht="5.25" customHeight="1" thickBot="1" x14ac:dyDescent="0.25">
      <c r="D11" s="520"/>
      <c r="E11" s="538"/>
      <c r="F11" s="538"/>
      <c r="G11" s="538"/>
      <c r="H11" s="538"/>
      <c r="I11" s="539"/>
    </row>
    <row r="12" spans="3:9" ht="26.25" thickBot="1" x14ac:dyDescent="0.25">
      <c r="C12" s="517" t="s">
        <v>84</v>
      </c>
      <c r="D12" s="521" t="s">
        <v>87</v>
      </c>
      <c r="E12" s="540">
        <f>SUM(E13+E24)</f>
        <v>23133.933333333334</v>
      </c>
      <c r="F12" s="540">
        <f>SUM(F13+F24)</f>
        <v>22497.209333333332</v>
      </c>
      <c r="G12" s="540">
        <f>SUM(G13+G24)</f>
        <v>21863.948872666668</v>
      </c>
      <c r="H12" s="540">
        <f>SUM(H13+H24)</f>
        <v>22071.057641355441</v>
      </c>
      <c r="I12" s="540">
        <f>SUM(I13+I24)</f>
        <v>22285.449735076443</v>
      </c>
    </row>
    <row r="13" spans="3:9" x14ac:dyDescent="0.2">
      <c r="D13" s="522" t="s">
        <v>88</v>
      </c>
      <c r="E13" s="541">
        <f>+SUM(E14:E20)</f>
        <v>18933.933333333334</v>
      </c>
      <c r="F13" s="541">
        <f>+SUM(F14:F20)</f>
        <v>18149.509333333332</v>
      </c>
      <c r="G13" s="541">
        <f>+SUM(G14:G20)</f>
        <v>17363.354756000001</v>
      </c>
      <c r="H13" s="541">
        <f>+SUM(H14:H20)</f>
        <v>17412.192631585996</v>
      </c>
      <c r="I13" s="541">
        <f>+SUM(I14:I20)</f>
        <v>17462.74797246344</v>
      </c>
    </row>
    <row r="14" spans="3:9" ht="13.5" customHeight="1" x14ac:dyDescent="0.2">
      <c r="D14" s="516" t="s">
        <v>343</v>
      </c>
      <c r="E14" s="532">
        <f>+'COSTOS Y GASTOS'!C17</f>
        <v>0</v>
      </c>
      <c r="F14" s="532">
        <f>+'COSTOS Y GASTOS'!D17</f>
        <v>0</v>
      </c>
      <c r="G14" s="532">
        <f>+'COSTOS Y GASTOS'!E17</f>
        <v>0</v>
      </c>
      <c r="H14" s="532">
        <f>+'COSTOS Y GASTOS'!F17</f>
        <v>0</v>
      </c>
      <c r="I14" s="533">
        <f>+'COSTOS Y GASTOS'!G17</f>
        <v>0</v>
      </c>
    </row>
    <row r="15" spans="3:9" ht="13.5" customHeight="1" x14ac:dyDescent="0.2">
      <c r="D15" s="516" t="s">
        <v>344</v>
      </c>
      <c r="E15" s="532">
        <f>+'COSTOS Y GASTOS'!C18</f>
        <v>10824.599999999999</v>
      </c>
      <c r="F15" s="532">
        <f>+'COSTOS Y GASTOS'!D18</f>
        <v>10824.599999999999</v>
      </c>
      <c r="G15" s="532">
        <f>+'COSTOS Y GASTOS'!E18</f>
        <v>10824.599999999999</v>
      </c>
      <c r="H15" s="532">
        <f>+'COSTOS Y GASTOS'!F18</f>
        <v>10824.599999999999</v>
      </c>
      <c r="I15" s="533">
        <f>+'COSTOS Y GASTOS'!G18</f>
        <v>10824.599999999999</v>
      </c>
    </row>
    <row r="16" spans="3:9" x14ac:dyDescent="0.2">
      <c r="D16" s="516" t="s">
        <v>342</v>
      </c>
      <c r="E16" s="532">
        <f>+'COSTOS Y GASTOS'!C19</f>
        <v>1296</v>
      </c>
      <c r="F16" s="532">
        <f>+'COSTOS Y GASTOS'!D19</f>
        <v>1341.5759999999998</v>
      </c>
      <c r="G16" s="532">
        <f>+'COSTOS Y GASTOS'!E19</f>
        <v>1388.7547559999996</v>
      </c>
      <c r="H16" s="532">
        <f>+'COSTOS Y GASTOS'!F19</f>
        <v>1437.5926315859995</v>
      </c>
      <c r="I16" s="533">
        <f>+'COSTOS Y GASTOS'!G19</f>
        <v>1488.1479724634403</v>
      </c>
    </row>
    <row r="17" spans="3:12" x14ac:dyDescent="0.2">
      <c r="D17" s="609" t="s">
        <v>341</v>
      </c>
      <c r="E17" s="319">
        <f>+'COSTOS Y GASTOS'!C20</f>
        <v>1183.3333333333335</v>
      </c>
      <c r="F17" s="319">
        <f>+'COSTOS Y GASTOS'!D20</f>
        <v>1183.3333333333335</v>
      </c>
      <c r="G17" s="319">
        <f>+'COSTOS Y GASTOS'!E20</f>
        <v>350.00000000000011</v>
      </c>
      <c r="H17" s="319">
        <f>+'COSTOS Y GASTOS'!F20</f>
        <v>350.00000000000011</v>
      </c>
      <c r="I17" s="434">
        <f>+'COSTOS Y GASTOS'!G20</f>
        <v>350.00000000000011</v>
      </c>
    </row>
    <row r="18" spans="3:12" ht="13.5" customHeight="1" x14ac:dyDescent="0.2">
      <c r="D18" s="516" t="s">
        <v>345</v>
      </c>
      <c r="E18" s="532">
        <f>+'ACTIVOS FIJOS'!C4</f>
        <v>830</v>
      </c>
      <c r="F18" s="532">
        <f>+'COSTOS Y GASTOS'!D21</f>
        <v>0</v>
      </c>
      <c r="G18" s="532">
        <f>+'COSTOS Y GASTOS'!E21</f>
        <v>0</v>
      </c>
      <c r="H18" s="532">
        <f>+'COSTOS Y GASTOS'!F21</f>
        <v>0</v>
      </c>
      <c r="I18" s="533">
        <f>+'COSTOS Y GASTOS'!G21</f>
        <v>0</v>
      </c>
    </row>
    <row r="19" spans="3:12" x14ac:dyDescent="0.2">
      <c r="D19" s="516"/>
      <c r="E19" s="532"/>
      <c r="F19" s="532"/>
      <c r="G19" s="532"/>
      <c r="H19" s="532"/>
      <c r="I19" s="533"/>
    </row>
    <row r="20" spans="3:12" x14ac:dyDescent="0.2">
      <c r="D20" s="515" t="s">
        <v>373</v>
      </c>
      <c r="E20" s="530">
        <f>+SUM(E21:E23)</f>
        <v>4800</v>
      </c>
      <c r="F20" s="530">
        <f>+SUM(F21:F23)</f>
        <v>4800</v>
      </c>
      <c r="G20" s="530">
        <f>+SUM(G21:G23)</f>
        <v>4800</v>
      </c>
      <c r="H20" s="530">
        <f>+SUM(H21:H23)</f>
        <v>4800</v>
      </c>
      <c r="I20" s="530">
        <f>+SUM(I21:I23)</f>
        <v>4800</v>
      </c>
    </row>
    <row r="21" spans="3:12" x14ac:dyDescent="0.2">
      <c r="D21" s="516" t="s">
        <v>321</v>
      </c>
      <c r="E21" s="532">
        <f>+'COSTOS Y GASTOS'!D34</f>
        <v>2400</v>
      </c>
      <c r="F21" s="532">
        <f t="shared" ref="F21:I23" si="1">+E21</f>
        <v>2400</v>
      </c>
      <c r="G21" s="532">
        <f t="shared" si="1"/>
        <v>2400</v>
      </c>
      <c r="H21" s="532">
        <f t="shared" si="1"/>
        <v>2400</v>
      </c>
      <c r="I21" s="533">
        <f t="shared" si="1"/>
        <v>2400</v>
      </c>
    </row>
    <row r="22" spans="3:12" x14ac:dyDescent="0.2">
      <c r="D22" s="516" t="s">
        <v>327</v>
      </c>
      <c r="E22" s="532">
        <f>+'COSTOS Y GASTOS'!D35</f>
        <v>2400</v>
      </c>
      <c r="F22" s="532">
        <f t="shared" si="1"/>
        <v>2400</v>
      </c>
      <c r="G22" s="532">
        <f t="shared" si="1"/>
        <v>2400</v>
      </c>
      <c r="H22" s="532">
        <f t="shared" si="1"/>
        <v>2400</v>
      </c>
      <c r="I22" s="533">
        <f t="shared" si="1"/>
        <v>2400</v>
      </c>
    </row>
    <row r="23" spans="3:12" x14ac:dyDescent="0.2">
      <c r="D23" s="516"/>
      <c r="E23" s="532">
        <f>+'COSTOS Y GASTOS'!D36</f>
        <v>0</v>
      </c>
      <c r="F23" s="532">
        <f t="shared" si="1"/>
        <v>0</v>
      </c>
      <c r="G23" s="532">
        <f t="shared" si="1"/>
        <v>0</v>
      </c>
      <c r="H23" s="532">
        <f t="shared" si="1"/>
        <v>0</v>
      </c>
      <c r="I23" s="533">
        <f t="shared" si="1"/>
        <v>0</v>
      </c>
    </row>
    <row r="24" spans="3:12" ht="13.5" thickBot="1" x14ac:dyDescent="0.25">
      <c r="D24" s="523" t="s">
        <v>89</v>
      </c>
      <c r="E24" s="542">
        <f>+'COSTOS Y GASTOS'!C28</f>
        <v>4200</v>
      </c>
      <c r="F24" s="542">
        <f>+'COSTOS Y GASTOS'!D28</f>
        <v>4347.7</v>
      </c>
      <c r="G24" s="542">
        <f>+'COSTOS Y GASTOS'!E28</f>
        <v>4500.5941166666662</v>
      </c>
      <c r="H24" s="542">
        <f>+'COSTOS Y GASTOS'!F28</f>
        <v>4658.8650097694435</v>
      </c>
      <c r="I24" s="543">
        <f>+'COSTOS Y GASTOS'!G28</f>
        <v>4822.7017626130018</v>
      </c>
    </row>
    <row r="25" spans="3:12" ht="3" customHeight="1" thickBot="1" x14ac:dyDescent="0.25">
      <c r="D25" s="524"/>
      <c r="E25" s="544"/>
      <c r="F25" s="544"/>
      <c r="G25" s="544"/>
      <c r="H25" s="544"/>
      <c r="I25" s="545"/>
    </row>
    <row r="26" spans="3:12" ht="13.5" thickBot="1" x14ac:dyDescent="0.25">
      <c r="C26" s="517" t="s">
        <v>83</v>
      </c>
      <c r="D26" s="525" t="s">
        <v>90</v>
      </c>
      <c r="E26" s="546">
        <f>+E10-E12</f>
        <v>-14785.392772713225</v>
      </c>
      <c r="F26" s="546">
        <f>+F10-F12</f>
        <v>2734.1931808784575</v>
      </c>
      <c r="G26" s="546">
        <f>+G10-G12</f>
        <v>32049.551257621082</v>
      </c>
      <c r="H26" s="546">
        <f>+H10-H12</f>
        <v>62202.730801515165</v>
      </c>
      <c r="I26" s="547">
        <f>+I10-I12</f>
        <v>99958.719470156313</v>
      </c>
    </row>
    <row r="27" spans="3:12" ht="3.75" customHeight="1" thickBot="1" x14ac:dyDescent="0.25">
      <c r="D27" s="723"/>
      <c r="E27" s="724"/>
      <c r="F27" s="724"/>
      <c r="G27" s="724"/>
      <c r="H27" s="724"/>
      <c r="I27" s="725"/>
    </row>
    <row r="28" spans="3:12" ht="26.25" thickBot="1" x14ac:dyDescent="0.25">
      <c r="C28" s="513" t="s">
        <v>84</v>
      </c>
      <c r="D28" s="585" t="s">
        <v>241</v>
      </c>
      <c r="E28" s="586">
        <f>+FINANCIAMIENTO!M20</f>
        <v>3896.8582666034258</v>
      </c>
      <c r="F28" s="586">
        <f>+FINANCIAMIENTO!N20</f>
        <v>3189.3285405434235</v>
      </c>
      <c r="G28" s="586">
        <f>+FINANCIAMIENTO!O20</f>
        <v>2403.8265973743764</v>
      </c>
      <c r="H28" s="586">
        <f>+FINANCIAMIENTO!P20</f>
        <v>1531.7596297314883</v>
      </c>
      <c r="I28" s="587">
        <f>+FINANCIAMIENTO!Q20</f>
        <v>563.58787322929629</v>
      </c>
      <c r="J28" s="528"/>
      <c r="L28" s="584"/>
    </row>
    <row r="29" spans="3:12" ht="4.5" customHeight="1" thickBot="1" x14ac:dyDescent="0.25">
      <c r="D29" s="726"/>
      <c r="E29" s="727"/>
      <c r="F29" s="727"/>
      <c r="G29" s="727"/>
      <c r="H29" s="727"/>
      <c r="I29" s="728"/>
    </row>
    <row r="30" spans="3:12" ht="26.25" thickBot="1" x14ac:dyDescent="0.25">
      <c r="C30" s="517" t="s">
        <v>83</v>
      </c>
      <c r="D30" s="525" t="s">
        <v>145</v>
      </c>
      <c r="E30" s="546">
        <f>+E26-E28</f>
        <v>-18682.251039316652</v>
      </c>
      <c r="F30" s="546">
        <f t="shared" ref="F30:I30" si="2">+F26-F28</f>
        <v>-455.13535966496602</v>
      </c>
      <c r="G30" s="546">
        <f t="shared" si="2"/>
        <v>29645.724660246706</v>
      </c>
      <c r="H30" s="546">
        <f t="shared" si="2"/>
        <v>60670.971171783676</v>
      </c>
      <c r="I30" s="547">
        <f t="shared" si="2"/>
        <v>99395.131596927022</v>
      </c>
    </row>
    <row r="31" spans="3:12" ht="3.75" customHeight="1" thickBot="1" x14ac:dyDescent="0.25">
      <c r="D31" s="723"/>
      <c r="E31" s="724"/>
      <c r="F31" s="724"/>
      <c r="G31" s="724"/>
      <c r="H31" s="724"/>
      <c r="I31" s="725"/>
    </row>
    <row r="32" spans="3:12" ht="13.5" thickBot="1" x14ac:dyDescent="0.25">
      <c r="C32" s="513" t="s">
        <v>84</v>
      </c>
      <c r="D32" s="524" t="s">
        <v>146</v>
      </c>
      <c r="E32" s="544">
        <v>0</v>
      </c>
      <c r="F32" s="544">
        <v>0</v>
      </c>
      <c r="G32" s="544">
        <f>+G30*0.15</f>
        <v>4446.8586990370059</v>
      </c>
      <c r="H32" s="544">
        <f>+H30*0.15</f>
        <v>9100.6456757675514</v>
      </c>
      <c r="I32" s="544">
        <f>+(I30*0.15)</f>
        <v>14909.269739539053</v>
      </c>
    </row>
    <row r="33" spans="3:10" ht="3" customHeight="1" thickBot="1" x14ac:dyDescent="0.25">
      <c r="D33" s="723"/>
      <c r="E33" s="724"/>
      <c r="F33" s="724"/>
      <c r="G33" s="724"/>
      <c r="H33" s="724"/>
      <c r="I33" s="725"/>
    </row>
    <row r="34" spans="3:10" ht="26.25" thickBot="1" x14ac:dyDescent="0.25">
      <c r="C34" s="517" t="s">
        <v>83</v>
      </c>
      <c r="D34" s="525" t="s">
        <v>147</v>
      </c>
      <c r="E34" s="546">
        <f>+E30-E32</f>
        <v>-18682.251039316652</v>
      </c>
      <c r="F34" s="546">
        <f t="shared" ref="F34" si="3">+F30-F32</f>
        <v>-455.13535966496602</v>
      </c>
      <c r="G34" s="546">
        <f>+G30-G32</f>
        <v>25198.8659612097</v>
      </c>
      <c r="H34" s="546">
        <f>+H30-H32</f>
        <v>51570.325496016128</v>
      </c>
      <c r="I34" s="547">
        <f>+I30-I32</f>
        <v>84485.861857387965</v>
      </c>
    </row>
    <row r="35" spans="3:10" ht="3.75" customHeight="1" thickBot="1" x14ac:dyDescent="0.25">
      <c r="D35" s="723"/>
      <c r="E35" s="724"/>
      <c r="F35" s="724"/>
      <c r="G35" s="724"/>
      <c r="H35" s="724"/>
      <c r="I35" s="725"/>
    </row>
    <row r="36" spans="3:10" ht="13.5" thickBot="1" x14ac:dyDescent="0.25">
      <c r="C36" s="513" t="s">
        <v>84</v>
      </c>
      <c r="D36" s="524" t="s">
        <v>144</v>
      </c>
      <c r="E36" s="544">
        <v>0</v>
      </c>
      <c r="F36" s="544">
        <v>0</v>
      </c>
      <c r="G36" s="544">
        <f>+G34*0.22</f>
        <v>5543.7505114661344</v>
      </c>
      <c r="H36" s="544">
        <f>+H34*0.22</f>
        <v>11345.471609123548</v>
      </c>
      <c r="I36" s="544">
        <f>+(I34*0.22)</f>
        <v>18586.889608625352</v>
      </c>
    </row>
    <row r="37" spans="3:10" ht="3.75" customHeight="1" thickBot="1" x14ac:dyDescent="0.25">
      <c r="D37" s="723"/>
      <c r="E37" s="724"/>
      <c r="F37" s="724"/>
      <c r="G37" s="724"/>
      <c r="H37" s="724"/>
      <c r="I37" s="725"/>
    </row>
    <row r="38" spans="3:10" s="526" customFormat="1" ht="23.25" customHeight="1" thickBot="1" x14ac:dyDescent="0.3">
      <c r="C38" s="527" t="s">
        <v>83</v>
      </c>
      <c r="D38" s="439" t="s">
        <v>148</v>
      </c>
      <c r="E38" s="421">
        <f>+E34-E36</f>
        <v>-18682.251039316652</v>
      </c>
      <c r="F38" s="421">
        <f t="shared" ref="F38:I38" si="4">+F34-F36</f>
        <v>-455.13535966496602</v>
      </c>
      <c r="G38" s="421">
        <f t="shared" si="4"/>
        <v>19655.115449743564</v>
      </c>
      <c r="H38" s="421">
        <f t="shared" si="4"/>
        <v>40224.853886892583</v>
      </c>
      <c r="I38" s="303">
        <f t="shared" si="4"/>
        <v>65898.972248762613</v>
      </c>
      <c r="J38" s="528"/>
    </row>
    <row r="39" spans="3:10" x14ac:dyDescent="0.2">
      <c r="C39" s="517"/>
    </row>
  </sheetData>
  <mergeCells count="7">
    <mergeCell ref="D37:I37"/>
    <mergeCell ref="D9:I9"/>
    <mergeCell ref="D27:I27"/>
    <mergeCell ref="D29:I29"/>
    <mergeCell ref="D31:I31"/>
    <mergeCell ref="D33:I33"/>
    <mergeCell ref="D35:I35"/>
  </mergeCells>
  <phoneticPr fontId="37" type="noConversion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</sheetPr>
  <dimension ref="C2:K28"/>
  <sheetViews>
    <sheetView topLeftCell="A11" zoomScaleNormal="100" workbookViewId="0">
      <selection activeCell="A8" sqref="A8"/>
    </sheetView>
  </sheetViews>
  <sheetFormatPr baseColWidth="10" defaultColWidth="9.140625" defaultRowHeight="15" x14ac:dyDescent="0.25"/>
  <cols>
    <col min="1" max="2" width="9.140625" style="7"/>
    <col min="3" max="3" width="18.42578125" style="148" customWidth="1"/>
    <col min="4" max="4" width="12.7109375" style="139" customWidth="1"/>
    <col min="5" max="5" width="13" style="139" customWidth="1"/>
    <col min="6" max="6" width="12" style="139" customWidth="1"/>
    <col min="7" max="7" width="13" style="139" customWidth="1"/>
    <col min="8" max="8" width="13.28515625" style="139" customWidth="1"/>
    <col min="9" max="9" width="12.28515625" style="139" customWidth="1"/>
    <col min="10" max="10" width="11" style="7" bestFit="1" customWidth="1"/>
    <col min="11" max="11" width="11.7109375" style="7" bestFit="1" customWidth="1"/>
    <col min="12" max="16384" width="9.140625" style="7"/>
  </cols>
  <sheetData>
    <row r="2" spans="3:11" ht="15.75" thickBot="1" x14ac:dyDescent="0.3"/>
    <row r="3" spans="3:11" ht="31.5" customHeight="1" thickBot="1" x14ac:dyDescent="0.3">
      <c r="C3" s="149" t="s">
        <v>192</v>
      </c>
      <c r="D3" s="140" t="s">
        <v>127</v>
      </c>
      <c r="E3" s="140" t="s">
        <v>32</v>
      </c>
      <c r="F3" s="140" t="s">
        <v>33</v>
      </c>
      <c r="G3" s="140" t="s">
        <v>34</v>
      </c>
      <c r="H3" s="140" t="s">
        <v>35</v>
      </c>
      <c r="I3" s="141" t="s">
        <v>36</v>
      </c>
    </row>
    <row r="4" spans="3:11" x14ac:dyDescent="0.25">
      <c r="C4" s="150" t="s">
        <v>71</v>
      </c>
      <c r="D4" s="142"/>
      <c r="E4" s="142"/>
      <c r="F4" s="142"/>
      <c r="G4" s="142"/>
      <c r="H4" s="142"/>
      <c r="I4" s="143"/>
    </row>
    <row r="5" spans="3:11" s="20" customFormat="1" x14ac:dyDescent="0.25">
      <c r="C5" s="616" t="s">
        <v>181</v>
      </c>
      <c r="D5" s="617">
        <f>+D6</f>
        <v>13965</v>
      </c>
      <c r="E5" s="617">
        <f>+E6</f>
        <v>-7104.1316208761873</v>
      </c>
      <c r="F5" s="617">
        <f>+F6</f>
        <v>-10653.677288160699</v>
      </c>
      <c r="G5" s="617">
        <f t="shared" ref="G5:I5" si="0">+G6</f>
        <v>14278.801787964097</v>
      </c>
      <c r="H5" s="617">
        <f t="shared" si="0"/>
        <v>59373.851197479788</v>
      </c>
      <c r="I5" s="618">
        <f t="shared" si="0"/>
        <v>131769.38120124867</v>
      </c>
    </row>
    <row r="6" spans="3:11" s="20" customFormat="1" x14ac:dyDescent="0.25">
      <c r="C6" s="610" t="s">
        <v>182</v>
      </c>
      <c r="D6" s="611">
        <f>+'FLUJO DE CAJA'!G36</f>
        <v>13965</v>
      </c>
      <c r="E6" s="611">
        <f>+'FLUJO DE CAJA'!H36</f>
        <v>-7104.1316208761873</v>
      </c>
      <c r="F6" s="611">
        <f>+'FLUJO DE CAJA'!I36</f>
        <v>-10653.677288160699</v>
      </c>
      <c r="G6" s="611">
        <f>+'FLUJO DE CAJA'!J36</f>
        <v>14278.801787964097</v>
      </c>
      <c r="H6" s="611">
        <f>+'FLUJO DE CAJA'!K36</f>
        <v>59373.851197479788</v>
      </c>
      <c r="I6" s="611">
        <f>+'FLUJO DE CAJA'!L36-'FLUJO DE CAJA'!L11</f>
        <v>131769.38120124867</v>
      </c>
    </row>
    <row r="7" spans="3:11" s="20" customFormat="1" x14ac:dyDescent="0.25">
      <c r="C7" s="616" t="s">
        <v>183</v>
      </c>
      <c r="D7" s="622">
        <f t="shared" ref="D7:I7" si="1">+SUM(D8:D14)</f>
        <v>46865</v>
      </c>
      <c r="E7" s="622">
        <f t="shared" si="1"/>
        <v>42831.666666666664</v>
      </c>
      <c r="F7" s="622">
        <f t="shared" si="1"/>
        <v>38798.333333333336</v>
      </c>
      <c r="G7" s="622">
        <f t="shared" si="1"/>
        <v>35598.333333333328</v>
      </c>
      <c r="H7" s="622">
        <f t="shared" si="1"/>
        <v>32398.333333333332</v>
      </c>
      <c r="I7" s="622">
        <f t="shared" si="1"/>
        <v>29198.333333333332</v>
      </c>
    </row>
    <row r="8" spans="3:11" s="20" customFormat="1" ht="23.25" x14ac:dyDescent="0.25">
      <c r="C8" s="610" t="s">
        <v>103</v>
      </c>
      <c r="D8" s="611">
        <f>+'ACTIVOS FIJOS'!C11</f>
        <v>25500</v>
      </c>
      <c r="E8" s="612">
        <f>+D8</f>
        <v>25500</v>
      </c>
      <c r="F8" s="612">
        <f>+E8</f>
        <v>25500</v>
      </c>
      <c r="G8" s="612">
        <f>+F8</f>
        <v>25500</v>
      </c>
      <c r="H8" s="612">
        <f>+G8</f>
        <v>25500</v>
      </c>
      <c r="I8" s="613">
        <f>+H8</f>
        <v>25500</v>
      </c>
      <c r="J8" s="623"/>
    </row>
    <row r="9" spans="3:11" s="20" customFormat="1" ht="23.25" x14ac:dyDescent="0.25">
      <c r="C9" s="610" t="s">
        <v>2</v>
      </c>
      <c r="D9" s="611">
        <f>+'ACTIVOS FIJOS'!C12</f>
        <v>13900</v>
      </c>
      <c r="E9" s="612">
        <f t="shared" ref="E9:I9" si="2">+D9</f>
        <v>13900</v>
      </c>
      <c r="F9" s="612">
        <f t="shared" si="2"/>
        <v>13900</v>
      </c>
      <c r="G9" s="612">
        <f t="shared" si="2"/>
        <v>13900</v>
      </c>
      <c r="H9" s="612">
        <f t="shared" si="2"/>
        <v>13900</v>
      </c>
      <c r="I9" s="613">
        <f t="shared" si="2"/>
        <v>13900</v>
      </c>
      <c r="J9" s="623"/>
    </row>
    <row r="10" spans="3:11" s="20" customFormat="1" x14ac:dyDescent="0.25">
      <c r="C10" s="610" t="s">
        <v>67</v>
      </c>
      <c r="D10" s="611">
        <f>+'ACTIVOS FIJOS'!C13</f>
        <v>2135</v>
      </c>
      <c r="E10" s="612">
        <f t="shared" ref="E10:I10" si="3">+D10</f>
        <v>2135</v>
      </c>
      <c r="F10" s="612">
        <f t="shared" si="3"/>
        <v>2135</v>
      </c>
      <c r="G10" s="612">
        <f t="shared" si="3"/>
        <v>2135</v>
      </c>
      <c r="H10" s="612">
        <f t="shared" si="3"/>
        <v>2135</v>
      </c>
      <c r="I10" s="613">
        <f t="shared" si="3"/>
        <v>2135</v>
      </c>
      <c r="J10" s="623"/>
    </row>
    <row r="11" spans="3:11" s="20" customFormat="1" ht="23.25" x14ac:dyDescent="0.25">
      <c r="C11" s="610" t="s">
        <v>68</v>
      </c>
      <c r="D11" s="611">
        <f>+'ACTIVOS FIJOS'!C14</f>
        <v>950</v>
      </c>
      <c r="E11" s="612">
        <f t="shared" ref="E11:I11" si="4">+D11</f>
        <v>950</v>
      </c>
      <c r="F11" s="612">
        <f t="shared" si="4"/>
        <v>950</v>
      </c>
      <c r="G11" s="612">
        <f t="shared" si="4"/>
        <v>950</v>
      </c>
      <c r="H11" s="612">
        <f t="shared" si="4"/>
        <v>950</v>
      </c>
      <c r="I11" s="613">
        <f t="shared" si="4"/>
        <v>950</v>
      </c>
      <c r="J11" s="623"/>
    </row>
    <row r="12" spans="3:11" s="20" customFormat="1" x14ac:dyDescent="0.25">
      <c r="C12" s="610" t="s">
        <v>14</v>
      </c>
      <c r="D12" s="611">
        <f>+'ACTIVOS FIJOS'!C15</f>
        <v>4380</v>
      </c>
      <c r="E12" s="612">
        <f t="shared" ref="E12:I12" si="5">+D12</f>
        <v>4380</v>
      </c>
      <c r="F12" s="612">
        <f t="shared" si="5"/>
        <v>4380</v>
      </c>
      <c r="G12" s="612">
        <f t="shared" si="5"/>
        <v>4380</v>
      </c>
      <c r="H12" s="612">
        <f t="shared" si="5"/>
        <v>4380</v>
      </c>
      <c r="I12" s="613">
        <f t="shared" si="5"/>
        <v>4380</v>
      </c>
      <c r="J12" s="623"/>
    </row>
    <row r="13" spans="3:11" s="20" customFormat="1" x14ac:dyDescent="0.25">
      <c r="C13" s="610" t="s">
        <v>304</v>
      </c>
      <c r="D13" s="611">
        <f>+'ACTIVOS FIJOS'!C16</f>
        <v>0</v>
      </c>
      <c r="E13" s="612">
        <f t="shared" ref="E13:I13" si="6">+D13</f>
        <v>0</v>
      </c>
      <c r="F13" s="612">
        <f t="shared" si="6"/>
        <v>0</v>
      </c>
      <c r="G13" s="612">
        <f t="shared" si="6"/>
        <v>0</v>
      </c>
      <c r="H13" s="612">
        <f t="shared" si="6"/>
        <v>0</v>
      </c>
      <c r="I13" s="613">
        <f t="shared" si="6"/>
        <v>0</v>
      </c>
      <c r="J13" s="623"/>
    </row>
    <row r="14" spans="3:11" s="20" customFormat="1" ht="23.25" x14ac:dyDescent="0.25">
      <c r="C14" s="610" t="s">
        <v>184</v>
      </c>
      <c r="D14" s="621"/>
      <c r="E14" s="611">
        <f>(+DEPRECIACIONES!E18+DEPRECIACIONES!E8)*-1</f>
        <v>-4033.3333333333335</v>
      </c>
      <c r="F14" s="614">
        <f>+E14+E14</f>
        <v>-8066.666666666667</v>
      </c>
      <c r="G14" s="614">
        <f>+F14-(DEPRECIACIONES!E8+DEPRECIACIONES!E18-DEPRECIACIONES!E16)</f>
        <v>-11266.666666666668</v>
      </c>
      <c r="H14" s="614">
        <f>+G14-(DEPRECIACIONES!E8+DEPRECIACIONES!E18-DEPRECIACIONES!E16)</f>
        <v>-14466.666666666668</v>
      </c>
      <c r="I14" s="615">
        <f>+H14-(DEPRECIACIONES!E8+DEPRECIACIONES!E18-DEPRECIACIONES!E16)</f>
        <v>-17666.666666666668</v>
      </c>
      <c r="J14" s="623"/>
      <c r="K14" s="623"/>
    </row>
    <row r="15" spans="3:11" s="20" customFormat="1" x14ac:dyDescent="0.25">
      <c r="C15" s="616" t="s">
        <v>194</v>
      </c>
      <c r="D15" s="624">
        <f t="shared" ref="D15:I15" si="7">+D5+D7</f>
        <v>60830</v>
      </c>
      <c r="E15" s="624">
        <f t="shared" si="7"/>
        <v>35727.535045790479</v>
      </c>
      <c r="F15" s="624">
        <f t="shared" si="7"/>
        <v>28144.656045172636</v>
      </c>
      <c r="G15" s="624">
        <f t="shared" si="7"/>
        <v>49877.135121297426</v>
      </c>
      <c r="H15" s="624">
        <f t="shared" si="7"/>
        <v>91772.184530813116</v>
      </c>
      <c r="I15" s="624">
        <f t="shared" si="7"/>
        <v>160967.71453458202</v>
      </c>
    </row>
    <row r="16" spans="3:11" x14ac:dyDescent="0.25">
      <c r="C16" s="150" t="s">
        <v>185</v>
      </c>
      <c r="D16" s="142"/>
      <c r="E16" s="142"/>
      <c r="F16" s="142"/>
      <c r="G16" s="142"/>
      <c r="H16" s="142"/>
      <c r="I16" s="143"/>
    </row>
    <row r="17" spans="3:9" s="20" customFormat="1" ht="23.25" x14ac:dyDescent="0.25">
      <c r="C17" s="610" t="s">
        <v>186</v>
      </c>
      <c r="D17" s="611">
        <f>+FINANCIAMIENTO!D27</f>
        <v>40000</v>
      </c>
      <c r="E17" s="611">
        <f>+D17-FINANCIAMIENTO!M21</f>
        <v>33579.786085107116</v>
      </c>
      <c r="F17" s="611">
        <f>+E17-FINANCIAMIENTO!N21</f>
        <v>26452.042444154231</v>
      </c>
      <c r="G17" s="611">
        <f>+F17-FINANCIAMIENTO!O21</f>
        <v>18538.796860032297</v>
      </c>
      <c r="H17" s="611">
        <f>+G17-FINANCIAMIENTO!P21</f>
        <v>9753.4843082674743</v>
      </c>
      <c r="I17" s="619">
        <f>+H17-FINANCIAMIENTO!Q21</f>
        <v>4.5838532969355583E-10</v>
      </c>
    </row>
    <row r="18" spans="3:9" s="20" customFormat="1" ht="23.25" x14ac:dyDescent="0.25">
      <c r="C18" s="610" t="s">
        <v>292</v>
      </c>
      <c r="D18" s="611"/>
      <c r="E18" s="611">
        <f>'ESTADO DE RESULTADOS'!E32</f>
        <v>0</v>
      </c>
      <c r="F18" s="611">
        <f>'ESTADO DE RESULTADOS'!F32</f>
        <v>0</v>
      </c>
      <c r="G18" s="611">
        <f>'ESTADO DE RESULTADOS'!G32</f>
        <v>4446.8586990370059</v>
      </c>
      <c r="H18" s="611">
        <f>'ESTADO DE RESULTADOS'!H32</f>
        <v>9100.6456757675514</v>
      </c>
      <c r="I18" s="611">
        <f>'ESTADO DE RESULTADOS'!I32</f>
        <v>14909.269739539053</v>
      </c>
    </row>
    <row r="19" spans="3:9" s="20" customFormat="1" ht="23.25" x14ac:dyDescent="0.25">
      <c r="C19" s="620" t="s">
        <v>293</v>
      </c>
      <c r="D19" s="621"/>
      <c r="E19" s="611">
        <f>'ESTADO DE RESULTADOS'!E36</f>
        <v>0</v>
      </c>
      <c r="F19" s="611">
        <f>'ESTADO DE RESULTADOS'!F36</f>
        <v>0</v>
      </c>
      <c r="G19" s="611">
        <f>'ESTADO DE RESULTADOS'!G36</f>
        <v>5543.7505114661344</v>
      </c>
      <c r="H19" s="611">
        <f>'ESTADO DE RESULTADOS'!H36</f>
        <v>11345.471609123548</v>
      </c>
      <c r="I19" s="611">
        <f>'ESTADO DE RESULTADOS'!I36</f>
        <v>18586.889608625352</v>
      </c>
    </row>
    <row r="20" spans="3:9" s="20" customFormat="1" x14ac:dyDescent="0.25">
      <c r="C20" s="616" t="s">
        <v>190</v>
      </c>
      <c r="D20" s="617">
        <f>+D17</f>
        <v>40000</v>
      </c>
      <c r="E20" s="617">
        <f>SUM(E17:E19)</f>
        <v>33579.786085107116</v>
      </c>
      <c r="F20" s="617">
        <f t="shared" ref="F20:I20" si="8">SUM(F17:F19)</f>
        <v>26452.042444154231</v>
      </c>
      <c r="G20" s="617">
        <f t="shared" si="8"/>
        <v>28529.406070535435</v>
      </c>
      <c r="H20" s="617">
        <f t="shared" si="8"/>
        <v>30199.601593158572</v>
      </c>
      <c r="I20" s="617">
        <f t="shared" si="8"/>
        <v>33496.15934816486</v>
      </c>
    </row>
    <row r="21" spans="3:9" ht="18.75" customHeight="1" x14ac:dyDescent="0.25">
      <c r="C21" s="150" t="s">
        <v>187</v>
      </c>
      <c r="D21" s="142"/>
      <c r="E21" s="142"/>
      <c r="F21" s="142"/>
      <c r="G21" s="142"/>
      <c r="H21" s="142"/>
      <c r="I21" s="143"/>
    </row>
    <row r="22" spans="3:9" s="20" customFormat="1" x14ac:dyDescent="0.25">
      <c r="C22" s="610" t="s">
        <v>195</v>
      </c>
      <c r="D22" s="611">
        <f>+FINANCIAMIENTO!D5</f>
        <v>20830</v>
      </c>
      <c r="E22" s="612">
        <f>+D22</f>
        <v>20830</v>
      </c>
      <c r="F22" s="612">
        <f t="shared" ref="F22:I22" si="9">+E22</f>
        <v>20830</v>
      </c>
      <c r="G22" s="612">
        <f t="shared" si="9"/>
        <v>20830</v>
      </c>
      <c r="H22" s="612">
        <f t="shared" si="9"/>
        <v>20830</v>
      </c>
      <c r="I22" s="613">
        <f t="shared" si="9"/>
        <v>20830</v>
      </c>
    </row>
    <row r="23" spans="3:9" s="20" customFormat="1" x14ac:dyDescent="0.25">
      <c r="C23" s="610" t="s">
        <v>470</v>
      </c>
      <c r="D23" s="614"/>
      <c r="E23" s="614">
        <f>+'ESTADO DE RESULTADOS'!E38</f>
        <v>-18682.251039316652</v>
      </c>
      <c r="F23" s="614">
        <f>+'ESTADO DE RESULTADOS'!F38</f>
        <v>-455.13535966496602</v>
      </c>
      <c r="G23" s="614">
        <f>+'ESTADO DE RESULTADOS'!G38</f>
        <v>19655.115449743564</v>
      </c>
      <c r="H23" s="614">
        <f>+'ESTADO DE RESULTADOS'!H38</f>
        <v>40224.853886892583</v>
      </c>
      <c r="I23" s="615">
        <f>+'ESTADO DE RESULTADOS'!I38</f>
        <v>65898.972248762613</v>
      </c>
    </row>
    <row r="24" spans="3:9" s="20" customFormat="1" x14ac:dyDescent="0.25">
      <c r="C24" s="610" t="s">
        <v>189</v>
      </c>
      <c r="D24" s="611">
        <v>0</v>
      </c>
      <c r="E24" s="614">
        <f t="shared" ref="E24" si="10">+D23+D24</f>
        <v>0</v>
      </c>
      <c r="F24" s="614">
        <f t="shared" ref="F24" si="11">+E23+E24</f>
        <v>-18682.251039316652</v>
      </c>
      <c r="G24" s="614">
        <f t="shared" ref="G24:I24" si="12">+F23+F24</f>
        <v>-19137.386398981616</v>
      </c>
      <c r="H24" s="614">
        <f t="shared" si="12"/>
        <v>517.72905076194729</v>
      </c>
      <c r="I24" s="615">
        <f t="shared" si="12"/>
        <v>40742.58293765453</v>
      </c>
    </row>
    <row r="25" spans="3:9" s="20" customFormat="1" ht="15.75" thickBot="1" x14ac:dyDescent="0.3">
      <c r="C25" s="616" t="s">
        <v>191</v>
      </c>
      <c r="D25" s="617">
        <f t="shared" ref="D25:I25" si="13">SUM(D22:D24)</f>
        <v>20830</v>
      </c>
      <c r="E25" s="617">
        <f>SUM(E22:E24)</f>
        <v>2147.7489606833478</v>
      </c>
      <c r="F25" s="617">
        <f>SUM(F22:F24)</f>
        <v>1692.6136010183836</v>
      </c>
      <c r="G25" s="617">
        <f t="shared" si="13"/>
        <v>21347.729050761947</v>
      </c>
      <c r="H25" s="617">
        <f t="shared" si="13"/>
        <v>61572.58293765453</v>
      </c>
      <c r="I25" s="617">
        <f t="shared" si="13"/>
        <v>127471.55518641714</v>
      </c>
    </row>
    <row r="26" spans="3:9" ht="26.25" customHeight="1" thickBot="1" x14ac:dyDescent="0.3">
      <c r="C26" s="151" t="s">
        <v>193</v>
      </c>
      <c r="D26" s="144">
        <f t="shared" ref="D26:I26" si="14">+D25+D20</f>
        <v>60830</v>
      </c>
      <c r="E26" s="144">
        <f t="shared" si="14"/>
        <v>35727.535045790464</v>
      </c>
      <c r="F26" s="144">
        <f t="shared" si="14"/>
        <v>28144.656045172615</v>
      </c>
      <c r="G26" s="144">
        <f t="shared" si="14"/>
        <v>49877.135121297382</v>
      </c>
      <c r="H26" s="144">
        <f t="shared" si="14"/>
        <v>91772.184530813101</v>
      </c>
      <c r="I26" s="145">
        <f t="shared" si="14"/>
        <v>160967.71453458199</v>
      </c>
    </row>
    <row r="27" spans="3:9" x14ac:dyDescent="0.25">
      <c r="D27" s="146">
        <f t="shared" ref="D27:I27" si="15">+D26-D15</f>
        <v>0</v>
      </c>
      <c r="E27" s="146">
        <f t="shared" si="15"/>
        <v>0</v>
      </c>
      <c r="F27" s="146">
        <f t="shared" si="15"/>
        <v>0</v>
      </c>
      <c r="G27" s="146">
        <f t="shared" si="15"/>
        <v>0</v>
      </c>
      <c r="H27" s="146">
        <f t="shared" si="15"/>
        <v>0</v>
      </c>
      <c r="I27" s="146">
        <f t="shared" si="15"/>
        <v>0</v>
      </c>
    </row>
    <row r="28" spans="3:9" x14ac:dyDescent="0.25">
      <c r="G28" s="147"/>
      <c r="H28" s="147"/>
      <c r="I28" s="147"/>
    </row>
  </sheetData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Q91"/>
  <sheetViews>
    <sheetView topLeftCell="A7" zoomScale="80" zoomScaleNormal="80" workbookViewId="0">
      <selection activeCell="D6" sqref="D6"/>
    </sheetView>
  </sheetViews>
  <sheetFormatPr baseColWidth="10" defaultColWidth="9.140625" defaultRowHeight="15" x14ac:dyDescent="0.25"/>
  <cols>
    <col min="1" max="1" width="12.28515625" style="7" bestFit="1" customWidth="1"/>
    <col min="2" max="2" width="9.140625" style="7"/>
    <col min="3" max="3" width="23" style="7" bestFit="1" customWidth="1"/>
    <col min="4" max="4" width="16.28515625" style="7" bestFit="1" customWidth="1"/>
    <col min="5" max="5" width="13.28515625" style="7" bestFit="1" customWidth="1"/>
    <col min="6" max="6" width="16.7109375" style="7" customWidth="1"/>
    <col min="7" max="7" width="17.85546875" style="7" bestFit="1" customWidth="1"/>
    <col min="8" max="8" width="25.7109375" style="7" customWidth="1"/>
    <col min="9" max="11" width="9.140625" style="7"/>
    <col min="12" max="12" width="17.42578125" style="7" bestFit="1" customWidth="1"/>
    <col min="13" max="17" width="12.85546875" style="7" bestFit="1" customWidth="1"/>
    <col min="18" max="16384" width="9.140625" style="7"/>
  </cols>
  <sheetData>
    <row r="1" spans="1:14" ht="15.75" thickBot="1" x14ac:dyDescent="0.3">
      <c r="A1" s="7" t="s">
        <v>379</v>
      </c>
    </row>
    <row r="2" spans="1:14" ht="33.75" customHeight="1" thickBot="1" x14ac:dyDescent="0.3">
      <c r="C2" s="36" t="s">
        <v>106</v>
      </c>
      <c r="D2" s="37" t="s">
        <v>107</v>
      </c>
      <c r="E2" s="70" t="s">
        <v>108</v>
      </c>
      <c r="F2" s="64" t="s">
        <v>150</v>
      </c>
      <c r="G2" s="65" t="s">
        <v>151</v>
      </c>
    </row>
    <row r="3" spans="1:14" ht="3" customHeight="1" x14ac:dyDescent="0.25">
      <c r="C3" s="41"/>
      <c r="D3" s="35"/>
      <c r="E3" s="71"/>
      <c r="F3" s="22"/>
      <c r="G3" s="23"/>
    </row>
    <row r="4" spans="1:14" x14ac:dyDescent="0.25">
      <c r="C4" s="51" t="s">
        <v>95</v>
      </c>
      <c r="D4" s="13"/>
      <c r="E4" s="68"/>
      <c r="F4" s="6"/>
      <c r="G4" s="26"/>
    </row>
    <row r="5" spans="1:14" x14ac:dyDescent="0.25">
      <c r="C5" s="6" t="s">
        <v>253</v>
      </c>
      <c r="D5" s="10">
        <v>20830</v>
      </c>
      <c r="E5" s="69">
        <f>+D5/D9</f>
        <v>0.34242972217655759</v>
      </c>
      <c r="F5" s="131">
        <v>4.99E-2</v>
      </c>
      <c r="G5" s="74">
        <f>+F5*E5</f>
        <v>1.7087243136610225E-2</v>
      </c>
      <c r="H5" s="579"/>
      <c r="I5" s="87"/>
    </row>
    <row r="6" spans="1:14" x14ac:dyDescent="0.25">
      <c r="C6" s="51" t="s">
        <v>96</v>
      </c>
      <c r="D6" s="11"/>
      <c r="E6" s="69"/>
      <c r="F6" s="6"/>
      <c r="G6" s="74"/>
      <c r="I6" s="198"/>
    </row>
    <row r="7" spans="1:14" x14ac:dyDescent="0.25">
      <c r="C7" s="6" t="s">
        <v>109</v>
      </c>
      <c r="D7" s="11">
        <v>40000</v>
      </c>
      <c r="E7" s="69">
        <f>+D7/D9</f>
        <v>0.65757027782344235</v>
      </c>
      <c r="F7" s="577">
        <v>0.105</v>
      </c>
      <c r="G7" s="578">
        <f>+E7*F7*(1-33.7%)</f>
        <v>4.5776754890678943E-2</v>
      </c>
      <c r="H7" s="582" t="s">
        <v>378</v>
      </c>
    </row>
    <row r="8" spans="1:14" ht="5.25" customHeight="1" thickBot="1" x14ac:dyDescent="0.3">
      <c r="C8" s="27"/>
      <c r="D8" s="50"/>
      <c r="E8" s="72"/>
      <c r="F8" s="22"/>
      <c r="G8" s="75"/>
    </row>
    <row r="9" spans="1:14" ht="25.5" customHeight="1" thickBot="1" x14ac:dyDescent="0.3">
      <c r="C9" s="39" t="s">
        <v>16</v>
      </c>
      <c r="D9" s="52">
        <f>+D5+D7</f>
        <v>60830</v>
      </c>
      <c r="E9" s="73">
        <f>SUM(E5:E7)</f>
        <v>1</v>
      </c>
      <c r="F9" s="66"/>
      <c r="G9" s="67">
        <f>+G7+G5</f>
        <v>6.2863998027289175E-2</v>
      </c>
    </row>
    <row r="11" spans="1:14" x14ac:dyDescent="0.25">
      <c r="A11" s="602"/>
      <c r="C11" s="603"/>
      <c r="D11" s="47"/>
      <c r="F11" s="580" t="s">
        <v>234</v>
      </c>
      <c r="G11" s="581">
        <f>+G9</f>
        <v>6.2863998027289175E-2</v>
      </c>
      <c r="H11" s="53"/>
      <c r="I11" s="595"/>
    </row>
    <row r="12" spans="1:14" x14ac:dyDescent="0.25">
      <c r="E12" s="576"/>
      <c r="F12" s="13" t="s">
        <v>152</v>
      </c>
      <c r="G12" s="14">
        <v>7.3499999999999996E-2</v>
      </c>
      <c r="H12" s="583"/>
      <c r="I12" s="20"/>
      <c r="J12" s="20"/>
      <c r="K12" s="20"/>
      <c r="N12" s="28" t="s">
        <v>278</v>
      </c>
    </row>
    <row r="13" spans="1:14" x14ac:dyDescent="0.25">
      <c r="E13" s="579"/>
      <c r="F13" s="580" t="s">
        <v>153</v>
      </c>
      <c r="G13" s="581">
        <v>4.3200000000000002E-2</v>
      </c>
      <c r="H13" s="129"/>
      <c r="I13" s="130"/>
      <c r="J13" s="130"/>
      <c r="K13" s="130"/>
      <c r="N13" s="28" t="s">
        <v>279</v>
      </c>
    </row>
    <row r="14" spans="1:14" ht="29.25" x14ac:dyDescent="0.25">
      <c r="F14" s="600" t="s">
        <v>235</v>
      </c>
      <c r="G14" s="601">
        <f>SUM(G11:G13)</f>
        <v>0.17956399802728917</v>
      </c>
      <c r="H14" s="128"/>
      <c r="I14" s="20"/>
      <c r="J14" s="20"/>
      <c r="K14" s="20"/>
      <c r="N14" s="28" t="s">
        <v>280</v>
      </c>
    </row>
    <row r="15" spans="1:14" x14ac:dyDescent="0.25">
      <c r="N15" s="28" t="s">
        <v>281</v>
      </c>
    </row>
    <row r="16" spans="1:14" x14ac:dyDescent="0.25">
      <c r="N16" s="28" t="s">
        <v>282</v>
      </c>
    </row>
    <row r="17" spans="3:17" x14ac:dyDescent="0.25">
      <c r="N17" s="28" t="s">
        <v>283</v>
      </c>
    </row>
    <row r="18" spans="3:17" ht="15.75" thickBot="1" x14ac:dyDescent="0.3">
      <c r="C18" s="7" t="s">
        <v>111</v>
      </c>
      <c r="D18" s="47">
        <f>+D7</f>
        <v>40000</v>
      </c>
    </row>
    <row r="19" spans="3:17" ht="15.75" thickBot="1" x14ac:dyDescent="0.3">
      <c r="C19" s="7" t="s">
        <v>112</v>
      </c>
      <c r="D19" s="53">
        <f>+F7</f>
        <v>0.105</v>
      </c>
      <c r="E19" s="7">
        <f>+D19/12</f>
        <v>8.7499999999999991E-3</v>
      </c>
      <c r="L19" s="55" t="s">
        <v>3</v>
      </c>
      <c r="M19" s="56" t="s">
        <v>32</v>
      </c>
      <c r="N19" s="56" t="s">
        <v>33</v>
      </c>
      <c r="O19" s="56" t="s">
        <v>34</v>
      </c>
      <c r="P19" s="56" t="s">
        <v>35</v>
      </c>
      <c r="Q19" s="57" t="s">
        <v>36</v>
      </c>
    </row>
    <row r="20" spans="3:17" x14ac:dyDescent="0.25">
      <c r="C20" s="7" t="s">
        <v>113</v>
      </c>
      <c r="D20" s="7">
        <v>60</v>
      </c>
      <c r="L20" s="41" t="s">
        <v>125</v>
      </c>
      <c r="M20" s="77">
        <f>SUM(E32:E43)</f>
        <v>3896.8582666034258</v>
      </c>
      <c r="N20" s="77">
        <f>SUM(E44:E55)</f>
        <v>3189.3285405434235</v>
      </c>
      <c r="O20" s="77">
        <f>SUM(E56:E67)</f>
        <v>2403.8265973743764</v>
      </c>
      <c r="P20" s="77">
        <f>SUM(E68:E79)</f>
        <v>1531.7596297314883</v>
      </c>
      <c r="Q20" s="78">
        <f>SUM(E80:E91)</f>
        <v>563.58787322929629</v>
      </c>
    </row>
    <row r="21" spans="3:17" ht="15.75" thickBot="1" x14ac:dyDescent="0.3">
      <c r="L21" s="27" t="s">
        <v>126</v>
      </c>
      <c r="M21" s="44">
        <f>SUM(F32:F43)</f>
        <v>6420.2139148928854</v>
      </c>
      <c r="N21" s="44">
        <f>SUM(F44:F55)</f>
        <v>7127.7436409528864</v>
      </c>
      <c r="O21" s="44">
        <f>SUM(F56:F67)</f>
        <v>7913.2455841219344</v>
      </c>
      <c r="P21" s="44">
        <f>SUM(F68:F79)</f>
        <v>8785.3125517648223</v>
      </c>
      <c r="Q21" s="45">
        <f>SUM(F80:F91)</f>
        <v>9753.4843082670159</v>
      </c>
    </row>
    <row r="22" spans="3:17" ht="15.75" thickBot="1" x14ac:dyDescent="0.3">
      <c r="L22" s="55" t="s">
        <v>6</v>
      </c>
      <c r="M22" s="58">
        <f>SUM(M20:M21)</f>
        <v>10317.072181496311</v>
      </c>
      <c r="N22" s="58">
        <f t="shared" ref="N22:Q22" si="0">SUM(N20:N21)</f>
        <v>10317.072181496311</v>
      </c>
      <c r="O22" s="58">
        <f t="shared" si="0"/>
        <v>10317.072181496311</v>
      </c>
      <c r="P22" s="58">
        <f t="shared" si="0"/>
        <v>10317.072181496311</v>
      </c>
      <c r="Q22" s="59">
        <f t="shared" si="0"/>
        <v>10317.072181496313</v>
      </c>
    </row>
    <row r="23" spans="3:17" x14ac:dyDescent="0.25">
      <c r="C23" s="7" t="s">
        <v>110</v>
      </c>
      <c r="D23" s="54">
        <f>+(D18*D19/12*(1+D19/12)^D20)/(((1+D19/12)^D20)-1)</f>
        <v>859.75601512469257</v>
      </c>
    </row>
    <row r="26" spans="3:17" ht="15.75" thickBot="1" x14ac:dyDescent="0.3"/>
    <row r="27" spans="3:17" x14ac:dyDescent="0.25">
      <c r="C27" s="187" t="s">
        <v>114</v>
      </c>
      <c r="D27" s="201">
        <f>+D18</f>
        <v>40000</v>
      </c>
      <c r="E27" s="202" t="s">
        <v>115</v>
      </c>
      <c r="F27" s="203">
        <f>+F9</f>
        <v>0</v>
      </c>
      <c r="G27" s="204" t="s">
        <v>116</v>
      </c>
      <c r="H27" s="729">
        <f>+D23</f>
        <v>859.75601512469257</v>
      </c>
    </row>
    <row r="28" spans="3:17" ht="15.75" thickBot="1" x14ac:dyDescent="0.3">
      <c r="C28" s="205" t="s">
        <v>117</v>
      </c>
      <c r="D28" s="206">
        <f>+D19</f>
        <v>0.105</v>
      </c>
      <c r="E28" s="127" t="s">
        <v>118</v>
      </c>
      <c r="F28" s="207">
        <v>12</v>
      </c>
      <c r="G28" s="208" t="s">
        <v>119</v>
      </c>
      <c r="H28" s="730"/>
    </row>
    <row r="29" spans="3:17" ht="15.75" thickBot="1" x14ac:dyDescent="0.3">
      <c r="C29" s="731" t="s">
        <v>120</v>
      </c>
      <c r="D29" s="732"/>
      <c r="E29" s="732"/>
      <c r="F29" s="732"/>
      <c r="G29" s="732"/>
      <c r="H29" s="733"/>
    </row>
    <row r="30" spans="3:17" x14ac:dyDescent="0.25">
      <c r="C30" s="209" t="s">
        <v>37</v>
      </c>
      <c r="D30" s="210" t="s">
        <v>114</v>
      </c>
      <c r="E30" s="210" t="s">
        <v>121</v>
      </c>
      <c r="F30" s="210" t="s">
        <v>122</v>
      </c>
      <c r="G30" s="210" t="s">
        <v>123</v>
      </c>
      <c r="H30" s="211" t="s">
        <v>124</v>
      </c>
    </row>
    <row r="31" spans="3:17" x14ac:dyDescent="0.25">
      <c r="C31" s="212"/>
      <c r="D31" s="213">
        <f>+D27</f>
        <v>40000</v>
      </c>
      <c r="E31" s="213"/>
      <c r="F31" s="213"/>
      <c r="G31" s="213"/>
      <c r="H31" s="214">
        <f>+D31</f>
        <v>40000</v>
      </c>
    </row>
    <row r="32" spans="3:17" x14ac:dyDescent="0.25">
      <c r="C32" s="182">
        <v>1</v>
      </c>
      <c r="D32" s="200">
        <f>+H31</f>
        <v>40000</v>
      </c>
      <c r="E32" s="200">
        <f>+D32*$D$28/12</f>
        <v>350</v>
      </c>
      <c r="F32" s="200">
        <f>+G32-E32</f>
        <v>509.75601512469257</v>
      </c>
      <c r="G32" s="200">
        <f>+H27</f>
        <v>859.75601512469257</v>
      </c>
      <c r="H32" s="215">
        <f>+H31-F32</f>
        <v>39490.243984875306</v>
      </c>
    </row>
    <row r="33" spans="3:8" x14ac:dyDescent="0.25">
      <c r="C33" s="182">
        <v>2</v>
      </c>
      <c r="D33" s="200">
        <f>+H32</f>
        <v>39490.243984875306</v>
      </c>
      <c r="E33" s="200">
        <f t="shared" ref="E33:E91" si="1">+D33*$D$28/12</f>
        <v>345.53963486765889</v>
      </c>
      <c r="F33" s="200">
        <f t="shared" ref="F33:F91" si="2">+G33-E33</f>
        <v>514.21638025703373</v>
      </c>
      <c r="G33" s="200">
        <f>+G32</f>
        <v>859.75601512469257</v>
      </c>
      <c r="H33" s="215">
        <f t="shared" ref="H33:H91" si="3">+H32-F33</f>
        <v>38976.02760461827</v>
      </c>
    </row>
    <row r="34" spans="3:8" x14ac:dyDescent="0.25">
      <c r="C34" s="182">
        <v>3</v>
      </c>
      <c r="D34" s="200">
        <f t="shared" ref="D34:D91" si="4">+H33</f>
        <v>38976.02760461827</v>
      </c>
      <c r="E34" s="200">
        <f t="shared" si="1"/>
        <v>341.04024154040985</v>
      </c>
      <c r="F34" s="200">
        <f t="shared" si="2"/>
        <v>518.71577358428272</v>
      </c>
      <c r="G34" s="200">
        <f t="shared" ref="G34:G91" si="5">+G33</f>
        <v>859.75601512469257</v>
      </c>
      <c r="H34" s="215">
        <f t="shared" si="3"/>
        <v>38457.311831033985</v>
      </c>
    </row>
    <row r="35" spans="3:8" x14ac:dyDescent="0.25">
      <c r="C35" s="182">
        <v>4</v>
      </c>
      <c r="D35" s="200">
        <f t="shared" si="4"/>
        <v>38457.311831033985</v>
      </c>
      <c r="E35" s="200">
        <f t="shared" si="1"/>
        <v>336.50147852154737</v>
      </c>
      <c r="F35" s="200">
        <f t="shared" si="2"/>
        <v>523.2545366031452</v>
      </c>
      <c r="G35" s="200">
        <f t="shared" si="5"/>
        <v>859.75601512469257</v>
      </c>
      <c r="H35" s="215">
        <f t="shared" si="3"/>
        <v>37934.057294430837</v>
      </c>
    </row>
    <row r="36" spans="3:8" x14ac:dyDescent="0.25">
      <c r="C36" s="182">
        <v>5</v>
      </c>
      <c r="D36" s="200">
        <f t="shared" si="4"/>
        <v>37934.057294430837</v>
      </c>
      <c r="E36" s="200">
        <f t="shared" si="1"/>
        <v>331.9230013262698</v>
      </c>
      <c r="F36" s="200">
        <f t="shared" si="2"/>
        <v>527.83301379842283</v>
      </c>
      <c r="G36" s="200">
        <f t="shared" si="5"/>
        <v>859.75601512469257</v>
      </c>
      <c r="H36" s="215">
        <f t="shared" si="3"/>
        <v>37406.224280632414</v>
      </c>
    </row>
    <row r="37" spans="3:8" x14ac:dyDescent="0.25">
      <c r="C37" s="182">
        <v>6</v>
      </c>
      <c r="D37" s="200">
        <f t="shared" si="4"/>
        <v>37406.224280632414</v>
      </c>
      <c r="E37" s="200">
        <f t="shared" si="1"/>
        <v>327.30446245553361</v>
      </c>
      <c r="F37" s="200">
        <f t="shared" si="2"/>
        <v>532.4515526691589</v>
      </c>
      <c r="G37" s="200">
        <f t="shared" si="5"/>
        <v>859.75601512469257</v>
      </c>
      <c r="H37" s="215">
        <f t="shared" si="3"/>
        <v>36873.772727963253</v>
      </c>
    </row>
    <row r="38" spans="3:8" x14ac:dyDescent="0.25">
      <c r="C38" s="182">
        <v>7</v>
      </c>
      <c r="D38" s="200">
        <f t="shared" si="4"/>
        <v>36873.772727963253</v>
      </c>
      <c r="E38" s="200">
        <f t="shared" si="1"/>
        <v>322.64551136967845</v>
      </c>
      <c r="F38" s="200">
        <f t="shared" si="2"/>
        <v>537.11050375501418</v>
      </c>
      <c r="G38" s="200">
        <f t="shared" si="5"/>
        <v>859.75601512469257</v>
      </c>
      <c r="H38" s="215">
        <f t="shared" si="3"/>
        <v>36336.662224208238</v>
      </c>
    </row>
    <row r="39" spans="3:8" x14ac:dyDescent="0.25">
      <c r="C39" s="182">
        <v>8</v>
      </c>
      <c r="D39" s="200">
        <f t="shared" si="4"/>
        <v>36336.662224208238</v>
      </c>
      <c r="E39" s="200">
        <f t="shared" si="1"/>
        <v>317.94579446182206</v>
      </c>
      <c r="F39" s="200">
        <f t="shared" si="2"/>
        <v>541.81022066287051</v>
      </c>
      <c r="G39" s="200">
        <f t="shared" si="5"/>
        <v>859.75601512469257</v>
      </c>
      <c r="H39" s="215">
        <f t="shared" si="3"/>
        <v>35794.852003545369</v>
      </c>
    </row>
    <row r="40" spans="3:8" x14ac:dyDescent="0.25">
      <c r="C40" s="182">
        <v>9</v>
      </c>
      <c r="D40" s="200">
        <f t="shared" si="4"/>
        <v>35794.852003545369</v>
      </c>
      <c r="E40" s="200">
        <f t="shared" si="1"/>
        <v>313.20495503102194</v>
      </c>
      <c r="F40" s="200">
        <f t="shared" si="2"/>
        <v>546.55106009367069</v>
      </c>
      <c r="G40" s="200">
        <f t="shared" si="5"/>
        <v>859.75601512469257</v>
      </c>
      <c r="H40" s="215">
        <f t="shared" si="3"/>
        <v>35248.300943451701</v>
      </c>
    </row>
    <row r="41" spans="3:8" x14ac:dyDescent="0.25">
      <c r="C41" s="182">
        <v>10</v>
      </c>
      <c r="D41" s="200">
        <f t="shared" si="4"/>
        <v>35248.300943451701</v>
      </c>
      <c r="E41" s="200">
        <f t="shared" si="1"/>
        <v>308.42263325520236</v>
      </c>
      <c r="F41" s="200">
        <f t="shared" si="2"/>
        <v>551.33338186949027</v>
      </c>
      <c r="G41" s="200">
        <f t="shared" si="5"/>
        <v>859.75601512469257</v>
      </c>
      <c r="H41" s="215">
        <f t="shared" si="3"/>
        <v>34696.967561582213</v>
      </c>
    </row>
    <row r="42" spans="3:8" x14ac:dyDescent="0.25">
      <c r="C42" s="182">
        <v>11</v>
      </c>
      <c r="D42" s="200">
        <f t="shared" si="4"/>
        <v>34696.967561582213</v>
      </c>
      <c r="E42" s="200">
        <f t="shared" si="1"/>
        <v>303.59846616384436</v>
      </c>
      <c r="F42" s="200">
        <f t="shared" si="2"/>
        <v>556.1575489608482</v>
      </c>
      <c r="G42" s="200">
        <f t="shared" si="5"/>
        <v>859.75601512469257</v>
      </c>
      <c r="H42" s="215">
        <f t="shared" si="3"/>
        <v>34140.810012621361</v>
      </c>
    </row>
    <row r="43" spans="3:8" x14ac:dyDescent="0.25">
      <c r="C43" s="182">
        <v>12</v>
      </c>
      <c r="D43" s="200">
        <f t="shared" si="4"/>
        <v>34140.810012621361</v>
      </c>
      <c r="E43" s="200">
        <f t="shared" si="1"/>
        <v>298.73208761043691</v>
      </c>
      <c r="F43" s="200">
        <f t="shared" si="2"/>
        <v>561.02392751425566</v>
      </c>
      <c r="G43" s="200">
        <f t="shared" si="5"/>
        <v>859.75601512469257</v>
      </c>
      <c r="H43" s="215">
        <f t="shared" si="3"/>
        <v>33579.786085107109</v>
      </c>
    </row>
    <row r="44" spans="3:8" x14ac:dyDescent="0.25">
      <c r="C44" s="182">
        <v>13</v>
      </c>
      <c r="D44" s="200">
        <f t="shared" si="4"/>
        <v>33579.786085107109</v>
      </c>
      <c r="E44" s="200">
        <f t="shared" si="1"/>
        <v>293.82312824468721</v>
      </c>
      <c r="F44" s="200">
        <f t="shared" si="2"/>
        <v>565.9328868800053</v>
      </c>
      <c r="G44" s="200">
        <f t="shared" si="5"/>
        <v>859.75601512469257</v>
      </c>
      <c r="H44" s="215">
        <f t="shared" si="3"/>
        <v>33013.853198227102</v>
      </c>
    </row>
    <row r="45" spans="3:8" x14ac:dyDescent="0.25">
      <c r="C45" s="182">
        <v>14</v>
      </c>
      <c r="D45" s="200">
        <f t="shared" si="4"/>
        <v>33013.853198227102</v>
      </c>
      <c r="E45" s="200">
        <f t="shared" si="1"/>
        <v>288.8712154844871</v>
      </c>
      <c r="F45" s="200">
        <f t="shared" si="2"/>
        <v>570.88479964020553</v>
      </c>
      <c r="G45" s="200">
        <f t="shared" si="5"/>
        <v>859.75601512469257</v>
      </c>
      <c r="H45" s="215">
        <f t="shared" si="3"/>
        <v>32442.968398586898</v>
      </c>
    </row>
    <row r="46" spans="3:8" x14ac:dyDescent="0.25">
      <c r="C46" s="182">
        <v>15</v>
      </c>
      <c r="D46" s="200">
        <f t="shared" si="4"/>
        <v>32442.968398586898</v>
      </c>
      <c r="E46" s="200">
        <f t="shared" si="1"/>
        <v>283.87597348763535</v>
      </c>
      <c r="F46" s="200">
        <f t="shared" si="2"/>
        <v>575.88004163705727</v>
      </c>
      <c r="G46" s="200">
        <f t="shared" si="5"/>
        <v>859.75601512469257</v>
      </c>
      <c r="H46" s="215">
        <f t="shared" si="3"/>
        <v>31867.08835694984</v>
      </c>
    </row>
    <row r="47" spans="3:8" x14ac:dyDescent="0.25">
      <c r="C47" s="182">
        <v>16</v>
      </c>
      <c r="D47" s="200">
        <f t="shared" si="4"/>
        <v>31867.08835694984</v>
      </c>
      <c r="E47" s="200">
        <f t="shared" si="1"/>
        <v>278.8370231233111</v>
      </c>
      <c r="F47" s="200">
        <f t="shared" si="2"/>
        <v>580.91899200138141</v>
      </c>
      <c r="G47" s="200">
        <f t="shared" si="5"/>
        <v>859.75601512469257</v>
      </c>
      <c r="H47" s="215">
        <f t="shared" si="3"/>
        <v>31286.169364948459</v>
      </c>
    </row>
    <row r="48" spans="3:8" x14ac:dyDescent="0.25">
      <c r="C48" s="182">
        <v>17</v>
      </c>
      <c r="D48" s="200">
        <f t="shared" si="4"/>
        <v>31286.169364948459</v>
      </c>
      <c r="E48" s="200">
        <f t="shared" si="1"/>
        <v>273.75398194329904</v>
      </c>
      <c r="F48" s="200">
        <f t="shared" si="2"/>
        <v>586.00203318139347</v>
      </c>
      <c r="G48" s="200">
        <f t="shared" si="5"/>
        <v>859.75601512469257</v>
      </c>
      <c r="H48" s="215">
        <f t="shared" si="3"/>
        <v>30700.167331767065</v>
      </c>
    </row>
    <row r="49" spans="3:8" x14ac:dyDescent="0.25">
      <c r="C49" s="182">
        <v>18</v>
      </c>
      <c r="D49" s="200">
        <f t="shared" si="4"/>
        <v>30700.167331767065</v>
      </c>
      <c r="E49" s="200">
        <f t="shared" si="1"/>
        <v>268.62646415296177</v>
      </c>
      <c r="F49" s="200">
        <f t="shared" si="2"/>
        <v>591.12955097173085</v>
      </c>
      <c r="G49" s="200">
        <f t="shared" si="5"/>
        <v>859.75601512469257</v>
      </c>
      <c r="H49" s="215">
        <f t="shared" si="3"/>
        <v>30109.037780795334</v>
      </c>
    </row>
    <row r="50" spans="3:8" x14ac:dyDescent="0.25">
      <c r="C50" s="182">
        <v>19</v>
      </c>
      <c r="D50" s="200">
        <f t="shared" si="4"/>
        <v>30109.037780795334</v>
      </c>
      <c r="E50" s="200">
        <f t="shared" si="1"/>
        <v>263.45408058195915</v>
      </c>
      <c r="F50" s="200">
        <f t="shared" si="2"/>
        <v>596.30193454273342</v>
      </c>
      <c r="G50" s="200">
        <f t="shared" si="5"/>
        <v>859.75601512469257</v>
      </c>
      <c r="H50" s="215">
        <f t="shared" si="3"/>
        <v>29512.735846252599</v>
      </c>
    </row>
    <row r="51" spans="3:8" x14ac:dyDescent="0.25">
      <c r="C51" s="182">
        <v>20</v>
      </c>
      <c r="D51" s="200">
        <f t="shared" si="4"/>
        <v>29512.735846252599</v>
      </c>
      <c r="E51" s="200">
        <f t="shared" si="1"/>
        <v>258.23643865471024</v>
      </c>
      <c r="F51" s="200">
        <f t="shared" si="2"/>
        <v>601.51957646998233</v>
      </c>
      <c r="G51" s="200">
        <f t="shared" si="5"/>
        <v>859.75601512469257</v>
      </c>
      <c r="H51" s="215">
        <f t="shared" si="3"/>
        <v>28911.216269782617</v>
      </c>
    </row>
    <row r="52" spans="3:8" x14ac:dyDescent="0.25">
      <c r="C52" s="182">
        <v>21</v>
      </c>
      <c r="D52" s="200">
        <f t="shared" si="4"/>
        <v>28911.216269782617</v>
      </c>
      <c r="E52" s="200">
        <f t="shared" si="1"/>
        <v>252.97314236059788</v>
      </c>
      <c r="F52" s="200">
        <f t="shared" si="2"/>
        <v>606.78287276409469</v>
      </c>
      <c r="G52" s="200">
        <f t="shared" si="5"/>
        <v>859.75601512469257</v>
      </c>
      <c r="H52" s="215">
        <f t="shared" si="3"/>
        <v>28304.433397018522</v>
      </c>
    </row>
    <row r="53" spans="3:8" x14ac:dyDescent="0.25">
      <c r="C53" s="182">
        <v>22</v>
      </c>
      <c r="D53" s="200">
        <f t="shared" si="4"/>
        <v>28304.433397018522</v>
      </c>
      <c r="E53" s="200">
        <f t="shared" si="1"/>
        <v>247.66379222391205</v>
      </c>
      <c r="F53" s="200">
        <f t="shared" si="2"/>
        <v>612.09222290078048</v>
      </c>
      <c r="G53" s="200">
        <f t="shared" si="5"/>
        <v>859.75601512469257</v>
      </c>
      <c r="H53" s="215">
        <f t="shared" si="3"/>
        <v>27692.341174117741</v>
      </c>
    </row>
    <row r="54" spans="3:8" x14ac:dyDescent="0.25">
      <c r="C54" s="182">
        <v>23</v>
      </c>
      <c r="D54" s="200">
        <f t="shared" si="4"/>
        <v>27692.341174117741</v>
      </c>
      <c r="E54" s="200">
        <f t="shared" si="1"/>
        <v>242.30798527353022</v>
      </c>
      <c r="F54" s="200">
        <f t="shared" si="2"/>
        <v>617.44802985116235</v>
      </c>
      <c r="G54" s="200">
        <f t="shared" si="5"/>
        <v>859.75601512469257</v>
      </c>
      <c r="H54" s="215">
        <f t="shared" si="3"/>
        <v>27074.893144266578</v>
      </c>
    </row>
    <row r="55" spans="3:8" x14ac:dyDescent="0.25">
      <c r="C55" s="182">
        <v>24</v>
      </c>
      <c r="D55" s="200">
        <f t="shared" si="4"/>
        <v>27074.893144266578</v>
      </c>
      <c r="E55" s="200">
        <f t="shared" si="1"/>
        <v>236.90531501233252</v>
      </c>
      <c r="F55" s="200">
        <f t="shared" si="2"/>
        <v>622.85070011236007</v>
      </c>
      <c r="G55" s="200">
        <f t="shared" si="5"/>
        <v>859.75601512469257</v>
      </c>
      <c r="H55" s="215">
        <f t="shared" si="3"/>
        <v>26452.042444154216</v>
      </c>
    </row>
    <row r="56" spans="3:8" x14ac:dyDescent="0.25">
      <c r="C56" s="182">
        <v>25</v>
      </c>
      <c r="D56" s="200">
        <f t="shared" si="4"/>
        <v>26452.042444154216</v>
      </c>
      <c r="E56" s="200">
        <f t="shared" si="1"/>
        <v>231.45537138634938</v>
      </c>
      <c r="F56" s="200">
        <f t="shared" si="2"/>
        <v>628.30064373834318</v>
      </c>
      <c r="G56" s="200">
        <f t="shared" si="5"/>
        <v>859.75601512469257</v>
      </c>
      <c r="H56" s="215">
        <f t="shared" si="3"/>
        <v>25823.741800415872</v>
      </c>
    </row>
    <row r="57" spans="3:8" x14ac:dyDescent="0.25">
      <c r="C57" s="182">
        <v>26</v>
      </c>
      <c r="D57" s="200">
        <f t="shared" si="4"/>
        <v>25823.741800415872</v>
      </c>
      <c r="E57" s="200">
        <f t="shared" si="1"/>
        <v>225.95774075363886</v>
      </c>
      <c r="F57" s="200">
        <f t="shared" si="2"/>
        <v>633.79827437105371</v>
      </c>
      <c r="G57" s="200">
        <f t="shared" si="5"/>
        <v>859.75601512469257</v>
      </c>
      <c r="H57" s="215">
        <f t="shared" si="3"/>
        <v>25189.943526044819</v>
      </c>
    </row>
    <row r="58" spans="3:8" x14ac:dyDescent="0.25">
      <c r="C58" s="182">
        <v>27</v>
      </c>
      <c r="D58" s="200">
        <f t="shared" si="4"/>
        <v>25189.943526044819</v>
      </c>
      <c r="E58" s="200">
        <f t="shared" si="1"/>
        <v>220.41200585289218</v>
      </c>
      <c r="F58" s="200">
        <f t="shared" si="2"/>
        <v>639.34400927180036</v>
      </c>
      <c r="G58" s="200">
        <f t="shared" si="5"/>
        <v>859.75601512469257</v>
      </c>
      <c r="H58" s="215">
        <f t="shared" si="3"/>
        <v>24550.599516773018</v>
      </c>
    </row>
    <row r="59" spans="3:8" x14ac:dyDescent="0.25">
      <c r="C59" s="182">
        <v>28</v>
      </c>
      <c r="D59" s="200">
        <f t="shared" si="4"/>
        <v>24550.599516773018</v>
      </c>
      <c r="E59" s="200">
        <f t="shared" si="1"/>
        <v>214.81774577176392</v>
      </c>
      <c r="F59" s="200">
        <f t="shared" si="2"/>
        <v>644.93826935292861</v>
      </c>
      <c r="G59" s="200">
        <f t="shared" si="5"/>
        <v>859.75601512469257</v>
      </c>
      <c r="H59" s="215">
        <f t="shared" si="3"/>
        <v>23905.661247420088</v>
      </c>
    </row>
    <row r="60" spans="3:8" x14ac:dyDescent="0.25">
      <c r="C60" s="182">
        <v>29</v>
      </c>
      <c r="D60" s="200">
        <f t="shared" si="4"/>
        <v>23905.661247420088</v>
      </c>
      <c r="E60" s="200">
        <f t="shared" si="1"/>
        <v>209.17453591492577</v>
      </c>
      <c r="F60" s="200">
        <f t="shared" si="2"/>
        <v>650.58147920976683</v>
      </c>
      <c r="G60" s="200">
        <f t="shared" si="5"/>
        <v>859.75601512469257</v>
      </c>
      <c r="H60" s="215">
        <f t="shared" si="3"/>
        <v>23255.079768210322</v>
      </c>
    </row>
    <row r="61" spans="3:8" x14ac:dyDescent="0.25">
      <c r="C61" s="182">
        <v>30</v>
      </c>
      <c r="D61" s="200">
        <f t="shared" si="4"/>
        <v>23255.079768210322</v>
      </c>
      <c r="E61" s="200">
        <f t="shared" si="1"/>
        <v>203.48194797184033</v>
      </c>
      <c r="F61" s="200">
        <f t="shared" si="2"/>
        <v>656.27406715285224</v>
      </c>
      <c r="G61" s="200">
        <f t="shared" si="5"/>
        <v>859.75601512469257</v>
      </c>
      <c r="H61" s="215">
        <f t="shared" si="3"/>
        <v>22598.80570105747</v>
      </c>
    </row>
    <row r="62" spans="3:8" x14ac:dyDescent="0.25">
      <c r="C62" s="182">
        <v>31</v>
      </c>
      <c r="D62" s="200">
        <f t="shared" si="4"/>
        <v>22598.80570105747</v>
      </c>
      <c r="E62" s="200">
        <f t="shared" si="1"/>
        <v>197.73954988425285</v>
      </c>
      <c r="F62" s="200">
        <f t="shared" si="2"/>
        <v>662.01646524043974</v>
      </c>
      <c r="G62" s="200">
        <f t="shared" si="5"/>
        <v>859.75601512469257</v>
      </c>
      <c r="H62" s="215">
        <f t="shared" si="3"/>
        <v>21936.789235817032</v>
      </c>
    </row>
    <row r="63" spans="3:8" x14ac:dyDescent="0.25">
      <c r="C63" s="182">
        <v>32</v>
      </c>
      <c r="D63" s="200">
        <f t="shared" si="4"/>
        <v>21936.789235817032</v>
      </c>
      <c r="E63" s="200">
        <f t="shared" si="1"/>
        <v>191.94690581339901</v>
      </c>
      <c r="F63" s="200">
        <f t="shared" si="2"/>
        <v>667.80910931129358</v>
      </c>
      <c r="G63" s="200">
        <f t="shared" si="5"/>
        <v>859.75601512469257</v>
      </c>
      <c r="H63" s="215">
        <f t="shared" si="3"/>
        <v>21268.980126505739</v>
      </c>
    </row>
    <row r="64" spans="3:8" x14ac:dyDescent="0.25">
      <c r="C64" s="182">
        <v>33</v>
      </c>
      <c r="D64" s="200">
        <f t="shared" si="4"/>
        <v>21268.980126505739</v>
      </c>
      <c r="E64" s="200">
        <f t="shared" si="1"/>
        <v>186.1035761069252</v>
      </c>
      <c r="F64" s="200">
        <f t="shared" si="2"/>
        <v>673.65243901776739</v>
      </c>
      <c r="G64" s="200">
        <f t="shared" si="5"/>
        <v>859.75601512469257</v>
      </c>
      <c r="H64" s="215">
        <f t="shared" si="3"/>
        <v>20595.327687487974</v>
      </c>
    </row>
    <row r="65" spans="3:8" x14ac:dyDescent="0.25">
      <c r="C65" s="182">
        <v>34</v>
      </c>
      <c r="D65" s="200">
        <f t="shared" si="4"/>
        <v>20595.327687487974</v>
      </c>
      <c r="E65" s="200">
        <f t="shared" si="1"/>
        <v>180.20911726551978</v>
      </c>
      <c r="F65" s="200">
        <f t="shared" si="2"/>
        <v>679.54689785917276</v>
      </c>
      <c r="G65" s="200">
        <f t="shared" si="5"/>
        <v>859.75601512469257</v>
      </c>
      <c r="H65" s="215">
        <f t="shared" si="3"/>
        <v>19915.7807896288</v>
      </c>
    </row>
    <row r="66" spans="3:8" x14ac:dyDescent="0.25">
      <c r="C66" s="182">
        <v>35</v>
      </c>
      <c r="D66" s="200">
        <f t="shared" si="4"/>
        <v>19915.7807896288</v>
      </c>
      <c r="E66" s="200">
        <f t="shared" si="1"/>
        <v>174.26308190925201</v>
      </c>
      <c r="F66" s="200">
        <f t="shared" si="2"/>
        <v>685.49293321544053</v>
      </c>
      <c r="G66" s="200">
        <f t="shared" si="5"/>
        <v>859.75601512469257</v>
      </c>
      <c r="H66" s="215">
        <f t="shared" si="3"/>
        <v>19230.287856413361</v>
      </c>
    </row>
    <row r="67" spans="3:8" x14ac:dyDescent="0.25">
      <c r="C67" s="182">
        <v>36</v>
      </c>
      <c r="D67" s="200">
        <f t="shared" si="4"/>
        <v>19230.287856413361</v>
      </c>
      <c r="E67" s="200">
        <f t="shared" si="1"/>
        <v>168.26501874361691</v>
      </c>
      <c r="F67" s="200">
        <f t="shared" si="2"/>
        <v>691.49099638107566</v>
      </c>
      <c r="G67" s="200">
        <f t="shared" si="5"/>
        <v>859.75601512469257</v>
      </c>
      <c r="H67" s="215">
        <f t="shared" si="3"/>
        <v>18538.796860032286</v>
      </c>
    </row>
    <row r="68" spans="3:8" x14ac:dyDescent="0.25">
      <c r="C68" s="182">
        <v>37</v>
      </c>
      <c r="D68" s="200">
        <f t="shared" si="4"/>
        <v>18538.796860032286</v>
      </c>
      <c r="E68" s="200">
        <f t="shared" si="1"/>
        <v>162.2144725252825</v>
      </c>
      <c r="F68" s="200">
        <f t="shared" si="2"/>
        <v>697.54154259941004</v>
      </c>
      <c r="G68" s="200">
        <f t="shared" si="5"/>
        <v>859.75601512469257</v>
      </c>
      <c r="H68" s="215">
        <f t="shared" si="3"/>
        <v>17841.255317432875</v>
      </c>
    </row>
    <row r="69" spans="3:8" x14ac:dyDescent="0.25">
      <c r="C69" s="182">
        <v>38</v>
      </c>
      <c r="D69" s="200">
        <f t="shared" si="4"/>
        <v>17841.255317432875</v>
      </c>
      <c r="E69" s="200">
        <f t="shared" si="1"/>
        <v>156.11098402753765</v>
      </c>
      <c r="F69" s="200">
        <f t="shared" si="2"/>
        <v>703.64503109715497</v>
      </c>
      <c r="G69" s="200">
        <f t="shared" si="5"/>
        <v>859.75601512469257</v>
      </c>
      <c r="H69" s="215">
        <f t="shared" si="3"/>
        <v>17137.610286335719</v>
      </c>
    </row>
    <row r="70" spans="3:8" x14ac:dyDescent="0.25">
      <c r="C70" s="182">
        <v>39</v>
      </c>
      <c r="D70" s="200">
        <f t="shared" si="4"/>
        <v>17137.610286335719</v>
      </c>
      <c r="E70" s="200">
        <f t="shared" si="1"/>
        <v>149.95409000543754</v>
      </c>
      <c r="F70" s="200">
        <f t="shared" si="2"/>
        <v>709.80192511925497</v>
      </c>
      <c r="G70" s="200">
        <f t="shared" si="5"/>
        <v>859.75601512469257</v>
      </c>
      <c r="H70" s="215">
        <f t="shared" si="3"/>
        <v>16427.808361216463</v>
      </c>
    </row>
    <row r="71" spans="3:8" x14ac:dyDescent="0.25">
      <c r="C71" s="182">
        <v>40</v>
      </c>
      <c r="D71" s="200">
        <f t="shared" si="4"/>
        <v>16427.808361216463</v>
      </c>
      <c r="E71" s="200">
        <f t="shared" si="1"/>
        <v>143.74332316064405</v>
      </c>
      <c r="F71" s="200">
        <f t="shared" si="2"/>
        <v>716.01269196404849</v>
      </c>
      <c r="G71" s="200">
        <f t="shared" si="5"/>
        <v>859.75601512469257</v>
      </c>
      <c r="H71" s="215">
        <f t="shared" si="3"/>
        <v>15711.795669252415</v>
      </c>
    </row>
    <row r="72" spans="3:8" x14ac:dyDescent="0.25">
      <c r="C72" s="182">
        <v>41</v>
      </c>
      <c r="D72" s="200">
        <f t="shared" si="4"/>
        <v>15711.795669252415</v>
      </c>
      <c r="E72" s="200">
        <f t="shared" si="1"/>
        <v>137.47821210595862</v>
      </c>
      <c r="F72" s="200">
        <f t="shared" si="2"/>
        <v>722.27780301873395</v>
      </c>
      <c r="G72" s="200">
        <f t="shared" si="5"/>
        <v>859.75601512469257</v>
      </c>
      <c r="H72" s="215">
        <f t="shared" si="3"/>
        <v>14989.51786623368</v>
      </c>
    </row>
    <row r="73" spans="3:8" x14ac:dyDescent="0.25">
      <c r="C73" s="182">
        <v>42</v>
      </c>
      <c r="D73" s="200">
        <f t="shared" si="4"/>
        <v>14989.51786623368</v>
      </c>
      <c r="E73" s="200">
        <f t="shared" si="1"/>
        <v>131.15828132954471</v>
      </c>
      <c r="F73" s="200">
        <f t="shared" si="2"/>
        <v>728.59773379514786</v>
      </c>
      <c r="G73" s="200">
        <f t="shared" si="5"/>
        <v>859.75601512469257</v>
      </c>
      <c r="H73" s="215">
        <f t="shared" si="3"/>
        <v>14260.920132438532</v>
      </c>
    </row>
    <row r="74" spans="3:8" x14ac:dyDescent="0.25">
      <c r="C74" s="182">
        <v>43</v>
      </c>
      <c r="D74" s="200">
        <f t="shared" si="4"/>
        <v>14260.920132438532</v>
      </c>
      <c r="E74" s="200">
        <f t="shared" si="1"/>
        <v>124.78305115883715</v>
      </c>
      <c r="F74" s="200">
        <f t="shared" si="2"/>
        <v>734.97296396585546</v>
      </c>
      <c r="G74" s="200">
        <f t="shared" si="5"/>
        <v>859.75601512469257</v>
      </c>
      <c r="H74" s="215">
        <f t="shared" si="3"/>
        <v>13525.947168472676</v>
      </c>
    </row>
    <row r="75" spans="3:8" x14ac:dyDescent="0.25">
      <c r="C75" s="182">
        <v>44</v>
      </c>
      <c r="D75" s="200">
        <f t="shared" si="4"/>
        <v>13525.947168472676</v>
      </c>
      <c r="E75" s="200">
        <f t="shared" si="1"/>
        <v>118.35203772413591</v>
      </c>
      <c r="F75" s="200">
        <f t="shared" si="2"/>
        <v>741.40397740055664</v>
      </c>
      <c r="G75" s="200">
        <f t="shared" si="5"/>
        <v>859.75601512469257</v>
      </c>
      <c r="H75" s="215">
        <f t="shared" si="3"/>
        <v>12784.54319107212</v>
      </c>
    </row>
    <row r="76" spans="3:8" x14ac:dyDescent="0.25">
      <c r="C76" s="182">
        <v>45</v>
      </c>
      <c r="D76" s="200">
        <f t="shared" si="4"/>
        <v>12784.54319107212</v>
      </c>
      <c r="E76" s="200">
        <f t="shared" si="1"/>
        <v>111.86475292188105</v>
      </c>
      <c r="F76" s="200">
        <f t="shared" si="2"/>
        <v>747.8912622028115</v>
      </c>
      <c r="G76" s="200">
        <f t="shared" si="5"/>
        <v>859.75601512469257</v>
      </c>
      <c r="H76" s="215">
        <f t="shared" si="3"/>
        <v>12036.651928869309</v>
      </c>
    </row>
    <row r="77" spans="3:8" x14ac:dyDescent="0.25">
      <c r="C77" s="182">
        <v>46</v>
      </c>
      <c r="D77" s="200">
        <f t="shared" si="4"/>
        <v>12036.651928869309</v>
      </c>
      <c r="E77" s="200">
        <f t="shared" si="1"/>
        <v>105.32070437760645</v>
      </c>
      <c r="F77" s="200">
        <f t="shared" si="2"/>
        <v>754.43531074708608</v>
      </c>
      <c r="G77" s="200">
        <f t="shared" si="5"/>
        <v>859.75601512469257</v>
      </c>
      <c r="H77" s="215">
        <f t="shared" si="3"/>
        <v>11282.216618122224</v>
      </c>
    </row>
    <row r="78" spans="3:8" x14ac:dyDescent="0.25">
      <c r="C78" s="182">
        <v>47</v>
      </c>
      <c r="D78" s="200">
        <f t="shared" si="4"/>
        <v>11282.216618122224</v>
      </c>
      <c r="E78" s="200">
        <f t="shared" si="1"/>
        <v>98.71939540856944</v>
      </c>
      <c r="F78" s="200">
        <f t="shared" si="2"/>
        <v>761.03661971612314</v>
      </c>
      <c r="G78" s="200">
        <f t="shared" si="5"/>
        <v>859.75601512469257</v>
      </c>
      <c r="H78" s="215">
        <f t="shared" si="3"/>
        <v>10521.1799984061</v>
      </c>
    </row>
    <row r="79" spans="3:8" x14ac:dyDescent="0.25">
      <c r="C79" s="182">
        <v>48</v>
      </c>
      <c r="D79" s="200">
        <f t="shared" si="4"/>
        <v>10521.1799984061</v>
      </c>
      <c r="E79" s="200">
        <f t="shared" si="1"/>
        <v>92.060324986053374</v>
      </c>
      <c r="F79" s="200">
        <f t="shared" si="2"/>
        <v>767.69569013863918</v>
      </c>
      <c r="G79" s="200">
        <f t="shared" si="5"/>
        <v>859.75601512469257</v>
      </c>
      <c r="H79" s="215">
        <f t="shared" si="3"/>
        <v>9753.4843082674615</v>
      </c>
    </row>
    <row r="80" spans="3:8" x14ac:dyDescent="0.25">
      <c r="C80" s="182">
        <v>49</v>
      </c>
      <c r="D80" s="200">
        <f t="shared" si="4"/>
        <v>9753.4843082674615</v>
      </c>
      <c r="E80" s="200">
        <f t="shared" si="1"/>
        <v>85.342987697340277</v>
      </c>
      <c r="F80" s="200">
        <f t="shared" si="2"/>
        <v>774.41302742735229</v>
      </c>
      <c r="G80" s="200">
        <f t="shared" si="5"/>
        <v>859.75601512469257</v>
      </c>
      <c r="H80" s="215">
        <f t="shared" si="3"/>
        <v>8979.0712808401095</v>
      </c>
    </row>
    <row r="81" spans="3:8" x14ac:dyDescent="0.25">
      <c r="C81" s="182">
        <v>50</v>
      </c>
      <c r="D81" s="200">
        <f t="shared" si="4"/>
        <v>8979.0712808401095</v>
      </c>
      <c r="E81" s="200">
        <f t="shared" si="1"/>
        <v>78.56687370735095</v>
      </c>
      <c r="F81" s="200">
        <f t="shared" si="2"/>
        <v>781.1891414173416</v>
      </c>
      <c r="G81" s="200">
        <f t="shared" si="5"/>
        <v>859.75601512469257</v>
      </c>
      <c r="H81" s="215">
        <f t="shared" si="3"/>
        <v>8197.8821394227671</v>
      </c>
    </row>
    <row r="82" spans="3:8" x14ac:dyDescent="0.25">
      <c r="C82" s="182">
        <v>51</v>
      </c>
      <c r="D82" s="200">
        <f t="shared" si="4"/>
        <v>8197.8821394227671</v>
      </c>
      <c r="E82" s="200">
        <f t="shared" si="1"/>
        <v>71.731468719949206</v>
      </c>
      <c r="F82" s="200">
        <f t="shared" si="2"/>
        <v>788.02454640474332</v>
      </c>
      <c r="G82" s="200">
        <f t="shared" si="5"/>
        <v>859.75601512469257</v>
      </c>
      <c r="H82" s="215">
        <f t="shared" si="3"/>
        <v>7409.8575930180241</v>
      </c>
    </row>
    <row r="83" spans="3:8" x14ac:dyDescent="0.25">
      <c r="C83" s="182">
        <v>52</v>
      </c>
      <c r="D83" s="200">
        <f t="shared" si="4"/>
        <v>7409.8575930180241</v>
      </c>
      <c r="E83" s="200">
        <f t="shared" si="1"/>
        <v>64.836253938907717</v>
      </c>
      <c r="F83" s="200">
        <f t="shared" si="2"/>
        <v>794.91976118578486</v>
      </c>
      <c r="G83" s="200">
        <f t="shared" si="5"/>
        <v>859.75601512469257</v>
      </c>
      <c r="H83" s="215">
        <f t="shared" si="3"/>
        <v>6614.9378318322397</v>
      </c>
    </row>
    <row r="84" spans="3:8" x14ac:dyDescent="0.25">
      <c r="C84" s="182">
        <v>53</v>
      </c>
      <c r="D84" s="200">
        <f t="shared" si="4"/>
        <v>6614.9378318322397</v>
      </c>
      <c r="E84" s="200">
        <f t="shared" si="1"/>
        <v>57.880706028532096</v>
      </c>
      <c r="F84" s="200">
        <f t="shared" si="2"/>
        <v>801.87530909616044</v>
      </c>
      <c r="G84" s="200">
        <f t="shared" si="5"/>
        <v>859.75601512469257</v>
      </c>
      <c r="H84" s="215">
        <f t="shared" si="3"/>
        <v>5813.0625227360797</v>
      </c>
    </row>
    <row r="85" spans="3:8" x14ac:dyDescent="0.25">
      <c r="C85" s="182">
        <v>54</v>
      </c>
      <c r="D85" s="200">
        <f t="shared" si="4"/>
        <v>5813.0625227360797</v>
      </c>
      <c r="E85" s="200">
        <f t="shared" si="1"/>
        <v>50.864297073940698</v>
      </c>
      <c r="F85" s="200">
        <f t="shared" si="2"/>
        <v>808.89171805075182</v>
      </c>
      <c r="G85" s="200">
        <f t="shared" si="5"/>
        <v>859.75601512469257</v>
      </c>
      <c r="H85" s="215">
        <f t="shared" si="3"/>
        <v>5004.1708046853282</v>
      </c>
    </row>
    <row r="86" spans="3:8" x14ac:dyDescent="0.25">
      <c r="C86" s="182">
        <v>55</v>
      </c>
      <c r="D86" s="200">
        <f t="shared" si="4"/>
        <v>5004.1708046853282</v>
      </c>
      <c r="E86" s="200">
        <f t="shared" si="1"/>
        <v>43.786494540996621</v>
      </c>
      <c r="F86" s="200">
        <f t="shared" si="2"/>
        <v>815.96952058369595</v>
      </c>
      <c r="G86" s="200">
        <f t="shared" si="5"/>
        <v>859.75601512469257</v>
      </c>
      <c r="H86" s="215">
        <f t="shared" si="3"/>
        <v>4188.2012841016322</v>
      </c>
    </row>
    <row r="87" spans="3:8" x14ac:dyDescent="0.25">
      <c r="C87" s="182">
        <v>56</v>
      </c>
      <c r="D87" s="200">
        <f t="shared" si="4"/>
        <v>4188.2012841016322</v>
      </c>
      <c r="E87" s="200">
        <f t="shared" si="1"/>
        <v>36.646761235889279</v>
      </c>
      <c r="F87" s="200">
        <f t="shared" si="2"/>
        <v>823.10925388880332</v>
      </c>
      <c r="G87" s="200">
        <f t="shared" si="5"/>
        <v>859.75601512469257</v>
      </c>
      <c r="H87" s="215">
        <f t="shared" si="3"/>
        <v>3365.0920302128288</v>
      </c>
    </row>
    <row r="88" spans="3:8" x14ac:dyDescent="0.25">
      <c r="C88" s="182">
        <v>57</v>
      </c>
      <c r="D88" s="200">
        <f t="shared" si="4"/>
        <v>3365.0920302128288</v>
      </c>
      <c r="E88" s="200">
        <f t="shared" si="1"/>
        <v>29.444555264362251</v>
      </c>
      <c r="F88" s="200">
        <f t="shared" si="2"/>
        <v>830.31145986033027</v>
      </c>
      <c r="G88" s="200">
        <f t="shared" si="5"/>
        <v>859.75601512469257</v>
      </c>
      <c r="H88" s="215">
        <f t="shared" si="3"/>
        <v>2534.7805703524987</v>
      </c>
    </row>
    <row r="89" spans="3:8" x14ac:dyDescent="0.25">
      <c r="C89" s="182">
        <v>58</v>
      </c>
      <c r="D89" s="200">
        <f t="shared" si="4"/>
        <v>2534.7805703524987</v>
      </c>
      <c r="E89" s="200">
        <f t="shared" si="1"/>
        <v>22.179329990584364</v>
      </c>
      <c r="F89" s="200">
        <f t="shared" si="2"/>
        <v>837.57668513410817</v>
      </c>
      <c r="G89" s="200">
        <f t="shared" si="5"/>
        <v>859.75601512469257</v>
      </c>
      <c r="H89" s="215">
        <f t="shared" si="3"/>
        <v>1697.2038852183905</v>
      </c>
    </row>
    <row r="90" spans="3:8" x14ac:dyDescent="0.25">
      <c r="C90" s="182">
        <v>59</v>
      </c>
      <c r="D90" s="200">
        <f t="shared" si="4"/>
        <v>1697.2038852183905</v>
      </c>
      <c r="E90" s="200">
        <f t="shared" si="1"/>
        <v>14.850533995660916</v>
      </c>
      <c r="F90" s="200">
        <f t="shared" si="2"/>
        <v>844.90548112903161</v>
      </c>
      <c r="G90" s="200">
        <f t="shared" si="5"/>
        <v>859.75601512469257</v>
      </c>
      <c r="H90" s="215">
        <f t="shared" si="3"/>
        <v>852.29840408935888</v>
      </c>
    </row>
    <row r="91" spans="3:8" ht="15.75" thickBot="1" x14ac:dyDescent="0.3">
      <c r="C91" s="216">
        <v>60</v>
      </c>
      <c r="D91" s="217">
        <f t="shared" si="4"/>
        <v>852.29840408935888</v>
      </c>
      <c r="E91" s="217">
        <f t="shared" si="1"/>
        <v>7.4576110357818903</v>
      </c>
      <c r="F91" s="217">
        <f t="shared" si="2"/>
        <v>852.29840408891073</v>
      </c>
      <c r="G91" s="217">
        <f t="shared" si="5"/>
        <v>859.75601512469257</v>
      </c>
      <c r="H91" s="218">
        <f t="shared" si="3"/>
        <v>4.4815351429861039E-10</v>
      </c>
    </row>
  </sheetData>
  <mergeCells count="2">
    <mergeCell ref="H27:H28"/>
    <mergeCell ref="C29:H29"/>
  </mergeCells>
  <pageMargins left="0.7" right="0.7" top="0.75" bottom="0.75" header="0.3" footer="0.3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5:N42"/>
  <sheetViews>
    <sheetView topLeftCell="B14" zoomScale="85" zoomScaleNormal="85" workbookViewId="0">
      <selection activeCell="H36" sqref="H36"/>
    </sheetView>
  </sheetViews>
  <sheetFormatPr baseColWidth="10" defaultColWidth="9.140625" defaultRowHeight="15" x14ac:dyDescent="0.25"/>
  <cols>
    <col min="1" max="2" width="9.140625" style="96"/>
    <col min="3" max="3" width="10.85546875" style="96" bestFit="1" customWidth="1"/>
    <col min="4" max="4" width="9.140625" style="96"/>
    <col min="5" max="5" width="9.140625" style="152"/>
    <col min="6" max="6" width="45.140625" style="96" customWidth="1"/>
    <col min="7" max="7" width="15.5703125" style="96" bestFit="1" customWidth="1"/>
    <col min="8" max="8" width="17.42578125" style="96" customWidth="1"/>
    <col min="9" max="9" width="14.42578125" style="96" bestFit="1" customWidth="1"/>
    <col min="10" max="10" width="18.7109375" style="96" customWidth="1"/>
    <col min="11" max="11" width="17.85546875" style="96" customWidth="1"/>
    <col min="12" max="12" width="15.85546875" style="96" bestFit="1" customWidth="1"/>
    <col min="13" max="13" width="10.85546875" style="96" bestFit="1" customWidth="1"/>
    <col min="14" max="14" width="13.140625" style="96" bestFit="1" customWidth="1"/>
    <col min="15" max="16384" width="9.140625" style="96"/>
  </cols>
  <sheetData>
    <row r="5" spans="5:14" ht="15.75" thickBot="1" x14ac:dyDescent="0.3"/>
    <row r="6" spans="5:14" ht="30.75" customHeight="1" thickBot="1" x14ac:dyDescent="0.3">
      <c r="F6" s="36" t="s">
        <v>3</v>
      </c>
      <c r="G6" s="37" t="s">
        <v>127</v>
      </c>
      <c r="H6" s="37" t="s">
        <v>32</v>
      </c>
      <c r="I6" s="37" t="s">
        <v>33</v>
      </c>
      <c r="J6" s="37" t="s">
        <v>34</v>
      </c>
      <c r="K6" s="37" t="s">
        <v>35</v>
      </c>
      <c r="L6" s="38" t="s">
        <v>36</v>
      </c>
    </row>
    <row r="7" spans="5:14" ht="3.75" customHeight="1" x14ac:dyDescent="0.25">
      <c r="F7" s="153"/>
      <c r="G7" s="154"/>
      <c r="H7" s="154"/>
      <c r="I7" s="154"/>
      <c r="J7" s="154"/>
      <c r="K7" s="154"/>
      <c r="L7" s="155"/>
    </row>
    <row r="8" spans="5:14" x14ac:dyDescent="0.25">
      <c r="E8" s="152" t="s">
        <v>82</v>
      </c>
      <c r="F8" s="156" t="s">
        <v>128</v>
      </c>
      <c r="G8" s="157"/>
      <c r="H8" s="157"/>
      <c r="I8" s="157"/>
      <c r="J8" s="157"/>
      <c r="K8" s="157"/>
      <c r="L8" s="158"/>
    </row>
    <row r="9" spans="5:14" x14ac:dyDescent="0.25">
      <c r="E9" s="152" t="s">
        <v>82</v>
      </c>
      <c r="F9" s="159" t="s">
        <v>276</v>
      </c>
      <c r="G9" s="157"/>
      <c r="H9" s="160">
        <f>+G36</f>
        <v>13965</v>
      </c>
      <c r="I9" s="160">
        <f>+H36</f>
        <v>-7104.1316208761873</v>
      </c>
      <c r="J9" s="160">
        <f>+I36</f>
        <v>-10653.677288160699</v>
      </c>
      <c r="K9" s="160">
        <f>+J36</f>
        <v>14278.801787964097</v>
      </c>
      <c r="L9" s="161">
        <f>+K36</f>
        <v>59373.851197479788</v>
      </c>
    </row>
    <row r="10" spans="5:14" x14ac:dyDescent="0.25">
      <c r="E10" s="152" t="s">
        <v>82</v>
      </c>
      <c r="F10" s="588" t="s">
        <v>129</v>
      </c>
      <c r="G10" s="589"/>
      <c r="H10" s="456">
        <f>+'ESTADO DE RESULTADOS'!E4</f>
        <v>101707.93045360425</v>
      </c>
      <c r="I10" s="456">
        <f>+'ESTADO DE RESULTADOS'!F4</f>
        <v>122747.56105004555</v>
      </c>
      <c r="J10" s="456">
        <f>+'ESTADO DE RESULTADOS'!G4</f>
        <v>155786.34377572616</v>
      </c>
      <c r="K10" s="456">
        <f>+'ESTADO DE RESULTADOS'!H4</f>
        <v>190713.22922474035</v>
      </c>
      <c r="L10" s="590">
        <f>+'ESTADO DE RESULTADOS'!I4</f>
        <v>233470.62983703951</v>
      </c>
    </row>
    <row r="11" spans="5:14" x14ac:dyDescent="0.25">
      <c r="E11" s="152" t="s">
        <v>82</v>
      </c>
      <c r="F11" s="162" t="s">
        <v>130</v>
      </c>
      <c r="G11" s="157"/>
      <c r="H11" s="157"/>
      <c r="I11" s="157"/>
      <c r="J11" s="157"/>
      <c r="K11" s="157"/>
      <c r="L11" s="569">
        <f>+DEPRECIACIONES!J8+DEPRECIACIONES!J18+'ACTIVOS FIJOS'!D11</f>
        <v>23500</v>
      </c>
      <c r="M11" s="570"/>
      <c r="N11" s="568"/>
    </row>
    <row r="12" spans="5:14" ht="4.5" customHeight="1" thickBot="1" x14ac:dyDescent="0.3">
      <c r="F12" s="242"/>
      <c r="G12" s="243"/>
      <c r="H12" s="243"/>
      <c r="I12" s="243"/>
      <c r="J12" s="243"/>
      <c r="K12" s="243"/>
      <c r="L12" s="244"/>
    </row>
    <row r="13" spans="5:14" ht="15.75" thickBot="1" x14ac:dyDescent="0.3">
      <c r="F13" s="166" t="s">
        <v>131</v>
      </c>
      <c r="G13" s="167"/>
      <c r="H13" s="168">
        <f>SUM(H9:H11)</f>
        <v>115672.93045360425</v>
      </c>
      <c r="I13" s="168">
        <f>SUM(I9:I11)</f>
        <v>115643.42942916937</v>
      </c>
      <c r="J13" s="168">
        <f>SUM(J9:J11)</f>
        <v>145132.66648756547</v>
      </c>
      <c r="K13" s="168">
        <f>SUM(K9:K11)</f>
        <v>204992.03101270445</v>
      </c>
      <c r="L13" s="168">
        <f>SUM(L9:L11)</f>
        <v>316344.48103451927</v>
      </c>
    </row>
    <row r="14" spans="5:14" x14ac:dyDescent="0.25">
      <c r="F14" s="169"/>
      <c r="G14" s="154"/>
      <c r="H14" s="571"/>
      <c r="I14" s="571"/>
      <c r="J14" s="571"/>
      <c r="K14" s="571"/>
      <c r="L14" s="571"/>
    </row>
    <row r="15" spans="5:14" x14ac:dyDescent="0.25">
      <c r="E15" s="152" t="s">
        <v>84</v>
      </c>
      <c r="F15" s="156" t="s">
        <v>132</v>
      </c>
      <c r="G15" s="157"/>
      <c r="H15" s="157"/>
      <c r="I15" s="157"/>
      <c r="J15" s="157"/>
      <c r="K15" s="157"/>
      <c r="L15" s="158"/>
    </row>
    <row r="16" spans="5:14" x14ac:dyDescent="0.25">
      <c r="F16" s="588" t="s">
        <v>133</v>
      </c>
      <c r="G16" s="589"/>
      <c r="H16" s="456">
        <f>+'COSTOS Y GASTOS'!C12-'COSTOS Y GASTOS'!C10</f>
        <v>90509.389892984138</v>
      </c>
      <c r="I16" s="456">
        <f>+'COSTOS Y GASTOS'!D12-'COSTOS Y GASTOS'!D10</f>
        <v>94666.158535833762</v>
      </c>
      <c r="J16" s="456">
        <f>+'COSTOS Y GASTOS'!E12-'COSTOS Y GASTOS'!E10</f>
        <v>99022.843645438406</v>
      </c>
      <c r="K16" s="456">
        <f>+'COSTOS Y GASTOS'!F12-'COSTOS Y GASTOS'!F10</f>
        <v>103589.44078186975</v>
      </c>
      <c r="L16" s="590">
        <f>+'COSTOS Y GASTOS'!G12-'COSTOS Y GASTOS'!G10</f>
        <v>108376.46063180675</v>
      </c>
    </row>
    <row r="17" spans="1:14" x14ac:dyDescent="0.25">
      <c r="F17" s="588" t="s">
        <v>88</v>
      </c>
      <c r="G17" s="589"/>
      <c r="H17" s="456">
        <f>+'COSTOS Y GASTOS'!C23-'COSTOS Y GASTOS'!C20-'COSTOS Y GASTOS'!C21</f>
        <v>12120.599999999999</v>
      </c>
      <c r="I17" s="456">
        <f>+'COSTOS Y GASTOS'!D23-'COSTOS Y GASTOS'!D20-'COSTOS Y GASTOS'!D21</f>
        <v>12166.175999999998</v>
      </c>
      <c r="J17" s="456">
        <f>+'COSTOS Y GASTOS'!E23-'COSTOS Y GASTOS'!E20-'COSTOS Y GASTOS'!E21</f>
        <v>12213.354755999999</v>
      </c>
      <c r="K17" s="456">
        <f>+'COSTOS Y GASTOS'!F23-'COSTOS Y GASTOS'!F20-'COSTOS Y GASTOS'!F21</f>
        <v>12262.192631585998</v>
      </c>
      <c r="L17" s="590">
        <f>+'COSTOS Y GASTOS'!G23-'COSTOS Y GASTOS'!G20-'COSTOS Y GASTOS'!G21</f>
        <v>12312.74797246344</v>
      </c>
    </row>
    <row r="18" spans="1:14" x14ac:dyDescent="0.25">
      <c r="F18" s="588" t="s">
        <v>89</v>
      </c>
      <c r="G18" s="589"/>
      <c r="H18" s="456">
        <f>+'COSTOS Y GASTOS'!C29</f>
        <v>4200</v>
      </c>
      <c r="I18" s="456">
        <f>+'COSTOS Y GASTOS'!D29</f>
        <v>4347.7</v>
      </c>
      <c r="J18" s="456">
        <f>+'COSTOS Y GASTOS'!E29</f>
        <v>4500.5941166666662</v>
      </c>
      <c r="K18" s="456">
        <f>+'COSTOS Y GASTOS'!F29</f>
        <v>4658.8650097694435</v>
      </c>
      <c r="L18" s="590">
        <f>+'COSTOS Y GASTOS'!G29</f>
        <v>4822.7017626130018</v>
      </c>
    </row>
    <row r="19" spans="1:14" x14ac:dyDescent="0.25">
      <c r="F19" s="588" t="s">
        <v>374</v>
      </c>
      <c r="G19" s="589"/>
      <c r="H19" s="456">
        <f>+'COSTOS Y GASTOS'!D34+'COSTOS Y GASTOS'!D35+'COSTOS Y GASTOS'!D36</f>
        <v>4800</v>
      </c>
      <c r="I19" s="456">
        <f>+H19</f>
        <v>4800</v>
      </c>
      <c r="J19" s="456">
        <f>+I19</f>
        <v>4800</v>
      </c>
      <c r="K19" s="456">
        <f>+J19</f>
        <v>4800</v>
      </c>
      <c r="L19" s="590">
        <f>+K19</f>
        <v>4800</v>
      </c>
    </row>
    <row r="20" spans="1:14" x14ac:dyDescent="0.25">
      <c r="F20" s="588" t="s">
        <v>134</v>
      </c>
      <c r="G20" s="589"/>
      <c r="H20" s="456">
        <f>+FINANCIAMIENTO!M20</f>
        <v>3896.8582666034258</v>
      </c>
      <c r="I20" s="456">
        <f>+FINANCIAMIENTO!N20</f>
        <v>3189.3285405434235</v>
      </c>
      <c r="J20" s="456">
        <f>+FINANCIAMIENTO!O20</f>
        <v>2403.8265973743764</v>
      </c>
      <c r="K20" s="456">
        <f>+FINANCIAMIENTO!P20</f>
        <v>1531.7596297314883</v>
      </c>
      <c r="L20" s="590">
        <f>+FINANCIAMIENTO!Q20</f>
        <v>563.58787322929629</v>
      </c>
    </row>
    <row r="21" spans="1:14" x14ac:dyDescent="0.25">
      <c r="F21" s="588" t="s">
        <v>135</v>
      </c>
      <c r="G21" s="589"/>
      <c r="H21" s="589"/>
      <c r="I21" s="589"/>
      <c r="J21" s="589"/>
      <c r="K21" s="589"/>
      <c r="L21" s="591"/>
    </row>
    <row r="22" spans="1:14" x14ac:dyDescent="0.25">
      <c r="A22" s="595"/>
      <c r="B22" s="595"/>
      <c r="C22" s="595"/>
      <c r="D22" s="595"/>
      <c r="E22" s="596"/>
      <c r="F22" s="597" t="s">
        <v>275</v>
      </c>
      <c r="G22" s="567">
        <f>+'ACTIVOS FIJOS'!C3-G24</f>
        <v>26035</v>
      </c>
      <c r="H22" s="589"/>
      <c r="I22" s="589"/>
      <c r="J22" s="589"/>
      <c r="K22" s="589"/>
      <c r="L22" s="591"/>
    </row>
    <row r="23" spans="1:14" x14ac:dyDescent="0.25">
      <c r="F23" s="588" t="s">
        <v>138</v>
      </c>
      <c r="G23" s="456"/>
      <c r="H23" s="456">
        <f>'ACTIVOS FIJOS'!C4</f>
        <v>830</v>
      </c>
      <c r="I23" s="589"/>
      <c r="J23" s="589"/>
      <c r="K23" s="589"/>
      <c r="L23" s="591"/>
    </row>
    <row r="24" spans="1:14" x14ac:dyDescent="0.25">
      <c r="F24" s="588" t="s">
        <v>254</v>
      </c>
      <c r="G24" s="456">
        <f>+FINANCIAMIENTO!D5</f>
        <v>20830</v>
      </c>
      <c r="H24" s="589"/>
      <c r="I24" s="589"/>
      <c r="J24" s="589"/>
      <c r="K24" s="589"/>
      <c r="L24" s="591"/>
    </row>
    <row r="25" spans="1:14" ht="4.5" customHeight="1" thickBot="1" x14ac:dyDescent="0.3">
      <c r="F25" s="164"/>
      <c r="G25" s="170"/>
      <c r="H25" s="165"/>
      <c r="I25" s="165"/>
      <c r="J25" s="165"/>
      <c r="K25" s="165"/>
      <c r="L25" s="171"/>
    </row>
    <row r="26" spans="1:14" ht="15.75" thickBot="1" x14ac:dyDescent="0.3">
      <c r="C26" s="668">
        <f>+G30+G31-G22</f>
        <v>34795</v>
      </c>
      <c r="E26" s="152" t="s">
        <v>84</v>
      </c>
      <c r="F26" s="166" t="s">
        <v>136</v>
      </c>
      <c r="G26" s="172">
        <f t="shared" ref="G26:L26" si="0">SUM(G16:G24)</f>
        <v>46865</v>
      </c>
      <c r="H26" s="172">
        <f>SUM(H16:H24)</f>
        <v>116356.84815958755</v>
      </c>
      <c r="I26" s="172">
        <f t="shared" si="0"/>
        <v>119169.36307637718</v>
      </c>
      <c r="J26" s="172">
        <f t="shared" si="0"/>
        <v>122940.61911547944</v>
      </c>
      <c r="K26" s="172">
        <f t="shared" si="0"/>
        <v>126842.25805295669</v>
      </c>
      <c r="L26" s="173">
        <f t="shared" si="0"/>
        <v>130875.49824011247</v>
      </c>
    </row>
    <row r="27" spans="1:14" ht="15.75" thickBot="1" x14ac:dyDescent="0.3">
      <c r="F27" s="174"/>
      <c r="G27" s="175"/>
      <c r="H27" s="175"/>
      <c r="I27" s="175"/>
      <c r="J27" s="175"/>
      <c r="K27" s="175"/>
      <c r="L27" s="176"/>
    </row>
    <row r="28" spans="1:14" ht="22.5" customHeight="1" thickBot="1" x14ac:dyDescent="0.3">
      <c r="E28" s="152" t="s">
        <v>83</v>
      </c>
      <c r="F28" s="39" t="s">
        <v>137</v>
      </c>
      <c r="G28" s="52">
        <f>+G13-G26</f>
        <v>-46865</v>
      </c>
      <c r="H28" s="52">
        <f t="shared" ref="H28:L28" si="1">+H13-H26</f>
        <v>-683.91770598330186</v>
      </c>
      <c r="I28" s="52">
        <f t="shared" si="1"/>
        <v>-3525.9336472078139</v>
      </c>
      <c r="J28" s="52">
        <f t="shared" si="1"/>
        <v>22192.047372086032</v>
      </c>
      <c r="K28" s="52">
        <f t="shared" si="1"/>
        <v>78149.772959747759</v>
      </c>
      <c r="L28" s="46">
        <f t="shared" si="1"/>
        <v>185468.98279440679</v>
      </c>
    </row>
    <row r="29" spans="1:14" ht="4.5" customHeight="1" x14ac:dyDescent="0.25">
      <c r="F29" s="169"/>
      <c r="G29" s="154"/>
      <c r="H29" s="154"/>
      <c r="I29" s="154"/>
      <c r="J29" s="154"/>
      <c r="K29" s="154"/>
      <c r="L29" s="155"/>
    </row>
    <row r="30" spans="1:14" x14ac:dyDescent="0.25">
      <c r="E30" s="152" t="s">
        <v>82</v>
      </c>
      <c r="F30" s="159" t="s">
        <v>141</v>
      </c>
      <c r="G30" s="163">
        <f>+FINANCIAMIENTO!D7</f>
        <v>40000</v>
      </c>
      <c r="H30" s="157"/>
      <c r="I30" s="157"/>
      <c r="J30" s="157"/>
      <c r="K30" s="157"/>
      <c r="L30" s="158"/>
      <c r="N30" s="177"/>
    </row>
    <row r="31" spans="1:14" x14ac:dyDescent="0.25">
      <c r="E31" s="152" t="s">
        <v>82</v>
      </c>
      <c r="F31" s="159" t="s">
        <v>254</v>
      </c>
      <c r="G31" s="163">
        <f>+G24</f>
        <v>20830</v>
      </c>
      <c r="H31" s="157"/>
      <c r="I31" s="157"/>
      <c r="J31" s="157"/>
      <c r="K31" s="157"/>
      <c r="L31" s="158"/>
    </row>
    <row r="32" spans="1:14" x14ac:dyDescent="0.25">
      <c r="E32" s="152" t="s">
        <v>84</v>
      </c>
      <c r="F32" s="592" t="s">
        <v>142</v>
      </c>
      <c r="G32" s="589"/>
      <c r="H32" s="593">
        <f>+FINANCIAMIENTO!M21</f>
        <v>6420.2139148928854</v>
      </c>
      <c r="I32" s="593">
        <f>+FINANCIAMIENTO!N21</f>
        <v>7127.7436409528864</v>
      </c>
      <c r="J32" s="593">
        <f>+FINANCIAMIENTO!O21</f>
        <v>7913.2455841219344</v>
      </c>
      <c r="K32" s="593">
        <f>+FINANCIAMIENTO!P21</f>
        <v>8785.3125517648223</v>
      </c>
      <c r="L32" s="594">
        <f>+FINANCIAMIENTO!Q21</f>
        <v>9753.4843082670159</v>
      </c>
    </row>
    <row r="33" spans="5:12" x14ac:dyDescent="0.25">
      <c r="E33" s="152" t="s">
        <v>84</v>
      </c>
      <c r="F33" s="159" t="s">
        <v>143</v>
      </c>
      <c r="G33" s="157"/>
      <c r="H33" s="456"/>
      <c r="I33" s="163">
        <f>+'ESTADO DE RESULTADOS'!E32</f>
        <v>0</v>
      </c>
      <c r="J33" s="163">
        <f>+'ESTADO DE RESULTADOS'!F32</f>
        <v>0</v>
      </c>
      <c r="K33" s="163">
        <f>+'ESTADO DE RESULTADOS'!G32</f>
        <v>4446.8586990370059</v>
      </c>
      <c r="L33" s="163">
        <f>+'ESTADO DE RESULTADOS'!H32</f>
        <v>9100.6456757675514</v>
      </c>
    </row>
    <row r="34" spans="5:12" x14ac:dyDescent="0.25">
      <c r="E34" s="152" t="s">
        <v>84</v>
      </c>
      <c r="F34" s="159" t="s">
        <v>144</v>
      </c>
      <c r="G34" s="157"/>
      <c r="H34" s="456"/>
      <c r="I34" s="163">
        <f>+'ESTADO DE RESULTADOS'!E36</f>
        <v>0</v>
      </c>
      <c r="J34" s="163">
        <f>+'ESTADO DE RESULTADOS'!F36</f>
        <v>0</v>
      </c>
      <c r="K34" s="163">
        <f>+'ESTADO DE RESULTADOS'!G36</f>
        <v>5543.7505114661344</v>
      </c>
      <c r="L34" s="163">
        <f>+'ESTADO DE RESULTADOS'!H36</f>
        <v>11345.471609123548</v>
      </c>
    </row>
    <row r="35" spans="5:12" ht="4.5" customHeight="1" thickBot="1" x14ac:dyDescent="0.3">
      <c r="F35" s="164"/>
      <c r="G35" s="165"/>
      <c r="H35" s="165"/>
      <c r="I35" s="165"/>
      <c r="J35" s="165"/>
      <c r="K35" s="165"/>
      <c r="L35" s="171"/>
    </row>
    <row r="36" spans="5:12" ht="21" customHeight="1" thickBot="1" x14ac:dyDescent="0.3">
      <c r="E36" s="152" t="s">
        <v>83</v>
      </c>
      <c r="F36" s="39" t="s">
        <v>149</v>
      </c>
      <c r="G36" s="40">
        <f>+G28+G30+G32-G33-G34+G31</f>
        <v>13965</v>
      </c>
      <c r="H36" s="40">
        <f>+H28+H30-H32-H33-H34</f>
        <v>-7104.1316208761873</v>
      </c>
      <c r="I36" s="40">
        <f t="shared" ref="I36:K36" si="2">+I28+I30-I32-I33-I34</f>
        <v>-10653.677288160699</v>
      </c>
      <c r="J36" s="40">
        <f t="shared" si="2"/>
        <v>14278.801787964097</v>
      </c>
      <c r="K36" s="40">
        <f t="shared" si="2"/>
        <v>59373.851197479788</v>
      </c>
      <c r="L36" s="33">
        <f>+L28+L30-L32-L33-L34</f>
        <v>155269.38120124867</v>
      </c>
    </row>
    <row r="37" spans="5:12" x14ac:dyDescent="0.25">
      <c r="G37" s="177">
        <f>+'COSTOS Y GASTOS'!C41</f>
        <v>9302.499157748678</v>
      </c>
      <c r="H37" s="604">
        <f>+G36-G37</f>
        <v>4662.500842251322</v>
      </c>
      <c r="I37" s="595" t="s">
        <v>382</v>
      </c>
    </row>
    <row r="38" spans="5:12" x14ac:dyDescent="0.25">
      <c r="F38" s="96" t="s">
        <v>160</v>
      </c>
      <c r="G38" s="179">
        <f>+FINANCIAMIENTO!G14</f>
        <v>0.17956399802728917</v>
      </c>
    </row>
    <row r="40" spans="5:12" x14ac:dyDescent="0.25">
      <c r="G40" s="598"/>
      <c r="H40" s="181"/>
    </row>
    <row r="42" spans="5:12" x14ac:dyDescent="0.25">
      <c r="G42" s="178"/>
    </row>
  </sheetData>
  <pageMargins left="0.7" right="0.7" top="0.75" bottom="0.75" header="0.3" footer="0.3"/>
  <pageSetup orientation="portrait" horizontalDpi="4294967293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D2:P22"/>
  <sheetViews>
    <sheetView zoomScale="80" zoomScaleNormal="80" workbookViewId="0">
      <selection activeCell="I13" sqref="I13"/>
    </sheetView>
  </sheetViews>
  <sheetFormatPr baseColWidth="10" defaultColWidth="9.140625" defaultRowHeight="15" x14ac:dyDescent="0.25"/>
  <cols>
    <col min="1" max="4" width="9.140625" style="7"/>
    <col min="5" max="5" width="19.140625" style="7" bestFit="1" customWidth="1"/>
    <col min="6" max="6" width="20.140625" style="7" customWidth="1"/>
    <col min="7" max="7" width="18.5703125" style="7" bestFit="1" customWidth="1"/>
    <col min="8" max="8" width="13.28515625" style="7" bestFit="1" customWidth="1"/>
    <col min="9" max="10" width="9.140625" style="7"/>
    <col min="11" max="11" width="10.85546875" style="7" bestFit="1" customWidth="1"/>
    <col min="12" max="12" width="2.85546875" style="7" customWidth="1"/>
    <col min="13" max="13" width="15.5703125" style="7" customWidth="1"/>
    <col min="14" max="14" width="1.7109375" style="7" bestFit="1" customWidth="1"/>
    <col min="15" max="15" width="14.85546875" style="7" customWidth="1"/>
    <col min="16" max="16384" width="9.140625" style="7"/>
  </cols>
  <sheetData>
    <row r="2" spans="4:16" x14ac:dyDescent="0.25">
      <c r="D2" s="7" t="s">
        <v>160</v>
      </c>
      <c r="F2" s="53">
        <f>+FINANCIAMIENTO!G14</f>
        <v>0.17956399802728917</v>
      </c>
    </row>
    <row r="3" spans="4:16" ht="15.75" thickBot="1" x14ac:dyDescent="0.3"/>
    <row r="4" spans="4:16" ht="43.5" thickBot="1" x14ac:dyDescent="0.3">
      <c r="D4" s="36" t="s">
        <v>154</v>
      </c>
      <c r="E4" s="18" t="s">
        <v>155</v>
      </c>
      <c r="F4" s="18" t="s">
        <v>158</v>
      </c>
      <c r="G4" s="38" t="s">
        <v>156</v>
      </c>
    </row>
    <row r="5" spans="4:16" x14ac:dyDescent="0.25">
      <c r="D5" s="182">
        <v>0</v>
      </c>
      <c r="E5" s="25">
        <f>-'FLUJO DE CAJA'!G24</f>
        <v>-20830</v>
      </c>
      <c r="F5" s="183">
        <f>1/(1+$F$2)^D5</f>
        <v>1</v>
      </c>
      <c r="G5" s="63">
        <f>+F5*E5</f>
        <v>-20830</v>
      </c>
      <c r="I5" s="7" t="s">
        <v>291</v>
      </c>
    </row>
    <row r="6" spans="4:16" x14ac:dyDescent="0.25">
      <c r="D6" s="182">
        <v>1</v>
      </c>
      <c r="E6" s="25">
        <f>+'FLUJO DE CAJA'!H36</f>
        <v>-7104.1316208761873</v>
      </c>
      <c r="F6" s="183">
        <f t="shared" ref="F6:F10" si="0">1/(1+$F$2)^D6</f>
        <v>0.84777087268889761</v>
      </c>
      <c r="G6" s="63">
        <f t="shared" ref="G6:G9" si="1">+F6*E6</f>
        <v>-6022.6758639269983</v>
      </c>
      <c r="I6" s="7">
        <f>+FINANCIAMIENTO!D5</f>
        <v>20830</v>
      </c>
    </row>
    <row r="7" spans="4:16" x14ac:dyDescent="0.25">
      <c r="D7" s="182">
        <v>2</v>
      </c>
      <c r="E7" s="25">
        <f>+'FLUJO DE CAJA'!I36</f>
        <v>-10653.677288160699</v>
      </c>
      <c r="F7" s="183">
        <f t="shared" si="0"/>
        <v>0.71871545257969494</v>
      </c>
      <c r="G7" s="63">
        <f t="shared" si="1"/>
        <v>-7656.9624937984345</v>
      </c>
    </row>
    <row r="8" spans="4:16" x14ac:dyDescent="0.25">
      <c r="D8" s="182">
        <v>3</v>
      </c>
      <c r="E8" s="25">
        <f>+'FLUJO DE CAJA'!J36</f>
        <v>14278.801787964097</v>
      </c>
      <c r="F8" s="183">
        <f t="shared" si="0"/>
        <v>0.60930602644848397</v>
      </c>
      <c r="G8" s="63">
        <f>+F8*E8</f>
        <v>8700.1599798699135</v>
      </c>
    </row>
    <row r="9" spans="4:16" x14ac:dyDescent="0.25">
      <c r="D9" s="182">
        <v>4</v>
      </c>
      <c r="E9" s="25">
        <f>+'FLUJO DE CAJA'!K36</f>
        <v>59373.851197479788</v>
      </c>
      <c r="F9" s="183">
        <f t="shared" si="0"/>
        <v>0.51655190177683574</v>
      </c>
      <c r="G9" s="63">
        <f t="shared" si="1"/>
        <v>30669.675751873041</v>
      </c>
    </row>
    <row r="10" spans="4:16" ht="15.75" thickBot="1" x14ac:dyDescent="0.3">
      <c r="D10" s="182">
        <v>5</v>
      </c>
      <c r="E10" s="25">
        <f>+'FLUJO DE CAJA'!L36</f>
        <v>155269.38120124867</v>
      </c>
      <c r="F10" s="183">
        <f t="shared" si="0"/>
        <v>0.43791765655845782</v>
      </c>
      <c r="G10" s="63">
        <f>+F10*E10</f>
        <v>67995.203550932682</v>
      </c>
    </row>
    <row r="11" spans="4:16" ht="26.25" customHeight="1" thickBot="1" x14ac:dyDescent="0.3">
      <c r="D11" s="39" t="s">
        <v>157</v>
      </c>
      <c r="E11" s="126"/>
      <c r="F11" s="126"/>
      <c r="G11" s="33">
        <f>SUM(G5:G10)</f>
        <v>72855.400924950198</v>
      </c>
      <c r="H11" s="626"/>
      <c r="J11" s="96"/>
      <c r="K11" s="96"/>
      <c r="L11" s="96"/>
      <c r="M11" s="96"/>
      <c r="N11" s="96"/>
      <c r="O11" s="96"/>
      <c r="P11" s="595" t="s">
        <v>380</v>
      </c>
    </row>
    <row r="12" spans="4:16" ht="15.75" thickBot="1" x14ac:dyDescent="0.3">
      <c r="J12" s="96"/>
      <c r="K12" s="96"/>
      <c r="L12" s="96"/>
      <c r="M12" s="96"/>
      <c r="N12" s="96"/>
      <c r="O12" s="96"/>
    </row>
    <row r="13" spans="4:16" ht="15.75" thickBot="1" x14ac:dyDescent="0.3">
      <c r="D13" s="184" t="s">
        <v>159</v>
      </c>
      <c r="E13" s="185">
        <f>+IRR(E16:E21)</f>
        <v>0.57082923309658318</v>
      </c>
      <c r="F13" s="132">
        <f>+(F2+(E13-F2))*(G11/(G11-G22))</f>
        <v>0.57082923309658429</v>
      </c>
      <c r="J13" s="734" t="s">
        <v>161</v>
      </c>
      <c r="K13" s="734" t="s">
        <v>162</v>
      </c>
      <c r="L13" s="734" t="s">
        <v>166</v>
      </c>
      <c r="M13" s="735" t="s">
        <v>163</v>
      </c>
      <c r="N13" s="735"/>
      <c r="O13" s="735"/>
    </row>
    <row r="14" spans="4:16" ht="15.75" thickBot="1" x14ac:dyDescent="0.3">
      <c r="J14" s="734"/>
      <c r="K14" s="734"/>
      <c r="L14" s="734"/>
      <c r="M14" s="152" t="s">
        <v>163</v>
      </c>
      <c r="N14" s="95" t="s">
        <v>164</v>
      </c>
      <c r="O14" s="96" t="s">
        <v>165</v>
      </c>
    </row>
    <row r="15" spans="4:16" ht="43.5" thickBot="1" x14ac:dyDescent="0.3">
      <c r="D15" s="84" t="s">
        <v>154</v>
      </c>
      <c r="E15" s="18" t="s">
        <v>155</v>
      </c>
      <c r="F15" s="18" t="s">
        <v>290</v>
      </c>
      <c r="G15" s="19" t="s">
        <v>156</v>
      </c>
      <c r="J15" s="96"/>
      <c r="K15" s="96"/>
      <c r="L15" s="96"/>
      <c r="M15" s="96"/>
      <c r="N15" s="96"/>
      <c r="O15" s="96"/>
    </row>
    <row r="16" spans="4:16" x14ac:dyDescent="0.25">
      <c r="D16" s="182">
        <v>0</v>
      </c>
      <c r="E16" s="25">
        <f t="shared" ref="E16:E21" si="2">+E5</f>
        <v>-20830</v>
      </c>
      <c r="F16" s="183">
        <f>1/(1+$E$13)^D16</f>
        <v>1</v>
      </c>
      <c r="G16" s="63">
        <f>+F16*E16</f>
        <v>-20830</v>
      </c>
    </row>
    <row r="17" spans="4:12" x14ac:dyDescent="0.25">
      <c r="D17" s="182">
        <v>1</v>
      </c>
      <c r="E17" s="25">
        <f t="shared" si="2"/>
        <v>-7104.1316208761873</v>
      </c>
      <c r="F17" s="183">
        <f t="shared" ref="F17:F21" si="3">1/(1+$E$13)^D17</f>
        <v>0.63660643622521285</v>
      </c>
      <c r="G17" s="63">
        <f t="shared" ref="G17:G21" si="4">+F17*E17</f>
        <v>-4522.5359136408342</v>
      </c>
    </row>
    <row r="18" spans="4:12" x14ac:dyDescent="0.25">
      <c r="D18" s="182">
        <v>2</v>
      </c>
      <c r="E18" s="25">
        <f t="shared" si="2"/>
        <v>-10653.677288160699</v>
      </c>
      <c r="F18" s="183">
        <f t="shared" si="3"/>
        <v>0.40526775464336606</v>
      </c>
      <c r="G18" s="63">
        <f t="shared" si="4"/>
        <v>-4317.591873267912</v>
      </c>
      <c r="K18" s="7" t="s">
        <v>237</v>
      </c>
      <c r="L18" s="7" t="s">
        <v>238</v>
      </c>
    </row>
    <row r="19" spans="4:12" x14ac:dyDescent="0.25">
      <c r="D19" s="182">
        <v>3</v>
      </c>
      <c r="E19" s="25">
        <f t="shared" si="2"/>
        <v>14278.801787964097</v>
      </c>
      <c r="F19" s="183">
        <f t="shared" si="3"/>
        <v>0.2579960610005072</v>
      </c>
      <c r="G19" s="63">
        <f t="shared" si="4"/>
        <v>3683.8746171017365</v>
      </c>
      <c r="K19" s="7" t="s">
        <v>239</v>
      </c>
      <c r="L19" s="7" t="s">
        <v>240</v>
      </c>
    </row>
    <row r="20" spans="4:12" x14ac:dyDescent="0.25">
      <c r="D20" s="182">
        <v>4</v>
      </c>
      <c r="E20" s="25">
        <f t="shared" si="2"/>
        <v>59373.851197479788</v>
      </c>
      <c r="F20" s="183">
        <f t="shared" si="3"/>
        <v>0.16424195295367552</v>
      </c>
      <c r="G20" s="63">
        <f t="shared" si="4"/>
        <v>9751.6772750550062</v>
      </c>
    </row>
    <row r="21" spans="4:12" ht="15.75" thickBot="1" x14ac:dyDescent="0.3">
      <c r="D21" s="182">
        <v>5</v>
      </c>
      <c r="E21" s="25">
        <f t="shared" si="2"/>
        <v>155269.38120124867</v>
      </c>
      <c r="F21" s="183">
        <f t="shared" si="3"/>
        <v>0.10455748434850845</v>
      </c>
      <c r="G21" s="63">
        <f t="shared" si="4"/>
        <v>16234.57589475215</v>
      </c>
    </row>
    <row r="22" spans="4:12" ht="23.25" customHeight="1" thickBot="1" x14ac:dyDescent="0.3">
      <c r="D22" s="39" t="s">
        <v>236</v>
      </c>
      <c r="E22" s="126"/>
      <c r="F22" s="126"/>
      <c r="G22" s="667">
        <f>SUM(G16:G21)</f>
        <v>1.4733814168721437E-10</v>
      </c>
    </row>
  </sheetData>
  <mergeCells count="4">
    <mergeCell ref="K13:K14"/>
    <mergeCell ref="J13:J14"/>
    <mergeCell ref="M13:O13"/>
    <mergeCell ref="L13:L14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2:I38"/>
  <sheetViews>
    <sheetView topLeftCell="A14" zoomScale="90" zoomScaleNormal="90" workbookViewId="0">
      <selection activeCell="E28" sqref="E28"/>
    </sheetView>
  </sheetViews>
  <sheetFormatPr baseColWidth="10" defaultColWidth="9.140625" defaultRowHeight="15" x14ac:dyDescent="0.25"/>
  <cols>
    <col min="1" max="3" width="9.140625" style="7"/>
    <col min="4" max="4" width="9.28515625" style="7" bestFit="1" customWidth="1"/>
    <col min="5" max="5" width="15.42578125" style="7" customWidth="1"/>
    <col min="6" max="6" width="18.85546875" style="7" customWidth="1"/>
    <col min="7" max="7" width="14.85546875" style="7" customWidth="1"/>
    <col min="8" max="8" width="18.28515625" style="7" customWidth="1"/>
    <col min="9" max="9" width="12" style="7" bestFit="1" customWidth="1"/>
    <col min="10" max="16384" width="9.140625" style="7"/>
  </cols>
  <sheetData>
    <row r="2" spans="4:9" ht="15.75" thickBot="1" x14ac:dyDescent="0.3">
      <c r="E2" s="7" t="s">
        <v>171</v>
      </c>
      <c r="G2" s="53">
        <f>+FINANCIAMIENTO!G14</f>
        <v>0.17956399802728917</v>
      </c>
    </row>
    <row r="3" spans="4:9" ht="43.5" thickBot="1" x14ac:dyDescent="0.3">
      <c r="D3" s="36" t="s">
        <v>154</v>
      </c>
      <c r="E3" s="18" t="s">
        <v>167</v>
      </c>
      <c r="F3" s="18" t="s">
        <v>168</v>
      </c>
      <c r="G3" s="18" t="s">
        <v>169</v>
      </c>
      <c r="H3" s="19" t="s">
        <v>170</v>
      </c>
    </row>
    <row r="4" spans="4:9" x14ac:dyDescent="0.25">
      <c r="D4" s="188">
        <v>0</v>
      </c>
      <c r="E4" s="10"/>
      <c r="F4" s="10"/>
      <c r="G4" s="10">
        <f>+'FLUJO DE CAJA'!G26</f>
        <v>46865</v>
      </c>
      <c r="H4" s="43">
        <f>+G4/(1+$G$2)^D4</f>
        <v>46865</v>
      </c>
      <c r="I4" s="61"/>
    </row>
    <row r="5" spans="4:9" x14ac:dyDescent="0.25">
      <c r="D5" s="188">
        <v>1</v>
      </c>
      <c r="E5" s="10">
        <f>+'FLUJO DE CAJA'!H13</f>
        <v>115672.93045360425</v>
      </c>
      <c r="F5" s="10">
        <f>+E5/(1+$G$2)^D5</f>
        <v>98064.141197134231</v>
      </c>
      <c r="G5" s="10">
        <f>+'FLUJO DE CAJA'!H26</f>
        <v>116356.84815958755</v>
      </c>
      <c r="H5" s="43">
        <f t="shared" ref="H5:H9" si="0">+G5/(1+$G$2)^D5</f>
        <v>98643.946707583076</v>
      </c>
      <c r="I5" s="61"/>
    </row>
    <row r="6" spans="4:9" x14ac:dyDescent="0.25">
      <c r="D6" s="188">
        <v>2</v>
      </c>
      <c r="E6" s="10">
        <f>+'FLUJO DE CAJA'!I13</f>
        <v>115643.42942916937</v>
      </c>
      <c r="F6" s="10">
        <f t="shared" ref="F6:F9" si="1">+E6/(1+$G$2)^D6</f>
        <v>83114.719720053472</v>
      </c>
      <c r="G6" s="10">
        <f>+'FLUJO DE CAJA'!I26</f>
        <v>119169.36307637718</v>
      </c>
      <c r="H6" s="43">
        <f t="shared" si="0"/>
        <v>85648.862717072421</v>
      </c>
      <c r="I6" s="61"/>
    </row>
    <row r="7" spans="4:9" x14ac:dyDescent="0.25">
      <c r="D7" s="188">
        <v>3</v>
      </c>
      <c r="E7" s="10">
        <f>+'FLUJO DE CAJA'!J13</f>
        <v>145132.66648756547</v>
      </c>
      <c r="F7" s="10">
        <f t="shared" si="1"/>
        <v>88430.208325411571</v>
      </c>
      <c r="G7" s="10">
        <f>+'FLUJO DE CAJA'!J26</f>
        <v>122940.61911547944</v>
      </c>
      <c r="H7" s="43">
        <f t="shared" si="0"/>
        <v>74908.460122369303</v>
      </c>
      <c r="I7" s="61"/>
    </row>
    <row r="8" spans="4:9" x14ac:dyDescent="0.25">
      <c r="D8" s="188">
        <v>4</v>
      </c>
      <c r="E8" s="10">
        <f>+'FLUJO DE CAJA'!K13</f>
        <v>204992.03101270445</v>
      </c>
      <c r="F8" s="10">
        <f t="shared" si="1"/>
        <v>105889.02346870859</v>
      </c>
      <c r="G8" s="10">
        <f>+'FLUJO DE CAJA'!K26</f>
        <v>126842.25805295669</v>
      </c>
      <c r="H8" s="43">
        <f t="shared" si="0"/>
        <v>65520.609622922944</v>
      </c>
      <c r="I8" s="61"/>
    </row>
    <row r="9" spans="4:9" x14ac:dyDescent="0.25">
      <c r="D9" s="188">
        <v>5</v>
      </c>
      <c r="E9" s="10">
        <f>+'FLUJO DE CAJA'!L13</f>
        <v>316344.48103451927</v>
      </c>
      <c r="F9" s="10">
        <f t="shared" si="1"/>
        <v>138532.83379983818</v>
      </c>
      <c r="G9" s="10">
        <f>+'FLUJO DE CAJA'!L26</f>
        <v>130875.49824011247</v>
      </c>
      <c r="H9" s="43">
        <f t="shared" si="0"/>
        <v>57312.691490230623</v>
      </c>
      <c r="I9" s="61"/>
    </row>
    <row r="10" spans="4:9" ht="15.75" thickBot="1" x14ac:dyDescent="0.3">
      <c r="D10" s="21" t="s">
        <v>274</v>
      </c>
      <c r="E10" s="10"/>
      <c r="F10" s="34">
        <f>SUM(F5:F9)</f>
        <v>514030.92651114613</v>
      </c>
      <c r="G10" s="34"/>
      <c r="H10" s="42">
        <f>SUM(H4:H9)</f>
        <v>428899.57066017837</v>
      </c>
    </row>
    <row r="11" spans="4:9" ht="22.5" customHeight="1" thickBot="1" x14ac:dyDescent="0.3">
      <c r="D11" s="29" t="s">
        <v>172</v>
      </c>
      <c r="E11" s="30"/>
      <c r="F11" s="189"/>
      <c r="G11" s="40">
        <f>+F10/H10</f>
        <v>1.1984878551403779</v>
      </c>
      <c r="H11" s="190"/>
      <c r="I11" s="61"/>
    </row>
    <row r="12" spans="4:9" x14ac:dyDescent="0.25">
      <c r="E12" s="7" t="s">
        <v>243</v>
      </c>
    </row>
    <row r="13" spans="4:9" x14ac:dyDescent="0.25">
      <c r="G13" s="20"/>
    </row>
    <row r="14" spans="4:9" ht="15.75" thickBot="1" x14ac:dyDescent="0.3"/>
    <row r="15" spans="4:9" ht="30" thickBot="1" x14ac:dyDescent="0.3">
      <c r="D15" s="36" t="s">
        <v>154</v>
      </c>
      <c r="E15" s="191" t="s">
        <v>155</v>
      </c>
      <c r="F15" s="192" t="s">
        <v>173</v>
      </c>
    </row>
    <row r="16" spans="4:9" x14ac:dyDescent="0.25">
      <c r="D16" s="188">
        <v>0</v>
      </c>
      <c r="E16" s="25">
        <f>+'VAN y TIR'!G5*-1</f>
        <v>20830</v>
      </c>
      <c r="F16" s="26"/>
    </row>
    <row r="17" spans="2:9" x14ac:dyDescent="0.25">
      <c r="D17" s="188">
        <v>1</v>
      </c>
      <c r="E17" s="25">
        <f>+'VAN y TIR'!G6</f>
        <v>-6022.6758639269983</v>
      </c>
      <c r="F17" s="63">
        <f>+E17</f>
        <v>-6022.6758639269983</v>
      </c>
      <c r="G17" s="61"/>
    </row>
    <row r="18" spans="2:9" x14ac:dyDescent="0.25">
      <c r="D18" s="608">
        <v>2</v>
      </c>
      <c r="E18" s="90">
        <f>+'VAN y TIR'!G7</f>
        <v>-7656.9624937984345</v>
      </c>
      <c r="F18" s="91">
        <f>+E18+F17</f>
        <v>-13679.638357725433</v>
      </c>
      <c r="G18" s="61"/>
    </row>
    <row r="19" spans="2:9" x14ac:dyDescent="0.25">
      <c r="D19" s="188">
        <v>3</v>
      </c>
      <c r="E19" s="25">
        <f>+'VAN y TIR'!G8</f>
        <v>8700.1599798699135</v>
      </c>
      <c r="F19" s="63">
        <f t="shared" ref="F19:F21" si="2">+E19+F18</f>
        <v>-4979.4783778555193</v>
      </c>
      <c r="G19" s="61"/>
    </row>
    <row r="20" spans="2:9" x14ac:dyDescent="0.25">
      <c r="D20" s="605">
        <v>4</v>
      </c>
      <c r="E20" s="606">
        <f>+'VAN y TIR'!G9</f>
        <v>30669.675751873041</v>
      </c>
      <c r="F20" s="607">
        <f t="shared" si="2"/>
        <v>25690.197374017524</v>
      </c>
      <c r="G20" s="61"/>
    </row>
    <row r="21" spans="2:9" ht="15.75" thickBot="1" x14ac:dyDescent="0.3">
      <c r="D21" s="193">
        <v>5</v>
      </c>
      <c r="E21" s="194">
        <f>+'VAN y TIR'!G10</f>
        <v>67995.203550932682</v>
      </c>
      <c r="F21" s="195">
        <f t="shared" si="2"/>
        <v>93685.400924950198</v>
      </c>
      <c r="G21" s="61"/>
    </row>
    <row r="23" spans="2:9" x14ac:dyDescent="0.25">
      <c r="D23" s="7" t="s">
        <v>244</v>
      </c>
    </row>
    <row r="24" spans="2:9" x14ac:dyDescent="0.25">
      <c r="D24" s="12" t="s">
        <v>174</v>
      </c>
      <c r="E24" s="12" t="s">
        <v>175</v>
      </c>
    </row>
    <row r="25" spans="2:9" x14ac:dyDescent="0.25">
      <c r="B25" s="20"/>
      <c r="C25" s="20"/>
      <c r="D25" s="12"/>
      <c r="E25" s="12"/>
    </row>
    <row r="26" spans="2:9" x14ac:dyDescent="0.25">
      <c r="B26" s="20"/>
      <c r="C26" s="20"/>
      <c r="D26" s="12" t="s">
        <v>180</v>
      </c>
    </row>
    <row r="27" spans="2:9" x14ac:dyDescent="0.25">
      <c r="B27" s="20"/>
      <c r="C27" s="20"/>
      <c r="D27" s="13" t="s">
        <v>176</v>
      </c>
      <c r="E27" s="4">
        <v>4</v>
      </c>
      <c r="F27" s="7" t="s">
        <v>245</v>
      </c>
    </row>
    <row r="28" spans="2:9" x14ac:dyDescent="0.25">
      <c r="B28" s="20"/>
      <c r="C28" s="20"/>
      <c r="D28" s="13" t="s">
        <v>177</v>
      </c>
      <c r="E28" s="196">
        <f>+E16</f>
        <v>20830</v>
      </c>
      <c r="F28" s="7" t="s">
        <v>246</v>
      </c>
    </row>
    <row r="29" spans="2:9" x14ac:dyDescent="0.25">
      <c r="B29" s="20"/>
      <c r="C29" s="20"/>
      <c r="D29" s="13" t="s">
        <v>178</v>
      </c>
      <c r="E29" s="196">
        <f>+F20</f>
        <v>25690.197374017524</v>
      </c>
      <c r="F29" s="7" t="s">
        <v>247</v>
      </c>
    </row>
    <row r="30" spans="2:9" x14ac:dyDescent="0.25">
      <c r="B30" s="20"/>
      <c r="C30" s="20"/>
      <c r="D30" s="13" t="s">
        <v>179</v>
      </c>
      <c r="E30" s="196">
        <f>+E21</f>
        <v>67995.203550932682</v>
      </c>
      <c r="F30" s="16" t="s">
        <v>248</v>
      </c>
    </row>
    <row r="31" spans="2:9" x14ac:dyDescent="0.25">
      <c r="B31" s="20"/>
      <c r="C31" s="20"/>
      <c r="E31" s="61"/>
      <c r="G31" s="595"/>
      <c r="H31" s="595" t="s">
        <v>381</v>
      </c>
      <c r="I31" s="595"/>
    </row>
    <row r="32" spans="2:9" x14ac:dyDescent="0.25">
      <c r="B32" s="20"/>
      <c r="C32" s="20"/>
      <c r="E32" s="31" t="s">
        <v>250</v>
      </c>
      <c r="G32" s="595" t="s">
        <v>251</v>
      </c>
      <c r="H32" s="595" t="s">
        <v>251</v>
      </c>
      <c r="I32" s="595" t="s">
        <v>252</v>
      </c>
    </row>
    <row r="33" spans="2:9" x14ac:dyDescent="0.25">
      <c r="B33" s="20"/>
      <c r="C33" s="20"/>
      <c r="D33" s="12" t="s">
        <v>174</v>
      </c>
      <c r="E33" s="197">
        <f>+E27+(E28-E29)/E30</f>
        <v>3.9285214673947269</v>
      </c>
      <c r="G33" s="599">
        <f>ROUND(((E33-E27)*12),0)</f>
        <v>-1</v>
      </c>
      <c r="H33" s="599">
        <f>+G33-6</f>
        <v>-7</v>
      </c>
      <c r="I33" s="599">
        <f>+H33*30</f>
        <v>-210</v>
      </c>
    </row>
    <row r="34" spans="2:9" x14ac:dyDescent="0.25">
      <c r="B34" s="20"/>
      <c r="C34" s="20"/>
    </row>
    <row r="35" spans="2:9" x14ac:dyDescent="0.25">
      <c r="B35" s="20"/>
      <c r="C35" s="20"/>
      <c r="D35" s="598" t="s">
        <v>174</v>
      </c>
      <c r="E35" s="595" t="s">
        <v>385</v>
      </c>
    </row>
    <row r="36" spans="2:9" x14ac:dyDescent="0.25">
      <c r="B36" s="20"/>
      <c r="C36" s="20"/>
      <c r="E36" s="7" t="s">
        <v>249</v>
      </c>
    </row>
    <row r="37" spans="2:9" x14ac:dyDescent="0.25">
      <c r="B37" s="20"/>
      <c r="C37" s="20"/>
    </row>
    <row r="38" spans="2:9" x14ac:dyDescent="0.25">
      <c r="B38" s="20"/>
      <c r="C38" s="20"/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</sheetPr>
  <dimension ref="E1:N68"/>
  <sheetViews>
    <sheetView topLeftCell="A31" zoomScale="80" zoomScaleNormal="80" workbookViewId="0">
      <selection activeCell="F14" sqref="F14"/>
    </sheetView>
  </sheetViews>
  <sheetFormatPr baseColWidth="10" defaultColWidth="9.140625" defaultRowHeight="15" x14ac:dyDescent="0.25"/>
  <cols>
    <col min="1" max="4" width="9.140625" style="7"/>
    <col min="5" max="5" width="31.5703125" style="7" bestFit="1" customWidth="1"/>
    <col min="6" max="6" width="14.28515625" style="7" bestFit="1" customWidth="1"/>
    <col min="7" max="7" width="18.42578125" style="7" bestFit="1" customWidth="1"/>
    <col min="8" max="8" width="16.28515625" style="7" bestFit="1" customWidth="1"/>
    <col min="9" max="9" width="22.5703125" style="7" bestFit="1" customWidth="1"/>
    <col min="10" max="10" width="18.7109375" style="7" customWidth="1"/>
    <col min="11" max="11" width="9.140625" style="7"/>
    <col min="12" max="12" width="10.5703125" style="7" bestFit="1" customWidth="1"/>
    <col min="13" max="16384" width="9.140625" style="7"/>
  </cols>
  <sheetData>
    <row r="1" spans="5:8" ht="15.75" thickBot="1" x14ac:dyDescent="0.3"/>
    <row r="2" spans="5:8" ht="29.25" thickBot="1" x14ac:dyDescent="0.3">
      <c r="E2" s="84" t="s">
        <v>3</v>
      </c>
      <c r="F2" s="18" t="s">
        <v>196</v>
      </c>
      <c r="G2" s="18" t="s">
        <v>197</v>
      </c>
      <c r="H2" s="19" t="s">
        <v>198</v>
      </c>
    </row>
    <row r="3" spans="5:8" x14ac:dyDescent="0.25">
      <c r="E3" s="21" t="str">
        <f>+'COSTOS Y GASTOS'!B5</f>
        <v>COSTOS DIRECTOS</v>
      </c>
      <c r="F3" s="13"/>
      <c r="G3" s="13"/>
      <c r="H3" s="26"/>
    </row>
    <row r="4" spans="5:8" x14ac:dyDescent="0.25">
      <c r="E4" s="6" t="s">
        <v>305</v>
      </c>
      <c r="F4" s="10">
        <f>+'COSTOS Y GASTOS'!C6</f>
        <v>41129.889892984131</v>
      </c>
      <c r="G4" s="13"/>
      <c r="H4" s="63">
        <f>+G4+F4</f>
        <v>41129.889892984131</v>
      </c>
    </row>
    <row r="5" spans="5:8" x14ac:dyDescent="0.25">
      <c r="E5" s="6"/>
      <c r="F5" s="13"/>
      <c r="G5" s="10"/>
      <c r="H5" s="63"/>
    </row>
    <row r="6" spans="5:8" x14ac:dyDescent="0.25">
      <c r="E6" s="6" t="s">
        <v>40</v>
      </c>
      <c r="F6" s="10">
        <f>+'COSTOS Y GASTOS'!C7</f>
        <v>48661.7</v>
      </c>
      <c r="G6" s="13"/>
      <c r="H6" s="63">
        <f t="shared" ref="H6:H24" si="0">+G6+F6</f>
        <v>48661.7</v>
      </c>
    </row>
    <row r="7" spans="5:8" x14ac:dyDescent="0.25">
      <c r="E7" s="6"/>
      <c r="F7" s="10"/>
      <c r="G7" s="13"/>
      <c r="H7" s="63">
        <f t="shared" si="0"/>
        <v>0</v>
      </c>
    </row>
    <row r="8" spans="5:8" x14ac:dyDescent="0.25">
      <c r="E8" s="6"/>
      <c r="F8" s="13"/>
      <c r="G8" s="10"/>
      <c r="H8" s="63"/>
    </row>
    <row r="9" spans="5:8" x14ac:dyDescent="0.25">
      <c r="E9" s="21" t="str">
        <f>+'COSTOS Y GASTOS'!B8</f>
        <v>COSTOS INDIRECTOS</v>
      </c>
      <c r="F9" s="10"/>
      <c r="G9" s="13"/>
      <c r="H9" s="63"/>
    </row>
    <row r="10" spans="5:8" x14ac:dyDescent="0.25">
      <c r="E10" s="6"/>
      <c r="F10" s="10"/>
      <c r="G10" s="13"/>
      <c r="H10" s="63"/>
    </row>
    <row r="11" spans="5:8" x14ac:dyDescent="0.25">
      <c r="E11" s="6" t="s">
        <v>340</v>
      </c>
      <c r="F11" s="10"/>
      <c r="G11" s="13">
        <f>+'COSTOS Y GASTOS'!C9</f>
        <v>153.80000000000001</v>
      </c>
      <c r="H11" s="63">
        <f t="shared" si="0"/>
        <v>153.80000000000001</v>
      </c>
    </row>
    <row r="12" spans="5:8" x14ac:dyDescent="0.25">
      <c r="E12" s="6" t="s">
        <v>341</v>
      </c>
      <c r="F12" s="10">
        <f>+'COSTOS Y GASTOS'!C10</f>
        <v>2850</v>
      </c>
      <c r="G12" s="10"/>
      <c r="H12" s="63">
        <f t="shared" si="0"/>
        <v>2850</v>
      </c>
    </row>
    <row r="13" spans="5:8" x14ac:dyDescent="0.25">
      <c r="E13" s="6" t="s">
        <v>342</v>
      </c>
      <c r="F13" s="10"/>
      <c r="G13" s="13">
        <f>+'COSTOS Y GASTOS'!C11</f>
        <v>564</v>
      </c>
      <c r="H13" s="63">
        <f t="shared" si="0"/>
        <v>564</v>
      </c>
    </row>
    <row r="14" spans="5:8" x14ac:dyDescent="0.25">
      <c r="E14" s="21" t="str">
        <f>+'COSTOS Y GASTOS'!B14</f>
        <v>GASTOS ADMINISTRATIVAS</v>
      </c>
      <c r="F14" s="10"/>
      <c r="G14" s="13"/>
      <c r="H14" s="63"/>
    </row>
    <row r="15" spans="5:8" x14ac:dyDescent="0.25">
      <c r="E15" s="6" t="s">
        <v>343</v>
      </c>
      <c r="F15" s="13">
        <f>+'COSTOS Y GASTOS'!C17</f>
        <v>0</v>
      </c>
      <c r="G15" s="10"/>
      <c r="H15" s="63">
        <f t="shared" si="0"/>
        <v>0</v>
      </c>
    </row>
    <row r="16" spans="5:8" x14ac:dyDescent="0.25">
      <c r="E16" s="6" t="s">
        <v>344</v>
      </c>
      <c r="F16" s="10">
        <f>+'COSTOS Y GASTOS'!C18</f>
        <v>10824.599999999999</v>
      </c>
      <c r="G16" s="13"/>
      <c r="H16" s="63">
        <f t="shared" si="0"/>
        <v>10824.599999999999</v>
      </c>
    </row>
    <row r="17" spans="5:8" x14ac:dyDescent="0.25">
      <c r="E17" s="6"/>
      <c r="F17" s="10"/>
      <c r="G17" s="13"/>
      <c r="H17" s="63"/>
    </row>
    <row r="18" spans="5:8" x14ac:dyDescent="0.25">
      <c r="E18" s="6" t="s">
        <v>342</v>
      </c>
      <c r="F18" s="10"/>
      <c r="G18" s="13">
        <f>+'COSTOS Y GASTOS'!C19</f>
        <v>1296</v>
      </c>
      <c r="H18" s="63">
        <f t="shared" si="0"/>
        <v>1296</v>
      </c>
    </row>
    <row r="19" spans="5:8" x14ac:dyDescent="0.25">
      <c r="E19" s="6" t="s">
        <v>341</v>
      </c>
      <c r="F19" s="10">
        <f>+'COSTOS Y GASTOS'!C20</f>
        <v>1183.3333333333335</v>
      </c>
      <c r="G19" s="13"/>
      <c r="H19" s="63">
        <f t="shared" si="0"/>
        <v>1183.3333333333335</v>
      </c>
    </row>
    <row r="20" spans="5:8" x14ac:dyDescent="0.25">
      <c r="E20" s="6" t="s">
        <v>345</v>
      </c>
      <c r="F20" s="10">
        <f>+'COSTOS Y GASTOS'!C21</f>
        <v>0</v>
      </c>
      <c r="G20" s="13"/>
      <c r="H20" s="63">
        <f t="shared" si="0"/>
        <v>0</v>
      </c>
    </row>
    <row r="21" spans="5:8" x14ac:dyDescent="0.25">
      <c r="E21" s="6" t="s">
        <v>340</v>
      </c>
      <c r="F21" s="10"/>
      <c r="G21" s="13">
        <f>+'COSTOS Y GASTOS'!C22</f>
        <v>0</v>
      </c>
      <c r="H21" s="63">
        <f t="shared" si="0"/>
        <v>0</v>
      </c>
    </row>
    <row r="22" spans="5:8" x14ac:dyDescent="0.25">
      <c r="E22" s="6" t="s">
        <v>346</v>
      </c>
      <c r="F22" s="10">
        <f>+'COSTOS Y GASTOS'!D34+'COSTOS Y GASTOS'!D35+'COSTOS Y GASTOS'!D36</f>
        <v>4800</v>
      </c>
      <c r="G22" s="13"/>
      <c r="H22" s="63">
        <f t="shared" si="0"/>
        <v>4800</v>
      </c>
    </row>
    <row r="23" spans="5:8" x14ac:dyDescent="0.25">
      <c r="E23" s="21" t="str">
        <f>+'COSTOS Y GASTOS'!B25</f>
        <v>GASTOS DE VENTAS</v>
      </c>
      <c r="F23" s="10"/>
      <c r="G23" s="13"/>
      <c r="H23" s="63"/>
    </row>
    <row r="24" spans="5:8" ht="15.75" thickBot="1" x14ac:dyDescent="0.3">
      <c r="E24" s="6" t="str">
        <f>+'COSTOS Y GASTOS'!B28</f>
        <v>MATERIAL POP</v>
      </c>
      <c r="F24" s="13"/>
      <c r="G24" s="10">
        <f>+'COSTOS Y GASTOS'!C28</f>
        <v>4200</v>
      </c>
      <c r="H24" s="63">
        <f t="shared" si="0"/>
        <v>4200</v>
      </c>
    </row>
    <row r="25" spans="5:8" ht="24.75" customHeight="1" thickBot="1" x14ac:dyDescent="0.3">
      <c r="E25" s="39" t="s">
        <v>6</v>
      </c>
      <c r="F25" s="48">
        <f>SUM(F4:F24)</f>
        <v>109449.52322631747</v>
      </c>
      <c r="G25" s="48">
        <f>SUM(G4:G24)</f>
        <v>6213.8</v>
      </c>
      <c r="H25" s="33">
        <f t="shared" ref="H25" si="1">+G25+F25</f>
        <v>115663.32322631747</v>
      </c>
    </row>
    <row r="27" spans="5:8" x14ac:dyDescent="0.25">
      <c r="F27" s="47"/>
    </row>
    <row r="35" spans="5:14" ht="15.75" x14ac:dyDescent="0.25">
      <c r="E35" s="737" t="s">
        <v>230</v>
      </c>
      <c r="F35" s="737"/>
      <c r="G35" s="737"/>
      <c r="I35" s="219"/>
      <c r="L35" s="219"/>
      <c r="M35" s="16"/>
      <c r="N35" s="2"/>
    </row>
    <row r="36" spans="5:14" ht="15.75" x14ac:dyDescent="0.25">
      <c r="F36" s="133"/>
      <c r="I36" s="16"/>
      <c r="L36" s="16"/>
      <c r="M36" s="16"/>
      <c r="N36" s="2"/>
    </row>
    <row r="37" spans="5:14" ht="15.75" customHeight="1" x14ac:dyDescent="0.25">
      <c r="E37" s="736" t="s">
        <v>231</v>
      </c>
      <c r="F37" s="738">
        <f>+F25</f>
        <v>109449.52322631747</v>
      </c>
      <c r="G37" s="738"/>
      <c r="I37" s="220"/>
      <c r="L37" s="221"/>
      <c r="M37" s="16"/>
      <c r="N37" s="2"/>
    </row>
    <row r="38" spans="5:14" ht="15.75" customHeight="1" x14ac:dyDescent="0.25">
      <c r="E38" s="736"/>
      <c r="F38" s="739" t="s">
        <v>232</v>
      </c>
      <c r="G38" s="222">
        <f>+G25</f>
        <v>6213.8</v>
      </c>
      <c r="I38" s="220"/>
      <c r="J38" s="223"/>
      <c r="K38" s="224"/>
      <c r="L38" s="225"/>
      <c r="M38" s="16"/>
      <c r="N38" s="2"/>
    </row>
    <row r="39" spans="5:14" ht="15.75" x14ac:dyDescent="0.25">
      <c r="E39" s="96"/>
      <c r="F39" s="739"/>
      <c r="G39" s="226">
        <f>+'PRESUPUESTO DE INGRESOS'!C6</f>
        <v>101707.93045360425</v>
      </c>
      <c r="I39" s="239"/>
      <c r="J39" s="227"/>
      <c r="K39" s="224"/>
      <c r="L39" s="225"/>
      <c r="M39" s="16"/>
      <c r="N39" s="86"/>
    </row>
    <row r="40" spans="5:14" ht="15.75" x14ac:dyDescent="0.25">
      <c r="E40" s="96"/>
      <c r="F40" s="226"/>
      <c r="G40" s="96"/>
      <c r="I40" s="16"/>
      <c r="J40" s="16"/>
      <c r="K40" s="16"/>
      <c r="L40" s="16"/>
      <c r="M40" s="16"/>
      <c r="N40" s="86"/>
    </row>
    <row r="41" spans="5:14" ht="15.75" x14ac:dyDescent="0.25">
      <c r="E41" s="96"/>
      <c r="F41" s="226"/>
      <c r="G41" s="96"/>
      <c r="I41" s="239"/>
      <c r="J41" s="239"/>
      <c r="K41" s="16"/>
      <c r="L41" s="16"/>
      <c r="M41" s="16"/>
      <c r="N41" s="2"/>
    </row>
    <row r="42" spans="5:14" ht="15.75" customHeight="1" x14ac:dyDescent="0.25">
      <c r="E42" s="736" t="s">
        <v>231</v>
      </c>
      <c r="F42" s="228">
        <f>+F37</f>
        <v>109449.52322631747</v>
      </c>
      <c r="G42" s="96"/>
      <c r="I42" s="625"/>
      <c r="J42" s="229"/>
      <c r="K42" s="16"/>
      <c r="L42" s="16"/>
      <c r="M42" s="16"/>
      <c r="N42" s="2"/>
    </row>
    <row r="43" spans="5:14" ht="15.75" customHeight="1" x14ac:dyDescent="0.25">
      <c r="E43" s="736"/>
      <c r="F43" s="226">
        <f>1-(G38/G39)</f>
        <v>0.93890545238422163</v>
      </c>
      <c r="G43" s="96"/>
      <c r="I43" s="220"/>
      <c r="J43" s="230"/>
      <c r="K43" s="16"/>
      <c r="L43" s="16"/>
      <c r="M43" s="16"/>
      <c r="N43" s="2"/>
    </row>
    <row r="44" spans="5:14" ht="15.75" x14ac:dyDescent="0.25">
      <c r="E44" s="96"/>
      <c r="F44" s="226"/>
      <c r="G44" s="96"/>
      <c r="I44" s="16"/>
      <c r="J44" s="16"/>
      <c r="K44" s="16"/>
      <c r="L44" s="16"/>
      <c r="M44" s="16"/>
      <c r="N44" s="2"/>
    </row>
    <row r="45" spans="5:14" ht="15.75" x14ac:dyDescent="0.25">
      <c r="E45" s="96"/>
      <c r="F45" s="226"/>
      <c r="G45" s="96"/>
      <c r="I45" s="16"/>
      <c r="J45" s="16"/>
      <c r="K45" s="16"/>
      <c r="L45" s="16"/>
      <c r="M45" s="16"/>
      <c r="N45" s="2"/>
    </row>
    <row r="46" spans="5:14" ht="20.25" x14ac:dyDescent="0.25">
      <c r="E46" s="231" t="s">
        <v>231</v>
      </c>
      <c r="F46" s="232">
        <f>+F42/F43</f>
        <v>116571.4001855942</v>
      </c>
      <c r="G46" s="180" t="s">
        <v>233</v>
      </c>
      <c r="I46" s="220"/>
      <c r="J46" s="233"/>
      <c r="K46" s="234"/>
      <c r="L46" s="16"/>
      <c r="M46" s="16"/>
      <c r="N46" s="2"/>
    </row>
    <row r="47" spans="5:14" ht="20.25" x14ac:dyDescent="0.25">
      <c r="E47" s="235"/>
      <c r="F47" s="133"/>
      <c r="I47" s="220"/>
      <c r="J47" s="16"/>
      <c r="K47" s="16"/>
      <c r="L47" s="16"/>
      <c r="M47" s="16"/>
      <c r="N47" s="2"/>
    </row>
    <row r="48" spans="5:14" ht="15.75" x14ac:dyDescent="0.25">
      <c r="F48" s="133"/>
      <c r="I48" s="16"/>
      <c r="J48" s="236"/>
      <c r="K48" s="16"/>
      <c r="L48" s="16"/>
      <c r="M48" s="16"/>
      <c r="N48" s="2"/>
    </row>
    <row r="49" spans="5:14" ht="15.75" x14ac:dyDescent="0.25">
      <c r="E49" s="5"/>
      <c r="F49" s="85" t="s">
        <v>284</v>
      </c>
      <c r="G49" s="5"/>
      <c r="H49" s="5"/>
      <c r="I49" s="86">
        <f>+F46</f>
        <v>116571.4001855942</v>
      </c>
      <c r="J49" s="2" t="s">
        <v>285</v>
      </c>
      <c r="K49" s="2"/>
      <c r="L49" s="2"/>
      <c r="M49" s="2"/>
      <c r="N49" s="2"/>
    </row>
    <row r="50" spans="5:14" ht="15.75" x14ac:dyDescent="0.25">
      <c r="E50" s="5"/>
      <c r="F50" s="85"/>
      <c r="G50" s="5"/>
      <c r="H50" s="5"/>
      <c r="I50" s="2"/>
      <c r="J50" s="2"/>
      <c r="K50" s="2"/>
      <c r="L50" s="2"/>
      <c r="M50" s="2"/>
      <c r="N50" s="2"/>
    </row>
    <row r="51" spans="5:14" ht="15.75" x14ac:dyDescent="0.25">
      <c r="E51" s="5"/>
      <c r="F51" s="85"/>
      <c r="G51" s="5"/>
      <c r="H51" s="5"/>
      <c r="I51" s="237"/>
      <c r="J51" s="238"/>
      <c r="K51" s="238"/>
      <c r="L51" s="238"/>
      <c r="M51" s="238"/>
      <c r="N51" s="238"/>
    </row>
    <row r="52" spans="5:14" ht="15.75" x14ac:dyDescent="0.25">
      <c r="E52" s="5"/>
      <c r="F52" s="85"/>
      <c r="G52" s="5"/>
      <c r="H52" s="5"/>
      <c r="I52" s="199"/>
      <c r="J52" s="229"/>
      <c r="K52" s="239"/>
      <c r="L52" s="239"/>
      <c r="M52" s="239"/>
      <c r="N52" s="239"/>
    </row>
    <row r="53" spans="5:14" ht="15.75" x14ac:dyDescent="0.25">
      <c r="E53" s="5"/>
      <c r="F53" s="85"/>
      <c r="G53" s="5"/>
      <c r="H53" s="5"/>
      <c r="I53" s="240"/>
      <c r="J53" s="229"/>
      <c r="K53" s="239"/>
      <c r="L53" s="239"/>
      <c r="M53" s="239"/>
      <c r="N53" s="239"/>
    </row>
    <row r="54" spans="5:14" ht="15.75" x14ac:dyDescent="0.25">
      <c r="E54" s="5"/>
      <c r="F54" s="85"/>
      <c r="G54" s="5"/>
      <c r="H54" s="5"/>
      <c r="I54" s="241"/>
      <c r="J54" s="229"/>
      <c r="K54" s="239"/>
      <c r="L54" s="239"/>
      <c r="M54" s="239"/>
      <c r="N54" s="239"/>
    </row>
    <row r="55" spans="5:14" ht="15.75" x14ac:dyDescent="0.25">
      <c r="E55" s="5"/>
      <c r="F55" s="85"/>
      <c r="G55" s="5"/>
      <c r="H55" s="5"/>
      <c r="I55" s="241"/>
      <c r="J55" s="229"/>
      <c r="K55" s="239"/>
      <c r="L55" s="239"/>
      <c r="M55" s="239"/>
      <c r="N55" s="239"/>
    </row>
    <row r="56" spans="5:14" ht="15.75" x14ac:dyDescent="0.25">
      <c r="E56" s="5"/>
      <c r="F56" s="85"/>
      <c r="G56" s="5"/>
      <c r="H56" s="5"/>
      <c r="I56" s="241"/>
      <c r="J56" s="229"/>
      <c r="K56" s="239"/>
      <c r="L56" s="239"/>
      <c r="M56" s="239"/>
      <c r="N56" s="239"/>
    </row>
    <row r="57" spans="5:14" ht="15.75" x14ac:dyDescent="0.25">
      <c r="E57" s="5"/>
      <c r="F57" s="85"/>
      <c r="G57" s="5"/>
      <c r="H57" s="5"/>
      <c r="I57" s="241"/>
      <c r="J57" s="229"/>
      <c r="K57" s="239"/>
      <c r="L57" s="239"/>
      <c r="M57" s="239"/>
      <c r="N57" s="239"/>
    </row>
    <row r="58" spans="5:14" ht="15.75" x14ac:dyDescent="0.25">
      <c r="E58" s="5"/>
      <c r="F58" s="85"/>
      <c r="G58" s="5"/>
      <c r="H58" s="5"/>
      <c r="I58" s="241"/>
      <c r="J58" s="229"/>
      <c r="K58" s="239"/>
      <c r="L58" s="239"/>
      <c r="M58" s="239"/>
      <c r="N58" s="239"/>
    </row>
    <row r="59" spans="5:14" ht="15.75" x14ac:dyDescent="0.25">
      <c r="E59" s="5"/>
      <c r="F59" s="85"/>
      <c r="G59" s="5"/>
      <c r="H59" s="5"/>
      <c r="I59" s="241"/>
      <c r="J59" s="229"/>
      <c r="K59" s="239"/>
      <c r="L59" s="239"/>
      <c r="M59" s="239"/>
      <c r="N59" s="239"/>
    </row>
    <row r="60" spans="5:14" ht="15.75" x14ac:dyDescent="0.25">
      <c r="E60" s="5"/>
      <c r="F60" s="85"/>
      <c r="G60" s="5"/>
      <c r="H60" s="5"/>
      <c r="I60" s="241"/>
      <c r="J60" s="229"/>
      <c r="K60" s="239"/>
      <c r="L60" s="239"/>
      <c r="M60" s="239"/>
      <c r="N60" s="239"/>
    </row>
    <row r="61" spans="5:14" ht="15.75" x14ac:dyDescent="0.25">
      <c r="E61" s="5"/>
      <c r="F61" s="85"/>
      <c r="G61" s="5"/>
      <c r="H61" s="5"/>
      <c r="I61" s="241"/>
      <c r="J61" s="229"/>
      <c r="K61" s="239"/>
      <c r="L61" s="239"/>
      <c r="M61" s="239"/>
      <c r="N61" s="239"/>
    </row>
    <row r="62" spans="5:14" ht="15.75" x14ac:dyDescent="0.25">
      <c r="E62" s="5"/>
      <c r="F62" s="85"/>
      <c r="G62" s="5"/>
      <c r="H62" s="5"/>
      <c r="I62" s="241"/>
      <c r="J62" s="229"/>
      <c r="K62" s="239"/>
      <c r="L62" s="239"/>
      <c r="M62" s="239"/>
      <c r="N62" s="239"/>
    </row>
    <row r="63" spans="5:14" ht="15.75" x14ac:dyDescent="0.25">
      <c r="E63" s="5"/>
      <c r="F63" s="85"/>
      <c r="G63" s="5"/>
      <c r="H63" s="5"/>
      <c r="I63" s="241"/>
      <c r="J63" s="229"/>
      <c r="K63" s="239"/>
      <c r="L63" s="239"/>
      <c r="M63" s="239"/>
      <c r="N63" s="239"/>
    </row>
    <row r="64" spans="5:14" ht="15.75" x14ac:dyDescent="0.25">
      <c r="E64" s="5"/>
      <c r="F64" s="85"/>
      <c r="G64" s="5"/>
      <c r="H64" s="5"/>
      <c r="I64" s="241"/>
      <c r="J64" s="229"/>
      <c r="K64" s="239"/>
      <c r="L64" s="239"/>
      <c r="M64" s="239"/>
      <c r="N64" s="239"/>
    </row>
    <row r="65" spans="5:14" ht="15.75" x14ac:dyDescent="0.25">
      <c r="E65" s="5"/>
      <c r="F65" s="85"/>
      <c r="G65" s="5"/>
      <c r="H65" s="5"/>
      <c r="I65" s="241"/>
      <c r="J65" s="229"/>
      <c r="K65" s="239"/>
      <c r="L65" s="239"/>
      <c r="M65" s="239"/>
      <c r="N65" s="239"/>
    </row>
    <row r="66" spans="5:14" ht="15.75" x14ac:dyDescent="0.25">
      <c r="E66" s="5"/>
      <c r="F66" s="85"/>
      <c r="G66" s="5"/>
      <c r="H66" s="5"/>
      <c r="I66" s="241"/>
      <c r="J66" s="229"/>
      <c r="K66" s="239"/>
      <c r="L66" s="239"/>
      <c r="M66" s="239"/>
      <c r="N66" s="239"/>
    </row>
    <row r="67" spans="5:14" ht="15.75" x14ac:dyDescent="0.25">
      <c r="E67" s="5"/>
      <c r="F67" s="85"/>
      <c r="G67" s="5"/>
      <c r="H67" s="5"/>
      <c r="I67" s="241"/>
      <c r="J67" s="229"/>
      <c r="K67" s="239"/>
      <c r="L67" s="239"/>
      <c r="M67" s="239"/>
      <c r="N67" s="239"/>
    </row>
    <row r="68" spans="5:14" ht="15.75" x14ac:dyDescent="0.25">
      <c r="E68" s="5"/>
      <c r="F68" s="85"/>
      <c r="G68" s="5"/>
      <c r="H68" s="5"/>
      <c r="I68" s="241"/>
      <c r="J68" s="229"/>
      <c r="K68" s="239"/>
      <c r="L68" s="239"/>
      <c r="M68" s="239"/>
      <c r="N68" s="239"/>
    </row>
  </sheetData>
  <mergeCells count="5">
    <mergeCell ref="E42:E43"/>
    <mergeCell ref="E35:G35"/>
    <mergeCell ref="E37:E38"/>
    <mergeCell ref="F37:G37"/>
    <mergeCell ref="F38:F39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B2:Y29"/>
  <sheetViews>
    <sheetView topLeftCell="B10" zoomScaleNormal="100" workbookViewId="0">
      <selection activeCell="D18" sqref="D18"/>
    </sheetView>
  </sheetViews>
  <sheetFormatPr baseColWidth="10" defaultColWidth="9.140625" defaultRowHeight="12.75" x14ac:dyDescent="0.2"/>
  <cols>
    <col min="1" max="1" width="9.140625" style="255"/>
    <col min="2" max="2" width="39.28515625" style="255" customWidth="1"/>
    <col min="3" max="3" width="17.28515625" style="255" bestFit="1" customWidth="1"/>
    <col min="4" max="4" width="14.140625" style="255" customWidth="1"/>
    <col min="5" max="5" width="13.140625" style="255" bestFit="1" customWidth="1"/>
    <col min="6" max="6" width="10.140625" style="255" bestFit="1" customWidth="1"/>
    <col min="7" max="8" width="12.28515625" style="255" bestFit="1" customWidth="1"/>
    <col min="9" max="9" width="12.7109375" style="255" bestFit="1" customWidth="1"/>
    <col min="10" max="10" width="11.5703125" style="255" customWidth="1"/>
    <col min="11" max="11" width="11.85546875" style="255" bestFit="1" customWidth="1"/>
    <col min="12" max="12" width="14.7109375" style="255" bestFit="1" customWidth="1"/>
    <col min="13" max="13" width="9.140625" style="255"/>
    <col min="14" max="14" width="10.28515625" style="255" customWidth="1"/>
    <col min="15" max="15" width="17.28515625" style="255" bestFit="1" customWidth="1"/>
    <col min="16" max="16" width="14" style="255" bestFit="1" customWidth="1"/>
    <col min="17" max="17" width="11.85546875" style="255" bestFit="1" customWidth="1"/>
    <col min="18" max="16384" width="9.140625" style="255"/>
  </cols>
  <sheetData>
    <row r="2" spans="2:25" s="262" customFormat="1" x14ac:dyDescent="0.2">
      <c r="B2" s="673" t="s">
        <v>322</v>
      </c>
      <c r="C2" s="673"/>
      <c r="D2" s="673"/>
      <c r="E2" s="673"/>
    </row>
    <row r="3" spans="2:25" s="262" customFormat="1" ht="13.5" thickBot="1" x14ac:dyDescent="0.25">
      <c r="B3" s="267"/>
      <c r="C3" s="267"/>
      <c r="D3" s="267"/>
      <c r="E3" s="267"/>
      <c r="N3" s="502" t="s">
        <v>358</v>
      </c>
      <c r="O3" s="502">
        <v>2015</v>
      </c>
      <c r="P3" s="502">
        <v>2014</v>
      </c>
      <c r="Q3" s="502">
        <v>2013</v>
      </c>
    </row>
    <row r="4" spans="2:25" ht="39" thickBot="1" x14ac:dyDescent="0.25">
      <c r="B4" s="406" t="s">
        <v>3</v>
      </c>
      <c r="C4" s="407" t="s">
        <v>4</v>
      </c>
      <c r="D4" s="408" t="s">
        <v>41</v>
      </c>
      <c r="E4" s="408" t="s">
        <v>42</v>
      </c>
      <c r="F4" s="407" t="s">
        <v>43</v>
      </c>
      <c r="G4" s="407" t="s">
        <v>44</v>
      </c>
      <c r="H4" s="407" t="s">
        <v>45</v>
      </c>
      <c r="I4" s="407" t="s">
        <v>46</v>
      </c>
      <c r="J4" s="407" t="s">
        <v>47</v>
      </c>
      <c r="K4" s="407" t="s">
        <v>48</v>
      </c>
      <c r="L4" s="409" t="s">
        <v>49</v>
      </c>
      <c r="O4" s="255">
        <v>354</v>
      </c>
      <c r="P4" s="255">
        <v>340</v>
      </c>
      <c r="Q4" s="255">
        <v>318</v>
      </c>
    </row>
    <row r="5" spans="2:25" ht="15.75" customHeight="1" thickBot="1" x14ac:dyDescent="0.25">
      <c r="B5" s="670" t="s">
        <v>320</v>
      </c>
      <c r="C5" s="671"/>
      <c r="D5" s="671"/>
      <c r="E5" s="671"/>
      <c r="F5" s="671"/>
      <c r="G5" s="671"/>
      <c r="H5" s="671"/>
      <c r="I5" s="671"/>
      <c r="J5" s="671"/>
      <c r="K5" s="671"/>
      <c r="L5" s="672"/>
      <c r="O5" s="255">
        <f>+O4-P4</f>
        <v>14</v>
      </c>
      <c r="P5" s="255">
        <f>+P4-Q4</f>
        <v>22</v>
      </c>
    </row>
    <row r="6" spans="2:25" x14ac:dyDescent="0.2">
      <c r="B6" s="334" t="s">
        <v>386</v>
      </c>
      <c r="C6" s="412">
        <v>3</v>
      </c>
      <c r="D6" s="636">
        <v>400</v>
      </c>
      <c r="E6" s="410">
        <f t="shared" ref="E6:E9" si="0">+D6*C6</f>
        <v>1200</v>
      </c>
      <c r="F6" s="410">
        <f t="shared" ref="F6:F7" si="1">+E6*0.1215</f>
        <v>145.79999999999998</v>
      </c>
      <c r="G6" s="410">
        <f t="shared" ref="G6:G9" si="2">+E6/12</f>
        <v>100</v>
      </c>
      <c r="H6" s="410">
        <f>386/12</f>
        <v>32.166666666666664</v>
      </c>
      <c r="I6" s="410">
        <f t="shared" ref="I6:I9" si="3">+E6/24</f>
        <v>50</v>
      </c>
      <c r="J6" s="410">
        <v>0</v>
      </c>
      <c r="K6" s="410">
        <f t="shared" ref="K6:K9" si="4">SUM(E6:J6)</f>
        <v>1527.9666666666667</v>
      </c>
      <c r="L6" s="411">
        <f t="shared" ref="L6:L9" si="5">+K6*12</f>
        <v>18335.599999999999</v>
      </c>
      <c r="N6" s="498">
        <f>+(O6+P6)/2</f>
        <v>1.0551794302626711</v>
      </c>
      <c r="O6" s="498">
        <f>+O4/P4</f>
        <v>1.0411764705882354</v>
      </c>
      <c r="P6" s="498">
        <f>+P4/Q4</f>
        <v>1.0691823899371069</v>
      </c>
    </row>
    <row r="7" spans="2:25" x14ac:dyDescent="0.2">
      <c r="B7" s="270" t="s">
        <v>387</v>
      </c>
      <c r="C7" s="271">
        <v>1</v>
      </c>
      <c r="D7" s="637">
        <v>750</v>
      </c>
      <c r="E7" s="272">
        <f t="shared" si="0"/>
        <v>750</v>
      </c>
      <c r="F7" s="272">
        <f t="shared" si="1"/>
        <v>91.125</v>
      </c>
      <c r="G7" s="272">
        <f t="shared" si="2"/>
        <v>62.5</v>
      </c>
      <c r="H7" s="410">
        <f t="shared" ref="H7:H9" si="6">386/12</f>
        <v>32.166666666666664</v>
      </c>
      <c r="I7" s="272">
        <f t="shared" si="3"/>
        <v>31.25</v>
      </c>
      <c r="J7" s="272">
        <v>0</v>
      </c>
      <c r="K7" s="272">
        <f t="shared" si="4"/>
        <v>967.04166666666663</v>
      </c>
      <c r="L7" s="273">
        <f t="shared" si="5"/>
        <v>11604.5</v>
      </c>
    </row>
    <row r="8" spans="2:25" x14ac:dyDescent="0.2">
      <c r="B8" s="270" t="s">
        <v>388</v>
      </c>
      <c r="C8" s="271">
        <v>1</v>
      </c>
      <c r="D8" s="637">
        <v>400</v>
      </c>
      <c r="E8" s="272">
        <f t="shared" si="0"/>
        <v>400</v>
      </c>
      <c r="F8" s="272">
        <f>+E8*0.1215</f>
        <v>48.6</v>
      </c>
      <c r="G8" s="272">
        <f t="shared" si="2"/>
        <v>33.333333333333336</v>
      </c>
      <c r="H8" s="410">
        <f t="shared" si="6"/>
        <v>32.166666666666664</v>
      </c>
      <c r="I8" s="272">
        <f t="shared" si="3"/>
        <v>16.666666666666668</v>
      </c>
      <c r="J8" s="272">
        <v>0</v>
      </c>
      <c r="K8" s="272">
        <f t="shared" si="4"/>
        <v>530.76666666666665</v>
      </c>
      <c r="L8" s="273">
        <f t="shared" si="5"/>
        <v>6369.2</v>
      </c>
    </row>
    <row r="9" spans="2:25" x14ac:dyDescent="0.2">
      <c r="B9" s="270" t="s">
        <v>389</v>
      </c>
      <c r="C9" s="271">
        <v>2</v>
      </c>
      <c r="D9" s="288">
        <v>400</v>
      </c>
      <c r="E9" s="272">
        <f t="shared" si="0"/>
        <v>800</v>
      </c>
      <c r="F9" s="272">
        <f>+E9*0.1215</f>
        <v>97.2</v>
      </c>
      <c r="G9" s="272">
        <f t="shared" si="2"/>
        <v>66.666666666666671</v>
      </c>
      <c r="H9" s="410">
        <f t="shared" si="6"/>
        <v>32.166666666666664</v>
      </c>
      <c r="I9" s="272">
        <f t="shared" si="3"/>
        <v>33.333333333333336</v>
      </c>
      <c r="J9" s="272">
        <v>0</v>
      </c>
      <c r="K9" s="272">
        <f t="shared" si="4"/>
        <v>1029.3666666666666</v>
      </c>
      <c r="L9" s="273">
        <f t="shared" si="5"/>
        <v>12352.399999999998</v>
      </c>
    </row>
    <row r="10" spans="2:25" ht="13.5" thickBot="1" x14ac:dyDescent="0.25">
      <c r="B10" s="277" t="s">
        <v>323</v>
      </c>
      <c r="C10" s="278"/>
      <c r="D10" s="278"/>
      <c r="E10" s="278"/>
      <c r="F10" s="278"/>
      <c r="G10" s="278"/>
      <c r="H10" s="278"/>
      <c r="I10" s="278"/>
      <c r="J10" s="278"/>
      <c r="K10" s="278"/>
      <c r="L10" s="279">
        <f>+SUM(L6:L9)</f>
        <v>48661.7</v>
      </c>
    </row>
    <row r="11" spans="2:25" ht="15" customHeight="1" thickBot="1" x14ac:dyDescent="0.25">
      <c r="B11" s="280" t="s">
        <v>50</v>
      </c>
      <c r="C11" s="281"/>
      <c r="D11" s="471"/>
      <c r="E11" s="281"/>
      <c r="F11" s="281"/>
      <c r="G11" s="281"/>
      <c r="H11" s="281"/>
      <c r="I11" s="281"/>
      <c r="J11" s="281"/>
      <c r="K11" s="281"/>
      <c r="L11" s="282">
        <f>+L10</f>
        <v>48661.7</v>
      </c>
    </row>
    <row r="12" spans="2:25" s="269" customFormat="1" ht="15" customHeight="1" x14ac:dyDescent="0.2">
      <c r="B12" s="499"/>
      <c r="C12" s="499"/>
      <c r="D12" s="500"/>
      <c r="E12" s="499"/>
      <c r="F12" s="499"/>
      <c r="G12" s="499"/>
      <c r="H12" s="499"/>
      <c r="I12" s="499"/>
      <c r="J12" s="499"/>
      <c r="K12" s="499"/>
      <c r="L12" s="501"/>
    </row>
    <row r="13" spans="2:25" x14ac:dyDescent="0.2">
      <c r="B13" s="283" t="s">
        <v>51</v>
      </c>
    </row>
    <row r="14" spans="2:25" ht="13.5" thickBot="1" x14ac:dyDescent="0.25">
      <c r="B14" s="283"/>
    </row>
    <row r="15" spans="2:25" ht="39" thickBot="1" x14ac:dyDescent="0.25">
      <c r="B15" s="406" t="s">
        <v>3</v>
      </c>
      <c r="C15" s="407" t="s">
        <v>4</v>
      </c>
      <c r="D15" s="408" t="s">
        <v>41</v>
      </c>
      <c r="E15" s="408" t="s">
        <v>42</v>
      </c>
      <c r="F15" s="407" t="s">
        <v>43</v>
      </c>
      <c r="G15" s="407" t="s">
        <v>44</v>
      </c>
      <c r="H15" s="407" t="s">
        <v>45</v>
      </c>
      <c r="I15" s="407" t="s">
        <v>46</v>
      </c>
      <c r="J15" s="407" t="s">
        <v>47</v>
      </c>
      <c r="K15" s="407" t="s">
        <v>48</v>
      </c>
      <c r="L15" s="409" t="s">
        <v>49</v>
      </c>
      <c r="N15" s="499"/>
      <c r="O15" s="499" t="s">
        <v>310</v>
      </c>
      <c r="P15" s="500" t="s">
        <v>359</v>
      </c>
      <c r="Q15" s="499" t="s">
        <v>6</v>
      </c>
      <c r="R15" s="499"/>
      <c r="S15" s="499">
        <v>2015</v>
      </c>
      <c r="T15" s="499">
        <v>6</v>
      </c>
      <c r="U15" s="499">
        <v>7</v>
      </c>
      <c r="V15" s="499">
        <v>8</v>
      </c>
      <c r="W15" s="499">
        <v>9</v>
      </c>
      <c r="X15" s="501">
        <v>10</v>
      </c>
      <c r="Y15" s="269"/>
    </row>
    <row r="16" spans="2:25" ht="13.5" thickBot="1" x14ac:dyDescent="0.25">
      <c r="B16" s="670" t="s">
        <v>9</v>
      </c>
      <c r="C16" s="671"/>
      <c r="D16" s="671"/>
      <c r="E16" s="671"/>
      <c r="F16" s="671"/>
      <c r="G16" s="671"/>
      <c r="H16" s="671"/>
      <c r="I16" s="671"/>
      <c r="J16" s="671"/>
      <c r="K16" s="671"/>
      <c r="L16" s="672"/>
      <c r="N16" s="499">
        <v>2015</v>
      </c>
      <c r="O16" s="486">
        <f>+$L$20</f>
        <v>10824.599999999999</v>
      </c>
      <c r="P16" s="486">
        <f>+L11</f>
        <v>48661.7</v>
      </c>
      <c r="Q16" s="486">
        <f>+O16+P16</f>
        <v>59486.299999999996</v>
      </c>
      <c r="R16" s="486"/>
      <c r="S16" s="486">
        <v>400</v>
      </c>
      <c r="T16" s="486">
        <f t="shared" ref="T16:X18" si="7">+S16*$N$6</f>
        <v>422.07177210506848</v>
      </c>
      <c r="U16" s="486">
        <f t="shared" si="7"/>
        <v>445.36145201978212</v>
      </c>
      <c r="V16" s="486">
        <f t="shared" si="7"/>
        <v>469.93624320318963</v>
      </c>
      <c r="W16" s="486">
        <f t="shared" si="7"/>
        <v>495.86705736292168</v>
      </c>
      <c r="X16" s="486">
        <f t="shared" si="7"/>
        <v>523.22871907423496</v>
      </c>
      <c r="Y16" s="269"/>
    </row>
    <row r="17" spans="2:25" x14ac:dyDescent="0.2">
      <c r="B17" s="393" t="s">
        <v>390</v>
      </c>
      <c r="C17" s="395">
        <v>1</v>
      </c>
      <c r="D17" s="394">
        <v>700</v>
      </c>
      <c r="E17" s="410">
        <f>+D17*C17</f>
        <v>700</v>
      </c>
      <c r="F17" s="410">
        <f t="shared" ref="F17" si="8">+E17*0.1215</f>
        <v>85.05</v>
      </c>
      <c r="G17" s="410">
        <f t="shared" ref="G17" si="9">+E17/12</f>
        <v>58.333333333333336</v>
      </c>
      <c r="H17" s="410">
        <f t="shared" ref="H17" si="10">354/12</f>
        <v>29.5</v>
      </c>
      <c r="I17" s="410">
        <f t="shared" ref="I17" si="11">+E17/24</f>
        <v>29.166666666666668</v>
      </c>
      <c r="J17" s="410">
        <v>0</v>
      </c>
      <c r="K17" s="410">
        <f t="shared" ref="K17" si="12">SUM(E17:J17)</f>
        <v>902.05</v>
      </c>
      <c r="L17" s="411">
        <f t="shared" ref="L17" si="13">+K17*12</f>
        <v>10824.599999999999</v>
      </c>
      <c r="N17" s="499">
        <v>2016</v>
      </c>
      <c r="O17" s="486">
        <f>+$L$20</f>
        <v>10824.599999999999</v>
      </c>
      <c r="P17" s="486">
        <f>+P16*N6</f>
        <v>51346.824881613022</v>
      </c>
      <c r="Q17" s="486">
        <f>+O17+P17</f>
        <v>62171.42488161302</v>
      </c>
      <c r="R17" s="486"/>
      <c r="S17" s="486">
        <v>370</v>
      </c>
      <c r="T17" s="486">
        <f t="shared" si="7"/>
        <v>390.41638919718832</v>
      </c>
      <c r="U17" s="486">
        <f t="shared" si="7"/>
        <v>411.95934311829848</v>
      </c>
      <c r="V17" s="486">
        <f t="shared" si="7"/>
        <v>434.69102496295045</v>
      </c>
      <c r="W17" s="486">
        <f t="shared" si="7"/>
        <v>458.67702806070264</v>
      </c>
      <c r="X17" s="486">
        <f t="shared" si="7"/>
        <v>483.98656514366741</v>
      </c>
      <c r="Y17" s="269"/>
    </row>
    <row r="18" spans="2:25" x14ac:dyDescent="0.2">
      <c r="B18" s="274"/>
      <c r="C18" s="284"/>
      <c r="D18" s="289"/>
      <c r="E18" s="272"/>
      <c r="F18" s="272"/>
      <c r="G18" s="272"/>
      <c r="H18" s="272"/>
      <c r="I18" s="272"/>
      <c r="J18" s="272"/>
      <c r="K18" s="272"/>
      <c r="L18" s="273"/>
      <c r="N18" s="499">
        <v>2017</v>
      </c>
      <c r="O18" s="486">
        <f>+$L$20</f>
        <v>10824.599999999999</v>
      </c>
      <c r="P18" s="486">
        <f>+P17*N6</f>
        <v>54180.113424377574</v>
      </c>
      <c r="Q18" s="486">
        <f>+O18+P18</f>
        <v>65004.713424377573</v>
      </c>
      <c r="R18" s="486"/>
      <c r="S18" s="486">
        <v>354</v>
      </c>
      <c r="T18" s="486">
        <f t="shared" si="7"/>
        <v>373.53351831298556</v>
      </c>
      <c r="U18" s="486">
        <f t="shared" si="7"/>
        <v>394.14488503750715</v>
      </c>
      <c r="V18" s="486">
        <f t="shared" si="7"/>
        <v>415.89357523482283</v>
      </c>
      <c r="W18" s="486">
        <f t="shared" si="7"/>
        <v>438.8423457661857</v>
      </c>
      <c r="X18" s="486">
        <f t="shared" si="7"/>
        <v>463.05741638069799</v>
      </c>
      <c r="Y18" s="269"/>
    </row>
    <row r="19" spans="2:25" ht="13.5" thickBot="1" x14ac:dyDescent="0.25">
      <c r="B19" s="274"/>
      <c r="C19" s="284"/>
      <c r="D19" s="276"/>
      <c r="E19" s="272"/>
      <c r="F19" s="272"/>
      <c r="G19" s="272"/>
      <c r="H19" s="272"/>
      <c r="I19" s="272"/>
      <c r="J19" s="272"/>
      <c r="K19" s="272"/>
      <c r="L19" s="273"/>
      <c r="N19" s="499">
        <v>2018</v>
      </c>
      <c r="O19" s="486">
        <f>+$L$20</f>
        <v>10824.599999999999</v>
      </c>
      <c r="P19" s="486">
        <f>+P18*N6</f>
        <v>57169.741214701629</v>
      </c>
      <c r="Q19" s="486">
        <f>+O19+P19</f>
        <v>67994.341214701621</v>
      </c>
      <c r="R19" s="486"/>
      <c r="S19" s="486"/>
      <c r="T19" s="486"/>
      <c r="U19" s="486"/>
      <c r="V19" s="486"/>
      <c r="W19" s="486"/>
      <c r="X19" s="486"/>
      <c r="Y19" s="269"/>
    </row>
    <row r="20" spans="2:25" ht="13.5" thickBot="1" x14ac:dyDescent="0.25">
      <c r="B20" s="285" t="s">
        <v>52</v>
      </c>
      <c r="C20" s="286"/>
      <c r="D20" s="471"/>
      <c r="E20" s="286"/>
      <c r="F20" s="286"/>
      <c r="G20" s="286"/>
      <c r="H20" s="286"/>
      <c r="I20" s="286"/>
      <c r="J20" s="286"/>
      <c r="K20" s="286"/>
      <c r="L20" s="287">
        <f>SUM(L17:L19)</f>
        <v>10824.599999999999</v>
      </c>
      <c r="N20" s="499">
        <v>2019</v>
      </c>
      <c r="O20" s="486">
        <f>+$L$20</f>
        <v>10824.599999999999</v>
      </c>
      <c r="P20" s="486">
        <f>+P19*N6</f>
        <v>60324.334963193214</v>
      </c>
      <c r="Q20" s="486">
        <f>+O20+P20</f>
        <v>71148.934963193213</v>
      </c>
      <c r="R20" s="486"/>
      <c r="S20" s="486"/>
      <c r="T20" s="486"/>
      <c r="U20" s="486"/>
      <c r="V20" s="486"/>
      <c r="W20" s="486"/>
      <c r="X20" s="486"/>
      <c r="Y20" s="269"/>
    </row>
    <row r="21" spans="2:25" x14ac:dyDescent="0.2">
      <c r="D21" s="290"/>
      <c r="E21" s="290"/>
      <c r="K21" s="290"/>
      <c r="L21" s="290"/>
      <c r="N21" s="499"/>
      <c r="O21" s="486"/>
      <c r="P21" s="486"/>
      <c r="Q21" s="486"/>
      <c r="R21" s="486"/>
      <c r="S21" s="486"/>
      <c r="T21" s="486"/>
      <c r="U21" s="486"/>
      <c r="V21" s="486"/>
      <c r="W21" s="486"/>
      <c r="X21" s="486"/>
      <c r="Y21" s="269"/>
    </row>
    <row r="22" spans="2:25" x14ac:dyDescent="0.2">
      <c r="B22" s="283" t="s">
        <v>324</v>
      </c>
    </row>
    <row r="23" spans="2:25" ht="13.5" thickBot="1" x14ac:dyDescent="0.25"/>
    <row r="24" spans="2:25" ht="26.25" thickBot="1" x14ac:dyDescent="0.25">
      <c r="B24" s="291" t="s">
        <v>3</v>
      </c>
      <c r="C24" s="294" t="s">
        <v>325</v>
      </c>
      <c r="D24" s="295" t="s">
        <v>326</v>
      </c>
    </row>
    <row r="25" spans="2:25" s="269" customFormat="1" x14ac:dyDescent="0.2">
      <c r="B25" s="393" t="s">
        <v>321</v>
      </c>
      <c r="C25" s="383">
        <v>200</v>
      </c>
      <c r="D25" s="304">
        <f>+C25*12</f>
        <v>2400</v>
      </c>
    </row>
    <row r="26" spans="2:25" x14ac:dyDescent="0.2">
      <c r="B26" s="393" t="s">
        <v>327</v>
      </c>
      <c r="C26" s="383">
        <v>200</v>
      </c>
      <c r="D26" s="304">
        <f>+C26*12</f>
        <v>2400</v>
      </c>
    </row>
    <row r="27" spans="2:25" x14ac:dyDescent="0.2">
      <c r="B27" s="274"/>
      <c r="C27" s="310"/>
      <c r="D27" s="301"/>
    </row>
    <row r="28" spans="2:25" x14ac:dyDescent="0.2">
      <c r="B28" s="274"/>
      <c r="C28" s="310"/>
      <c r="D28" s="301"/>
    </row>
    <row r="29" spans="2:25" ht="13.5" thickBot="1" x14ac:dyDescent="0.25">
      <c r="B29" s="389" t="s">
        <v>6</v>
      </c>
      <c r="C29" s="404"/>
      <c r="D29" s="405">
        <f>+SUM(D25:D28)</f>
        <v>4800</v>
      </c>
    </row>
  </sheetData>
  <mergeCells count="3">
    <mergeCell ref="B16:L16"/>
    <mergeCell ref="B2:E2"/>
    <mergeCell ref="B5:L5"/>
  </mergeCells>
  <pageMargins left="0.7" right="0.7" top="0.75" bottom="0.75" header="0.3" footer="0.3"/>
  <pageSetup paperSize="9" orientation="portrait" horizontalDpi="300" verticalDpi="0" copies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E4:L31"/>
  <sheetViews>
    <sheetView tabSelected="1" topLeftCell="A2" zoomScale="70" zoomScaleNormal="70" workbookViewId="0">
      <selection activeCell="N20" sqref="N20"/>
    </sheetView>
  </sheetViews>
  <sheetFormatPr baseColWidth="10" defaultColWidth="9.140625" defaultRowHeight="15" x14ac:dyDescent="0.25"/>
  <cols>
    <col min="1" max="4" width="9.140625" style="96"/>
    <col min="5" max="5" width="37.28515625" style="94" bestFit="1" customWidth="1"/>
    <col min="6" max="6" width="18.42578125" style="95" bestFit="1" customWidth="1"/>
    <col min="7" max="7" width="5.5703125" style="96" customWidth="1"/>
    <col min="8" max="12" width="12" style="186" customWidth="1"/>
    <col min="13" max="16384" width="9.140625" style="96"/>
  </cols>
  <sheetData>
    <row r="4" spans="5:12" ht="19.5" thickBot="1" x14ac:dyDescent="0.3">
      <c r="H4" s="97"/>
      <c r="I4" s="97"/>
      <c r="J4" s="97"/>
      <c r="K4" s="97"/>
      <c r="L4" s="97"/>
    </row>
    <row r="5" spans="5:12" ht="19.5" thickBot="1" x14ac:dyDescent="0.3">
      <c r="E5" s="105" t="s">
        <v>263</v>
      </c>
      <c r="F5" s="106" t="s">
        <v>264</v>
      </c>
      <c r="G5" s="24"/>
      <c r="H5" s="106" t="s">
        <v>32</v>
      </c>
      <c r="I5" s="106" t="s">
        <v>33</v>
      </c>
      <c r="J5" s="106" t="s">
        <v>34</v>
      </c>
      <c r="K5" s="106" t="s">
        <v>35</v>
      </c>
      <c r="L5" s="107" t="s">
        <v>36</v>
      </c>
    </row>
    <row r="6" spans="5:12" ht="16.5" thickBot="1" x14ac:dyDescent="0.3">
      <c r="E6" s="741" t="s">
        <v>262</v>
      </c>
      <c r="F6" s="742"/>
      <c r="G6" s="742"/>
      <c r="H6" s="742"/>
      <c r="I6" s="742"/>
      <c r="J6" s="742"/>
      <c r="K6" s="742"/>
      <c r="L6" s="743"/>
    </row>
    <row r="7" spans="5:12" x14ac:dyDescent="0.25">
      <c r="E7" s="627"/>
      <c r="F7" s="628"/>
      <c r="G7" s="745" t="s">
        <v>242</v>
      </c>
      <c r="H7" s="629"/>
      <c r="I7" s="630"/>
      <c r="J7" s="629"/>
      <c r="K7" s="630"/>
      <c r="L7" s="631"/>
    </row>
    <row r="8" spans="5:12" x14ac:dyDescent="0.25">
      <c r="E8" s="747" t="s">
        <v>255</v>
      </c>
      <c r="F8" s="99" t="s">
        <v>383</v>
      </c>
      <c r="G8" s="740"/>
      <c r="H8" s="748" t="e">
        <f>+'BALANCE GENERAL'!E5/('BALANCE GENERAL'!E18+'BALANCE GENERAL'!E19)</f>
        <v>#DIV/0!</v>
      </c>
      <c r="I8" s="748" t="e">
        <f>+'BALANCE GENERAL'!F5/('BALANCE GENERAL'!F18+'BALANCE GENERAL'!F19)</f>
        <v>#DIV/0!</v>
      </c>
      <c r="J8" s="748">
        <f>+'BALANCE GENERAL'!G5/('BALANCE GENERAL'!G18+'BALANCE GENERAL'!G19)</f>
        <v>1.4292223314022507</v>
      </c>
      <c r="K8" s="748">
        <f>+'BALANCE GENERAL'!H5/('BALANCE GENERAL'!H18+'BALANCE GENERAL'!H19)</f>
        <v>2.9039181557153051</v>
      </c>
      <c r="L8" s="749">
        <f>+'BALANCE GENERAL'!I5/('BALANCE GENERAL'!I18+'BALANCE GENERAL'!I19)</f>
        <v>3.933865367417702</v>
      </c>
    </row>
    <row r="9" spans="5:12" x14ac:dyDescent="0.25">
      <c r="E9" s="747"/>
      <c r="F9" s="100" t="s">
        <v>384</v>
      </c>
      <c r="G9" s="740"/>
      <c r="H9" s="748"/>
      <c r="I9" s="748"/>
      <c r="J9" s="748"/>
      <c r="K9" s="748"/>
      <c r="L9" s="749"/>
    </row>
    <row r="10" spans="5:12" ht="15.75" thickBot="1" x14ac:dyDescent="0.3">
      <c r="E10" s="632"/>
      <c r="F10" s="119"/>
      <c r="G10" s="744"/>
      <c r="H10" s="633"/>
      <c r="I10" s="634"/>
      <c r="J10" s="633"/>
      <c r="K10" s="634"/>
      <c r="L10" s="635"/>
    </row>
    <row r="11" spans="5:12" ht="16.5" thickBot="1" x14ac:dyDescent="0.3">
      <c r="E11" s="741" t="s">
        <v>265</v>
      </c>
      <c r="F11" s="742"/>
      <c r="G11" s="742"/>
      <c r="H11" s="742"/>
      <c r="I11" s="742"/>
      <c r="J11" s="742"/>
      <c r="K11" s="742"/>
      <c r="L11" s="743"/>
    </row>
    <row r="12" spans="5:12" x14ac:dyDescent="0.25">
      <c r="E12" s="110"/>
      <c r="F12" s="100"/>
      <c r="G12" s="746" t="s">
        <v>242</v>
      </c>
      <c r="H12" s="102"/>
      <c r="I12" s="102"/>
      <c r="J12" s="102"/>
      <c r="K12" s="102"/>
      <c r="L12" s="111"/>
    </row>
    <row r="13" spans="5:12" x14ac:dyDescent="0.25">
      <c r="E13" s="110" t="s">
        <v>256</v>
      </c>
      <c r="F13" s="99" t="s">
        <v>258</v>
      </c>
      <c r="G13" s="740"/>
      <c r="H13" s="136">
        <f>+'ESTADO DE RESULTADOS'!E10/'ESTADO DE RESULTADOS'!E4</f>
        <v>8.2083476906733774E-2</v>
      </c>
      <c r="I13" s="136">
        <f>+'ESTADO DE RESULTADOS'!F10/'ESTADO DE RESULTADOS'!F4</f>
        <v>0.20555522487265279</v>
      </c>
      <c r="J13" s="136">
        <f>+'ESTADO DE RESULTADOS'!G10/'ESTADO DE RESULTADOS'!G4</f>
        <v>0.34607333880242386</v>
      </c>
      <c r="K13" s="136">
        <f>+'ESTADO DE RESULTADOS'!H10/'ESTADO DE RESULTADOS'!H4</f>
        <v>0.44188748093379854</v>
      </c>
      <c r="L13" s="138">
        <f>+'ESTADO DE RESULTADOS'!I10/'ESTADO DE RESULTADOS'!I4</f>
        <v>0.52359549160662366</v>
      </c>
    </row>
    <row r="14" spans="5:12" x14ac:dyDescent="0.25">
      <c r="E14" s="110"/>
      <c r="F14" s="100" t="s">
        <v>257</v>
      </c>
      <c r="G14" s="740"/>
      <c r="H14" s="102"/>
      <c r="I14" s="102"/>
      <c r="J14" s="102"/>
      <c r="K14" s="102"/>
      <c r="L14" s="111"/>
    </row>
    <row r="15" spans="5:12" x14ac:dyDescent="0.25">
      <c r="E15" s="112"/>
      <c r="F15" s="99"/>
      <c r="G15" s="740"/>
      <c r="H15" s="134"/>
      <c r="I15" s="134"/>
      <c r="J15" s="134"/>
      <c r="K15" s="134"/>
      <c r="L15" s="113"/>
    </row>
    <row r="16" spans="5:12" x14ac:dyDescent="0.25">
      <c r="E16" s="108"/>
      <c r="F16" s="98"/>
      <c r="G16" s="740" t="s">
        <v>242</v>
      </c>
      <c r="H16" s="101"/>
      <c r="I16" s="135"/>
      <c r="J16" s="101"/>
      <c r="K16" s="135"/>
      <c r="L16" s="114"/>
    </row>
    <row r="17" spans="5:12" x14ac:dyDescent="0.25">
      <c r="E17" s="110" t="s">
        <v>259</v>
      </c>
      <c r="F17" s="99" t="s">
        <v>260</v>
      </c>
      <c r="G17" s="740"/>
      <c r="H17" s="137">
        <f>+'ESTADO DE RESULTADOS'!E26/'ESTADO DE RESULTADOS'!E4</f>
        <v>-0.14537109060003758</v>
      </c>
      <c r="I17" s="136">
        <f>+'ESTADO DE RESULTADOS'!F26/'ESTADO DE RESULTADOS'!F4</f>
        <v>2.2274928784643603E-2</v>
      </c>
      <c r="J17" s="137">
        <f>+'ESTADO DE RESULTADOS'!G26/'ESTADO DE RESULTADOS'!G4</f>
        <v>0.20572760410733051</v>
      </c>
      <c r="K17" s="136">
        <f>+'ESTADO DE RESULTADOS'!H26/'ESTADO DE RESULTADOS'!H4</f>
        <v>0.32615844770901653</v>
      </c>
      <c r="L17" s="115">
        <f>+'ESTADO DE RESULTADOS'!I26/'ESTADO DE RESULTADOS'!I4</f>
        <v>0.42814258709939934</v>
      </c>
    </row>
    <row r="18" spans="5:12" x14ac:dyDescent="0.25">
      <c r="E18" s="110"/>
      <c r="F18" s="100" t="s">
        <v>257</v>
      </c>
      <c r="G18" s="740"/>
      <c r="H18" s="103"/>
      <c r="I18" s="102"/>
      <c r="J18" s="103"/>
      <c r="K18" s="102"/>
      <c r="L18" s="116"/>
    </row>
    <row r="19" spans="5:12" x14ac:dyDescent="0.25">
      <c r="E19" s="112"/>
      <c r="F19" s="99"/>
      <c r="G19" s="740"/>
      <c r="H19" s="104"/>
      <c r="I19" s="134"/>
      <c r="J19" s="104"/>
      <c r="K19" s="134"/>
      <c r="L19" s="117"/>
    </row>
    <row r="20" spans="5:12" x14ac:dyDescent="0.25">
      <c r="E20" s="108"/>
      <c r="F20" s="98"/>
      <c r="G20" s="740" t="s">
        <v>242</v>
      </c>
      <c r="H20" s="101"/>
      <c r="I20" s="135"/>
      <c r="J20" s="101"/>
      <c r="K20" s="135"/>
      <c r="L20" s="114"/>
    </row>
    <row r="21" spans="5:12" x14ac:dyDescent="0.25">
      <c r="E21" s="110" t="s">
        <v>261</v>
      </c>
      <c r="F21" s="99" t="s">
        <v>188</v>
      </c>
      <c r="G21" s="740"/>
      <c r="H21" s="137">
        <f>+'ESTADO DE RESULTADOS'!E38/'ESTADO DE RESULTADOS'!E4</f>
        <v>-0.18368529332959802</v>
      </c>
      <c r="I21" s="136">
        <f>+'ESTADO DE RESULTADOS'!F38/'ESTADO DE RESULTADOS'!F4</f>
        <v>-3.7078973771169452E-3</v>
      </c>
      <c r="J21" s="137">
        <f>+'ESTADO DE RESULTADOS'!G38/'ESTADO DE RESULTADOS'!G4</f>
        <v>0.12616712719081175</v>
      </c>
      <c r="K21" s="136">
        <f>+'ESTADO DE RESULTADOS'!H38/'ESTADO DE RESULTADOS'!H4</f>
        <v>0.21091800527110155</v>
      </c>
      <c r="L21" s="115">
        <f>+'ESTADO DE RESULTADOS'!I38/'ESTADO DE RESULTADOS'!I4</f>
        <v>0.28225808228966326</v>
      </c>
    </row>
    <row r="22" spans="5:12" x14ac:dyDescent="0.25">
      <c r="E22" s="110"/>
      <c r="F22" s="100" t="s">
        <v>257</v>
      </c>
      <c r="G22" s="740"/>
      <c r="H22" s="103"/>
      <c r="I22" s="102"/>
      <c r="J22" s="103"/>
      <c r="K22" s="102"/>
      <c r="L22" s="116"/>
    </row>
    <row r="23" spans="5:12" x14ac:dyDescent="0.25">
      <c r="E23" s="112"/>
      <c r="F23" s="99"/>
      <c r="G23" s="740"/>
      <c r="H23" s="104"/>
      <c r="I23" s="134"/>
      <c r="J23" s="104"/>
      <c r="K23" s="134"/>
      <c r="L23" s="117"/>
    </row>
    <row r="24" spans="5:12" x14ac:dyDescent="0.25">
      <c r="E24" s="108"/>
      <c r="F24" s="98"/>
      <c r="G24" s="740" t="s">
        <v>242</v>
      </c>
      <c r="H24" s="135"/>
      <c r="I24" s="135"/>
      <c r="J24" s="135"/>
      <c r="K24" s="135"/>
      <c r="L24" s="109"/>
    </row>
    <row r="25" spans="5:12" x14ac:dyDescent="0.25">
      <c r="E25" s="110" t="s">
        <v>266</v>
      </c>
      <c r="F25" s="99" t="s">
        <v>188</v>
      </c>
      <c r="G25" s="740"/>
      <c r="H25" s="136">
        <f>+'ESTADO DE RESULTADOS'!E38/'BALANCE GENERAL'!E25</f>
        <v>-8.6985264019741546</v>
      </c>
      <c r="I25" s="136">
        <f>+'ESTADO DE RESULTADOS'!F38/'BALANCE GENERAL'!F25</f>
        <v>-0.26889501501767898</v>
      </c>
      <c r="J25" s="136">
        <f>+'ESTADO DE RESULTADOS'!G38/'BALANCE GENERAL'!G25</f>
        <v>0.92071224077307789</v>
      </c>
      <c r="K25" s="136">
        <f>+'ESTADO DE RESULTADOS'!H38/'BALANCE GENERAL'!H25</f>
        <v>0.65329164325658318</v>
      </c>
      <c r="L25" s="138">
        <f>+'ESTADO DE RESULTADOS'!I38/'BALANCE GENERAL'!I25</f>
        <v>0.51697001854563196</v>
      </c>
    </row>
    <row r="26" spans="5:12" x14ac:dyDescent="0.25">
      <c r="E26" s="110"/>
      <c r="F26" s="100" t="s">
        <v>267</v>
      </c>
      <c r="G26" s="740"/>
      <c r="H26" s="102"/>
      <c r="I26" s="102"/>
      <c r="J26" s="102"/>
      <c r="K26" s="102"/>
      <c r="L26" s="111"/>
    </row>
    <row r="27" spans="5:12" x14ac:dyDescent="0.25">
      <c r="E27" s="112"/>
      <c r="F27" s="99"/>
      <c r="G27" s="740"/>
      <c r="H27" s="134"/>
      <c r="I27" s="134"/>
      <c r="J27" s="134"/>
      <c r="K27" s="134"/>
      <c r="L27" s="113"/>
    </row>
    <row r="28" spans="5:12" x14ac:dyDescent="0.25">
      <c r="E28" s="108"/>
      <c r="F28" s="98"/>
      <c r="G28" s="740" t="s">
        <v>242</v>
      </c>
      <c r="H28" s="135"/>
      <c r="I28" s="135"/>
      <c r="J28" s="135"/>
      <c r="K28" s="135"/>
      <c r="L28" s="109"/>
    </row>
    <row r="29" spans="5:12" x14ac:dyDescent="0.25">
      <c r="E29" s="110" t="s">
        <v>268</v>
      </c>
      <c r="F29" s="99" t="s">
        <v>188</v>
      </c>
      <c r="G29" s="740"/>
      <c r="H29" s="136">
        <f>+'ESTADO DE RESULTADOS'!E38/'BALANCE GENERAL'!E15</f>
        <v>-0.52290903963490332</v>
      </c>
      <c r="I29" s="136">
        <f>+'ESTADO DE RESULTADOS'!F38/'BALANCE GENERAL'!F15</f>
        <v>-1.6171288749610806E-2</v>
      </c>
      <c r="J29" s="136">
        <f>+'ESTADO DE RESULTADOS'!G38/'BALANCE GENERAL'!G15</f>
        <v>0.3940706578664514</v>
      </c>
      <c r="K29" s="136">
        <f>+'ESTADO DE RESULTADOS'!H38/'BALANCE GENERAL'!H15</f>
        <v>0.43831204512067407</v>
      </c>
      <c r="L29" s="138">
        <f>+'ESTADO DE RESULTADOS'!I38/'BALANCE GENERAL'!I15</f>
        <v>0.40939248245712651</v>
      </c>
    </row>
    <row r="30" spans="5:12" x14ac:dyDescent="0.25">
      <c r="E30" s="110"/>
      <c r="F30" s="100" t="s">
        <v>269</v>
      </c>
      <c r="G30" s="740"/>
      <c r="H30" s="102"/>
      <c r="I30" s="102"/>
      <c r="J30" s="102"/>
      <c r="K30" s="102"/>
      <c r="L30" s="111"/>
    </row>
    <row r="31" spans="5:12" ht="15.75" thickBot="1" x14ac:dyDescent="0.3">
      <c r="E31" s="118"/>
      <c r="F31" s="119"/>
      <c r="G31" s="744"/>
      <c r="H31" s="120"/>
      <c r="I31" s="120"/>
      <c r="J31" s="120"/>
      <c r="K31" s="120"/>
      <c r="L31" s="121"/>
    </row>
  </sheetData>
  <mergeCells count="14">
    <mergeCell ref="G20:G23"/>
    <mergeCell ref="E11:L11"/>
    <mergeCell ref="E6:L6"/>
    <mergeCell ref="G24:G27"/>
    <mergeCell ref="G28:G31"/>
    <mergeCell ref="G7:G10"/>
    <mergeCell ref="G12:G15"/>
    <mergeCell ref="G16:G19"/>
    <mergeCell ref="E8:E9"/>
    <mergeCell ref="H8:H9"/>
    <mergeCell ref="I8:I9"/>
    <mergeCell ref="J8:J9"/>
    <mergeCell ref="K8:K9"/>
    <mergeCell ref="L8:L9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F38"/>
  <sheetViews>
    <sheetView topLeftCell="A13" workbookViewId="0">
      <selection activeCell="K13" sqref="K13"/>
    </sheetView>
  </sheetViews>
  <sheetFormatPr baseColWidth="10" defaultColWidth="9.140625" defaultRowHeight="15" x14ac:dyDescent="0.25"/>
  <sheetData>
    <row r="5" spans="4:5" x14ac:dyDescent="0.25">
      <c r="D5" s="79" t="s">
        <v>199</v>
      </c>
      <c r="E5" s="80" t="s">
        <v>17</v>
      </c>
    </row>
    <row r="6" spans="4:5" ht="19.5" x14ac:dyDescent="0.25">
      <c r="D6" s="81" t="s">
        <v>200</v>
      </c>
      <c r="E6" s="82">
        <v>546</v>
      </c>
    </row>
    <row r="7" spans="4:5" ht="19.5" x14ac:dyDescent="0.25">
      <c r="D7" s="81" t="s">
        <v>201</v>
      </c>
      <c r="E7" s="82">
        <v>546</v>
      </c>
    </row>
    <row r="8" spans="4:5" ht="19.5" x14ac:dyDescent="0.25">
      <c r="D8" s="81" t="s">
        <v>202</v>
      </c>
      <c r="E8" s="82">
        <v>411</v>
      </c>
    </row>
    <row r="9" spans="4:5" ht="19.5" x14ac:dyDescent="0.25">
      <c r="D9" s="81" t="s">
        <v>203</v>
      </c>
      <c r="E9" s="82">
        <v>412</v>
      </c>
    </row>
    <row r="10" spans="4:5" ht="19.5" x14ac:dyDescent="0.25">
      <c r="D10" s="81" t="s">
        <v>204</v>
      </c>
      <c r="E10" s="82">
        <v>412</v>
      </c>
    </row>
    <row r="11" spans="4:5" ht="19.5" x14ac:dyDescent="0.25">
      <c r="D11" s="81" t="s">
        <v>205</v>
      </c>
      <c r="E11" s="82">
        <v>412</v>
      </c>
    </row>
    <row r="12" spans="4:5" ht="19.5" x14ac:dyDescent="0.25">
      <c r="D12" s="81" t="s">
        <v>206</v>
      </c>
      <c r="E12" s="82">
        <v>413</v>
      </c>
    </row>
    <row r="13" spans="4:5" ht="19.5" x14ac:dyDescent="0.25">
      <c r="D13" s="81" t="s">
        <v>207</v>
      </c>
      <c r="E13" s="82">
        <v>413</v>
      </c>
    </row>
    <row r="14" spans="4:5" ht="19.5" x14ac:dyDescent="0.25">
      <c r="D14" s="81" t="s">
        <v>208</v>
      </c>
      <c r="E14" s="82">
        <v>418</v>
      </c>
    </row>
    <row r="15" spans="4:5" ht="19.5" x14ac:dyDescent="0.25">
      <c r="D15" s="81" t="s">
        <v>209</v>
      </c>
      <c r="E15" s="82">
        <v>418</v>
      </c>
    </row>
    <row r="16" spans="4:5" ht="19.5" x14ac:dyDescent="0.25">
      <c r="D16" s="81" t="s">
        <v>210</v>
      </c>
      <c r="E16" s="82">
        <v>419</v>
      </c>
    </row>
    <row r="17" spans="4:5" ht="19.5" x14ac:dyDescent="0.25">
      <c r="D17" s="81" t="s">
        <v>211</v>
      </c>
      <c r="E17" s="82">
        <v>419</v>
      </c>
    </row>
    <row r="18" spans="4:5" ht="19.5" x14ac:dyDescent="0.25">
      <c r="D18" s="81" t="s">
        <v>212</v>
      </c>
      <c r="E18" s="82">
        <v>419</v>
      </c>
    </row>
    <row r="19" spans="4:5" ht="19.5" x14ac:dyDescent="0.25">
      <c r="D19" s="81" t="s">
        <v>213</v>
      </c>
      <c r="E19" s="82">
        <v>420</v>
      </c>
    </row>
    <row r="20" spans="4:5" ht="19.5" x14ac:dyDescent="0.25">
      <c r="D20" s="81" t="s">
        <v>214</v>
      </c>
      <c r="E20" s="82">
        <v>422</v>
      </c>
    </row>
    <row r="21" spans="4:5" ht="19.5" x14ac:dyDescent="0.25">
      <c r="D21" s="81" t="s">
        <v>215</v>
      </c>
      <c r="E21" s="82">
        <v>425</v>
      </c>
    </row>
    <row r="22" spans="4:5" ht="19.5" x14ac:dyDescent="0.25">
      <c r="D22" s="81" t="s">
        <v>216</v>
      </c>
      <c r="E22" s="82">
        <v>427</v>
      </c>
    </row>
    <row r="23" spans="4:5" ht="19.5" x14ac:dyDescent="0.25">
      <c r="D23" s="81" t="s">
        <v>217</v>
      </c>
      <c r="E23" s="82">
        <v>427</v>
      </c>
    </row>
    <row r="24" spans="4:5" ht="19.5" x14ac:dyDescent="0.25">
      <c r="D24" s="81" t="s">
        <v>218</v>
      </c>
      <c r="E24" s="82">
        <v>427</v>
      </c>
    </row>
    <row r="25" spans="4:5" ht="19.5" x14ac:dyDescent="0.25">
      <c r="D25" s="81" t="s">
        <v>219</v>
      </c>
      <c r="E25" s="82">
        <v>427</v>
      </c>
    </row>
    <row r="26" spans="4:5" ht="19.5" x14ac:dyDescent="0.25">
      <c r="D26" s="81" t="s">
        <v>220</v>
      </c>
      <c r="E26" s="82">
        <v>428</v>
      </c>
    </row>
    <row r="27" spans="4:5" ht="19.5" x14ac:dyDescent="0.25">
      <c r="D27" s="81" t="s">
        <v>221</v>
      </c>
      <c r="E27" s="82">
        <v>432</v>
      </c>
    </row>
    <row r="28" spans="4:5" ht="19.5" x14ac:dyDescent="0.25">
      <c r="D28" s="81" t="s">
        <v>222</v>
      </c>
      <c r="E28" s="82">
        <v>414</v>
      </c>
    </row>
    <row r="29" spans="4:5" ht="19.5" x14ac:dyDescent="0.25">
      <c r="D29" s="81" t="s">
        <v>223</v>
      </c>
      <c r="E29" s="82">
        <v>413</v>
      </c>
    </row>
    <row r="30" spans="4:5" ht="19.5" x14ac:dyDescent="0.25">
      <c r="D30" s="81" t="s">
        <v>224</v>
      </c>
      <c r="E30" s="82">
        <v>413</v>
      </c>
    </row>
    <row r="31" spans="4:5" ht="19.5" x14ac:dyDescent="0.25">
      <c r="D31" s="81" t="s">
        <v>225</v>
      </c>
      <c r="E31" s="82">
        <v>413</v>
      </c>
    </row>
    <row r="32" spans="4:5" ht="19.5" x14ac:dyDescent="0.25">
      <c r="D32" s="81" t="s">
        <v>226</v>
      </c>
      <c r="E32" s="82">
        <v>413</v>
      </c>
    </row>
    <row r="33" spans="4:6" ht="19.5" x14ac:dyDescent="0.25">
      <c r="D33" s="81" t="s">
        <v>227</v>
      </c>
      <c r="E33" s="82">
        <v>413</v>
      </c>
    </row>
    <row r="34" spans="4:6" ht="19.5" x14ac:dyDescent="0.25">
      <c r="D34" s="81" t="s">
        <v>228</v>
      </c>
      <c r="E34" s="82">
        <v>414</v>
      </c>
    </row>
    <row r="35" spans="4:6" ht="19.5" x14ac:dyDescent="0.25">
      <c r="D35" s="81" t="s">
        <v>229</v>
      </c>
      <c r="E35" s="82">
        <v>417</v>
      </c>
    </row>
    <row r="36" spans="4:6" x14ac:dyDescent="0.25">
      <c r="D36" s="751"/>
      <c r="E36" s="751"/>
    </row>
    <row r="37" spans="4:6" x14ac:dyDescent="0.25">
      <c r="D37" s="751"/>
      <c r="E37" s="751"/>
    </row>
    <row r="38" spans="4:6" x14ac:dyDescent="0.25">
      <c r="D38" s="750"/>
      <c r="E38" s="750"/>
      <c r="F38" s="83"/>
    </row>
  </sheetData>
  <mergeCells count="3">
    <mergeCell ref="D38:E38"/>
    <mergeCell ref="D36:E36"/>
    <mergeCell ref="D37:E3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2:F23"/>
  <sheetViews>
    <sheetView topLeftCell="A6" workbookViewId="0">
      <selection activeCell="J22" sqref="J22"/>
    </sheetView>
  </sheetViews>
  <sheetFormatPr baseColWidth="10" defaultColWidth="9.140625" defaultRowHeight="12.75" x14ac:dyDescent="0.2"/>
  <cols>
    <col min="1" max="1" width="9.140625" style="255"/>
    <col min="2" max="2" width="32.140625" style="255" customWidth="1"/>
    <col min="3" max="3" width="8" style="255" bestFit="1" customWidth="1"/>
    <col min="4" max="4" width="10.42578125" style="255" bestFit="1" customWidth="1"/>
    <col min="5" max="5" width="13" style="255" customWidth="1"/>
    <col min="6" max="6" width="9.5703125" style="255" bestFit="1" customWidth="1"/>
    <col min="7" max="16384" width="9.140625" style="255"/>
  </cols>
  <sheetData>
    <row r="2" spans="1:6" x14ac:dyDescent="0.2">
      <c r="B2" s="283"/>
    </row>
    <row r="3" spans="1:6" ht="13.5" thickBot="1" x14ac:dyDescent="0.25"/>
    <row r="4" spans="1:6" ht="26.25" thickBot="1" x14ac:dyDescent="0.25">
      <c r="B4" s="291" t="s">
        <v>3</v>
      </c>
      <c r="C4" s="292" t="s">
        <v>319</v>
      </c>
      <c r="D4" s="292" t="s">
        <v>4</v>
      </c>
      <c r="E4" s="294" t="s">
        <v>5</v>
      </c>
      <c r="F4" s="293" t="s">
        <v>6</v>
      </c>
    </row>
    <row r="5" spans="1:6" x14ac:dyDescent="0.2">
      <c r="B5" s="393"/>
      <c r="C5" s="329"/>
      <c r="D5" s="383"/>
      <c r="E5" s="383"/>
      <c r="F5" s="304">
        <f>+D5*E5</f>
        <v>0</v>
      </c>
    </row>
    <row r="6" spans="1:6" x14ac:dyDescent="0.2">
      <c r="B6" s="274"/>
      <c r="C6" s="312"/>
      <c r="D6" s="310"/>
      <c r="E6" s="310"/>
      <c r="F6" s="301">
        <f>+D6*E6</f>
        <v>0</v>
      </c>
    </row>
    <row r="7" spans="1:6" ht="13.5" thickBot="1" x14ac:dyDescent="0.25">
      <c r="B7" s="274"/>
      <c r="C7" s="312"/>
      <c r="D7" s="310"/>
      <c r="E7" s="310"/>
      <c r="F7" s="301">
        <f t="shared" ref="F7" si="0">+D7*E7</f>
        <v>0</v>
      </c>
    </row>
    <row r="8" spans="1:6" ht="13.5" thickBot="1" x14ac:dyDescent="0.25">
      <c r="B8" s="674" t="s">
        <v>6</v>
      </c>
      <c r="C8" s="675"/>
      <c r="D8" s="675"/>
      <c r="E8" s="675"/>
      <c r="F8" s="296">
        <f>+SUM(F5:F7)</f>
        <v>0</v>
      </c>
    </row>
    <row r="10" spans="1:6" x14ac:dyDescent="0.2">
      <c r="B10" s="297" t="s">
        <v>329</v>
      </c>
      <c r="D10" s="263"/>
    </row>
    <row r="11" spans="1:6" ht="13.5" thickBot="1" x14ac:dyDescent="0.25">
      <c r="B11" s="298"/>
      <c r="D11" s="263"/>
    </row>
    <row r="12" spans="1:6" ht="26.25" thickBot="1" x14ac:dyDescent="0.25">
      <c r="B12" s="291" t="s">
        <v>3</v>
      </c>
      <c r="C12" s="292" t="s">
        <v>319</v>
      </c>
      <c r="D12" s="292" t="s">
        <v>4</v>
      </c>
      <c r="E12" s="294" t="s">
        <v>5</v>
      </c>
      <c r="F12" s="293" t="s">
        <v>6</v>
      </c>
    </row>
    <row r="13" spans="1:6" x14ac:dyDescent="0.2">
      <c r="B13" s="676"/>
      <c r="C13" s="677"/>
      <c r="D13" s="677"/>
      <c r="E13" s="677"/>
      <c r="F13" s="678"/>
    </row>
    <row r="14" spans="1:6" s="269" customFormat="1" x14ac:dyDescent="0.2">
      <c r="B14" s="433" t="s">
        <v>360</v>
      </c>
      <c r="C14" s="306" t="s">
        <v>328</v>
      </c>
      <c r="D14" s="432">
        <v>6</v>
      </c>
      <c r="E14" s="309">
        <v>3</v>
      </c>
      <c r="F14" s="434">
        <f>+D14*E14</f>
        <v>18</v>
      </c>
    </row>
    <row r="15" spans="1:6" s="269" customFormat="1" x14ac:dyDescent="0.2">
      <c r="B15" s="433" t="s">
        <v>361</v>
      </c>
      <c r="C15" s="306" t="s">
        <v>101</v>
      </c>
      <c r="D15" s="432">
        <v>12</v>
      </c>
      <c r="E15" s="309">
        <v>1.3</v>
      </c>
      <c r="F15" s="434">
        <f>+D15*E15</f>
        <v>15.600000000000001</v>
      </c>
    </row>
    <row r="16" spans="1:6" x14ac:dyDescent="0.2">
      <c r="A16" s="269"/>
      <c r="B16" s="299" t="s">
        <v>362</v>
      </c>
      <c r="C16" s="307" t="s">
        <v>101</v>
      </c>
      <c r="D16" s="308">
        <v>2</v>
      </c>
      <c r="E16" s="310">
        <v>3</v>
      </c>
      <c r="F16" s="434">
        <f>+D16*E16</f>
        <v>6</v>
      </c>
    </row>
    <row r="17" spans="2:6" x14ac:dyDescent="0.2">
      <c r="B17" s="433" t="s">
        <v>360</v>
      </c>
      <c r="C17" s="306" t="s">
        <v>328</v>
      </c>
      <c r="D17" s="300">
        <v>3</v>
      </c>
      <c r="E17" s="309">
        <v>3</v>
      </c>
      <c r="F17" s="301">
        <f>+D17*E17</f>
        <v>9</v>
      </c>
    </row>
    <row r="18" spans="2:6" x14ac:dyDescent="0.2">
      <c r="B18" s="433" t="s">
        <v>361</v>
      </c>
      <c r="C18" s="306" t="s">
        <v>101</v>
      </c>
      <c r="D18" s="300">
        <v>24</v>
      </c>
      <c r="E18" s="309">
        <v>1.3</v>
      </c>
      <c r="F18" s="301">
        <f t="shared" ref="F18:F22" si="1">+D18*E18</f>
        <v>31.200000000000003</v>
      </c>
    </row>
    <row r="19" spans="2:6" x14ac:dyDescent="0.2">
      <c r="B19" s="433" t="s">
        <v>362</v>
      </c>
      <c r="C19" s="307" t="s">
        <v>101</v>
      </c>
      <c r="D19" s="300">
        <v>1</v>
      </c>
      <c r="E19" s="310">
        <v>3</v>
      </c>
      <c r="F19" s="301">
        <f t="shared" si="1"/>
        <v>3</v>
      </c>
    </row>
    <row r="20" spans="2:6" x14ac:dyDescent="0.2">
      <c r="B20" s="433" t="s">
        <v>330</v>
      </c>
      <c r="C20" s="307" t="s">
        <v>101</v>
      </c>
      <c r="D20" s="300">
        <v>1</v>
      </c>
      <c r="E20" s="310">
        <v>5</v>
      </c>
      <c r="F20" s="301">
        <f t="shared" si="1"/>
        <v>5</v>
      </c>
    </row>
    <row r="21" spans="2:6" x14ac:dyDescent="0.2">
      <c r="B21" s="433" t="s">
        <v>331</v>
      </c>
      <c r="C21" s="307" t="s">
        <v>101</v>
      </c>
      <c r="D21" s="300">
        <v>1</v>
      </c>
      <c r="E21" s="310">
        <v>6</v>
      </c>
      <c r="F21" s="301">
        <f t="shared" si="1"/>
        <v>6</v>
      </c>
    </row>
    <row r="22" spans="2:6" ht="13.5" thickBot="1" x14ac:dyDescent="0.25">
      <c r="B22" s="433" t="s">
        <v>363</v>
      </c>
      <c r="C22" s="307" t="s">
        <v>101</v>
      </c>
      <c r="D22" s="300">
        <v>4</v>
      </c>
      <c r="E22" s="310">
        <v>15</v>
      </c>
      <c r="F22" s="301">
        <f t="shared" si="1"/>
        <v>60</v>
      </c>
    </row>
    <row r="23" spans="2:6" ht="13.5" thickBot="1" x14ac:dyDescent="0.25">
      <c r="B23" s="674" t="s">
        <v>6</v>
      </c>
      <c r="C23" s="675"/>
      <c r="D23" s="675"/>
      <c r="E23" s="314"/>
      <c r="F23" s="315">
        <f>+SUM(F14:F22)</f>
        <v>153.80000000000001</v>
      </c>
    </row>
  </sheetData>
  <mergeCells count="3">
    <mergeCell ref="B23:D23"/>
    <mergeCell ref="B13:F13"/>
    <mergeCell ref="B8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3:H26"/>
  <sheetViews>
    <sheetView workbookViewId="0">
      <selection activeCell="C18" sqref="C18"/>
    </sheetView>
  </sheetViews>
  <sheetFormatPr baseColWidth="10" defaultColWidth="9.140625" defaultRowHeight="12.75" x14ac:dyDescent="0.2"/>
  <cols>
    <col min="1" max="1" width="9.140625" style="255"/>
    <col min="2" max="2" width="22" style="255" bestFit="1" customWidth="1"/>
    <col min="3" max="3" width="13.28515625" style="255" bestFit="1" customWidth="1"/>
    <col min="4" max="4" width="13.28515625" style="255" customWidth="1"/>
    <col min="5" max="5" width="17.7109375" style="255" customWidth="1"/>
    <col min="6" max="6" width="14.7109375" style="255" customWidth="1"/>
    <col min="7" max="7" width="11.85546875" style="255" bestFit="1" customWidth="1"/>
    <col min="8" max="16384" width="9.140625" style="255"/>
  </cols>
  <sheetData>
    <row r="3" spans="2:8" ht="13.5" thickBot="1" x14ac:dyDescent="0.25"/>
    <row r="4" spans="2:8" ht="26.25" thickBot="1" x14ac:dyDescent="0.25">
      <c r="B4" s="406" t="s">
        <v>63</v>
      </c>
      <c r="C4" s="443" t="s">
        <v>298</v>
      </c>
      <c r="D4" s="443" t="s">
        <v>335</v>
      </c>
      <c r="E4" s="443" t="s">
        <v>61</v>
      </c>
      <c r="F4" s="409" t="s">
        <v>62</v>
      </c>
      <c r="G4" s="409" t="s">
        <v>6</v>
      </c>
    </row>
    <row r="5" spans="2:8" x14ac:dyDescent="0.2">
      <c r="B5" s="446" t="s">
        <v>332</v>
      </c>
      <c r="C5" s="447">
        <v>0</v>
      </c>
      <c r="D5" s="447">
        <v>0</v>
      </c>
      <c r="E5" s="447">
        <v>264</v>
      </c>
      <c r="F5" s="319">
        <v>60</v>
      </c>
      <c r="G5" s="458">
        <f>+SUM(C5:F5)</f>
        <v>324</v>
      </c>
      <c r="H5" s="457"/>
    </row>
    <row r="6" spans="2:8" x14ac:dyDescent="0.2">
      <c r="B6" s="422" t="s">
        <v>308</v>
      </c>
      <c r="C6" s="319">
        <v>0</v>
      </c>
      <c r="D6" s="319">
        <v>0</v>
      </c>
      <c r="E6" s="319">
        <v>60</v>
      </c>
      <c r="F6" s="319">
        <v>60</v>
      </c>
      <c r="G6" s="434">
        <f t="shared" ref="G6:G9" si="0">+SUM(C6:F6)</f>
        <v>120</v>
      </c>
      <c r="H6" s="457"/>
    </row>
    <row r="7" spans="2:8" x14ac:dyDescent="0.2">
      <c r="B7" s="422" t="s">
        <v>296</v>
      </c>
      <c r="C7" s="319">
        <v>60</v>
      </c>
      <c r="D7" s="319">
        <v>336</v>
      </c>
      <c r="E7" s="319">
        <v>60</v>
      </c>
      <c r="F7" s="319">
        <v>300</v>
      </c>
      <c r="G7" s="434">
        <f t="shared" si="0"/>
        <v>756</v>
      </c>
      <c r="H7" s="457"/>
    </row>
    <row r="8" spans="2:8" x14ac:dyDescent="0.2">
      <c r="B8" s="422" t="s">
        <v>333</v>
      </c>
      <c r="C8" s="319">
        <v>180</v>
      </c>
      <c r="D8" s="319">
        <v>0</v>
      </c>
      <c r="E8" s="319">
        <v>60</v>
      </c>
      <c r="F8" s="319">
        <v>300</v>
      </c>
      <c r="G8" s="434">
        <f t="shared" si="0"/>
        <v>540</v>
      </c>
      <c r="H8" s="457"/>
    </row>
    <row r="9" spans="2:8" ht="13.5" thickBot="1" x14ac:dyDescent="0.25">
      <c r="B9" s="448" t="s">
        <v>334</v>
      </c>
      <c r="C9" s="367">
        <v>0</v>
      </c>
      <c r="D9" s="367">
        <v>0</v>
      </c>
      <c r="E9" s="367">
        <v>60</v>
      </c>
      <c r="F9" s="367">
        <v>60</v>
      </c>
      <c r="G9" s="459">
        <f t="shared" si="0"/>
        <v>120</v>
      </c>
      <c r="H9" s="457"/>
    </row>
    <row r="10" spans="2:8" ht="13.5" thickBot="1" x14ac:dyDescent="0.25">
      <c r="B10" s="444" t="s">
        <v>6</v>
      </c>
      <c r="C10" s="445">
        <f>+SUM(C5:C9)</f>
        <v>240</v>
      </c>
      <c r="D10" s="445">
        <f>+SUM(D5:D9)</f>
        <v>336</v>
      </c>
      <c r="E10" s="445">
        <f>+SUM(E5:E9)</f>
        <v>504</v>
      </c>
      <c r="F10" s="445">
        <f>+SUM(F5:F9)</f>
        <v>780</v>
      </c>
      <c r="G10" s="445">
        <f>+SUM(G5:G9)</f>
        <v>1860</v>
      </c>
    </row>
    <row r="12" spans="2:8" ht="13.5" thickBot="1" x14ac:dyDescent="0.25"/>
    <row r="13" spans="2:8" ht="26.25" thickBot="1" x14ac:dyDescent="0.25">
      <c r="B13" s="256" t="s">
        <v>3</v>
      </c>
      <c r="C13" s="258" t="s">
        <v>64</v>
      </c>
      <c r="D13" s="259" t="s">
        <v>39</v>
      </c>
    </row>
    <row r="14" spans="2:8" x14ac:dyDescent="0.2">
      <c r="B14" s="440" t="s">
        <v>65</v>
      </c>
      <c r="C14" s="441"/>
      <c r="D14" s="442"/>
    </row>
    <row r="15" spans="2:8" x14ac:dyDescent="0.2">
      <c r="B15" s="270" t="s">
        <v>298</v>
      </c>
      <c r="C15" s="435">
        <f>+(C5+C6+C9)/12</f>
        <v>0</v>
      </c>
      <c r="D15" s="436">
        <f>+C15*12</f>
        <v>0</v>
      </c>
    </row>
    <row r="16" spans="2:8" x14ac:dyDescent="0.2">
      <c r="B16" s="270" t="s">
        <v>335</v>
      </c>
      <c r="C16" s="435">
        <f>+(D5+D6+D9)/12</f>
        <v>0</v>
      </c>
      <c r="D16" s="436">
        <f>+C16*12</f>
        <v>0</v>
      </c>
    </row>
    <row r="17" spans="2:4" x14ac:dyDescent="0.2">
      <c r="B17" s="270" t="s">
        <v>336</v>
      </c>
      <c r="C17" s="435">
        <f>+(E5+E6+E9)/12</f>
        <v>32</v>
      </c>
      <c r="D17" s="436">
        <f>+C17*12</f>
        <v>384</v>
      </c>
    </row>
    <row r="18" spans="2:4" x14ac:dyDescent="0.2">
      <c r="B18" s="270" t="s">
        <v>337</v>
      </c>
      <c r="C18" s="435">
        <f>+(F5+F6+F9)/12</f>
        <v>15</v>
      </c>
      <c r="D18" s="436">
        <f>+C18*12</f>
        <v>180</v>
      </c>
    </row>
    <row r="19" spans="2:4" x14ac:dyDescent="0.2">
      <c r="B19" s="323" t="s">
        <v>38</v>
      </c>
      <c r="C19" s="437">
        <f>+SUM(C15:C18)</f>
        <v>47</v>
      </c>
      <c r="D19" s="438">
        <f>+SUM(D15:D18)</f>
        <v>564</v>
      </c>
    </row>
    <row r="20" spans="2:4" x14ac:dyDescent="0.2">
      <c r="B20" s="323" t="s">
        <v>66</v>
      </c>
      <c r="C20" s="435"/>
      <c r="D20" s="436"/>
    </row>
    <row r="21" spans="2:4" x14ac:dyDescent="0.2">
      <c r="B21" s="270" t="s">
        <v>298</v>
      </c>
      <c r="C21" s="435">
        <f>+(C7+C8)/12</f>
        <v>20</v>
      </c>
      <c r="D21" s="436">
        <f>+C21*12</f>
        <v>240</v>
      </c>
    </row>
    <row r="22" spans="2:4" x14ac:dyDescent="0.2">
      <c r="B22" s="270" t="s">
        <v>335</v>
      </c>
      <c r="C22" s="435">
        <f>+(D7+D8)/12</f>
        <v>28</v>
      </c>
      <c r="D22" s="436">
        <f>+C22*12</f>
        <v>336</v>
      </c>
    </row>
    <row r="23" spans="2:4" x14ac:dyDescent="0.2">
      <c r="B23" s="270" t="s">
        <v>336</v>
      </c>
      <c r="C23" s="435">
        <f>+(E7+E8)/12</f>
        <v>10</v>
      </c>
      <c r="D23" s="436">
        <f>+C23*12</f>
        <v>120</v>
      </c>
    </row>
    <row r="24" spans="2:4" x14ac:dyDescent="0.2">
      <c r="B24" s="270" t="s">
        <v>337</v>
      </c>
      <c r="C24" s="435">
        <f>+(F7+F8)/12</f>
        <v>50</v>
      </c>
      <c r="D24" s="436">
        <f>+C24*12</f>
        <v>600</v>
      </c>
    </row>
    <row r="25" spans="2:4" ht="13.5" thickBot="1" x14ac:dyDescent="0.25">
      <c r="B25" s="450" t="s">
        <v>38</v>
      </c>
      <c r="C25" s="451">
        <f>SUM(C21:C24)</f>
        <v>108</v>
      </c>
      <c r="D25" s="452">
        <f>SUM(D21:D24)</f>
        <v>1296</v>
      </c>
    </row>
    <row r="26" spans="2:4" ht="13.5" thickBot="1" x14ac:dyDescent="0.25">
      <c r="B26" s="424" t="s">
        <v>6</v>
      </c>
      <c r="C26" s="449">
        <f>+C25+C19</f>
        <v>155</v>
      </c>
      <c r="D26" s="313">
        <f>+D25+D19</f>
        <v>1860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B1:F15"/>
  <sheetViews>
    <sheetView zoomScaleNormal="100" workbookViewId="0">
      <selection activeCell="B4" sqref="B4"/>
    </sheetView>
  </sheetViews>
  <sheetFormatPr baseColWidth="10" defaultColWidth="9.140625" defaultRowHeight="12.75" x14ac:dyDescent="0.2"/>
  <cols>
    <col min="1" max="1" width="9.140625" style="255"/>
    <col min="2" max="2" width="27.85546875" style="298" customWidth="1"/>
    <col min="3" max="3" width="16.42578125" style="255" customWidth="1"/>
    <col min="4" max="4" width="16.28515625" style="255" customWidth="1"/>
    <col min="5" max="5" width="12.42578125" style="255" bestFit="1" customWidth="1"/>
    <col min="6" max="6" width="12.140625" style="255" bestFit="1" customWidth="1"/>
    <col min="7" max="16384" width="9.140625" style="255"/>
  </cols>
  <sheetData>
    <row r="1" spans="2:6" ht="13.5" thickBot="1" x14ac:dyDescent="0.25"/>
    <row r="2" spans="2:6" ht="26.25" thickBot="1" x14ac:dyDescent="0.25">
      <c r="B2" s="316" t="s">
        <v>3</v>
      </c>
      <c r="C2" s="257" t="s">
        <v>53</v>
      </c>
      <c r="D2" s="258" t="s">
        <v>54</v>
      </c>
      <c r="E2" s="258" t="s">
        <v>5</v>
      </c>
      <c r="F2" s="268" t="s">
        <v>6</v>
      </c>
    </row>
    <row r="3" spans="2:6" x14ac:dyDescent="0.2">
      <c r="B3" s="679" t="s">
        <v>391</v>
      </c>
      <c r="C3" s="680"/>
      <c r="D3" s="680"/>
      <c r="E3" s="680"/>
      <c r="F3" s="681"/>
    </row>
    <row r="4" spans="2:6" x14ac:dyDescent="0.2">
      <c r="B4" s="270"/>
      <c r="C4" s="317"/>
      <c r="D4" s="300"/>
      <c r="E4" s="310"/>
      <c r="F4" s="301">
        <f>+E4*D4</f>
        <v>0</v>
      </c>
    </row>
    <row r="5" spans="2:6" x14ac:dyDescent="0.2">
      <c r="B5" s="318"/>
      <c r="C5" s="317"/>
      <c r="D5" s="300"/>
      <c r="E5" s="310"/>
      <c r="F5" s="301">
        <f t="shared" ref="F5:F7" si="0">+E5*D5</f>
        <v>0</v>
      </c>
    </row>
    <row r="6" spans="2:6" x14ac:dyDescent="0.2">
      <c r="B6" s="318"/>
      <c r="C6" s="317"/>
      <c r="D6" s="300"/>
      <c r="E6" s="310"/>
      <c r="F6" s="301">
        <f t="shared" si="0"/>
        <v>0</v>
      </c>
    </row>
    <row r="7" spans="2:6" x14ac:dyDescent="0.2">
      <c r="B7" s="318"/>
      <c r="C7" s="317"/>
      <c r="D7" s="300"/>
      <c r="E7" s="319"/>
      <c r="F7" s="301">
        <f t="shared" si="0"/>
        <v>0</v>
      </c>
    </row>
    <row r="8" spans="2:6" x14ac:dyDescent="0.2">
      <c r="B8" s="320" t="s">
        <v>10</v>
      </c>
      <c r="C8" s="321"/>
      <c r="D8" s="321"/>
      <c r="E8" s="311"/>
      <c r="F8" s="302">
        <f>SUM(F4:F7)</f>
        <v>0</v>
      </c>
    </row>
    <row r="9" spans="2:6" x14ac:dyDescent="0.2">
      <c r="B9" s="682" t="s">
        <v>66</v>
      </c>
      <c r="C9" s="683"/>
      <c r="D9" s="683"/>
      <c r="E9" s="683"/>
      <c r="F9" s="684"/>
    </row>
    <row r="10" spans="2:6" x14ac:dyDescent="0.2">
      <c r="B10" s="318" t="s">
        <v>57</v>
      </c>
      <c r="C10" s="322">
        <v>3</v>
      </c>
      <c r="D10" s="300">
        <f t="shared" ref="D10:D13" si="1">+C10*4</f>
        <v>12</v>
      </c>
      <c r="E10" s="310">
        <f>+E4</f>
        <v>0</v>
      </c>
      <c r="F10" s="301">
        <f>+E10*D10</f>
        <v>0</v>
      </c>
    </row>
    <row r="11" spans="2:6" x14ac:dyDescent="0.2">
      <c r="B11" s="318" t="s">
        <v>55</v>
      </c>
      <c r="C11" s="322">
        <v>3</v>
      </c>
      <c r="D11" s="300">
        <v>3</v>
      </c>
      <c r="E11" s="310">
        <f>+E5</f>
        <v>0</v>
      </c>
      <c r="F11" s="301">
        <f t="shared" ref="F11:F13" si="2">+E11*D11</f>
        <v>0</v>
      </c>
    </row>
    <row r="12" spans="2:6" x14ac:dyDescent="0.2">
      <c r="B12" s="318" t="s">
        <v>56</v>
      </c>
      <c r="C12" s="322">
        <v>3</v>
      </c>
      <c r="D12" s="300">
        <v>3</v>
      </c>
      <c r="E12" s="310">
        <f>+E6</f>
        <v>0</v>
      </c>
      <c r="F12" s="301">
        <f t="shared" si="2"/>
        <v>0</v>
      </c>
    </row>
    <row r="13" spans="2:6" x14ac:dyDescent="0.2">
      <c r="B13" s="318" t="s">
        <v>338</v>
      </c>
      <c r="C13" s="322">
        <v>5</v>
      </c>
      <c r="D13" s="300">
        <f t="shared" si="1"/>
        <v>20</v>
      </c>
      <c r="E13" s="319">
        <f>+E7</f>
        <v>0</v>
      </c>
      <c r="F13" s="301">
        <f t="shared" si="2"/>
        <v>0</v>
      </c>
    </row>
    <row r="14" spans="2:6" ht="13.5" thickBot="1" x14ac:dyDescent="0.25">
      <c r="B14" s="323" t="s">
        <v>272</v>
      </c>
      <c r="C14" s="311"/>
      <c r="D14" s="311"/>
      <c r="E14" s="311"/>
      <c r="F14" s="302">
        <f>SUM(F10:F13)</f>
        <v>0</v>
      </c>
    </row>
    <row r="15" spans="2:6" ht="13.5" thickBot="1" x14ac:dyDescent="0.25">
      <c r="B15" s="325" t="s">
        <v>58</v>
      </c>
      <c r="C15" s="326"/>
      <c r="D15" s="326"/>
      <c r="E15" s="326"/>
      <c r="F15" s="327">
        <f>+F14+F8</f>
        <v>0</v>
      </c>
    </row>
  </sheetData>
  <mergeCells count="2">
    <mergeCell ref="B3:F3"/>
    <mergeCell ref="B9:F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1:D4"/>
  <sheetViews>
    <sheetView workbookViewId="0">
      <selection activeCell="M21" sqref="M21"/>
    </sheetView>
  </sheetViews>
  <sheetFormatPr baseColWidth="10" defaultColWidth="9.140625" defaultRowHeight="12.75" x14ac:dyDescent="0.2"/>
  <cols>
    <col min="1" max="1" width="9.140625" style="255"/>
    <col min="2" max="2" width="19.5703125" style="255" bestFit="1" customWidth="1"/>
    <col min="3" max="3" width="17" style="255" customWidth="1"/>
    <col min="4" max="4" width="16" style="255" customWidth="1"/>
    <col min="5" max="16384" width="9.140625" style="255"/>
  </cols>
  <sheetData>
    <row r="1" spans="2:4" ht="13.5" thickBot="1" x14ac:dyDescent="0.25"/>
    <row r="2" spans="2:4" ht="26.25" thickBot="1" x14ac:dyDescent="0.25">
      <c r="B2" s="256" t="s">
        <v>3</v>
      </c>
      <c r="C2" s="257" t="s">
        <v>93</v>
      </c>
      <c r="D2" s="268" t="s">
        <v>94</v>
      </c>
    </row>
    <row r="3" spans="2:4" ht="13.5" thickBot="1" x14ac:dyDescent="0.25">
      <c r="B3" s="274" t="s">
        <v>339</v>
      </c>
      <c r="C3" s="310">
        <v>350</v>
      </c>
      <c r="D3" s="301">
        <f>+C3*12</f>
        <v>4200</v>
      </c>
    </row>
    <row r="4" spans="2:4" ht="21.75" customHeight="1" thickBot="1" x14ac:dyDescent="0.25">
      <c r="B4" s="325" t="s">
        <v>6</v>
      </c>
      <c r="C4" s="421">
        <f>SUM(C3:C3)</f>
        <v>350</v>
      </c>
      <c r="D4" s="303">
        <f>SUM(D3:D3)</f>
        <v>4200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B2:J29"/>
  <sheetViews>
    <sheetView topLeftCell="B1" workbookViewId="0">
      <selection activeCell="C8" sqref="C8"/>
    </sheetView>
  </sheetViews>
  <sheetFormatPr baseColWidth="10" defaultColWidth="9.140625" defaultRowHeight="12.75" x14ac:dyDescent="0.2"/>
  <cols>
    <col min="1" max="1" width="9.140625" style="255"/>
    <col min="2" max="2" width="43" style="255" bestFit="1" customWidth="1"/>
    <col min="3" max="3" width="17.28515625" style="255" customWidth="1"/>
    <col min="4" max="4" width="9.140625" style="255"/>
    <col min="5" max="5" width="15.140625" style="255" customWidth="1"/>
    <col min="6" max="6" width="16.5703125" style="255" customWidth="1"/>
    <col min="7" max="7" width="15.42578125" style="255" customWidth="1"/>
    <col min="8" max="8" width="14.7109375" style="255" customWidth="1"/>
    <col min="9" max="9" width="16" style="255" customWidth="1"/>
    <col min="10" max="10" width="14.28515625" style="255" bestFit="1" customWidth="1"/>
    <col min="11" max="11" width="11.85546875" style="255" bestFit="1" customWidth="1"/>
    <col min="12" max="16384" width="9.140625" style="255"/>
  </cols>
  <sheetData>
    <row r="2" spans="2:10" x14ac:dyDescent="0.2">
      <c r="B2" s="283" t="s">
        <v>271</v>
      </c>
    </row>
    <row r="3" spans="2:10" ht="13.5" thickBot="1" x14ac:dyDescent="0.25"/>
    <row r="4" spans="2:10" ht="26.25" thickBot="1" x14ac:dyDescent="0.25">
      <c r="B4" s="291" t="s">
        <v>71</v>
      </c>
      <c r="C4" s="294" t="s">
        <v>75</v>
      </c>
      <c r="D4" s="294" t="s">
        <v>70</v>
      </c>
      <c r="E4" s="294" t="s">
        <v>74</v>
      </c>
      <c r="F4" s="294" t="s">
        <v>76</v>
      </c>
      <c r="G4" s="294" t="s">
        <v>77</v>
      </c>
      <c r="H4" s="294" t="s">
        <v>78</v>
      </c>
      <c r="I4" s="294" t="s">
        <v>79</v>
      </c>
      <c r="J4" s="295" t="s">
        <v>80</v>
      </c>
    </row>
    <row r="5" spans="2:10" ht="15" customHeight="1" x14ac:dyDescent="0.2">
      <c r="B5" s="393" t="s">
        <v>104</v>
      </c>
      <c r="C5" s="485">
        <v>15000</v>
      </c>
      <c r="D5" s="395" t="s">
        <v>105</v>
      </c>
      <c r="E5" s="394">
        <f>+C5/20</f>
        <v>750</v>
      </c>
      <c r="F5" s="396">
        <f>+C5-E5</f>
        <v>14250</v>
      </c>
      <c r="G5" s="396">
        <f>+F5-E5</f>
        <v>13500</v>
      </c>
      <c r="H5" s="396">
        <f>+G5-E5</f>
        <v>12750</v>
      </c>
      <c r="I5" s="396">
        <f>+H5-E5</f>
        <v>12000</v>
      </c>
      <c r="J5" s="397">
        <f>+I5-E5</f>
        <v>11250</v>
      </c>
    </row>
    <row r="6" spans="2:10" x14ac:dyDescent="0.2">
      <c r="B6" s="274" t="str">
        <f>+'ACTIVOS FIJOS'!B12</f>
        <v>MAQUINARIA Y EQUIPO</v>
      </c>
      <c r="C6" s="289">
        <v>14000</v>
      </c>
      <c r="D6" s="284" t="s">
        <v>72</v>
      </c>
      <c r="E6" s="276">
        <f>+C6/10</f>
        <v>1400</v>
      </c>
      <c r="F6" s="398">
        <f>+C6-E6</f>
        <v>12600</v>
      </c>
      <c r="G6" s="398">
        <f>+F6-E6</f>
        <v>11200</v>
      </c>
      <c r="H6" s="396">
        <f>+G6-E6</f>
        <v>9800</v>
      </c>
      <c r="I6" s="398">
        <f>+H6-E6</f>
        <v>8400</v>
      </c>
      <c r="J6" s="399">
        <f>+I6-E6</f>
        <v>7000</v>
      </c>
    </row>
    <row r="7" spans="2:10" ht="13.5" thickBot="1" x14ac:dyDescent="0.25">
      <c r="B7" s="274" t="s">
        <v>14</v>
      </c>
      <c r="C7" s="289">
        <v>7000</v>
      </c>
      <c r="D7" s="284" t="s">
        <v>317</v>
      </c>
      <c r="E7" s="276">
        <f>+C7/10</f>
        <v>700</v>
      </c>
      <c r="F7" s="398">
        <f>+C7-E7</f>
        <v>6300</v>
      </c>
      <c r="G7" s="398">
        <f>+F7-E7</f>
        <v>5600</v>
      </c>
      <c r="H7" s="396">
        <f>+G7-E7</f>
        <v>4900</v>
      </c>
      <c r="I7" s="398">
        <f>+H7-E7</f>
        <v>4200</v>
      </c>
      <c r="J7" s="399">
        <f>+I7-E7</f>
        <v>3500</v>
      </c>
    </row>
    <row r="8" spans="2:10" ht="13.5" thickBot="1" x14ac:dyDescent="0.25">
      <c r="B8" s="325" t="s">
        <v>6</v>
      </c>
      <c r="C8" s="400">
        <f>SUM(C5:C7)</f>
        <v>36000</v>
      </c>
      <c r="D8" s="401"/>
      <c r="E8" s="402">
        <f t="shared" ref="E8:J8" si="0">SUM(E5:E7)</f>
        <v>2850</v>
      </c>
      <c r="F8" s="402">
        <f t="shared" si="0"/>
        <v>33150</v>
      </c>
      <c r="G8" s="402">
        <f t="shared" si="0"/>
        <v>30300</v>
      </c>
      <c r="H8" s="402">
        <f t="shared" si="0"/>
        <v>27450</v>
      </c>
      <c r="I8" s="402">
        <f t="shared" si="0"/>
        <v>24600</v>
      </c>
      <c r="J8" s="402">
        <f t="shared" si="0"/>
        <v>21750</v>
      </c>
    </row>
    <row r="9" spans="2:10" x14ac:dyDescent="0.2">
      <c r="C9" s="332"/>
      <c r="E9" s="332"/>
      <c r="F9" s="332"/>
    </row>
    <row r="10" spans="2:10" x14ac:dyDescent="0.2">
      <c r="B10" s="283" t="s">
        <v>270</v>
      </c>
      <c r="E10" s="332"/>
      <c r="F10" s="332"/>
      <c r="G10" s="332"/>
    </row>
    <row r="11" spans="2:10" ht="13.5" thickBot="1" x14ac:dyDescent="0.25"/>
    <row r="12" spans="2:10" ht="26.25" thickBot="1" x14ac:dyDescent="0.25">
      <c r="B12" s="291" t="s">
        <v>71</v>
      </c>
      <c r="C12" s="294" t="s">
        <v>75</v>
      </c>
      <c r="D12" s="294" t="s">
        <v>70</v>
      </c>
      <c r="E12" s="294" t="s">
        <v>74</v>
      </c>
      <c r="F12" s="294" t="s">
        <v>76</v>
      </c>
      <c r="G12" s="294" t="s">
        <v>77</v>
      </c>
      <c r="H12" s="294" t="s">
        <v>78</v>
      </c>
      <c r="I12" s="294" t="s">
        <v>79</v>
      </c>
      <c r="J12" s="295" t="s">
        <v>80</v>
      </c>
    </row>
    <row r="13" spans="2:10" x14ac:dyDescent="0.2">
      <c r="B13" s="393" t="s">
        <v>104</v>
      </c>
      <c r="C13" s="485">
        <v>0</v>
      </c>
      <c r="D13" s="395" t="s">
        <v>105</v>
      </c>
      <c r="E13" s="394">
        <f>+C13/20</f>
        <v>0</v>
      </c>
      <c r="F13" s="396">
        <f>+C13-E13</f>
        <v>0</v>
      </c>
      <c r="G13" s="396">
        <f>+F13-E13</f>
        <v>0</v>
      </c>
      <c r="H13" s="396">
        <f t="shared" ref="H13:H17" si="1">+G13-E13</f>
        <v>0</v>
      </c>
      <c r="I13" s="396">
        <f>+H13-E13</f>
        <v>0</v>
      </c>
      <c r="J13" s="397">
        <f>+I13-E13</f>
        <v>0</v>
      </c>
    </row>
    <row r="14" spans="2:10" x14ac:dyDescent="0.2">
      <c r="B14" s="274" t="s">
        <v>2</v>
      </c>
      <c r="C14" s="289">
        <v>0</v>
      </c>
      <c r="D14" s="284" t="s">
        <v>72</v>
      </c>
      <c r="E14" s="276">
        <f>+C14/10</f>
        <v>0</v>
      </c>
      <c r="F14" s="398">
        <f>+C14-E14</f>
        <v>0</v>
      </c>
      <c r="G14" s="398">
        <f>+F14-E14</f>
        <v>0</v>
      </c>
      <c r="H14" s="398">
        <f t="shared" si="1"/>
        <v>0</v>
      </c>
      <c r="I14" s="398">
        <f>+H14-E14</f>
        <v>0</v>
      </c>
      <c r="J14" s="399">
        <f>+I14-E14</f>
        <v>0</v>
      </c>
    </row>
    <row r="15" spans="2:10" x14ac:dyDescent="0.2">
      <c r="B15" s="274" t="s">
        <v>67</v>
      </c>
      <c r="C15" s="289">
        <v>2500</v>
      </c>
      <c r="D15" s="284" t="s">
        <v>72</v>
      </c>
      <c r="E15" s="276">
        <f>+C15/10</f>
        <v>250</v>
      </c>
      <c r="F15" s="398">
        <f t="shared" ref="F15:F17" si="2">+C15-E15</f>
        <v>2250</v>
      </c>
      <c r="G15" s="398">
        <f t="shared" ref="G15:G17" si="3">+F15-E15</f>
        <v>2000</v>
      </c>
      <c r="H15" s="398">
        <f t="shared" si="1"/>
        <v>1750</v>
      </c>
      <c r="I15" s="398">
        <f>+H15-E15</f>
        <v>1500</v>
      </c>
      <c r="J15" s="399">
        <f>+I15-E15</f>
        <v>1250</v>
      </c>
    </row>
    <row r="16" spans="2:10" x14ac:dyDescent="0.2">
      <c r="B16" s="274" t="s">
        <v>68</v>
      </c>
      <c r="C16" s="276">
        <v>2500</v>
      </c>
      <c r="D16" s="284" t="s">
        <v>73</v>
      </c>
      <c r="E16" s="276">
        <f>+C16/3</f>
        <v>833.33333333333337</v>
      </c>
      <c r="F16" s="398">
        <f t="shared" si="2"/>
        <v>1666.6666666666665</v>
      </c>
      <c r="G16" s="398">
        <f t="shared" si="3"/>
        <v>833.33333333333314</v>
      </c>
      <c r="H16" s="398">
        <f t="shared" si="1"/>
        <v>0</v>
      </c>
      <c r="I16" s="398">
        <v>0</v>
      </c>
      <c r="J16" s="399">
        <v>0</v>
      </c>
    </row>
    <row r="17" spans="2:10" ht="13.5" thickBot="1" x14ac:dyDescent="0.25">
      <c r="B17" s="274" t="s">
        <v>14</v>
      </c>
      <c r="C17" s="276">
        <v>1000</v>
      </c>
      <c r="D17" s="284" t="s">
        <v>72</v>
      </c>
      <c r="E17" s="276">
        <f>+C17/10</f>
        <v>100</v>
      </c>
      <c r="F17" s="398">
        <f t="shared" si="2"/>
        <v>900</v>
      </c>
      <c r="G17" s="398">
        <f t="shared" si="3"/>
        <v>800</v>
      </c>
      <c r="H17" s="398">
        <f t="shared" si="1"/>
        <v>700</v>
      </c>
      <c r="I17" s="398">
        <f>+H17-E17</f>
        <v>600</v>
      </c>
      <c r="J17" s="399">
        <f>+I17-E17</f>
        <v>500</v>
      </c>
    </row>
    <row r="18" spans="2:10" ht="13.5" thickBot="1" x14ac:dyDescent="0.25">
      <c r="B18" s="325" t="s">
        <v>6</v>
      </c>
      <c r="C18" s="400">
        <f>SUM(C13:C17)</f>
        <v>6000</v>
      </c>
      <c r="D18" s="401"/>
      <c r="E18" s="402">
        <f t="shared" ref="E18:J18" si="4">SUM(E13:E17)</f>
        <v>1183.3333333333335</v>
      </c>
      <c r="F18" s="402">
        <f t="shared" si="4"/>
        <v>4816.6666666666661</v>
      </c>
      <c r="G18" s="402">
        <f t="shared" si="4"/>
        <v>3633.333333333333</v>
      </c>
      <c r="H18" s="402">
        <f t="shared" si="4"/>
        <v>2450</v>
      </c>
      <c r="I18" s="402">
        <f t="shared" si="4"/>
        <v>2100</v>
      </c>
      <c r="J18" s="402">
        <f t="shared" si="4"/>
        <v>1750</v>
      </c>
    </row>
    <row r="21" spans="2:10" x14ac:dyDescent="0.2">
      <c r="C21" s="290"/>
    </row>
    <row r="22" spans="2:10" x14ac:dyDescent="0.2">
      <c r="C22" s="290"/>
    </row>
    <row r="23" spans="2:10" x14ac:dyDescent="0.2">
      <c r="C23" s="290"/>
    </row>
    <row r="24" spans="2:10" x14ac:dyDescent="0.2">
      <c r="C24" s="290"/>
    </row>
    <row r="25" spans="2:10" x14ac:dyDescent="0.2">
      <c r="C25" s="290"/>
    </row>
    <row r="26" spans="2:10" x14ac:dyDescent="0.2">
      <c r="C26" s="290"/>
    </row>
    <row r="27" spans="2:10" x14ac:dyDescent="0.2">
      <c r="C27" s="290"/>
    </row>
    <row r="28" spans="2:10" x14ac:dyDescent="0.2">
      <c r="C28" s="290"/>
    </row>
    <row r="29" spans="2:10" x14ac:dyDescent="0.2">
      <c r="C29" s="29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B2:P68"/>
  <sheetViews>
    <sheetView topLeftCell="B1" zoomScale="90" zoomScaleNormal="90" workbookViewId="0">
      <selection activeCell="D53" sqref="D53"/>
    </sheetView>
  </sheetViews>
  <sheetFormatPr baseColWidth="10" defaultColWidth="11.42578125" defaultRowHeight="12.75" x14ac:dyDescent="0.2"/>
  <cols>
    <col min="1" max="1" width="11.42578125" style="255"/>
    <col min="2" max="2" width="31.140625" style="255" bestFit="1" customWidth="1"/>
    <col min="3" max="3" width="24.28515625" style="255" customWidth="1"/>
    <col min="4" max="4" width="29.42578125" style="255" customWidth="1"/>
    <col min="5" max="5" width="23" style="255" bestFit="1" customWidth="1"/>
    <col min="6" max="6" width="22.42578125" style="255" bestFit="1" customWidth="1"/>
    <col min="7" max="7" width="21.42578125" style="255" bestFit="1" customWidth="1"/>
    <col min="8" max="9" width="15.42578125" style="255" customWidth="1"/>
    <col min="10" max="10" width="15.5703125" style="255" customWidth="1"/>
    <col min="11" max="11" width="21.28515625" style="255" bestFit="1" customWidth="1"/>
    <col min="12" max="12" width="17.28515625" style="255" customWidth="1"/>
    <col min="13" max="13" width="15.42578125" style="255" customWidth="1"/>
    <col min="14" max="15" width="11.42578125" style="255"/>
    <col min="16" max="16" width="13.140625" style="255" bestFit="1" customWidth="1"/>
    <col min="17" max="16384" width="11.42578125" style="255"/>
  </cols>
  <sheetData>
    <row r="2" spans="2:14" x14ac:dyDescent="0.2">
      <c r="B2" s="283" t="s">
        <v>369</v>
      </c>
      <c r="K2" s="470"/>
      <c r="L2" s="470"/>
      <c r="M2" s="470"/>
      <c r="N2" s="470"/>
    </row>
    <row r="3" spans="2:14" ht="13.5" thickBot="1" x14ac:dyDescent="0.25"/>
    <row r="4" spans="2:14" ht="26.25" thickBot="1" x14ac:dyDescent="0.25">
      <c r="B4" s="548" t="s">
        <v>349</v>
      </c>
      <c r="C4" s="473" t="s">
        <v>348</v>
      </c>
      <c r="F4" s="478" t="s">
        <v>370</v>
      </c>
      <c r="G4" s="548" t="s">
        <v>367</v>
      </c>
      <c r="H4" s="548" t="s">
        <v>350</v>
      </c>
      <c r="I4" s="473" t="s">
        <v>368</v>
      </c>
    </row>
    <row r="5" spans="2:14" ht="13.5" thickBot="1" x14ac:dyDescent="0.25">
      <c r="B5" s="511" t="s">
        <v>32</v>
      </c>
      <c r="C5" s="474">
        <f>+'COSTOS Y GASTOS'!C12</f>
        <v>93359.389892984138</v>
      </c>
      <c r="F5" s="553">
        <f>+G5*12</f>
        <v>93359.389892984138</v>
      </c>
      <c r="G5" s="554">
        <f>+C5/12</f>
        <v>7779.9491577486779</v>
      </c>
      <c r="H5" s="554">
        <f>+G5/24</f>
        <v>324.16454823952824</v>
      </c>
      <c r="I5" s="555">
        <f>+H5/32</f>
        <v>10.130142132485258</v>
      </c>
    </row>
    <row r="6" spans="2:14" ht="13.5" thickBot="1" x14ac:dyDescent="0.25">
      <c r="B6" s="511" t="s">
        <v>33</v>
      </c>
      <c r="C6" s="474">
        <f>+'COSTOS Y GASTOS'!D12</f>
        <v>97516.158535833762</v>
      </c>
      <c r="D6" s="493">
        <f>+C6/C5</f>
        <v>1.0445243766868488</v>
      </c>
    </row>
    <row r="7" spans="2:14" ht="13.5" thickBot="1" x14ac:dyDescent="0.25">
      <c r="B7" s="511" t="s">
        <v>34</v>
      </c>
      <c r="C7" s="474">
        <f>+'COSTOS Y GASTOS'!E12</f>
        <v>101872.84364543841</v>
      </c>
      <c r="D7" s="493">
        <f>+C7/C6</f>
        <v>1.0446765456619553</v>
      </c>
      <c r="F7" s="477" t="s">
        <v>3</v>
      </c>
      <c r="G7" s="548" t="s">
        <v>32</v>
      </c>
      <c r="H7" s="558" t="s">
        <v>33</v>
      </c>
      <c r="I7" s="548" t="s">
        <v>34</v>
      </c>
      <c r="J7" s="548" t="s">
        <v>35</v>
      </c>
      <c r="K7" s="473" t="s">
        <v>36</v>
      </c>
    </row>
    <row r="8" spans="2:14" x14ac:dyDescent="0.2">
      <c r="B8" s="511" t="s">
        <v>35</v>
      </c>
      <c r="C8" s="474">
        <f>+'COSTOS Y GASTOS'!F12</f>
        <v>106439.44078186975</v>
      </c>
      <c r="D8" s="493">
        <f>+C8/C7</f>
        <v>1.0448264421902766</v>
      </c>
      <c r="F8" s="472" t="s">
        <v>350</v>
      </c>
      <c r="G8" s="556">
        <f>+H5</f>
        <v>324.16454823952824</v>
      </c>
      <c r="H8" s="549">
        <f>+G8*D6</f>
        <v>338.59777269386717</v>
      </c>
      <c r="I8" s="556">
        <f>+H8*D7</f>
        <v>353.7251515466611</v>
      </c>
      <c r="J8" s="556">
        <f>+I8*D8</f>
        <v>369.58139160371434</v>
      </c>
      <c r="K8" s="550">
        <f>+J8*D9</f>
        <v>386.20298830488446</v>
      </c>
    </row>
    <row r="9" spans="2:14" ht="13.5" thickBot="1" x14ac:dyDescent="0.25">
      <c r="B9" s="511" t="s">
        <v>36</v>
      </c>
      <c r="C9" s="474">
        <f>+'COSTOS Y GASTOS'!G12</f>
        <v>111226.46063180675</v>
      </c>
      <c r="D9" s="493">
        <f>+C9/C8</f>
        <v>1.0449741168759727</v>
      </c>
      <c r="F9" s="472" t="s">
        <v>351</v>
      </c>
      <c r="G9" s="556">
        <f>+G8/8</f>
        <v>40.520568529941031</v>
      </c>
      <c r="H9" s="549">
        <f t="shared" ref="H9:K9" si="0">+H8/8</f>
        <v>42.324721586733396</v>
      </c>
      <c r="I9" s="556">
        <f t="shared" si="0"/>
        <v>44.215643943332637</v>
      </c>
      <c r="J9" s="556">
        <f t="shared" si="0"/>
        <v>46.197673950464292</v>
      </c>
      <c r="K9" s="550">
        <f t="shared" si="0"/>
        <v>48.275373538110557</v>
      </c>
    </row>
    <row r="10" spans="2:14" ht="13.5" thickBot="1" x14ac:dyDescent="0.25">
      <c r="B10" s="559"/>
      <c r="C10" s="476"/>
      <c r="F10" s="475"/>
      <c r="G10" s="557"/>
      <c r="H10" s="551"/>
      <c r="I10" s="557"/>
      <c r="J10" s="557"/>
      <c r="K10" s="552"/>
    </row>
    <row r="17" spans="2:9" ht="13.5" thickBot="1" x14ac:dyDescent="0.25"/>
    <row r="18" spans="2:9" ht="15.75" customHeight="1" thickBot="1" x14ac:dyDescent="0.25">
      <c r="C18" s="685" t="s">
        <v>154</v>
      </c>
      <c r="D18" s="686"/>
      <c r="E18" s="686"/>
      <c r="F18" s="686"/>
      <c r="G18" s="687"/>
    </row>
    <row r="19" spans="2:9" ht="13.5" thickBot="1" x14ac:dyDescent="0.25">
      <c r="B19" s="548" t="s">
        <v>365</v>
      </c>
      <c r="C19" s="562">
        <v>1</v>
      </c>
      <c r="D19" s="562">
        <v>2</v>
      </c>
      <c r="E19" s="478">
        <v>3</v>
      </c>
      <c r="F19" s="548">
        <v>4</v>
      </c>
      <c r="G19" s="473">
        <v>5</v>
      </c>
      <c r="H19" s="255" t="s">
        <v>468</v>
      </c>
      <c r="I19" s="655">
        <v>2.4E-2</v>
      </c>
    </row>
    <row r="20" spans="2:9" x14ac:dyDescent="0.2">
      <c r="B20" s="511" t="s">
        <v>19</v>
      </c>
      <c r="C20" s="560">
        <v>3062.7239999999997</v>
      </c>
      <c r="D20" s="560">
        <f>C31*$I$19+C31</f>
        <v>8948.0284268585456</v>
      </c>
      <c r="E20" s="560">
        <f>D31*$I$20+D31</f>
        <v>11812.663457250639</v>
      </c>
      <c r="F20" s="560">
        <f>E31*$I$20+E31</f>
        <v>14461.031301437986</v>
      </c>
      <c r="G20" s="560">
        <f>F31*$I$20+F31</f>
        <v>17703.156198258577</v>
      </c>
      <c r="H20" s="255" t="s">
        <v>469</v>
      </c>
      <c r="I20" s="669">
        <v>1.7000000000000001E-2</v>
      </c>
    </row>
    <row r="21" spans="2:9" x14ac:dyDescent="0.2">
      <c r="B21" s="511" t="s">
        <v>20</v>
      </c>
      <c r="C21" s="560">
        <v>3368.9963999999991</v>
      </c>
      <c r="D21" s="560">
        <f>D20*$I$19+D20</f>
        <v>9162.7811091031508</v>
      </c>
      <c r="E21" s="560">
        <f>E20*$I$20+E20</f>
        <v>12013.478736023901</v>
      </c>
      <c r="F21" s="560">
        <f>F20*$I$20+F20</f>
        <v>14706.868833562432</v>
      </c>
      <c r="G21" s="560">
        <f>G20*$I$20+G20</f>
        <v>18004.109853628972</v>
      </c>
    </row>
    <row r="22" spans="2:9" x14ac:dyDescent="0.2">
      <c r="B22" s="511" t="s">
        <v>21</v>
      </c>
      <c r="C22" s="560">
        <v>3705.8960400000005</v>
      </c>
      <c r="D22" s="560">
        <f t="shared" ref="D22:D31" si="1">D21*$I$19+D21</f>
        <v>9382.687855721626</v>
      </c>
      <c r="E22" s="560">
        <f t="shared" ref="E22:E31" si="2">E21*$I$20+E21</f>
        <v>12217.707874536307</v>
      </c>
      <c r="F22" s="560">
        <f t="shared" ref="F22:F31" si="3">F21*$I$20+F21</f>
        <v>14956.885603732993</v>
      </c>
      <c r="G22" s="560">
        <f t="shared" ref="G22:G31" si="4">G21*$I$20+G21</f>
        <v>18310.179721140663</v>
      </c>
    </row>
    <row r="23" spans="2:9" x14ac:dyDescent="0.2">
      <c r="B23" s="511" t="s">
        <v>22</v>
      </c>
      <c r="C23" s="560">
        <v>4076.4856440000003</v>
      </c>
      <c r="D23" s="560">
        <f t="shared" si="1"/>
        <v>9607.8723642589448</v>
      </c>
      <c r="E23" s="560">
        <f t="shared" si="2"/>
        <v>12425.408908403424</v>
      </c>
      <c r="F23" s="560">
        <f t="shared" si="3"/>
        <v>15211.152658996454</v>
      </c>
      <c r="G23" s="560">
        <f t="shared" si="4"/>
        <v>18621.452776400056</v>
      </c>
    </row>
    <row r="24" spans="2:9" x14ac:dyDescent="0.2">
      <c r="B24" s="511" t="s">
        <v>23</v>
      </c>
      <c r="C24" s="560">
        <v>4484.1342084000007</v>
      </c>
      <c r="D24" s="560">
        <f t="shared" si="1"/>
        <v>9838.4613010011599</v>
      </c>
      <c r="E24" s="560">
        <f t="shared" si="2"/>
        <v>12636.640859846282</v>
      </c>
      <c r="F24" s="560">
        <f t="shared" si="3"/>
        <v>15469.742254199395</v>
      </c>
      <c r="G24" s="560">
        <f t="shared" si="4"/>
        <v>18938.017473598858</v>
      </c>
    </row>
    <row r="25" spans="2:9" x14ac:dyDescent="0.2">
      <c r="B25" s="511" t="s">
        <v>24</v>
      </c>
      <c r="C25" s="560">
        <v>4932.5476292400008</v>
      </c>
      <c r="D25" s="560">
        <f t="shared" si="1"/>
        <v>10074.584372225188</v>
      </c>
      <c r="E25" s="560">
        <f t="shared" si="2"/>
        <v>12851.46375446367</v>
      </c>
      <c r="F25" s="560">
        <f t="shared" si="3"/>
        <v>15732.727872520785</v>
      </c>
      <c r="G25" s="560">
        <f t="shared" si="4"/>
        <v>19259.96377065004</v>
      </c>
    </row>
    <row r="26" spans="2:9" x14ac:dyDescent="0.2">
      <c r="B26" s="511" t="s">
        <v>25</v>
      </c>
      <c r="C26" s="560">
        <v>5425.8023921640015</v>
      </c>
      <c r="D26" s="560">
        <f t="shared" si="1"/>
        <v>10316.374397158594</v>
      </c>
      <c r="E26" s="560">
        <f t="shared" si="2"/>
        <v>13069.938638289552</v>
      </c>
      <c r="F26" s="560">
        <f t="shared" si="3"/>
        <v>16000.184246353638</v>
      </c>
      <c r="G26" s="560">
        <f t="shared" si="4"/>
        <v>19587.383154751089</v>
      </c>
    </row>
    <row r="27" spans="2:9" x14ac:dyDescent="0.2">
      <c r="B27" s="511" t="s">
        <v>26</v>
      </c>
      <c r="C27" s="560">
        <v>5968.382631380402</v>
      </c>
      <c r="D27" s="560">
        <f t="shared" si="1"/>
        <v>10563.9673826904</v>
      </c>
      <c r="E27" s="560">
        <f t="shared" si="2"/>
        <v>13292.127595140475</v>
      </c>
      <c r="F27" s="560">
        <f t="shared" si="3"/>
        <v>16272.18737854165</v>
      </c>
      <c r="G27" s="560">
        <f t="shared" si="4"/>
        <v>19920.368668381856</v>
      </c>
    </row>
    <row r="28" spans="2:9" x14ac:dyDescent="0.2">
      <c r="B28" s="511" t="s">
        <v>27</v>
      </c>
      <c r="C28" s="560">
        <v>6565.2208945184429</v>
      </c>
      <c r="D28" s="560">
        <f t="shared" si="1"/>
        <v>10817.50259987497</v>
      </c>
      <c r="E28" s="560">
        <f t="shared" si="2"/>
        <v>13518.093764257863</v>
      </c>
      <c r="F28" s="560">
        <f t="shared" si="3"/>
        <v>16548.814563976859</v>
      </c>
      <c r="G28" s="560">
        <f t="shared" si="4"/>
        <v>20259.014935744348</v>
      </c>
    </row>
    <row r="29" spans="2:9" x14ac:dyDescent="0.2">
      <c r="B29" s="511" t="s">
        <v>28</v>
      </c>
      <c r="C29" s="560">
        <v>7221.7429839702872</v>
      </c>
      <c r="D29" s="560">
        <f t="shared" si="1"/>
        <v>11077.12266227197</v>
      </c>
      <c r="E29" s="560">
        <f t="shared" si="2"/>
        <v>13747.901358250247</v>
      </c>
      <c r="F29" s="560">
        <f t="shared" si="3"/>
        <v>16830.144411564466</v>
      </c>
      <c r="G29" s="560">
        <f t="shared" si="4"/>
        <v>20603.418189652002</v>
      </c>
    </row>
    <row r="30" spans="2:9" x14ac:dyDescent="0.2">
      <c r="B30" s="511" t="s">
        <v>29</v>
      </c>
      <c r="C30" s="560">
        <v>7943.9172823673171</v>
      </c>
      <c r="D30" s="560">
        <f t="shared" si="1"/>
        <v>11342.973606166497</v>
      </c>
      <c r="E30" s="560">
        <f t="shared" si="2"/>
        <v>13981.615681340501</v>
      </c>
      <c r="F30" s="560">
        <f t="shared" si="3"/>
        <v>17116.256866561063</v>
      </c>
      <c r="G30" s="560">
        <f t="shared" si="4"/>
        <v>20953.676298876086</v>
      </c>
    </row>
    <row r="31" spans="2:9" ht="13.5" thickBot="1" x14ac:dyDescent="0.25">
      <c r="B31" s="512" t="s">
        <v>30</v>
      </c>
      <c r="C31" s="561">
        <v>8738.309010604049</v>
      </c>
      <c r="D31" s="560">
        <f t="shared" si="1"/>
        <v>11615.204972714493</v>
      </c>
      <c r="E31" s="560">
        <f t="shared" si="2"/>
        <v>14219.30314792329</v>
      </c>
      <c r="F31" s="560">
        <f t="shared" si="3"/>
        <v>17407.233233292602</v>
      </c>
      <c r="G31" s="560">
        <f t="shared" si="4"/>
        <v>21309.88879595698</v>
      </c>
    </row>
    <row r="32" spans="2:9" ht="13.5" thickBot="1" x14ac:dyDescent="0.25">
      <c r="B32" s="563" t="s">
        <v>366</v>
      </c>
      <c r="C32" s="564">
        <f>+P68</f>
        <v>101707.93045360425</v>
      </c>
      <c r="D32" s="564">
        <f t="shared" ref="D32:G32" si="5">SUM(D20:D31)</f>
        <v>122747.56105004555</v>
      </c>
      <c r="E32" s="565">
        <f t="shared" si="5"/>
        <v>155786.34377572616</v>
      </c>
      <c r="F32" s="564">
        <f t="shared" si="5"/>
        <v>190713.22922474035</v>
      </c>
      <c r="G32" s="566">
        <f t="shared" si="5"/>
        <v>233470.62983703951</v>
      </c>
    </row>
    <row r="34" spans="2:16" ht="13.5" thickBot="1" x14ac:dyDescent="0.25"/>
    <row r="35" spans="2:16" ht="13.5" thickBot="1" x14ac:dyDescent="0.25">
      <c r="C35" s="477" t="s">
        <v>371</v>
      </c>
      <c r="D35" s="478" t="s">
        <v>369</v>
      </c>
      <c r="E35" s="473" t="s">
        <v>372</v>
      </c>
    </row>
    <row r="36" spans="2:16" x14ac:dyDescent="0.2">
      <c r="B36" s="510" t="s">
        <v>32</v>
      </c>
      <c r="C36" s="506">
        <f>+C32</f>
        <v>101707.93045360425</v>
      </c>
      <c r="D36" s="507">
        <f>+C5</f>
        <v>93359.389892984138</v>
      </c>
      <c r="E36" s="474">
        <f>+C36-D36</f>
        <v>8348.5405606201093</v>
      </c>
    </row>
    <row r="37" spans="2:16" x14ac:dyDescent="0.2">
      <c r="B37" s="511" t="s">
        <v>33</v>
      </c>
      <c r="C37" s="506">
        <f>+D32</f>
        <v>122747.56105004555</v>
      </c>
      <c r="D37" s="507">
        <f>+C6</f>
        <v>97516.158535833762</v>
      </c>
      <c r="E37" s="474">
        <f t="shared" ref="E37:E40" si="6">+C37-D37</f>
        <v>25231.40251421179</v>
      </c>
    </row>
    <row r="38" spans="2:16" x14ac:dyDescent="0.2">
      <c r="B38" s="511" t="s">
        <v>34</v>
      </c>
      <c r="C38" s="506">
        <f>+E32</f>
        <v>155786.34377572616</v>
      </c>
      <c r="D38" s="507">
        <f>+C7</f>
        <v>101872.84364543841</v>
      </c>
      <c r="E38" s="474">
        <f t="shared" si="6"/>
        <v>53913.50013028775</v>
      </c>
    </row>
    <row r="39" spans="2:16" x14ac:dyDescent="0.2">
      <c r="B39" s="511" t="s">
        <v>35</v>
      </c>
      <c r="C39" s="506">
        <f>+F32</f>
        <v>190713.22922474035</v>
      </c>
      <c r="D39" s="507">
        <f>+C8</f>
        <v>106439.44078186975</v>
      </c>
      <c r="E39" s="474">
        <f t="shared" si="6"/>
        <v>84273.788442870602</v>
      </c>
    </row>
    <row r="40" spans="2:16" ht="13.5" thickBot="1" x14ac:dyDescent="0.25">
      <c r="B40" s="512" t="s">
        <v>36</v>
      </c>
      <c r="C40" s="508">
        <f>+G32</f>
        <v>233470.62983703951</v>
      </c>
      <c r="D40" s="505">
        <f>+C9</f>
        <v>111226.46063180675</v>
      </c>
      <c r="E40" s="509">
        <f t="shared" si="6"/>
        <v>122244.16920523276</v>
      </c>
    </row>
    <row r="42" spans="2:16" ht="15" x14ac:dyDescent="0.25">
      <c r="B42" t="s">
        <v>409</v>
      </c>
      <c r="C42"/>
      <c r="D42" t="s">
        <v>410</v>
      </c>
      <c r="E42" t="s">
        <v>411</v>
      </c>
      <c r="F42" t="s">
        <v>412</v>
      </c>
      <c r="G42" t="s">
        <v>413</v>
      </c>
      <c r="H42" t="s">
        <v>414</v>
      </c>
      <c r="I42" t="s">
        <v>415</v>
      </c>
      <c r="J42" t="s">
        <v>416</v>
      </c>
      <c r="K42" t="s">
        <v>417</v>
      </c>
      <c r="L42" t="s">
        <v>418</v>
      </c>
      <c r="M42" t="s">
        <v>419</v>
      </c>
      <c r="N42" t="s">
        <v>420</v>
      </c>
      <c r="O42" t="s">
        <v>421</v>
      </c>
      <c r="P42" t="s">
        <v>422</v>
      </c>
    </row>
    <row r="43" spans="2:16" ht="15" x14ac:dyDescent="0.25">
      <c r="B43"/>
      <c r="C43" s="641"/>
      <c r="D43" s="641"/>
      <c r="E43"/>
      <c r="F43"/>
      <c r="G43"/>
      <c r="H43"/>
      <c r="I43"/>
      <c r="J43"/>
      <c r="K43"/>
      <c r="L43"/>
      <c r="M43"/>
      <c r="N43"/>
      <c r="O43"/>
      <c r="P43"/>
    </row>
    <row r="44" spans="2:16" ht="15" x14ac:dyDescent="0.25">
      <c r="B44"/>
      <c r="C44" s="641" t="s">
        <v>423</v>
      </c>
      <c r="D44" s="642">
        <v>26</v>
      </c>
      <c r="E44" s="643">
        <f t="shared" ref="E44:O44" si="7">D44*1.1</f>
        <v>28.6</v>
      </c>
      <c r="F44" s="643">
        <f t="shared" si="7"/>
        <v>31.460000000000004</v>
      </c>
      <c r="G44" s="643">
        <f t="shared" si="7"/>
        <v>34.606000000000009</v>
      </c>
      <c r="H44" s="643">
        <f t="shared" si="7"/>
        <v>38.066600000000015</v>
      </c>
      <c r="I44" s="643">
        <f t="shared" si="7"/>
        <v>41.873260000000023</v>
      </c>
      <c r="J44" s="643">
        <f t="shared" si="7"/>
        <v>46.060586000000029</v>
      </c>
      <c r="K44" s="643">
        <f t="shared" si="7"/>
        <v>50.666644600000033</v>
      </c>
      <c r="L44" s="643">
        <f t="shared" si="7"/>
        <v>55.733309060000039</v>
      </c>
      <c r="M44" s="643">
        <f t="shared" si="7"/>
        <v>61.306639966000049</v>
      </c>
      <c r="N44" s="643">
        <f t="shared" si="7"/>
        <v>67.437303962600055</v>
      </c>
      <c r="O44" s="643">
        <f t="shared" si="7"/>
        <v>74.18103435886006</v>
      </c>
      <c r="P44" s="644">
        <f t="shared" ref="P44:P56" si="8">SUM(D44:O44)</f>
        <v>555.99137794746025</v>
      </c>
    </row>
    <row r="45" spans="2:16" ht="15" x14ac:dyDescent="0.25">
      <c r="B45"/>
      <c r="C45" s="641" t="s">
        <v>424</v>
      </c>
      <c r="D45" s="645">
        <v>4.5</v>
      </c>
      <c r="E45" s="646">
        <f>D45</f>
        <v>4.5</v>
      </c>
      <c r="F45" s="646">
        <f t="shared" ref="F45:O45" si="9">E45</f>
        <v>4.5</v>
      </c>
      <c r="G45" s="646">
        <f t="shared" si="9"/>
        <v>4.5</v>
      </c>
      <c r="H45" s="646">
        <f t="shared" si="9"/>
        <v>4.5</v>
      </c>
      <c r="I45" s="646">
        <f t="shared" si="9"/>
        <v>4.5</v>
      </c>
      <c r="J45" s="646">
        <f t="shared" si="9"/>
        <v>4.5</v>
      </c>
      <c r="K45" s="646">
        <f t="shared" si="9"/>
        <v>4.5</v>
      </c>
      <c r="L45" s="646">
        <f t="shared" si="9"/>
        <v>4.5</v>
      </c>
      <c r="M45" s="646">
        <f t="shared" si="9"/>
        <v>4.5</v>
      </c>
      <c r="N45" s="646">
        <f t="shared" si="9"/>
        <v>4.5</v>
      </c>
      <c r="O45" s="646">
        <f t="shared" si="9"/>
        <v>4.5</v>
      </c>
      <c r="P45" s="644">
        <f>+O45</f>
        <v>4.5</v>
      </c>
    </row>
    <row r="46" spans="2:16" ht="15" x14ac:dyDescent="0.25">
      <c r="B46"/>
      <c r="C46" s="641" t="s">
        <v>425</v>
      </c>
      <c r="D46" s="642">
        <f>+D45*D44</f>
        <v>117</v>
      </c>
      <c r="E46" s="642">
        <f t="shared" ref="E46:O46" si="10">+E45*E44</f>
        <v>128.70000000000002</v>
      </c>
      <c r="F46" s="642">
        <f t="shared" si="10"/>
        <v>141.57000000000002</v>
      </c>
      <c r="G46" s="642">
        <f t="shared" si="10"/>
        <v>155.72700000000003</v>
      </c>
      <c r="H46" s="642">
        <f t="shared" si="10"/>
        <v>171.29970000000006</v>
      </c>
      <c r="I46" s="642">
        <f t="shared" si="10"/>
        <v>188.4296700000001</v>
      </c>
      <c r="J46" s="642">
        <f t="shared" si="10"/>
        <v>207.27263700000015</v>
      </c>
      <c r="K46" s="642">
        <f t="shared" si="10"/>
        <v>227.99990070000015</v>
      </c>
      <c r="L46" s="642">
        <f t="shared" si="10"/>
        <v>250.79989077000016</v>
      </c>
      <c r="M46" s="642">
        <f t="shared" si="10"/>
        <v>275.87987984700021</v>
      </c>
      <c r="N46" s="642">
        <f t="shared" si="10"/>
        <v>303.46786783170023</v>
      </c>
      <c r="O46" s="642">
        <f t="shared" si="10"/>
        <v>333.81465461487028</v>
      </c>
      <c r="P46" s="644">
        <f t="shared" si="8"/>
        <v>2501.9612007635715</v>
      </c>
    </row>
    <row r="47" spans="2:16" ht="15.75" thickBot="1" x14ac:dyDescent="0.3">
      <c r="B47"/>
      <c r="C47" s="641" t="s">
        <v>426</v>
      </c>
      <c r="D47" s="642">
        <f>+D46*5</f>
        <v>585</v>
      </c>
      <c r="E47" s="642">
        <f t="shared" ref="E47:O47" si="11">+E46*5</f>
        <v>643.50000000000011</v>
      </c>
      <c r="F47" s="642">
        <f t="shared" si="11"/>
        <v>707.85000000000014</v>
      </c>
      <c r="G47" s="642">
        <f t="shared" si="11"/>
        <v>778.63500000000022</v>
      </c>
      <c r="H47" s="642">
        <f t="shared" si="11"/>
        <v>856.49850000000026</v>
      </c>
      <c r="I47" s="642">
        <f t="shared" si="11"/>
        <v>942.14835000000051</v>
      </c>
      <c r="J47" s="642">
        <f t="shared" si="11"/>
        <v>1036.3631850000006</v>
      </c>
      <c r="K47" s="642">
        <f t="shared" si="11"/>
        <v>1139.9995035000009</v>
      </c>
      <c r="L47" s="642">
        <f t="shared" si="11"/>
        <v>1253.9994538500009</v>
      </c>
      <c r="M47" s="642">
        <f t="shared" si="11"/>
        <v>1379.3993992350011</v>
      </c>
      <c r="N47" s="642">
        <f t="shared" si="11"/>
        <v>1517.3393391585012</v>
      </c>
      <c r="O47" s="642">
        <f t="shared" si="11"/>
        <v>1669.0732730743514</v>
      </c>
      <c r="P47" s="644">
        <f t="shared" si="8"/>
        <v>12509.806003817857</v>
      </c>
    </row>
    <row r="48" spans="2:16" ht="15.75" thickBot="1" x14ac:dyDescent="0.3">
      <c r="B48"/>
      <c r="C48" s="647" t="s">
        <v>427</v>
      </c>
      <c r="D48" s="648">
        <f>+D47*4</f>
        <v>2340</v>
      </c>
      <c r="E48" s="649">
        <f t="shared" ref="E48:N48" si="12">+E47*4</f>
        <v>2574.0000000000005</v>
      </c>
      <c r="F48" s="649">
        <f t="shared" si="12"/>
        <v>2831.4000000000005</v>
      </c>
      <c r="G48" s="649">
        <f t="shared" si="12"/>
        <v>3114.5400000000009</v>
      </c>
      <c r="H48" s="649">
        <f t="shared" si="12"/>
        <v>3425.9940000000011</v>
      </c>
      <c r="I48" s="649">
        <f t="shared" si="12"/>
        <v>3768.593400000002</v>
      </c>
      <c r="J48" s="649">
        <f t="shared" si="12"/>
        <v>4145.4527400000024</v>
      </c>
      <c r="K48" s="649">
        <f t="shared" si="12"/>
        <v>4559.9980140000034</v>
      </c>
      <c r="L48" s="649">
        <f t="shared" si="12"/>
        <v>5015.9978154000037</v>
      </c>
      <c r="M48" s="649">
        <f t="shared" si="12"/>
        <v>5517.5975969400042</v>
      </c>
      <c r="N48" s="649">
        <f t="shared" si="12"/>
        <v>6069.3573566340046</v>
      </c>
      <c r="O48" s="649">
        <f>+O47*4</f>
        <v>6676.2930922974056</v>
      </c>
      <c r="P48" s="644">
        <f t="shared" si="8"/>
        <v>50039.224015271429</v>
      </c>
    </row>
    <row r="49" spans="2:16" ht="15" x14ac:dyDescent="0.25">
      <c r="B49"/>
      <c r="C49" s="641"/>
      <c r="D49" s="641"/>
      <c r="E49"/>
      <c r="F49"/>
      <c r="G49"/>
      <c r="H49"/>
      <c r="I49"/>
      <c r="J49"/>
      <c r="K49"/>
      <c r="L49"/>
      <c r="M49"/>
      <c r="N49"/>
      <c r="O49"/>
      <c r="P49" s="644"/>
    </row>
    <row r="50" spans="2:16" ht="15" x14ac:dyDescent="0.25">
      <c r="B50"/>
      <c r="C50" s="641"/>
      <c r="D50" s="641" t="s">
        <v>428</v>
      </c>
      <c r="E50"/>
      <c r="F50"/>
      <c r="G50"/>
      <c r="H50"/>
      <c r="I50"/>
      <c r="J50"/>
      <c r="K50"/>
      <c r="L50"/>
      <c r="M50"/>
      <c r="N50"/>
      <c r="O50"/>
      <c r="P50" s="644"/>
    </row>
    <row r="51" spans="2:16" ht="15" x14ac:dyDescent="0.25">
      <c r="B51"/>
      <c r="C51" s="641"/>
      <c r="D51" s="641"/>
      <c r="E51"/>
      <c r="F51"/>
      <c r="G51"/>
      <c r="H51"/>
      <c r="I51"/>
      <c r="J51"/>
      <c r="K51"/>
      <c r="L51"/>
      <c r="M51"/>
      <c r="N51"/>
      <c r="O51"/>
      <c r="P51" s="644"/>
    </row>
    <row r="52" spans="2:16" ht="15" x14ac:dyDescent="0.25">
      <c r="B52"/>
      <c r="C52" s="641" t="s">
        <v>428</v>
      </c>
      <c r="D52" s="642">
        <v>45</v>
      </c>
      <c r="E52" s="643">
        <f>D52*1.1</f>
        <v>49.500000000000007</v>
      </c>
      <c r="F52" s="643">
        <f t="shared" ref="F52:O52" si="13">E52*1.1</f>
        <v>54.45000000000001</v>
      </c>
      <c r="G52" s="643">
        <f t="shared" si="13"/>
        <v>59.895000000000017</v>
      </c>
      <c r="H52" s="643">
        <f t="shared" si="13"/>
        <v>65.884500000000031</v>
      </c>
      <c r="I52" s="643">
        <f t="shared" si="13"/>
        <v>72.47295000000004</v>
      </c>
      <c r="J52" s="643">
        <f t="shared" si="13"/>
        <v>79.720245000000048</v>
      </c>
      <c r="K52" s="643">
        <f t="shared" si="13"/>
        <v>87.692269500000066</v>
      </c>
      <c r="L52" s="643">
        <f t="shared" si="13"/>
        <v>96.461496450000084</v>
      </c>
      <c r="M52" s="643">
        <f t="shared" si="13"/>
        <v>106.10764609500011</v>
      </c>
      <c r="N52" s="643">
        <f t="shared" si="13"/>
        <v>116.71841070450013</v>
      </c>
      <c r="O52" s="643">
        <f t="shared" si="13"/>
        <v>128.39025177495014</v>
      </c>
      <c r="P52" s="644">
        <f t="shared" si="8"/>
        <v>962.29276952445048</v>
      </c>
    </row>
    <row r="53" spans="2:16" ht="15" x14ac:dyDescent="0.25">
      <c r="B53"/>
      <c r="C53" s="641" t="s">
        <v>37</v>
      </c>
      <c r="D53" s="642">
        <f>D52*4</f>
        <v>180</v>
      </c>
      <c r="E53" s="642">
        <f t="shared" ref="E53:O53" si="14">E52*4</f>
        <v>198.00000000000003</v>
      </c>
      <c r="F53" s="642">
        <f t="shared" si="14"/>
        <v>217.80000000000004</v>
      </c>
      <c r="G53" s="642">
        <f t="shared" si="14"/>
        <v>239.58000000000007</v>
      </c>
      <c r="H53" s="642">
        <f t="shared" si="14"/>
        <v>263.53800000000012</v>
      </c>
      <c r="I53" s="642">
        <f t="shared" si="14"/>
        <v>289.89180000000016</v>
      </c>
      <c r="J53" s="642">
        <f t="shared" si="14"/>
        <v>318.88098000000019</v>
      </c>
      <c r="K53" s="642">
        <f t="shared" si="14"/>
        <v>350.76907800000026</v>
      </c>
      <c r="L53" s="642">
        <f t="shared" si="14"/>
        <v>385.84598580000034</v>
      </c>
      <c r="M53" s="642">
        <f t="shared" si="14"/>
        <v>424.43058438000043</v>
      </c>
      <c r="N53" s="642">
        <f t="shared" si="14"/>
        <v>466.87364281800052</v>
      </c>
      <c r="O53" s="642">
        <f t="shared" si="14"/>
        <v>513.56100709980058</v>
      </c>
      <c r="P53" s="644"/>
    </row>
    <row r="54" spans="2:16" ht="15" x14ac:dyDescent="0.25">
      <c r="B54"/>
      <c r="C54" s="641" t="s">
        <v>424</v>
      </c>
      <c r="D54" s="645">
        <f>8.5*1.14</f>
        <v>9.69</v>
      </c>
      <c r="E54" s="646">
        <f>D54</f>
        <v>9.69</v>
      </c>
      <c r="F54" s="646">
        <f t="shared" ref="F54:O54" si="15">E54</f>
        <v>9.69</v>
      </c>
      <c r="G54" s="646">
        <f t="shared" si="15"/>
        <v>9.69</v>
      </c>
      <c r="H54" s="646">
        <f t="shared" si="15"/>
        <v>9.69</v>
      </c>
      <c r="I54" s="646">
        <f t="shared" si="15"/>
        <v>9.69</v>
      </c>
      <c r="J54" s="646">
        <f t="shared" si="15"/>
        <v>9.69</v>
      </c>
      <c r="K54" s="646">
        <f t="shared" si="15"/>
        <v>9.69</v>
      </c>
      <c r="L54" s="646">
        <f t="shared" si="15"/>
        <v>9.69</v>
      </c>
      <c r="M54" s="646">
        <f t="shared" si="15"/>
        <v>9.69</v>
      </c>
      <c r="N54" s="646">
        <f t="shared" si="15"/>
        <v>9.69</v>
      </c>
      <c r="O54" s="646">
        <f t="shared" si="15"/>
        <v>9.69</v>
      </c>
      <c r="P54" s="644">
        <f>+O54</f>
        <v>9.69</v>
      </c>
    </row>
    <row r="55" spans="2:16" ht="15.75" thickBot="1" x14ac:dyDescent="0.3">
      <c r="B55"/>
      <c r="C55" s="641"/>
      <c r="D55" s="642"/>
      <c r="E55" s="643"/>
      <c r="F55" s="643"/>
      <c r="G55" s="643"/>
      <c r="H55" s="643"/>
      <c r="I55" s="643"/>
      <c r="J55" s="643"/>
      <c r="K55" s="643"/>
      <c r="L55" s="643"/>
      <c r="M55" s="643"/>
      <c r="N55" s="643"/>
      <c r="O55" s="643"/>
      <c r="P55" s="644"/>
    </row>
    <row r="56" spans="2:16" ht="15.75" thickBot="1" x14ac:dyDescent="0.3">
      <c r="B56"/>
      <c r="C56" s="647" t="s">
        <v>429</v>
      </c>
      <c r="D56" s="648">
        <f>D53*D54</f>
        <v>1744.1999999999998</v>
      </c>
      <c r="E56" s="649">
        <f t="shared" ref="E56:O56" si="16">E53*E54</f>
        <v>1918.6200000000001</v>
      </c>
      <c r="F56" s="649">
        <f t="shared" si="16"/>
        <v>2110.4820000000004</v>
      </c>
      <c r="G56" s="649">
        <f t="shared" si="16"/>
        <v>2321.5302000000006</v>
      </c>
      <c r="H56" s="649">
        <f t="shared" si="16"/>
        <v>2553.6832200000013</v>
      </c>
      <c r="I56" s="649">
        <f t="shared" si="16"/>
        <v>2809.0515420000015</v>
      </c>
      <c r="J56" s="649">
        <f t="shared" si="16"/>
        <v>3089.9566962000017</v>
      </c>
      <c r="K56" s="649">
        <f t="shared" si="16"/>
        <v>3398.9523658200023</v>
      </c>
      <c r="L56" s="649">
        <f t="shared" si="16"/>
        <v>3738.8476024020028</v>
      </c>
      <c r="M56" s="649">
        <f t="shared" si="16"/>
        <v>4112.732362642204</v>
      </c>
      <c r="N56" s="649">
        <f t="shared" si="16"/>
        <v>4524.0055989064249</v>
      </c>
      <c r="O56" s="649">
        <f t="shared" si="16"/>
        <v>4976.4061587970673</v>
      </c>
      <c r="P56" s="644">
        <f t="shared" si="8"/>
        <v>37298.467746767703</v>
      </c>
    </row>
    <row r="57" spans="2:16" ht="15" x14ac:dyDescent="0.25">
      <c r="B57"/>
      <c r="C57" s="641"/>
      <c r="D57" s="641"/>
      <c r="E57"/>
      <c r="F57"/>
      <c r="G57"/>
      <c r="H57"/>
      <c r="I57"/>
      <c r="J57"/>
      <c r="K57"/>
      <c r="L57"/>
      <c r="M57"/>
      <c r="N57"/>
      <c r="O57"/>
      <c r="P57" s="644"/>
    </row>
    <row r="58" spans="2:16" ht="15" x14ac:dyDescent="0.25">
      <c r="B58"/>
      <c r="C58" s="641"/>
      <c r="D58" s="641"/>
      <c r="E58"/>
      <c r="F58"/>
      <c r="G58"/>
      <c r="H58"/>
      <c r="I58"/>
      <c r="J58"/>
      <c r="K58"/>
      <c r="L58"/>
      <c r="M58"/>
      <c r="N58"/>
      <c r="O58"/>
      <c r="P58" s="644"/>
    </row>
    <row r="59" spans="2:16" ht="15" x14ac:dyDescent="0.25">
      <c r="B59"/>
      <c r="C59" s="641"/>
      <c r="D59" s="641"/>
      <c r="E59"/>
      <c r="F59"/>
      <c r="G59"/>
      <c r="H59"/>
      <c r="I59"/>
      <c r="J59"/>
      <c r="K59"/>
      <c r="L59"/>
      <c r="M59"/>
      <c r="N59"/>
      <c r="O59"/>
      <c r="P59" s="644"/>
    </row>
    <row r="60" spans="2:16" ht="15" x14ac:dyDescent="0.25">
      <c r="B60"/>
      <c r="C60" s="641"/>
      <c r="D60" s="641"/>
      <c r="E60"/>
      <c r="F60"/>
      <c r="G60"/>
      <c r="H60"/>
      <c r="I60"/>
      <c r="J60"/>
      <c r="K60"/>
      <c r="L60"/>
      <c r="M60"/>
      <c r="N60"/>
      <c r="O60"/>
      <c r="P60" s="644"/>
    </row>
    <row r="61" spans="2:16" ht="15" x14ac:dyDescent="0.25">
      <c r="B61"/>
      <c r="C61" s="641"/>
      <c r="D61" s="641" t="s">
        <v>430</v>
      </c>
      <c r="E61"/>
      <c r="F61"/>
      <c r="G61"/>
      <c r="H61"/>
      <c r="I61"/>
      <c r="J61"/>
      <c r="K61"/>
      <c r="L61"/>
      <c r="M61"/>
      <c r="N61"/>
      <c r="O61"/>
      <c r="P61" s="644"/>
    </row>
    <row r="62" spans="2:16" ht="15" x14ac:dyDescent="0.25">
      <c r="B62"/>
      <c r="C62" s="641" t="s">
        <v>431</v>
      </c>
      <c r="D62" s="642">
        <v>10</v>
      </c>
      <c r="E62" s="643">
        <f>D62*110%</f>
        <v>11</v>
      </c>
      <c r="F62" s="643">
        <f t="shared" ref="F62:O62" si="17">E62*110%</f>
        <v>12.100000000000001</v>
      </c>
      <c r="G62" s="643">
        <f t="shared" si="17"/>
        <v>13.310000000000002</v>
      </c>
      <c r="H62" s="643">
        <f t="shared" si="17"/>
        <v>14.641000000000004</v>
      </c>
      <c r="I62" s="643">
        <f t="shared" si="17"/>
        <v>16.105100000000004</v>
      </c>
      <c r="J62" s="643">
        <f t="shared" si="17"/>
        <v>17.715610000000005</v>
      </c>
      <c r="K62" s="643">
        <f t="shared" si="17"/>
        <v>19.487171000000007</v>
      </c>
      <c r="L62" s="643">
        <f t="shared" si="17"/>
        <v>21.43588810000001</v>
      </c>
      <c r="M62" s="643">
        <f t="shared" si="17"/>
        <v>23.579476910000015</v>
      </c>
      <c r="N62" s="643">
        <f t="shared" si="17"/>
        <v>25.937424601000018</v>
      </c>
      <c r="O62" s="643">
        <f t="shared" si="17"/>
        <v>28.531167061100021</v>
      </c>
      <c r="P62" s="644">
        <f t="shared" ref="P62:P66" si="18">SUM(D62:O62)</f>
        <v>213.84283767210007</v>
      </c>
    </row>
    <row r="63" spans="2:16" ht="15" x14ac:dyDescent="0.25">
      <c r="B63"/>
      <c r="C63" s="641" t="s">
        <v>432</v>
      </c>
      <c r="D63" s="645">
        <v>2.8</v>
      </c>
      <c r="E63" s="646">
        <f>D63</f>
        <v>2.8</v>
      </c>
      <c r="F63" s="646">
        <f t="shared" ref="F63:O63" si="19">E63</f>
        <v>2.8</v>
      </c>
      <c r="G63" s="646">
        <f t="shared" si="19"/>
        <v>2.8</v>
      </c>
      <c r="H63" s="646">
        <f t="shared" si="19"/>
        <v>2.8</v>
      </c>
      <c r="I63" s="646">
        <f t="shared" si="19"/>
        <v>2.8</v>
      </c>
      <c r="J63" s="646">
        <f t="shared" si="19"/>
        <v>2.8</v>
      </c>
      <c r="K63" s="646">
        <f t="shared" si="19"/>
        <v>2.8</v>
      </c>
      <c r="L63" s="646">
        <f t="shared" si="19"/>
        <v>2.8</v>
      </c>
      <c r="M63" s="646">
        <f t="shared" si="19"/>
        <v>2.8</v>
      </c>
      <c r="N63" s="646">
        <f t="shared" si="19"/>
        <v>2.8</v>
      </c>
      <c r="O63" s="646">
        <f t="shared" si="19"/>
        <v>2.8</v>
      </c>
      <c r="P63" s="644">
        <f>+O63</f>
        <v>2.8</v>
      </c>
    </row>
    <row r="64" spans="2:16" ht="15" x14ac:dyDescent="0.25">
      <c r="B64"/>
      <c r="C64" s="641" t="s">
        <v>425</v>
      </c>
      <c r="D64" s="642">
        <f>+D63*D62</f>
        <v>28</v>
      </c>
      <c r="E64" s="642">
        <f t="shared" ref="E64:O64" si="20">+E63*E62</f>
        <v>30.799999999999997</v>
      </c>
      <c r="F64" s="642">
        <f t="shared" si="20"/>
        <v>33.880000000000003</v>
      </c>
      <c r="G64" s="642">
        <f t="shared" si="20"/>
        <v>37.268000000000001</v>
      </c>
      <c r="H64" s="642">
        <f t="shared" si="20"/>
        <v>40.994800000000005</v>
      </c>
      <c r="I64" s="642">
        <f t="shared" si="20"/>
        <v>45.094280000000005</v>
      </c>
      <c r="J64" s="642">
        <f t="shared" si="20"/>
        <v>49.603708000000012</v>
      </c>
      <c r="K64" s="642">
        <f t="shared" si="20"/>
        <v>54.564078800000019</v>
      </c>
      <c r="L64" s="642">
        <f t="shared" si="20"/>
        <v>60.020486680000026</v>
      </c>
      <c r="M64" s="642">
        <f t="shared" si="20"/>
        <v>66.022535348000034</v>
      </c>
      <c r="N64" s="642">
        <f t="shared" si="20"/>
        <v>72.624788882800047</v>
      </c>
      <c r="O64" s="642">
        <f t="shared" si="20"/>
        <v>79.887267771080047</v>
      </c>
      <c r="P64" s="644">
        <f t="shared" si="18"/>
        <v>598.75994548188021</v>
      </c>
    </row>
    <row r="65" spans="2:16" ht="15.75" thickBot="1" x14ac:dyDescent="0.3">
      <c r="B65"/>
      <c r="C65" s="641" t="s">
        <v>426</v>
      </c>
      <c r="D65" s="642">
        <f>+D64*6</f>
        <v>168</v>
      </c>
      <c r="E65" s="642">
        <f t="shared" ref="E65:O65" si="21">+E64*6</f>
        <v>184.79999999999998</v>
      </c>
      <c r="F65" s="642">
        <f t="shared" si="21"/>
        <v>203.28000000000003</v>
      </c>
      <c r="G65" s="642">
        <f t="shared" si="21"/>
        <v>223.608</v>
      </c>
      <c r="H65" s="642">
        <f t="shared" si="21"/>
        <v>245.96880000000004</v>
      </c>
      <c r="I65" s="642">
        <f t="shared" si="21"/>
        <v>270.56568000000004</v>
      </c>
      <c r="J65" s="642">
        <f t="shared" si="21"/>
        <v>297.62224800000007</v>
      </c>
      <c r="K65" s="642">
        <f t="shared" si="21"/>
        <v>327.38447280000014</v>
      </c>
      <c r="L65" s="642">
        <f t="shared" si="21"/>
        <v>360.12292008000014</v>
      </c>
      <c r="M65" s="642">
        <f t="shared" si="21"/>
        <v>396.13521208800023</v>
      </c>
      <c r="N65" s="642">
        <f t="shared" si="21"/>
        <v>435.74873329680031</v>
      </c>
      <c r="O65" s="642">
        <f t="shared" si="21"/>
        <v>479.32360662648028</v>
      </c>
      <c r="P65" s="644">
        <f t="shared" si="18"/>
        <v>3592.559672891281</v>
      </c>
    </row>
    <row r="66" spans="2:16" ht="15.75" thickBot="1" x14ac:dyDescent="0.3">
      <c r="B66"/>
      <c r="C66" s="647" t="s">
        <v>427</v>
      </c>
      <c r="D66" s="648">
        <f>+D65*4</f>
        <v>672</v>
      </c>
      <c r="E66" s="649">
        <f t="shared" ref="E66:O66" si="22">+E65*4</f>
        <v>739.19999999999993</v>
      </c>
      <c r="F66" s="649">
        <f t="shared" si="22"/>
        <v>813.12000000000012</v>
      </c>
      <c r="G66" s="649">
        <f t="shared" si="22"/>
        <v>894.43200000000002</v>
      </c>
      <c r="H66" s="649">
        <f t="shared" si="22"/>
        <v>983.87520000000018</v>
      </c>
      <c r="I66" s="649">
        <f t="shared" si="22"/>
        <v>1082.2627200000002</v>
      </c>
      <c r="J66" s="649">
        <f t="shared" si="22"/>
        <v>1190.4889920000003</v>
      </c>
      <c r="K66" s="649">
        <f t="shared" si="22"/>
        <v>1309.5378912000006</v>
      </c>
      <c r="L66" s="649">
        <f t="shared" si="22"/>
        <v>1440.4916803200006</v>
      </c>
      <c r="M66" s="649">
        <f t="shared" si="22"/>
        <v>1584.5408483520009</v>
      </c>
      <c r="N66" s="649">
        <f t="shared" si="22"/>
        <v>1742.9949331872012</v>
      </c>
      <c r="O66" s="649">
        <f t="shared" si="22"/>
        <v>1917.2944265059211</v>
      </c>
      <c r="P66" s="644">
        <f t="shared" si="18"/>
        <v>14370.238691565124</v>
      </c>
    </row>
    <row r="67" spans="2:16" ht="15.75" thickBot="1" x14ac:dyDescent="0.3">
      <c r="B67"/>
      <c r="C67" s="650"/>
      <c r="D67" s="641"/>
      <c r="E67"/>
      <c r="F67"/>
      <c r="G67"/>
      <c r="H67"/>
      <c r="I67"/>
      <c r="J67"/>
      <c r="K67"/>
      <c r="L67"/>
      <c r="M67"/>
      <c r="N67"/>
      <c r="O67"/>
      <c r="P67" s="644"/>
    </row>
    <row r="68" spans="2:16" ht="15.75" thickBot="1" x14ac:dyDescent="0.3">
      <c r="B68"/>
      <c r="C68" s="651" t="s">
        <v>433</v>
      </c>
      <c r="D68" s="652">
        <f>+D66+D56+D48</f>
        <v>4756.2</v>
      </c>
      <c r="E68" s="653">
        <f t="shared" ref="E68:N68" si="23">+E66+E56+E48</f>
        <v>5231.8200000000006</v>
      </c>
      <c r="F68" s="653">
        <f t="shared" si="23"/>
        <v>5755.0020000000013</v>
      </c>
      <c r="G68" s="653">
        <f t="shared" si="23"/>
        <v>6330.5022000000017</v>
      </c>
      <c r="H68" s="653">
        <f t="shared" si="23"/>
        <v>6963.5524200000018</v>
      </c>
      <c r="I68" s="653">
        <f t="shared" si="23"/>
        <v>7659.9076620000033</v>
      </c>
      <c r="J68" s="653">
        <f t="shared" si="23"/>
        <v>8425.8984282000056</v>
      </c>
      <c r="K68" s="653">
        <f t="shared" si="23"/>
        <v>9268.4882710200072</v>
      </c>
      <c r="L68" s="653">
        <f t="shared" si="23"/>
        <v>10195.337098122007</v>
      </c>
      <c r="M68" s="653">
        <f t="shared" si="23"/>
        <v>11214.870807934209</v>
      </c>
      <c r="N68" s="653">
        <f t="shared" si="23"/>
        <v>12336.357888727631</v>
      </c>
      <c r="O68" s="653">
        <f>+O66+O56+O48</f>
        <v>13569.993677600394</v>
      </c>
      <c r="P68" s="654">
        <f>SUM(D68:O68)</f>
        <v>101707.93045360425</v>
      </c>
    </row>
  </sheetData>
  <mergeCells count="1">
    <mergeCell ref="C18:G18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B2:G6"/>
  <sheetViews>
    <sheetView zoomScaleNormal="100" workbookViewId="0">
      <selection activeCell="C5" sqref="C5"/>
    </sheetView>
  </sheetViews>
  <sheetFormatPr baseColWidth="10" defaultColWidth="11.42578125" defaultRowHeight="12.75" x14ac:dyDescent="0.2"/>
  <cols>
    <col min="1" max="1" width="5.7109375" style="255" customWidth="1"/>
    <col min="2" max="2" width="43" style="462" customWidth="1"/>
    <col min="3" max="7" width="15.7109375" style="255" bestFit="1" customWidth="1"/>
    <col min="8" max="16384" width="11.42578125" style="255"/>
  </cols>
  <sheetData>
    <row r="2" spans="2:7" ht="13.5" thickBot="1" x14ac:dyDescent="0.25"/>
    <row r="3" spans="2:7" ht="12.75" customHeight="1" x14ac:dyDescent="0.2">
      <c r="B3" s="688" t="s">
        <v>31</v>
      </c>
      <c r="C3" s="463" t="s">
        <v>32</v>
      </c>
      <c r="D3" s="463" t="s">
        <v>33</v>
      </c>
      <c r="E3" s="463" t="s">
        <v>34</v>
      </c>
      <c r="F3" s="463" t="s">
        <v>35</v>
      </c>
      <c r="G3" s="464" t="s">
        <v>36</v>
      </c>
    </row>
    <row r="4" spans="2:7" ht="13.5" thickBot="1" x14ac:dyDescent="0.25">
      <c r="B4" s="689"/>
      <c r="C4" s="465">
        <v>2015</v>
      </c>
      <c r="D4" s="465">
        <v>2016</v>
      </c>
      <c r="E4" s="465">
        <v>2017</v>
      </c>
      <c r="F4" s="465">
        <v>2018</v>
      </c>
      <c r="G4" s="466">
        <v>2019</v>
      </c>
    </row>
    <row r="5" spans="2:7" ht="13.5" thickBot="1" x14ac:dyDescent="0.25">
      <c r="B5" s="423" t="s">
        <v>467</v>
      </c>
      <c r="C5" s="276">
        <f>+VENTAS!C36</f>
        <v>101707.93045360425</v>
      </c>
      <c r="D5" s="467">
        <f>+VENTAS!C37</f>
        <v>122747.56105004555</v>
      </c>
      <c r="E5" s="467">
        <f>+VENTAS!C38</f>
        <v>155786.34377572616</v>
      </c>
      <c r="F5" s="467">
        <f>+VENTAS!C39</f>
        <v>190713.22922474035</v>
      </c>
      <c r="G5" s="468">
        <f>+VENTAS!C40</f>
        <v>233470.62983703951</v>
      </c>
    </row>
    <row r="6" spans="2:7" ht="36.75" customHeight="1" thickBot="1" x14ac:dyDescent="0.25">
      <c r="B6" s="469" t="s">
        <v>466</v>
      </c>
      <c r="C6" s="400">
        <f>SUM(C5:C5)</f>
        <v>101707.93045360425</v>
      </c>
      <c r="D6" s="400">
        <f>SUM(D5:D5)</f>
        <v>122747.56105004555</v>
      </c>
      <c r="E6" s="400">
        <f>SUM(E5:E5)</f>
        <v>155786.34377572616</v>
      </c>
      <c r="F6" s="400">
        <f>SUM(F5:F5)</f>
        <v>190713.22922474035</v>
      </c>
      <c r="G6" s="402">
        <f>SUM(G5:G5)</f>
        <v>233470.62983703951</v>
      </c>
    </row>
  </sheetData>
  <mergeCells count="1">
    <mergeCell ref="B3:B4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GASTOS DE CONSTITUCIÓN</vt:lpstr>
      <vt:lpstr>SUELDOS Y SALARIOS</vt:lpstr>
      <vt:lpstr>INSUMOS</vt:lpstr>
      <vt:lpstr>SERVICIOS BÁSICOS</vt:lpstr>
      <vt:lpstr>SUMINISTROS DE OFICINA</vt:lpstr>
      <vt:lpstr>PUBLICIDAD</vt:lpstr>
      <vt:lpstr>DEPRECIACIONES</vt:lpstr>
      <vt:lpstr>VENTAS</vt:lpstr>
      <vt:lpstr>PRESUPUESTO DE INGRESOS</vt:lpstr>
      <vt:lpstr>COSTO COMIDA</vt:lpstr>
      <vt:lpstr>COSTOS Y GASTOS</vt:lpstr>
      <vt:lpstr>ACTIVOS FIJOS</vt:lpstr>
      <vt:lpstr>ESTADO DE RESULTADOS</vt:lpstr>
      <vt:lpstr>BALANCE GENERAL</vt:lpstr>
      <vt:lpstr>FINANCIAMIENTO</vt:lpstr>
      <vt:lpstr>FLUJO DE CAJA</vt:lpstr>
      <vt:lpstr>VAN y TIR</vt:lpstr>
      <vt:lpstr>PRI y RB C</vt:lpstr>
      <vt:lpstr>PE</vt:lpstr>
      <vt:lpstr>INDICES FINANCIERO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Admin</cp:lastModifiedBy>
  <dcterms:created xsi:type="dcterms:W3CDTF">2014-11-27T08:09:43Z</dcterms:created>
  <dcterms:modified xsi:type="dcterms:W3CDTF">2019-06-25T20:17:19Z</dcterms:modified>
</cp:coreProperties>
</file>