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IS DEF\"/>
    </mc:Choice>
  </mc:AlternateContent>
  <bookViews>
    <workbookView xWindow="0" yWindow="0" windowWidth="15600" windowHeight="7755" tabRatio="791" activeTab="3"/>
  </bookViews>
  <sheets>
    <sheet name="COSTOS FIJOS" sheetId="4" r:id="rId1"/>
    <sheet name="COSTOS DE CAPITAL" sheetId="5" r:id="rId2"/>
    <sheet name="Calculo de r" sheetId="9" r:id="rId3"/>
    <sheet name="COSTOS VARIABLES" sheetId="6" r:id="rId4"/>
    <sheet name="COSTOS T" sheetId="8" r:id="rId5"/>
    <sheet name="% Incidencia" sheetId="7" r:id="rId6"/>
    <sheet name="ANEXO INC" sheetId="12" r:id="rId7"/>
    <sheet name="VARIOS" sheetId="11" r:id="rId8"/>
  </sheets>
  <definedNames>
    <definedName name="_xlnm.Print_Area" localSheetId="4">'COSTOS T'!$A$1:$L$40</definedName>
    <definedName name="_xlnm.Print_Area" localSheetId="7">VARIOS!$A$1:$H$30</definedName>
    <definedName name="inv_realizadas">'COSTOS DE CAPITAL'!#REF!</definedName>
    <definedName name="_xlnm.Print_Titles" localSheetId="6">'ANEXO INC'!$B:$C</definedName>
  </definedNames>
  <calcPr calcId="152511"/>
</workbook>
</file>

<file path=xl/calcChain.xml><?xml version="1.0" encoding="utf-8"?>
<calcChain xmlns="http://schemas.openxmlformats.org/spreadsheetml/2006/main">
  <c r="E30" i="11" l="1"/>
  <c r="J33" i="7" l="1"/>
  <c r="J6" i="8" l="1"/>
  <c r="J5" i="8"/>
  <c r="K25" i="7" l="1"/>
  <c r="K19" i="7" l="1"/>
  <c r="AD3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4" i="12"/>
  <c r="N3" i="12"/>
  <c r="J5" i="7"/>
  <c r="AG19" i="12" l="1"/>
  <c r="AI19" i="12"/>
  <c r="AH19" i="12"/>
  <c r="AN19" i="12"/>
  <c r="AO19" i="12"/>
  <c r="M19" i="11"/>
  <c r="O19" i="11" s="1"/>
  <c r="P19" i="11" s="1"/>
  <c r="D56" i="11"/>
  <c r="F19" i="11"/>
  <c r="G18" i="11"/>
  <c r="AL18" i="12" s="1"/>
  <c r="M19" i="12"/>
  <c r="F45" i="4" l="1"/>
  <c r="H3" i="11" l="1"/>
  <c r="D19" i="11"/>
  <c r="M4" i="11" l="1"/>
  <c r="O4" i="11" s="1"/>
  <c r="M5" i="11"/>
  <c r="O5" i="11" s="1"/>
  <c r="M6" i="11"/>
  <c r="O6" i="11" s="1"/>
  <c r="M7" i="11"/>
  <c r="O7" i="11" s="1"/>
  <c r="M8" i="11"/>
  <c r="O8" i="11" s="1"/>
  <c r="M9" i="11"/>
  <c r="O9" i="11" s="1"/>
  <c r="M10" i="11"/>
  <c r="O10" i="11" s="1"/>
  <c r="M11" i="11"/>
  <c r="O11" i="11" s="1"/>
  <c r="M12" i="11"/>
  <c r="O12" i="11" s="1"/>
  <c r="M13" i="11"/>
  <c r="O13" i="11" s="1"/>
  <c r="M14" i="11"/>
  <c r="O14" i="11" s="1"/>
  <c r="M15" i="11"/>
  <c r="O15" i="11" s="1"/>
  <c r="M16" i="11"/>
  <c r="O16" i="11" s="1"/>
  <c r="M17" i="11"/>
  <c r="O17" i="11" s="1"/>
  <c r="M3" i="11"/>
  <c r="O3" i="11" s="1"/>
  <c r="P3" i="11" l="1"/>
  <c r="D21" i="8" s="1"/>
  <c r="D28" i="8" s="1"/>
  <c r="I20" i="7"/>
  <c r="K20" i="7" s="1"/>
  <c r="I23" i="7"/>
  <c r="K23" i="7" s="1"/>
  <c r="I7" i="7"/>
  <c r="J7" i="7" s="1"/>
  <c r="G3" i="7"/>
  <c r="I10" i="8" s="1"/>
  <c r="F30" i="7"/>
  <c r="F28" i="7"/>
  <c r="F14" i="7"/>
  <c r="F9" i="7"/>
  <c r="F6" i="7"/>
  <c r="F3" i="7"/>
  <c r="K19" i="12"/>
  <c r="I31" i="7" s="1"/>
  <c r="J31" i="7" s="1"/>
  <c r="L19" i="12"/>
  <c r="I19" i="12"/>
  <c r="J3" i="12"/>
  <c r="J19" i="12"/>
  <c r="I6" i="7" s="1"/>
  <c r="J6" i="7" s="1"/>
  <c r="AM19" i="12"/>
  <c r="K27" i="7" s="1"/>
  <c r="I25" i="7"/>
  <c r="AJ19" i="12"/>
  <c r="Z3" i="12"/>
  <c r="Z19" i="12" s="1"/>
  <c r="I24" i="7" s="1"/>
  <c r="K24" i="7" s="1"/>
  <c r="I22" i="7"/>
  <c r="K22" i="7" s="1"/>
  <c r="K33" i="7" s="1"/>
  <c r="AF19" i="12"/>
  <c r="AE19" i="12"/>
  <c r="AB19" i="12"/>
  <c r="AD19" i="12"/>
  <c r="AC19" i="12"/>
  <c r="AA19" i="12"/>
  <c r="I18" i="7" s="1"/>
  <c r="K18" i="7" s="1"/>
  <c r="Y19" i="12"/>
  <c r="I17" i="7" s="1"/>
  <c r="K17" i="7" s="1"/>
  <c r="X3" i="12"/>
  <c r="F3" i="12" s="1"/>
  <c r="X4" i="12"/>
  <c r="X5" i="12"/>
  <c r="F5" i="12" s="1"/>
  <c r="X6" i="12"/>
  <c r="F6" i="12" s="1"/>
  <c r="X7" i="12"/>
  <c r="F7" i="12" s="1"/>
  <c r="X8" i="12"/>
  <c r="F8" i="12" s="1"/>
  <c r="X9" i="12"/>
  <c r="F9" i="12" s="1"/>
  <c r="X10" i="12"/>
  <c r="F10" i="12" s="1"/>
  <c r="X11" i="12"/>
  <c r="F11" i="12" s="1"/>
  <c r="X12" i="12"/>
  <c r="F12" i="12" s="1"/>
  <c r="X13" i="12"/>
  <c r="F13" i="12" s="1"/>
  <c r="X14" i="12"/>
  <c r="F14" i="12" s="1"/>
  <c r="X15" i="12"/>
  <c r="F15" i="12" s="1"/>
  <c r="X16" i="12"/>
  <c r="F16" i="12" s="1"/>
  <c r="X17" i="12"/>
  <c r="F17" i="12" s="1"/>
  <c r="X18" i="12"/>
  <c r="F18" i="12" s="1"/>
  <c r="N18" i="12" s="1"/>
  <c r="Q19" i="12"/>
  <c r="I10" i="7" s="1"/>
  <c r="K10" i="7" s="1"/>
  <c r="R19" i="12"/>
  <c r="O19" i="12"/>
  <c r="I9" i="7" s="1"/>
  <c r="K9" i="7" s="1"/>
  <c r="P19" i="12"/>
  <c r="G19" i="12"/>
  <c r="H19" i="12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D19" i="12"/>
  <c r="I3" i="7" s="1"/>
  <c r="J3" i="7" s="1"/>
  <c r="G4" i="11"/>
  <c r="AL4" i="12" s="1"/>
  <c r="G5" i="11"/>
  <c r="AL5" i="12" s="1"/>
  <c r="G6" i="11"/>
  <c r="AL6" i="12" s="1"/>
  <c r="G7" i="11"/>
  <c r="AL7" i="12" s="1"/>
  <c r="G8" i="11"/>
  <c r="AL8" i="12" s="1"/>
  <c r="G9" i="11"/>
  <c r="AL9" i="12" s="1"/>
  <c r="G10" i="11"/>
  <c r="AL10" i="12" s="1"/>
  <c r="G11" i="11"/>
  <c r="AL11" i="12" s="1"/>
  <c r="G12" i="11"/>
  <c r="AL12" i="12" s="1"/>
  <c r="G13" i="11"/>
  <c r="AL13" i="12" s="1"/>
  <c r="G14" i="11"/>
  <c r="AL14" i="12" s="1"/>
  <c r="G15" i="11"/>
  <c r="AL15" i="12" s="1"/>
  <c r="G16" i="11"/>
  <c r="AL16" i="12" s="1"/>
  <c r="G17" i="11"/>
  <c r="AL17" i="12" s="1"/>
  <c r="G3" i="11"/>
  <c r="AL3" i="12" s="1"/>
  <c r="E19" i="11"/>
  <c r="D24" i="8" s="1"/>
  <c r="D27" i="8" s="1"/>
  <c r="H36" i="9"/>
  <c r="D47" i="9" s="1"/>
  <c r="D36" i="9"/>
  <c r="I24" i="5"/>
  <c r="C27" i="5" s="1"/>
  <c r="G34" i="5" s="1"/>
  <c r="H10" i="6"/>
  <c r="H11" i="6"/>
  <c r="H12" i="6"/>
  <c r="H49" i="6" s="1"/>
  <c r="E7" i="8" s="1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9" i="6"/>
  <c r="H8" i="6"/>
  <c r="G27" i="4"/>
  <c r="H27" i="4"/>
  <c r="I27" i="4"/>
  <c r="J27" i="4"/>
  <c r="G28" i="4"/>
  <c r="H28" i="4"/>
  <c r="I28" i="4"/>
  <c r="J28" i="4"/>
  <c r="G29" i="4"/>
  <c r="H29" i="4"/>
  <c r="I29" i="4"/>
  <c r="K29" i="4" s="1"/>
  <c r="L29" i="4" s="1"/>
  <c r="J29" i="4"/>
  <c r="G30" i="4"/>
  <c r="H30" i="4"/>
  <c r="I30" i="4"/>
  <c r="J30" i="4"/>
  <c r="G40" i="4"/>
  <c r="G41" i="4"/>
  <c r="G42" i="4"/>
  <c r="G43" i="4"/>
  <c r="G44" i="4"/>
  <c r="I5" i="7" l="1"/>
  <c r="AL19" i="12"/>
  <c r="I21" i="7"/>
  <c r="K21" i="7" s="1"/>
  <c r="I19" i="7"/>
  <c r="I30" i="7"/>
  <c r="J30" i="7" s="1"/>
  <c r="K28" i="4"/>
  <c r="L28" i="4" s="1"/>
  <c r="K27" i="4"/>
  <c r="L27" i="4" s="1"/>
  <c r="K30" i="4"/>
  <c r="L30" i="4" s="1"/>
  <c r="G19" i="11"/>
  <c r="F15" i="4"/>
  <c r="H15" i="4" s="1"/>
  <c r="F13" i="4"/>
  <c r="H13" i="4" s="1"/>
  <c r="F34" i="5"/>
  <c r="H34" i="5" s="1"/>
  <c r="H35" i="5" s="1"/>
  <c r="E6" i="8" s="1"/>
  <c r="F12" i="4"/>
  <c r="H12" i="4" s="1"/>
  <c r="F14" i="4"/>
  <c r="H14" i="4" s="1"/>
  <c r="F16" i="4"/>
  <c r="X19" i="12"/>
  <c r="I16" i="7" s="1"/>
  <c r="K16" i="7" s="1"/>
  <c r="F4" i="12"/>
  <c r="E19" i="12"/>
  <c r="K20" i="8"/>
  <c r="L20" i="8" s="1"/>
  <c r="N20" i="8" s="1"/>
  <c r="I11" i="8"/>
  <c r="K15" i="8"/>
  <c r="L15" i="8" s="1"/>
  <c r="N15" i="8" s="1"/>
  <c r="K21" i="8"/>
  <c r="L21" i="8" s="1"/>
  <c r="N21" i="8" s="1"/>
  <c r="K24" i="8"/>
  <c r="L24" i="8" s="1"/>
  <c r="N24" i="8" s="1"/>
  <c r="K23" i="8"/>
  <c r="L23" i="8" s="1"/>
  <c r="N23" i="8" s="1"/>
  <c r="K18" i="8"/>
  <c r="L18" i="8" s="1"/>
  <c r="N18" i="8" s="1"/>
  <c r="K16" i="8"/>
  <c r="L16" i="8" s="1"/>
  <c r="K22" i="8"/>
  <c r="L22" i="8" s="1"/>
  <c r="N22" i="8" s="1"/>
  <c r="K19" i="8"/>
  <c r="L19" i="8" s="1"/>
  <c r="N19" i="8" s="1"/>
  <c r="K17" i="8"/>
  <c r="L17" i="8" s="1"/>
  <c r="N17" i="8" s="1"/>
  <c r="I26" i="7" l="1"/>
  <c r="K26" i="7" s="1"/>
  <c r="L31" i="4"/>
  <c r="L32" i="4" s="1"/>
  <c r="G45" i="4" s="1"/>
  <c r="G46" i="4" s="1"/>
  <c r="G16" i="4" s="1"/>
  <c r="H16" i="4" s="1"/>
  <c r="H17" i="4" s="1"/>
  <c r="E5" i="8" s="1"/>
  <c r="E8" i="8" s="1"/>
  <c r="H6" i="8" s="1"/>
  <c r="F19" i="12"/>
  <c r="I15" i="7" s="1"/>
  <c r="K15" i="7" s="1"/>
  <c r="N19" i="12"/>
  <c r="I28" i="7" s="1"/>
  <c r="N16" i="8"/>
  <c r="I4" i="7" l="1"/>
  <c r="J4" i="7" s="1"/>
  <c r="I14" i="7"/>
  <c r="I13" i="7"/>
  <c r="J13" i="7" s="1"/>
  <c r="I11" i="7"/>
  <c r="J11" i="7" s="1"/>
  <c r="I29" i="7"/>
  <c r="J29" i="7" s="1"/>
  <c r="I8" i="7"/>
  <c r="J8" i="7" s="1"/>
  <c r="I32" i="7"/>
  <c r="J32" i="7" s="1"/>
  <c r="J28" i="7"/>
  <c r="I12" i="7"/>
  <c r="J12" i="7" s="1"/>
  <c r="H5" i="8"/>
  <c r="G15" i="8" s="1"/>
  <c r="K14" i="7" l="1"/>
  <c r="M3" i="7" s="1"/>
  <c r="J10" i="8" s="1"/>
  <c r="L3" i="7"/>
  <c r="J11" i="8" s="1"/>
  <c r="H3" i="7"/>
  <c r="J16" i="8"/>
  <c r="J19" i="8"/>
  <c r="J24" i="8"/>
  <c r="J15" i="8"/>
  <c r="J18" i="8"/>
  <c r="J23" i="8"/>
  <c r="J20" i="8"/>
  <c r="J17" i="8"/>
  <c r="J22" i="8"/>
  <c r="J21" i="8"/>
</calcChain>
</file>

<file path=xl/comments1.xml><?xml version="1.0" encoding="utf-8"?>
<comments xmlns="http://schemas.openxmlformats.org/spreadsheetml/2006/main">
  <authors>
    <author>ANDRES CAMPAÑA S.</author>
  </authors>
  <commentList>
    <comment ref="F34" authorId="0" shapeId="0">
      <text>
        <r>
          <rPr>
            <b/>
            <sz val="9"/>
            <color indexed="81"/>
            <rFont val="Tahoma"/>
            <family val="2"/>
          </rPr>
          <t>rendimiento variable  ingresado en el progama de costos totales x km</t>
        </r>
      </text>
    </comment>
  </commentList>
</comments>
</file>

<file path=xl/comments2.xml><?xml version="1.0" encoding="utf-8"?>
<comments xmlns="http://schemas.openxmlformats.org/spreadsheetml/2006/main">
  <authors>
    <author>PEPE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</rPr>
          <t>PEPE:</t>
        </r>
        <r>
          <rPr>
            <sz val="9"/>
            <color indexed="81"/>
            <rFont val="Tahoma"/>
            <family val="2"/>
          </rPr>
          <t xml:space="preserve">
ESSI EL PORCENTAJE DE LA UTILIDAD DE LA EMPRESA FUESE 0..IGUAL DENTRO DE LOS COSTOS FIJOS SI LOS SUELDOS FUEREN 0</t>
        </r>
      </text>
    </comment>
  </commentList>
</comments>
</file>

<file path=xl/sharedStrings.xml><?xml version="1.0" encoding="utf-8"?>
<sst xmlns="http://schemas.openxmlformats.org/spreadsheetml/2006/main" count="591" uniqueCount="362">
  <si>
    <t>ITEM</t>
  </si>
  <si>
    <t>DESCRIPCION</t>
  </si>
  <si>
    <t>UNID.</t>
  </si>
  <si>
    <t>gbl.</t>
  </si>
  <si>
    <t>TOTAL</t>
  </si>
  <si>
    <t>COSTOS TOTALES POR KILOMETRO</t>
  </si>
  <si>
    <t>VALOR / KM</t>
  </si>
  <si>
    <t>DISTANCIA RUTA</t>
  </si>
  <si>
    <t>TARIFA</t>
  </si>
  <si>
    <t>KM</t>
  </si>
  <si>
    <t>%</t>
  </si>
  <si>
    <t>PERS.</t>
  </si>
  <si>
    <t>SENTADOS</t>
  </si>
  <si>
    <t>UNIDAD</t>
  </si>
  <si>
    <t>TARIFA REAL</t>
  </si>
  <si>
    <t>DIAS LABORABLES</t>
  </si>
  <si>
    <t>DIAS</t>
  </si>
  <si>
    <t>Sueldos</t>
  </si>
  <si>
    <t>Impuesto Predial</t>
  </si>
  <si>
    <t>GLB</t>
  </si>
  <si>
    <t>Luz</t>
  </si>
  <si>
    <t>Agua</t>
  </si>
  <si>
    <t>Internet</t>
  </si>
  <si>
    <t>Telefono</t>
  </si>
  <si>
    <t>VALOR ANUAL</t>
  </si>
  <si>
    <t>VALOR MENSUAL</t>
  </si>
  <si>
    <t>CANT.</t>
  </si>
  <si>
    <t>COSTOS FIJOS ADMINISTRACION</t>
  </si>
  <si>
    <t>OPE</t>
  </si>
  <si>
    <t>Recaudador de ruta</t>
  </si>
  <si>
    <t>Conductor</t>
  </si>
  <si>
    <t>ADM</t>
  </si>
  <si>
    <t>Contador General</t>
  </si>
  <si>
    <t>COSTO MENSUAL TOTAL</t>
  </si>
  <si>
    <t>COSTO MENSUAL</t>
  </si>
  <si>
    <t>FONDO RES.</t>
  </si>
  <si>
    <t>14to.</t>
  </si>
  <si>
    <t>13ro.</t>
  </si>
  <si>
    <t>IESS</t>
  </si>
  <si>
    <t>SUELDO</t>
  </si>
  <si>
    <t>Nº TRABAJADORES</t>
  </si>
  <si>
    <t>DEPARTAMENTO</t>
  </si>
  <si>
    <t>CARGO</t>
  </si>
  <si>
    <t>Nº</t>
  </si>
  <si>
    <t>RECURSOS HUMANOS</t>
  </si>
  <si>
    <t>DE ADMINISTRACION:</t>
  </si>
  <si>
    <t>glb.</t>
  </si>
  <si>
    <t>De Administracion</t>
  </si>
  <si>
    <t>unid.</t>
  </si>
  <si>
    <t>Matricula</t>
  </si>
  <si>
    <t>VALOR/km</t>
  </si>
  <si>
    <t>VALOR</t>
  </si>
  <si>
    <t>RENDIMIENTO (km)</t>
  </si>
  <si>
    <t>COSTOS FIJOS POR UNIDADES</t>
  </si>
  <si>
    <t>BUSES</t>
  </si>
  <si>
    <t xml:space="preserve">COSTOS FIJOS </t>
  </si>
  <si>
    <t>VIDA UTIL</t>
  </si>
  <si>
    <t>VALOR UNITARIO</t>
  </si>
  <si>
    <t>Es la herramienta de trabajo de una Empresa de Transporte Público, en la cual se basan las demás inversiones y los costos fijos y variables</t>
  </si>
  <si>
    <t>INVERSIONES:</t>
  </si>
  <si>
    <t>COSTOS DE CAPITAL</t>
  </si>
  <si>
    <t>Arreglo de carroceria</t>
  </si>
  <si>
    <t>gln.</t>
  </si>
  <si>
    <t>Cambio Aceite de direccion</t>
  </si>
  <si>
    <t>Engrasado de ejes</t>
  </si>
  <si>
    <t>Lavado del chasis</t>
  </si>
  <si>
    <t>Reparacion del diferencial</t>
  </si>
  <si>
    <t>Reparaciones de la caja</t>
  </si>
  <si>
    <t>Reparaciones de Motor</t>
  </si>
  <si>
    <t>Reparaciones de la Bomba</t>
  </si>
  <si>
    <t>Calibracion de la Bomba</t>
  </si>
  <si>
    <t>jgo.</t>
  </si>
  <si>
    <t>Cambio de toberas de inyectores</t>
  </si>
  <si>
    <t>Mantenimiento de turbo</t>
  </si>
  <si>
    <t>Manteniemiento cubos de rueda</t>
  </si>
  <si>
    <t>Pines y bocines de direccion</t>
  </si>
  <si>
    <t>Ballestas</t>
  </si>
  <si>
    <t>Rotulas de direccion</t>
  </si>
  <si>
    <t>Gomas de direccion</t>
  </si>
  <si>
    <t>Goma de suspension</t>
  </si>
  <si>
    <t>Amoritguadore</t>
  </si>
  <si>
    <t>Motor de arranque y alternador</t>
  </si>
  <si>
    <t>Sistema electrico</t>
  </si>
  <si>
    <t>Mantenimiento Tambores</t>
  </si>
  <si>
    <t>Bandas</t>
  </si>
  <si>
    <t>Baterias</t>
  </si>
  <si>
    <t>Sistema Embrague</t>
  </si>
  <si>
    <t>Zapatas</t>
  </si>
  <si>
    <t>Llantas nuevas</t>
  </si>
  <si>
    <t>Refrigerante motor</t>
  </si>
  <si>
    <t>Calibracion de Valvulas</t>
  </si>
  <si>
    <t>Chequeo Compresor de Aire</t>
  </si>
  <si>
    <t>Filtro secador de Aire</t>
  </si>
  <si>
    <t>Filtro Separador de Agua</t>
  </si>
  <si>
    <t>Filtro de Combustible</t>
  </si>
  <si>
    <t>Filtro de Aire</t>
  </si>
  <si>
    <t>Filtro de Aceite Motor</t>
  </si>
  <si>
    <t>kg.</t>
  </si>
  <si>
    <t>Engrase General</t>
  </si>
  <si>
    <t>glns.</t>
  </si>
  <si>
    <t>Aceite del Diferencial</t>
  </si>
  <si>
    <t>Aceite de Caja</t>
  </si>
  <si>
    <t>Aceite de Motor</t>
  </si>
  <si>
    <t>Diesel</t>
  </si>
  <si>
    <t>COSTOS VARIABLES POR UNIDAD</t>
  </si>
  <si>
    <t>COSTOS VARIABLES</t>
  </si>
  <si>
    <t>ETAPAS DEL VIAJE</t>
  </si>
  <si>
    <t>PRINCIPIO</t>
  </si>
  <si>
    <t>RESPONSABLE DEL INDICADOR</t>
  </si>
  <si>
    <t>PORCENTAJE DE INCIDENCIA EN TARIFA</t>
  </si>
  <si>
    <t>1. Decisión de viajar</t>
  </si>
  <si>
    <t>1.1. Universalidad- Información/atención al usuario</t>
  </si>
  <si>
    <t>1.2 Estado de vías</t>
  </si>
  <si>
    <t xml:space="preserve">Autoridad  </t>
  </si>
  <si>
    <t>Autoridad</t>
  </si>
  <si>
    <t>2. Origen-Parada</t>
  </si>
  <si>
    <t>2.2. Comodidad</t>
  </si>
  <si>
    <t>Operadora</t>
  </si>
  <si>
    <t>3. Espera en Parada origen</t>
  </si>
  <si>
    <t>3.2. Accesibilidad</t>
  </si>
  <si>
    <t>3.4. Información/atención al usuario</t>
  </si>
  <si>
    <t>4. En el vehículo</t>
  </si>
  <si>
    <t>4.2. Comodidad</t>
  </si>
  <si>
    <t>4.3. Confort</t>
  </si>
  <si>
    <t>4.4. Medio ambiente</t>
  </si>
  <si>
    <t>5. Descenso en parada destino</t>
  </si>
  <si>
    <t>5.1. Accesibilidad</t>
  </si>
  <si>
    <t>5.2. Seguridad</t>
  </si>
  <si>
    <t>6. Parada - Destino</t>
  </si>
  <si>
    <t>6.2. Comodidad</t>
  </si>
  <si>
    <t>1.3 Costo de transporte</t>
  </si>
  <si>
    <t>3.3 Seguridad</t>
  </si>
  <si>
    <t xml:space="preserve">UNIDAD </t>
  </si>
  <si>
    <t>COSTOS FIJOS</t>
  </si>
  <si>
    <t>VARIABLE DE INGRESO</t>
  </si>
  <si>
    <t>VARIABLES</t>
  </si>
  <si>
    <t>%ANCIANOS</t>
  </si>
  <si>
    <t>%NIÑOS</t>
  </si>
  <si>
    <t>%DISCAPACITADOS</t>
  </si>
  <si>
    <t>UTILIDAD EMPRESA</t>
  </si>
  <si>
    <t xml:space="preserve">CICLOS </t>
  </si>
  <si>
    <t>RENDIMIENTOS</t>
  </si>
  <si>
    <t>PASAJEROS/día</t>
  </si>
  <si>
    <t>KM/AÑO</t>
  </si>
  <si>
    <t>SPPAT</t>
  </si>
  <si>
    <t>Revision Vehicular</t>
  </si>
  <si>
    <t>Impuesto a la Propiedad</t>
  </si>
  <si>
    <t>Ayudante</t>
  </si>
  <si>
    <t xml:space="preserve">NOTA: </t>
  </si>
  <si>
    <t>Se realiza un análisis en la cooperativa de buses urbanos El Sagrario donde son 31 socios.</t>
  </si>
  <si>
    <t>TOTAL/31 UNID</t>
  </si>
  <si>
    <t>Va =</t>
  </si>
  <si>
    <t>r    =</t>
  </si>
  <si>
    <t>n   =</t>
  </si>
  <si>
    <t>Vs =</t>
  </si>
  <si>
    <t>CK =</t>
  </si>
  <si>
    <t>Costo de capital</t>
  </si>
  <si>
    <t>Valor comercial del vehículo para el año de estudio</t>
  </si>
  <si>
    <t>Vida útil del vehículo (20 años)</t>
  </si>
  <si>
    <t>Tasa de interes real</t>
  </si>
  <si>
    <t>Valor de salvamento (10% del valor comercial)</t>
  </si>
  <si>
    <t>Vs</t>
  </si>
  <si>
    <t>r</t>
  </si>
  <si>
    <t>Costo de Capital</t>
  </si>
  <si>
    <t>k= Tasa promedio anual de interés activa o de colocación.</t>
  </si>
  <si>
    <t>f= Tasa promedio anual de inflación</t>
  </si>
  <si>
    <t>FECHA</t>
  </si>
  <si>
    <t>Septiembre-30-2016</t>
  </si>
  <si>
    <t>Agosto-31-2016</t>
  </si>
  <si>
    <t>Julio-31-2016</t>
  </si>
  <si>
    <t>Junio-30-2016</t>
  </si>
  <si>
    <t>Mayo-31-2016</t>
  </si>
  <si>
    <t>Abril-30-2016</t>
  </si>
  <si>
    <t>Marzo-31-2016</t>
  </si>
  <si>
    <t>Febrero-29-2016</t>
  </si>
  <si>
    <t>Enero-31-2016</t>
  </si>
  <si>
    <t>Diciembre-31-2015</t>
  </si>
  <si>
    <t>Noviembre-30-2015</t>
  </si>
  <si>
    <t>Octubre-31-2015</t>
  </si>
  <si>
    <t>Septiembre-30-2015</t>
  </si>
  <si>
    <t>Agosto-31-2015</t>
  </si>
  <si>
    <t>Julio-31-2015</t>
  </si>
  <si>
    <t>Junio-30-2015</t>
  </si>
  <si>
    <t>Mayo-31-2015</t>
  </si>
  <si>
    <t>Abril-30-2015</t>
  </si>
  <si>
    <t>Marzo-31-2015</t>
  </si>
  <si>
    <t>Febrero-28-2015</t>
  </si>
  <si>
    <t>Enero-31-2015</t>
  </si>
  <si>
    <t>Diciembre-31-2014</t>
  </si>
  <si>
    <t>Noviembre-30-2014</t>
  </si>
  <si>
    <t>Octubre-31-2014</t>
  </si>
  <si>
    <t>Septiembre-30-2014</t>
  </si>
  <si>
    <t>PROMEDIO DE LA TASA DE INFLACIÓN</t>
  </si>
  <si>
    <t xml:space="preserve">PROMEDIO DE LA TASA DE INTERES ACTIVA </t>
  </si>
  <si>
    <t>FUENTE: BANCO CENTRAL DEL ECUADOR</t>
  </si>
  <si>
    <t xml:space="preserve">PROMEDIO    </t>
  </si>
  <si>
    <t>r=</t>
  </si>
  <si>
    <t>N°</t>
  </si>
  <si>
    <t>LINEA</t>
  </si>
  <si>
    <t>SANTA ANA -BELLAVISTA</t>
  </si>
  <si>
    <t>24 DE MAYO -BELLAVISTA</t>
  </si>
  <si>
    <t>LICAN-BELLAVISTA</t>
  </si>
  <si>
    <t>CORONA REAL-BELLAVISTA</t>
  </si>
  <si>
    <t>MIRAFLORES-BELLAVISTA</t>
  </si>
  <si>
    <t>INMACULADA-EL ROSAL</t>
  </si>
  <si>
    <t>YARUQUIES-LAS ABRAS</t>
  </si>
  <si>
    <t>PINOS-SAN ANTONIO</t>
  </si>
  <si>
    <t>TERMINAL INTERPARROQUIAL-MAYORISTA</t>
  </si>
  <si>
    <t>SAN GERARDO-BATAN</t>
  </si>
  <si>
    <t>SIXTO DURAN-SAN MIGUEL DE TAPI</t>
  </si>
  <si>
    <t>LIBERTAD-SAN MIGUEL DE TAPI</t>
  </si>
  <si>
    <t xml:space="preserve">LICAN- ESPOCH -UNACH </t>
  </si>
  <si>
    <t>RECORRIDO  (KM)</t>
  </si>
  <si>
    <t>PROMEDIO</t>
  </si>
  <si>
    <t>SANTA ANITA -CAMAL - MAYORISTA</t>
  </si>
  <si>
    <t>MERCADO MAYORISTA - PINOS-LICAN</t>
  </si>
  <si>
    <t>No DE LINEA</t>
  </si>
  <si>
    <t>NOMBRE DE LA LINEA</t>
  </si>
  <si>
    <t>SANTA ANA – BELLAVISTA</t>
  </si>
  <si>
    <t>24 DE MAYO – BELLAVISTA</t>
  </si>
  <si>
    <t>SANTA ANITA – CAMAL</t>
  </si>
  <si>
    <t>LICAN – BELLAVISTA</t>
  </si>
  <si>
    <t>CORONA REAL - BELLAVISTA</t>
  </si>
  <si>
    <t>MIRAFLORES - BELLAVISTA</t>
  </si>
  <si>
    <t xml:space="preserve">INMACULADA </t>
  </si>
  <si>
    <t>YARUQUIES – UNACH</t>
  </si>
  <si>
    <t>LOS PINOS – LICAN - CAMAL</t>
  </si>
  <si>
    <t>SAN ANTONIO – CAMAL</t>
  </si>
  <si>
    <t>PRIMAVERA – TERMINAL</t>
  </si>
  <si>
    <t>SAN GERARDO – BATAN</t>
  </si>
  <si>
    <t>SIXTO DURAN – 24 DE MAYO</t>
  </si>
  <si>
    <t>LIBERTAD – 24 DE MAYO</t>
  </si>
  <si>
    <t>UNACH – LICAN</t>
  </si>
  <si>
    <t>CALPI - LA PAZ</t>
  </si>
  <si>
    <t>Km de la red vial</t>
  </si>
  <si>
    <t>Kilómetros asfaltados</t>
  </si>
  <si>
    <t>Número de Encuestados</t>
  </si>
  <si>
    <t>Recorridos cumplidos</t>
  </si>
  <si>
    <t>Recorridos planificados</t>
  </si>
  <si>
    <t>Paradas Instaladas</t>
  </si>
  <si>
    <t>Paradas total definidas</t>
  </si>
  <si>
    <t>Horario ejecutado</t>
  </si>
  <si>
    <t>Paradas discapacitados</t>
  </si>
  <si>
    <t>Paradas con información</t>
  </si>
  <si>
    <t>Percances + Incidentes + Accidentes</t>
  </si>
  <si>
    <t>Km recorridos</t>
  </si>
  <si>
    <t>Número de multas de tránsito</t>
  </si>
  <si>
    <t>Nº de buses aprobado-revisión</t>
  </si>
  <si>
    <t>Nº vehículos evaluados-cumplen</t>
  </si>
  <si>
    <t>Nº vehículos evaluados</t>
  </si>
  <si>
    <t>Nº de pasajeros parados</t>
  </si>
  <si>
    <t>Area del bus</t>
  </si>
  <si>
    <t>Nº vehículos adaptados discapacitados</t>
  </si>
  <si>
    <t>Nº vehículos - información instalada</t>
  </si>
  <si>
    <t>Paradas con información al usuario</t>
  </si>
  <si>
    <t>Nº  rutas con información  accesible</t>
  </si>
  <si>
    <t>Area con servicio Público (Ha)</t>
  </si>
  <si>
    <t>Area total Poblada (Ha)</t>
  </si>
  <si>
    <t>TIEMPO RECORRIDO/HORA</t>
  </si>
  <si>
    <t>Velocidad de operación</t>
  </si>
  <si>
    <t>OPERADORA</t>
  </si>
  <si>
    <t>PURUHA</t>
  </si>
  <si>
    <t>Nº DE UNIDADES</t>
  </si>
  <si>
    <t>LIRIBAMBA</t>
  </si>
  <si>
    <t>SAGRARIO</t>
  </si>
  <si>
    <t>UNITRASEEP</t>
  </si>
  <si>
    <t>BUSTRAP</t>
  </si>
  <si>
    <t>ECOTURISA</t>
  </si>
  <si>
    <t>URBESP</t>
  </si>
  <si>
    <t>Nº vehículos cumplen normativa ambiental</t>
  </si>
  <si>
    <t>Tarifa dispuesto a pagar (dólares)</t>
  </si>
  <si>
    <t>Intervalos planificados (min)</t>
  </si>
  <si>
    <t>Horario programado (horas)</t>
  </si>
  <si>
    <t>Nº denuncias mensuales de los usuarios</t>
  </si>
  <si>
    <t>Paradas para personas con movilidad reducida</t>
  </si>
  <si>
    <t>Promedio de Transbordos de los Usuarios</t>
  </si>
  <si>
    <t>Promedio Velocidad de Operación (km/h)</t>
  </si>
  <si>
    <t>Nº total de buses</t>
  </si>
  <si>
    <t>INDICADOR</t>
  </si>
  <si>
    <t>2.1. Accesibilidad - Cobert. Territorial</t>
  </si>
  <si>
    <t>2.1. Accesibilidad - Cobert. Operativa</t>
  </si>
  <si>
    <t>3.1. Disponibilidad - Cobertur Horaria</t>
  </si>
  <si>
    <t>3.1. Disponibilidad - Regularidad</t>
  </si>
  <si>
    <t>4.1. Seguridad - Siniestralidad</t>
  </si>
  <si>
    <t>4.1. Seguridad - Social</t>
  </si>
  <si>
    <t>4.1. Seguridad - Revision Vehicular</t>
  </si>
  <si>
    <t>4.5. Accesibilidad - Discapacitados</t>
  </si>
  <si>
    <t>4.5. Accesibilidad - Tiempo parada</t>
  </si>
  <si>
    <t>4.5. Accesibilidad - Espera innecesaria</t>
  </si>
  <si>
    <t>Desviación de los T.P. sin ascensos ni descenso</t>
  </si>
  <si>
    <t>4.8. Continuidad - Rapidez</t>
  </si>
  <si>
    <t>4.8. Continuidad - Indice transbordo</t>
  </si>
  <si>
    <t>Paradas  implementadas como puntos seguros</t>
  </si>
  <si>
    <t>6.1. Accesibilidad - Cobert. Terr. Planif.</t>
  </si>
  <si>
    <t>6.1. Accesibilidad - Cobert. Operativa</t>
  </si>
  <si>
    <t>PORCENTAJE DE INCIDENCIA EN TARIFA OPERADORA</t>
  </si>
  <si>
    <t>4.6. Universalidad- Información</t>
  </si>
  <si>
    <t>4.7. Universalidad- Atención al usuario</t>
  </si>
  <si>
    <t>NSc</t>
  </si>
  <si>
    <t>10 - 20</t>
  </si>
  <si>
    <t>0 - 10</t>
  </si>
  <si>
    <t>20 - 30</t>
  </si>
  <si>
    <t>30 - 40</t>
  </si>
  <si>
    <t>40 - 50</t>
  </si>
  <si>
    <t>50 - 60</t>
  </si>
  <si>
    <t>60 - 70</t>
  </si>
  <si>
    <t>70 - 80</t>
  </si>
  <si>
    <t>80 - 90</t>
  </si>
  <si>
    <t>90 - 100</t>
  </si>
  <si>
    <t>DESCUENTO OPERADORA</t>
  </si>
  <si>
    <t>SUBSIDIO</t>
  </si>
  <si>
    <t>AUTORIDAD</t>
  </si>
  <si>
    <t>%  INCIDENCIA EN TARIFA</t>
  </si>
  <si>
    <t>TARIFA CON SERVICIO DE CALIDAD</t>
  </si>
  <si>
    <t>DESCUENTO (OPERADORA + AUTORIDAD)</t>
  </si>
  <si>
    <t>SUBSIDIO AUTORIDAD</t>
  </si>
  <si>
    <t>No DE PASAJEROS TOTALES DIARIOS *</t>
  </si>
  <si>
    <t>No DE PASAJEROS DIARIO PROMEDIO POR UNIDAD</t>
  </si>
  <si>
    <t>DESCANSO</t>
  </si>
  <si>
    <t>No QUE SE REPITE EL RECORRIDO EN 120 DIAS (B)</t>
  </si>
  <si>
    <t>No DE PASAJEROS DIARIOS POR UNIDAD   (A)</t>
  </si>
  <si>
    <t>PASAJEROS DIARIO PROMEDIO</t>
  </si>
  <si>
    <t>% NSc CUMPLIMIENTO</t>
  </si>
  <si>
    <t>RESPONSABLES</t>
  </si>
  <si>
    <t>TARIFA  DEF.</t>
  </si>
  <si>
    <t xml:space="preserve">TARIFA </t>
  </si>
  <si>
    <t>TARIFA  1</t>
  </si>
  <si>
    <t>TARIFA 2</t>
  </si>
  <si>
    <t>BUS</t>
  </si>
  <si>
    <t>I</t>
  </si>
  <si>
    <t>II</t>
  </si>
  <si>
    <t>III</t>
  </si>
  <si>
    <t>IV</t>
  </si>
  <si>
    <t>V</t>
  </si>
  <si>
    <t>VI</t>
  </si>
  <si>
    <t>VII</t>
  </si>
  <si>
    <t>VIII</t>
  </si>
  <si>
    <t>No DE VUELTAS AL DIA</t>
  </si>
  <si>
    <t>Impuesto al rodaje</t>
  </si>
  <si>
    <t>Tasa ANT</t>
  </si>
  <si>
    <t>Impuesto a la propiedad</t>
  </si>
  <si>
    <t>Autobus Inc. Carroceria</t>
  </si>
  <si>
    <t>COSTOS DE CAPITAL POR UNIDAD</t>
  </si>
  <si>
    <t>Aceite Hidraulico</t>
  </si>
  <si>
    <t>Mantenimiento Llantas</t>
  </si>
  <si>
    <t>No existe información en la base de datos de la ANT, tampoco en el departamento de gestión de movilidad, tránsito y transporte del GAD-Riobamba</t>
  </si>
  <si>
    <t>No existe</t>
  </si>
  <si>
    <t>16</t>
  </si>
  <si>
    <t>Desviación Intervalos ejecutados (min)</t>
  </si>
  <si>
    <t>Tiempos definidos en paradas (seg)</t>
  </si>
  <si>
    <t>Desviación de los tiempos en paradas (seg)</t>
  </si>
  <si>
    <t>% TOTAL DE CUMPLIMIENTO DE INDICADORES "AUTORIDAD"</t>
  </si>
  <si>
    <t>% TOTAL DE CUMPLIMIENTO DE INDICADORES "OPERADORA"</t>
  </si>
  <si>
    <t>% DE INCIDENCIA EN TARIFA</t>
  </si>
  <si>
    <t>% DE CUMPLIMIENTO AUTORIDAD</t>
  </si>
  <si>
    <t>% DE CUMPLIMIENTO OPERADORA</t>
  </si>
  <si>
    <t>4.1. Seguridad - Operacional</t>
  </si>
  <si>
    <t>No DE BUSES</t>
  </si>
  <si>
    <t>No DE PASAJEROS        C = A x B</t>
  </si>
  <si>
    <t>RECORRIDOS LINEA 12</t>
  </si>
  <si>
    <t>RECORRIDOS LINEA 07</t>
  </si>
  <si>
    <t>RECORRIDOS  LINEA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</si>
</sst>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\ * #,##0.00_);_(&quot;$&quot;\ * \(#,##0.00\);_(&quot;$&quot;\ * &quot;-&quot;??_);_(@_)"/>
    <numFmt numFmtId="164" formatCode="_-* #,##0.00\ _€_-;\-* #,##0.00\ _€_-;_-* &quot;-&quot;??\ _€_-;_-@_-"/>
    <numFmt numFmtId="165" formatCode="#,##0.000"/>
    <numFmt numFmtId="166" formatCode="0.0000"/>
    <numFmt numFmtId="167" formatCode="0.000"/>
    <numFmt numFmtId="168" formatCode="#,##0.0000"/>
    <numFmt numFmtId="169" formatCode="_(&quot;$&quot;\ * #,##0.000_);_(&quot;$&quot;\ * \(#,##0.000\);_(&quot;$&quot;\ * &quot;-&quot;??_);_(@_)"/>
    <numFmt numFmtId="170" formatCode="_-* #,##0.000\ _€_-;\-* #,##0.000\ _€_-;_-* &quot;-&quot;???\ _€_-;_-@_-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Arial"/>
      <family val="2"/>
    </font>
    <font>
      <b/>
      <sz val="15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color indexed="63"/>
      <name val="Arial"/>
      <family val="2"/>
    </font>
    <font>
      <b/>
      <sz val="9"/>
      <color indexed="81"/>
      <name val="Tahoma"/>
      <family val="2"/>
    </font>
    <font>
      <b/>
      <sz val="15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 val="singleAccounting"/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rgb="FF313131"/>
      <name val="Calibri"/>
      <family val="2"/>
    </font>
    <font>
      <sz val="8"/>
      <color rgb="FF313131"/>
      <name val="Calibri"/>
      <family val="2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indexed="81"/>
      <name val="Tahoma"/>
      <family val="2"/>
    </font>
    <font>
      <sz val="7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C00000"/>
      <name val="Calibri"/>
      <family val="2"/>
      <scheme val="minor"/>
    </font>
    <font>
      <b/>
      <i/>
      <u val="singleAccounting"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  <font>
      <b/>
      <sz val="10"/>
      <color indexed="8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7D6D4"/>
        <bgColor indexed="64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2" borderId="36" applyNumberFormat="0" applyAlignment="0" applyProtection="0"/>
    <xf numFmtId="0" fontId="5" fillId="0" borderId="0"/>
    <xf numFmtId="164" fontId="5" fillId="0" borderId="0" applyFont="0" applyFill="0" applyBorder="0" applyAlignment="0" applyProtection="0"/>
    <xf numFmtId="0" fontId="34" fillId="0" borderId="0"/>
  </cellStyleXfs>
  <cellXfs count="47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4" fontId="5" fillId="0" borderId="0" xfId="2" applyNumberFormat="1"/>
    <xf numFmtId="4" fontId="5" fillId="0" borderId="0" xfId="2" applyNumberFormat="1" applyAlignment="1"/>
    <xf numFmtId="4" fontId="5" fillId="0" borderId="8" xfId="2" applyNumberFormat="1" applyBorder="1"/>
    <xf numFmtId="4" fontId="5" fillId="0" borderId="5" xfId="2" applyNumberFormat="1" applyBorder="1"/>
    <xf numFmtId="4" fontId="2" fillId="0" borderId="5" xfId="2" applyNumberFormat="1" applyFont="1" applyBorder="1" applyAlignment="1">
      <alignment horizontal="center"/>
    </xf>
    <xf numFmtId="4" fontId="2" fillId="0" borderId="9" xfId="2" applyNumberFormat="1" applyFont="1" applyBorder="1" applyAlignment="1">
      <alignment horizontal="center"/>
    </xf>
    <xf numFmtId="4" fontId="5" fillId="0" borderId="0" xfId="2" applyNumberFormat="1" applyBorder="1"/>
    <xf numFmtId="4" fontId="5" fillId="0" borderId="10" xfId="2" applyNumberFormat="1" applyBorder="1" applyAlignment="1">
      <alignment horizontal="center"/>
    </xf>
    <xf numFmtId="4" fontId="5" fillId="0" borderId="8" xfId="2" applyNumberFormat="1" applyBorder="1" applyAlignment="1">
      <alignment horizontal="center"/>
    </xf>
    <xf numFmtId="4" fontId="5" fillId="0" borderId="7" xfId="2" applyNumberFormat="1" applyBorder="1" applyAlignment="1">
      <alignment horizontal="center"/>
    </xf>
    <xf numFmtId="4" fontId="5" fillId="0" borderId="6" xfId="2" applyNumberFormat="1" applyBorder="1" applyAlignment="1">
      <alignment horizontal="center"/>
    </xf>
    <xf numFmtId="4" fontId="5" fillId="0" borderId="5" xfId="2" applyNumberFormat="1" applyBorder="1" applyAlignment="1">
      <alignment horizontal="center"/>
    </xf>
    <xf numFmtId="4" fontId="7" fillId="0" borderId="5" xfId="2" applyNumberFormat="1" applyFont="1" applyBorder="1" applyAlignment="1">
      <alignment horizontal="center"/>
    </xf>
    <xf numFmtId="4" fontId="7" fillId="0" borderId="5" xfId="2" applyNumberFormat="1" applyFont="1" applyBorder="1"/>
    <xf numFmtId="4" fontId="5" fillId="0" borderId="4" xfId="2" applyNumberFormat="1" applyBorder="1" applyAlignment="1">
      <alignment horizontal="center"/>
    </xf>
    <xf numFmtId="4" fontId="2" fillId="0" borderId="0" xfId="2" applyNumberFormat="1" applyFont="1" applyBorder="1" applyAlignment="1">
      <alignment horizontal="center"/>
    </xf>
    <xf numFmtId="4" fontId="2" fillId="0" borderId="13" xfId="2" applyNumberFormat="1" applyFont="1" applyBorder="1" applyAlignment="1">
      <alignment horizontal="center"/>
    </xf>
    <xf numFmtId="4" fontId="2" fillId="0" borderId="12" xfId="2" applyNumberFormat="1" applyFont="1" applyBorder="1" applyAlignment="1">
      <alignment horizontal="center"/>
    </xf>
    <xf numFmtId="4" fontId="2" fillId="0" borderId="11" xfId="2" applyNumberFormat="1" applyFont="1" applyBorder="1" applyAlignment="1">
      <alignment horizontal="center"/>
    </xf>
    <xf numFmtId="4" fontId="2" fillId="0" borderId="0" xfId="2" applyNumberFormat="1" applyFont="1" applyBorder="1" applyAlignment="1"/>
    <xf numFmtId="4" fontId="8" fillId="0" borderId="0" xfId="2" applyNumberFormat="1" applyFont="1" applyBorder="1"/>
    <xf numFmtId="4" fontId="8" fillId="0" borderId="0" xfId="2" applyNumberFormat="1" applyFont="1" applyBorder="1" applyAlignment="1">
      <alignment horizontal="center"/>
    </xf>
    <xf numFmtId="4" fontId="8" fillId="0" borderId="0" xfId="2" applyNumberFormat="1" applyFont="1" applyBorder="1" applyAlignment="1">
      <alignment horizontal="left"/>
    </xf>
    <xf numFmtId="4" fontId="9" fillId="0" borderId="8" xfId="2" applyNumberFormat="1" applyFont="1" applyFill="1" applyBorder="1" applyAlignment="1">
      <alignment horizontal="center"/>
    </xf>
    <xf numFmtId="4" fontId="9" fillId="0" borderId="8" xfId="2" applyNumberFormat="1" applyFont="1" applyBorder="1" applyAlignment="1">
      <alignment horizontal="center"/>
    </xf>
    <xf numFmtId="4" fontId="8" fillId="0" borderId="7" xfId="2" applyNumberFormat="1" applyFont="1" applyBorder="1" applyAlignment="1">
      <alignment horizontal="center"/>
    </xf>
    <xf numFmtId="4" fontId="0" fillId="0" borderId="5" xfId="3" applyNumberFormat="1" applyFont="1" applyBorder="1" applyAlignment="1">
      <alignment horizontal="center"/>
    </xf>
    <xf numFmtId="4" fontId="8" fillId="0" borderId="5" xfId="2" applyNumberFormat="1" applyFont="1" applyBorder="1" applyAlignment="1">
      <alignment horizontal="center"/>
    </xf>
    <xf numFmtId="4" fontId="8" fillId="0" borderId="4" xfId="2" applyNumberFormat="1" applyFont="1" applyBorder="1" applyAlignment="1">
      <alignment horizontal="center"/>
    </xf>
    <xf numFmtId="4" fontId="5" fillId="0" borderId="0" xfId="2" applyNumberFormat="1" applyBorder="1" applyAlignment="1">
      <alignment horizontal="center"/>
    </xf>
    <xf numFmtId="4" fontId="5" fillId="0" borderId="0" xfId="2" applyNumberFormat="1" applyFill="1" applyBorder="1"/>
    <xf numFmtId="4" fontId="2" fillId="0" borderId="6" xfId="2" applyNumberFormat="1" applyFont="1" applyBorder="1" applyAlignment="1">
      <alignment horizontal="center"/>
    </xf>
    <xf numFmtId="4" fontId="2" fillId="0" borderId="4" xfId="2" applyNumberFormat="1" applyFont="1" applyBorder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Border="1" applyAlignment="1"/>
    <xf numFmtId="4" fontId="2" fillId="0" borderId="0" xfId="2" applyNumberFormat="1" applyFont="1"/>
    <xf numFmtId="0" fontId="5" fillId="0" borderId="7" xfId="2" applyNumberFormat="1" applyBorder="1" applyAlignment="1">
      <alignment horizontal="center"/>
    </xf>
    <xf numFmtId="4" fontId="2" fillId="0" borderId="0" xfId="2" applyNumberFormat="1" applyFont="1" applyAlignment="1">
      <alignment horizontal="center"/>
    </xf>
    <xf numFmtId="4" fontId="13" fillId="0" borderId="0" xfId="2" applyNumberFormat="1" applyFont="1" applyBorder="1" applyAlignment="1">
      <alignment horizontal="center"/>
    </xf>
    <xf numFmtId="4" fontId="5" fillId="0" borderId="8" xfId="2" applyNumberFormat="1" applyFill="1" applyBorder="1"/>
    <xf numFmtId="4" fontId="10" fillId="0" borderId="0" xfId="2" applyNumberFormat="1" applyFont="1" applyBorder="1" applyAlignment="1">
      <alignment horizontal="center"/>
    </xf>
    <xf numFmtId="4" fontId="14" fillId="0" borderId="0" xfId="2" applyNumberFormat="1" applyFont="1" applyBorder="1" applyAlignment="1">
      <alignment horizontal="center"/>
    </xf>
    <xf numFmtId="4" fontId="12" fillId="0" borderId="0" xfId="2" applyNumberFormat="1" applyFont="1" applyAlignment="1">
      <alignment horizontal="center"/>
    </xf>
    <xf numFmtId="4" fontId="6" fillId="0" borderId="0" xfId="2" applyNumberFormat="1" applyFont="1" applyBorder="1" applyAlignment="1">
      <alignment horizontal="center"/>
    </xf>
    <xf numFmtId="4" fontId="14" fillId="0" borderId="0" xfId="2" applyNumberFormat="1" applyFont="1" applyBorder="1"/>
    <xf numFmtId="4" fontId="10" fillId="0" borderId="0" xfId="2" applyNumberFormat="1" applyFont="1" applyBorder="1"/>
    <xf numFmtId="4" fontId="10" fillId="0" borderId="0" xfId="2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/>
    <xf numFmtId="0" fontId="18" fillId="0" borderId="5" xfId="0" applyFont="1" applyBorder="1" applyAlignment="1">
      <alignment horizontal="center"/>
    </xf>
    <xf numFmtId="0" fontId="18" fillId="0" borderId="5" xfId="0" applyFont="1" applyFill="1" applyBorder="1"/>
    <xf numFmtId="0" fontId="18" fillId="0" borderId="5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Fill="1" applyBorder="1"/>
    <xf numFmtId="0" fontId="18" fillId="0" borderId="8" xfId="0" applyFont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/>
    <xf numFmtId="0" fontId="18" fillId="0" borderId="12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49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4" fontId="2" fillId="0" borderId="21" xfId="2" applyNumberFormat="1" applyFont="1" applyBorder="1" applyAlignment="1">
      <alignment horizontal="center"/>
    </xf>
    <xf numFmtId="4" fontId="7" fillId="0" borderId="0" xfId="2" applyNumberFormat="1" applyFont="1" applyAlignment="1"/>
    <xf numFmtId="4" fontId="5" fillId="0" borderId="0" xfId="2" applyNumberFormat="1" applyFont="1" applyBorder="1" applyAlignment="1">
      <alignment horizontal="left"/>
    </xf>
    <xf numFmtId="166" fontId="18" fillId="0" borderId="6" xfId="0" applyNumberFormat="1" applyFont="1" applyBorder="1" applyAlignment="1">
      <alignment horizontal="center"/>
    </xf>
    <xf numFmtId="166" fontId="2" fillId="3" borderId="9" xfId="0" applyNumberFormat="1" applyFont="1" applyFill="1" applyBorder="1" applyAlignment="1">
      <alignment horizontal="center"/>
    </xf>
    <xf numFmtId="166" fontId="0" fillId="0" borderId="0" xfId="0" applyNumberFormat="1"/>
    <xf numFmtId="4" fontId="11" fillId="0" borderId="0" xfId="2" applyNumberFormat="1" applyFont="1" applyBorder="1"/>
    <xf numFmtId="4" fontId="5" fillId="0" borderId="41" xfId="2" applyNumberFormat="1" applyFont="1" applyBorder="1" applyAlignment="1"/>
    <xf numFmtId="4" fontId="7" fillId="0" borderId="0" xfId="2" applyNumberFormat="1" applyFont="1" applyBorder="1" applyAlignment="1"/>
    <xf numFmtId="4" fontId="5" fillId="0" borderId="0" xfId="2" applyNumberFormat="1" applyFont="1" applyAlignment="1"/>
    <xf numFmtId="4" fontId="9" fillId="0" borderId="0" xfId="2" applyNumberFormat="1" applyFont="1" applyBorder="1" applyAlignment="1">
      <alignment horizontal="center"/>
    </xf>
    <xf numFmtId="4" fontId="9" fillId="3" borderId="23" xfId="2" applyNumberFormat="1" applyFont="1" applyFill="1" applyBorder="1" applyAlignment="1">
      <alignment horizontal="right"/>
    </xf>
    <xf numFmtId="4" fontId="5" fillId="0" borderId="24" xfId="2" applyNumberFormat="1" applyBorder="1" applyAlignment="1">
      <alignment horizontal="center"/>
    </xf>
    <xf numFmtId="4" fontId="5" fillId="0" borderId="16" xfId="2" applyNumberFormat="1" applyBorder="1"/>
    <xf numFmtId="4" fontId="9" fillId="3" borderId="9" xfId="2" applyNumberFormat="1" applyFont="1" applyFill="1" applyBorder="1" applyAlignment="1">
      <alignment horizontal="right"/>
    </xf>
    <xf numFmtId="4" fontId="5" fillId="0" borderId="0" xfId="2" applyNumberFormat="1" applyFont="1"/>
    <xf numFmtId="4" fontId="2" fillId="0" borderId="14" xfId="2" applyNumberFormat="1" applyFont="1" applyBorder="1"/>
    <xf numFmtId="4" fontId="2" fillId="0" borderId="0" xfId="2" applyNumberFormat="1" applyFont="1" applyFill="1" applyBorder="1" applyAlignment="1">
      <alignment horizontal="center"/>
    </xf>
    <xf numFmtId="4" fontId="5" fillId="0" borderId="0" xfId="2" applyNumberFormat="1" applyFill="1" applyBorder="1" applyAlignment="1">
      <alignment horizontal="center"/>
    </xf>
    <xf numFmtId="4" fontId="2" fillId="0" borderId="0" xfId="2" applyNumberFormat="1" applyFont="1" applyFill="1" applyBorder="1" applyAlignment="1"/>
    <xf numFmtId="4" fontId="5" fillId="0" borderId="42" xfId="2" applyNumberFormat="1" applyBorder="1" applyAlignment="1">
      <alignment horizontal="center"/>
    </xf>
    <xf numFmtId="0" fontId="0" fillId="0" borderId="25" xfId="0" applyBorder="1"/>
    <xf numFmtId="0" fontId="0" fillId="0" borderId="27" xfId="0" applyBorder="1"/>
    <xf numFmtId="0" fontId="0" fillId="0" borderId="41" xfId="0" applyBorder="1"/>
    <xf numFmtId="0" fontId="0" fillId="0" borderId="40" xfId="0" applyBorder="1"/>
    <xf numFmtId="0" fontId="0" fillId="0" borderId="28" xfId="0" applyBorder="1"/>
    <xf numFmtId="0" fontId="0" fillId="0" borderId="30" xfId="0" applyBorder="1"/>
    <xf numFmtId="0" fontId="27" fillId="6" borderId="39" xfId="0" applyFont="1" applyFill="1" applyBorder="1" applyAlignment="1">
      <alignment vertical="center" wrapText="1"/>
    </xf>
    <xf numFmtId="0" fontId="27" fillId="6" borderId="37" xfId="0" applyFont="1" applyFill="1" applyBorder="1" applyAlignment="1">
      <alignment horizontal="right" vertical="center" wrapText="1"/>
    </xf>
    <xf numFmtId="0" fontId="28" fillId="7" borderId="4" xfId="0" applyFont="1" applyFill="1" applyBorder="1" applyAlignment="1">
      <alignment vertical="center" wrapText="1"/>
    </xf>
    <xf numFmtId="0" fontId="28" fillId="7" borderId="0" xfId="0" applyFont="1" applyFill="1" applyBorder="1" applyAlignment="1">
      <alignment vertical="center" wrapText="1"/>
    </xf>
    <xf numFmtId="10" fontId="28" fillId="7" borderId="6" xfId="0" applyNumberFormat="1" applyFont="1" applyFill="1" applyBorder="1" applyAlignment="1">
      <alignment horizontal="right" vertical="center" wrapText="1"/>
    </xf>
    <xf numFmtId="166" fontId="1" fillId="0" borderId="0" xfId="0" applyNumberFormat="1" applyFont="1"/>
    <xf numFmtId="0" fontId="28" fillId="7" borderId="22" xfId="0" applyFont="1" applyFill="1" applyBorder="1" applyAlignment="1">
      <alignment vertical="center" wrapText="1"/>
    </xf>
    <xf numFmtId="10" fontId="28" fillId="7" borderId="24" xfId="0" applyNumberFormat="1" applyFont="1" applyFill="1" applyBorder="1" applyAlignment="1">
      <alignment horizontal="right" vertical="center" wrapText="1"/>
    </xf>
    <xf numFmtId="0" fontId="27" fillId="7" borderId="14" xfId="0" applyFont="1" applyFill="1" applyBorder="1" applyAlignment="1">
      <alignment vertical="center" wrapText="1"/>
    </xf>
    <xf numFmtId="166" fontId="1" fillId="0" borderId="16" xfId="0" applyNumberFormat="1" applyFont="1" applyBorder="1"/>
    <xf numFmtId="0" fontId="1" fillId="0" borderId="0" xfId="0" applyFont="1" applyAlignment="1">
      <alignment horizontal="right"/>
    </xf>
    <xf numFmtId="168" fontId="5" fillId="0" borderId="8" xfId="2" applyNumberFormat="1" applyBorder="1" applyAlignment="1">
      <alignment horizontal="center"/>
    </xf>
    <xf numFmtId="4" fontId="2" fillId="0" borderId="39" xfId="2" applyNumberFormat="1" applyFont="1" applyBorder="1" applyAlignment="1">
      <alignment horizontal="center"/>
    </xf>
    <xf numFmtId="4" fontId="2" fillId="0" borderId="38" xfId="2" applyNumberFormat="1" applyFont="1" applyBorder="1" applyAlignment="1">
      <alignment horizontal="center"/>
    </xf>
    <xf numFmtId="4" fontId="2" fillId="0" borderId="51" xfId="2" applyNumberFormat="1" applyFont="1" applyBorder="1" applyAlignment="1">
      <alignment horizontal="center"/>
    </xf>
    <xf numFmtId="4" fontId="2" fillId="0" borderId="37" xfId="2" applyNumberFormat="1" applyFont="1" applyBorder="1" applyAlignment="1">
      <alignment horizontal="center"/>
    </xf>
    <xf numFmtId="4" fontId="5" fillId="0" borderId="29" xfId="2" applyNumberFormat="1" applyBorder="1"/>
    <xf numFmtId="0" fontId="0" fillId="0" borderId="0" xfId="0"/>
    <xf numFmtId="0" fontId="36" fillId="0" borderId="5" xfId="0" applyFont="1" applyBorder="1" applyAlignment="1">
      <alignment vertical="center"/>
    </xf>
    <xf numFmtId="0" fontId="36" fillId="0" borderId="4" xfId="0" applyFont="1" applyBorder="1" applyAlignment="1">
      <alignment horizontal="center" vertical="center"/>
    </xf>
    <xf numFmtId="0" fontId="0" fillId="0" borderId="6" xfId="0" applyBorder="1"/>
    <xf numFmtId="0" fontId="36" fillId="0" borderId="7" xfId="0" applyFont="1" applyBorder="1" applyAlignment="1">
      <alignment horizontal="center" vertical="center"/>
    </xf>
    <xf numFmtId="0" fontId="36" fillId="0" borderId="8" xfId="0" applyFont="1" applyBorder="1" applyAlignment="1">
      <alignment vertical="center"/>
    </xf>
    <xf numFmtId="0" fontId="0" fillId="0" borderId="13" xfId="0" applyBorder="1"/>
    <xf numFmtId="0" fontId="0" fillId="0" borderId="4" xfId="0" applyBorder="1"/>
    <xf numFmtId="0" fontId="0" fillId="0" borderId="11" xfId="0" applyBorder="1"/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21" fillId="0" borderId="7" xfId="0" applyFont="1" applyBorder="1"/>
    <xf numFmtId="0" fontId="21" fillId="0" borderId="10" xfId="0" applyFont="1" applyBorder="1"/>
    <xf numFmtId="0" fontId="0" fillId="0" borderId="12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9" xfId="0" applyBorder="1" applyAlignment="1">
      <alignment horizontal="center"/>
    </xf>
    <xf numFmtId="0" fontId="20" fillId="0" borderId="3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165" fontId="5" fillId="0" borderId="6" xfId="2" applyNumberFormat="1" applyBorder="1"/>
    <xf numFmtId="49" fontId="0" fillId="0" borderId="5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4" fontId="0" fillId="0" borderId="6" xfId="0" applyNumberFormat="1" applyFill="1" applyBorder="1" applyAlignment="1">
      <alignment horizontal="center"/>
    </xf>
    <xf numFmtId="44" fontId="0" fillId="0" borderId="10" xfId="0" applyNumberFormat="1" applyFill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167" fontId="0" fillId="0" borderId="5" xfId="0" applyNumberFormat="1" applyFill="1" applyBorder="1" applyAlignment="1">
      <alignment horizontal="center"/>
    </xf>
    <xf numFmtId="167" fontId="0" fillId="0" borderId="5" xfId="0" applyNumberFormat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2" fontId="1" fillId="0" borderId="35" xfId="0" applyNumberFormat="1" applyFont="1" applyBorder="1" applyAlignment="1">
      <alignment horizontal="center" vertical="center" wrapText="1"/>
    </xf>
    <xf numFmtId="2" fontId="0" fillId="0" borderId="45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49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46" xfId="0" applyNumberFormat="1" applyBorder="1" applyAlignment="1">
      <alignment horizontal="center"/>
    </xf>
    <xf numFmtId="2" fontId="0" fillId="0" borderId="47" xfId="0" applyNumberFormat="1" applyBorder="1" applyAlignment="1">
      <alignment horizontal="center"/>
    </xf>
    <xf numFmtId="2" fontId="0" fillId="0" borderId="50" xfId="0" applyNumberFormat="1" applyBorder="1" applyAlignment="1">
      <alignment horizontal="center"/>
    </xf>
    <xf numFmtId="169" fontId="0" fillId="0" borderId="62" xfId="0" applyNumberFormat="1" applyFill="1" applyBorder="1" applyAlignment="1">
      <alignment horizontal="center"/>
    </xf>
    <xf numFmtId="169" fontId="0" fillId="0" borderId="61" xfId="0" applyNumberFormat="1" applyFill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44" fontId="0" fillId="0" borderId="13" xfId="0" applyNumberFormat="1" applyBorder="1" applyAlignment="1">
      <alignment horizontal="center"/>
    </xf>
    <xf numFmtId="169" fontId="0" fillId="0" borderId="44" xfId="0" applyNumberFormat="1" applyBorder="1" applyAlignment="1">
      <alignment horizont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70" fontId="0" fillId="0" borderId="13" xfId="0" applyNumberFormat="1" applyBorder="1"/>
    <xf numFmtId="170" fontId="0" fillId="0" borderId="6" xfId="0" applyNumberFormat="1" applyBorder="1"/>
    <xf numFmtId="170" fontId="0" fillId="0" borderId="10" xfId="0" applyNumberFormat="1" applyBorder="1"/>
    <xf numFmtId="0" fontId="1" fillId="5" borderId="1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29" fillId="3" borderId="9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/>
    </xf>
    <xf numFmtId="0" fontId="40" fillId="0" borderId="0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1" xfId="0" applyFont="1" applyBorder="1" applyAlignment="1">
      <alignment vertical="center"/>
    </xf>
    <xf numFmtId="0" fontId="40" fillId="0" borderId="21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1" fontId="0" fillId="0" borderId="0" xfId="0" applyNumberFormat="1" applyBorder="1"/>
    <xf numFmtId="4" fontId="41" fillId="0" borderId="0" xfId="2" applyNumberFormat="1" applyFont="1" applyBorder="1" applyAlignment="1">
      <alignment horizontal="center"/>
    </xf>
    <xf numFmtId="4" fontId="42" fillId="0" borderId="0" xfId="2" applyNumberFormat="1" applyFont="1" applyBorder="1" applyAlignment="1">
      <alignment horizontal="center"/>
    </xf>
    <xf numFmtId="4" fontId="42" fillId="0" borderId="0" xfId="2" applyNumberFormat="1" applyFont="1" applyBorder="1"/>
    <xf numFmtId="4" fontId="42" fillId="0" borderId="0" xfId="2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1" fillId="0" borderId="0" xfId="0" applyFont="1" applyBorder="1"/>
    <xf numFmtId="0" fontId="1" fillId="0" borderId="39" xfId="0" applyFont="1" applyBorder="1"/>
    <xf numFmtId="44" fontId="22" fillId="0" borderId="0" xfId="0" applyNumberFormat="1" applyFont="1" applyFill="1" applyBorder="1"/>
    <xf numFmtId="0" fontId="21" fillId="0" borderId="0" xfId="0" applyFont="1" applyFill="1" applyBorder="1" applyAlignment="1">
      <alignment vertical="center" wrapText="1"/>
    </xf>
    <xf numFmtId="44" fontId="22" fillId="0" borderId="51" xfId="0" applyNumberFormat="1" applyFont="1" applyBorder="1"/>
    <xf numFmtId="44" fontId="22" fillId="0" borderId="61" xfId="0" applyNumberFormat="1" applyFont="1" applyBorder="1"/>
    <xf numFmtId="0" fontId="43" fillId="0" borderId="39" xfId="0" applyFont="1" applyBorder="1"/>
    <xf numFmtId="0" fontId="43" fillId="0" borderId="7" xfId="0" applyFont="1" applyBorder="1"/>
    <xf numFmtId="44" fontId="44" fillId="0" borderId="37" xfId="0" applyNumberFormat="1" applyFont="1" applyFill="1" applyBorder="1"/>
    <xf numFmtId="44" fontId="44" fillId="0" borderId="10" xfId="0" applyNumberFormat="1" applyFont="1" applyFill="1" applyBorder="1"/>
    <xf numFmtId="2" fontId="45" fillId="0" borderId="45" xfId="0" applyNumberFormat="1" applyFont="1" applyFill="1" applyBorder="1" applyAlignment="1">
      <alignment horizontal="center"/>
    </xf>
    <xf numFmtId="2" fontId="45" fillId="0" borderId="32" xfId="0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40" fillId="3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20" fontId="0" fillId="0" borderId="0" xfId="0" applyNumberFormat="1"/>
    <xf numFmtId="20" fontId="32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21" fillId="0" borderId="58" xfId="0" applyFont="1" applyBorder="1"/>
    <xf numFmtId="0" fontId="40" fillId="3" borderId="0" xfId="0" applyFont="1" applyFill="1" applyBorder="1" applyAlignment="1">
      <alignment horizontal="center" vertical="center" wrapText="1"/>
    </xf>
    <xf numFmtId="4" fontId="49" fillId="0" borderId="9" xfId="2" applyNumberFormat="1" applyFont="1" applyBorder="1" applyAlignment="1">
      <alignment horizontal="center"/>
    </xf>
    <xf numFmtId="4" fontId="9" fillId="0" borderId="14" xfId="2" applyNumberFormat="1" applyFont="1" applyBorder="1" applyAlignment="1"/>
    <xf numFmtId="0" fontId="29" fillId="0" borderId="0" xfId="0" applyFont="1" applyFill="1" applyBorder="1" applyAlignment="1">
      <alignment horizontal="center" vertical="center"/>
    </xf>
    <xf numFmtId="4" fontId="2" fillId="0" borderId="42" xfId="2" applyNumberFormat="1" applyFont="1" applyBorder="1" applyAlignment="1">
      <alignment horizontal="center"/>
    </xf>
    <xf numFmtId="165" fontId="5" fillId="0" borderId="42" xfId="2" applyNumberFormat="1" applyFill="1" applyBorder="1"/>
    <xf numFmtId="165" fontId="5" fillId="0" borderId="10" xfId="2" applyNumberFormat="1" applyBorder="1"/>
    <xf numFmtId="4" fontId="1" fillId="0" borderId="5" xfId="1" applyNumberFormat="1" applyFont="1" applyFill="1" applyBorder="1" applyAlignment="1">
      <alignment horizontal="center"/>
    </xf>
    <xf numFmtId="4" fontId="24" fillId="0" borderId="5" xfId="1" applyNumberFormat="1" applyFont="1" applyFill="1" applyBorder="1" applyAlignment="1"/>
    <xf numFmtId="166" fontId="18" fillId="0" borderId="13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/>
    </xf>
    <xf numFmtId="0" fontId="47" fillId="0" borderId="5" xfId="0" applyFont="1" applyFill="1" applyBorder="1" applyAlignment="1">
      <alignment horizontal="center" vertical="center"/>
    </xf>
    <xf numFmtId="0" fontId="46" fillId="0" borderId="8" xfId="0" applyFont="1" applyBorder="1" applyAlignment="1">
      <alignment horizontal="center"/>
    </xf>
    <xf numFmtId="0" fontId="46" fillId="0" borderId="18" xfId="0" applyFont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2" fontId="46" fillId="0" borderId="0" xfId="0" applyNumberFormat="1" applyFont="1" applyAlignment="1">
      <alignment horizontal="center"/>
    </xf>
    <xf numFmtId="2" fontId="46" fillId="0" borderId="0" xfId="0" applyNumberFormat="1" applyFont="1" applyFill="1" applyAlignment="1">
      <alignment horizontal="center"/>
    </xf>
    <xf numFmtId="167" fontId="46" fillId="0" borderId="0" xfId="0" applyNumberFormat="1" applyFont="1" applyAlignment="1">
      <alignment horizontal="center"/>
    </xf>
    <xf numFmtId="167" fontId="46" fillId="0" borderId="5" xfId="0" applyNumberFormat="1" applyFont="1" applyBorder="1" applyAlignment="1">
      <alignment vertical="center"/>
    </xf>
    <xf numFmtId="2" fontId="33" fillId="0" borderId="0" xfId="0" applyNumberFormat="1" applyFont="1" applyFill="1" applyBorder="1" applyAlignment="1">
      <alignment horizontal="center" vertical="center"/>
    </xf>
    <xf numFmtId="0" fontId="40" fillId="0" borderId="0" xfId="0" applyFont="1" applyBorder="1" applyAlignment="1">
      <alignment vertical="center"/>
    </xf>
    <xf numFmtId="0" fontId="46" fillId="0" borderId="5" xfId="0" applyFont="1" applyBorder="1" applyAlignment="1">
      <alignment vertical="center"/>
    </xf>
    <xf numFmtId="0" fontId="36" fillId="0" borderId="39" xfId="0" applyFont="1" applyBorder="1" applyAlignment="1">
      <alignment horizontal="center" vertical="center"/>
    </xf>
    <xf numFmtId="0" fontId="36" fillId="0" borderId="38" xfId="0" applyFont="1" applyBorder="1" applyAlignment="1">
      <alignment vertical="center"/>
    </xf>
    <xf numFmtId="0" fontId="46" fillId="0" borderId="38" xfId="0" applyFont="1" applyBorder="1" applyAlignment="1">
      <alignment horizontal="center"/>
    </xf>
    <xf numFmtId="0" fontId="47" fillId="0" borderId="38" xfId="0" applyFont="1" applyFill="1" applyBorder="1" applyAlignment="1">
      <alignment horizontal="center" vertical="center"/>
    </xf>
    <xf numFmtId="0" fontId="46" fillId="0" borderId="38" xfId="0" applyFont="1" applyBorder="1" applyAlignment="1">
      <alignment vertical="center"/>
    </xf>
    <xf numFmtId="167" fontId="46" fillId="0" borderId="38" xfId="0" applyNumberFormat="1" applyFont="1" applyBorder="1" applyAlignment="1">
      <alignment vertical="center"/>
    </xf>
    <xf numFmtId="0" fontId="46" fillId="0" borderId="8" xfId="0" applyFont="1" applyBorder="1" applyAlignment="1">
      <alignment vertical="center"/>
    </xf>
    <xf numFmtId="167" fontId="46" fillId="0" borderId="8" xfId="0" applyNumberFormat="1" applyFont="1" applyBorder="1" applyAlignment="1">
      <alignment vertical="center"/>
    </xf>
    <xf numFmtId="0" fontId="20" fillId="0" borderId="59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0" fillId="0" borderId="75" xfId="0" applyBorder="1" applyAlignment="1">
      <alignment horizontal="center"/>
    </xf>
    <xf numFmtId="2" fontId="46" fillId="0" borderId="38" xfId="0" applyNumberFormat="1" applyFont="1" applyBorder="1" applyAlignment="1">
      <alignment horizontal="center"/>
    </xf>
    <xf numFmtId="2" fontId="46" fillId="0" borderId="5" xfId="0" applyNumberFormat="1" applyFont="1" applyBorder="1" applyAlignment="1">
      <alignment horizontal="center"/>
    </xf>
    <xf numFmtId="2" fontId="46" fillId="0" borderId="8" xfId="0" applyNumberFormat="1" applyFont="1" applyBorder="1" applyAlignment="1">
      <alignment horizontal="center"/>
    </xf>
    <xf numFmtId="4" fontId="2" fillId="0" borderId="19" xfId="2" applyNumberFormat="1" applyFont="1" applyBorder="1" applyAlignment="1">
      <alignment horizontal="center"/>
    </xf>
    <xf numFmtId="4" fontId="2" fillId="0" borderId="20" xfId="2" applyNumberFormat="1" applyFont="1" applyBorder="1" applyAlignment="1">
      <alignment horizontal="center"/>
    </xf>
    <xf numFmtId="4" fontId="2" fillId="0" borderId="21" xfId="2" applyNumberFormat="1" applyFont="1" applyBorder="1" applyAlignment="1">
      <alignment horizontal="center"/>
    </xf>
    <xf numFmtId="4" fontId="2" fillId="0" borderId="12" xfId="2" applyNumberFormat="1" applyFont="1" applyBorder="1" applyAlignment="1">
      <alignment horizontal="center" vertical="center"/>
    </xf>
    <xf numFmtId="4" fontId="2" fillId="0" borderId="5" xfId="2" applyNumberFormat="1" applyFont="1" applyBorder="1" applyAlignment="1">
      <alignment horizontal="center" vertical="center"/>
    </xf>
    <xf numFmtId="4" fontId="50" fillId="0" borderId="12" xfId="2" applyNumberFormat="1" applyFont="1" applyBorder="1" applyAlignment="1">
      <alignment horizontal="center" vertical="center" wrapText="1"/>
    </xf>
    <xf numFmtId="4" fontId="50" fillId="0" borderId="5" xfId="2" applyNumberFormat="1" applyFont="1" applyBorder="1" applyAlignment="1">
      <alignment horizontal="center" vertical="center" wrapText="1"/>
    </xf>
    <xf numFmtId="4" fontId="50" fillId="0" borderId="12" xfId="2" applyNumberFormat="1" applyFont="1" applyBorder="1" applyAlignment="1">
      <alignment horizontal="center" vertical="center"/>
    </xf>
    <xf numFmtId="4" fontId="50" fillId="0" borderId="5" xfId="2" applyNumberFormat="1" applyFont="1" applyBorder="1" applyAlignment="1">
      <alignment horizontal="center" vertical="center"/>
    </xf>
    <xf numFmtId="4" fontId="50" fillId="0" borderId="11" xfId="2" applyNumberFormat="1" applyFont="1" applyBorder="1" applyAlignment="1">
      <alignment horizontal="center" vertical="center"/>
    </xf>
    <xf numFmtId="4" fontId="50" fillId="0" borderId="4" xfId="2" applyNumberFormat="1" applyFont="1" applyBorder="1" applyAlignment="1">
      <alignment horizontal="center" vertical="center"/>
    </xf>
    <xf numFmtId="4" fontId="11" fillId="3" borderId="19" xfId="2" applyNumberFormat="1" applyFont="1" applyFill="1" applyBorder="1" applyAlignment="1">
      <alignment horizontal="center"/>
    </xf>
    <xf numFmtId="4" fontId="11" fillId="3" borderId="20" xfId="2" applyNumberFormat="1" applyFont="1" applyFill="1" applyBorder="1" applyAlignment="1">
      <alignment horizontal="center"/>
    </xf>
    <xf numFmtId="4" fontId="11" fillId="3" borderId="21" xfId="2" applyNumberFormat="1" applyFont="1" applyFill="1" applyBorder="1" applyAlignment="1">
      <alignment horizontal="center"/>
    </xf>
    <xf numFmtId="4" fontId="5" fillId="0" borderId="0" xfId="2" applyNumberFormat="1" applyFont="1" applyBorder="1" applyAlignment="1">
      <alignment horizontal="left" vertical="center"/>
    </xf>
    <xf numFmtId="4" fontId="7" fillId="0" borderId="0" xfId="2" applyNumberFormat="1" applyFont="1" applyBorder="1" applyAlignment="1">
      <alignment horizontal="left" vertical="center"/>
    </xf>
    <xf numFmtId="4" fontId="5" fillId="5" borderId="25" xfId="2" applyNumberFormat="1" applyFont="1" applyFill="1" applyBorder="1" applyAlignment="1">
      <alignment horizontal="left" vertical="center" wrapText="1"/>
    </xf>
    <xf numFmtId="4" fontId="5" fillId="5" borderId="26" xfId="2" applyNumberFormat="1" applyFont="1" applyFill="1" applyBorder="1" applyAlignment="1">
      <alignment horizontal="left" vertical="center" wrapText="1"/>
    </xf>
    <xf numFmtId="4" fontId="5" fillId="5" borderId="27" xfId="2" applyNumberFormat="1" applyFont="1" applyFill="1" applyBorder="1" applyAlignment="1">
      <alignment horizontal="left" vertical="center" wrapText="1"/>
    </xf>
    <xf numFmtId="4" fontId="5" fillId="5" borderId="28" xfId="2" applyNumberFormat="1" applyFont="1" applyFill="1" applyBorder="1" applyAlignment="1">
      <alignment horizontal="left" vertical="center" wrapText="1"/>
    </xf>
    <xf numFmtId="4" fontId="5" fillId="5" borderId="29" xfId="2" applyNumberFormat="1" applyFont="1" applyFill="1" applyBorder="1" applyAlignment="1">
      <alignment horizontal="left" vertical="center" wrapText="1"/>
    </xf>
    <xf numFmtId="4" fontId="5" fillId="5" borderId="30" xfId="2" applyNumberFormat="1" applyFont="1" applyFill="1" applyBorder="1" applyAlignment="1">
      <alignment horizontal="left" vertical="center" wrapText="1"/>
    </xf>
    <xf numFmtId="4" fontId="5" fillId="0" borderId="0" xfId="2" applyNumberFormat="1" applyAlignment="1">
      <alignment horizontal="center"/>
    </xf>
    <xf numFmtId="4" fontId="2" fillId="0" borderId="13" xfId="2" applyNumberFormat="1" applyFont="1" applyBorder="1" applyAlignment="1">
      <alignment horizontal="center" vertical="center"/>
    </xf>
    <xf numFmtId="4" fontId="2" fillId="0" borderId="6" xfId="2" applyNumberFormat="1" applyFont="1" applyBorder="1" applyAlignment="1">
      <alignment horizontal="center" vertical="center"/>
    </xf>
    <xf numFmtId="4" fontId="2" fillId="0" borderId="12" xfId="2" applyNumberFormat="1" applyFont="1" applyBorder="1" applyAlignment="1">
      <alignment vertical="center"/>
    </xf>
    <xf numFmtId="4" fontId="2" fillId="0" borderId="5" xfId="2" applyNumberFormat="1" applyFont="1" applyBorder="1" applyAlignment="1">
      <alignment vertical="center"/>
    </xf>
    <xf numFmtId="4" fontId="10" fillId="3" borderId="19" xfId="2" applyNumberFormat="1" applyFont="1" applyFill="1" applyBorder="1" applyAlignment="1">
      <alignment horizontal="center"/>
    </xf>
    <xf numFmtId="4" fontId="10" fillId="3" borderId="20" xfId="2" applyNumberFormat="1" applyFont="1" applyFill="1" applyBorder="1" applyAlignment="1">
      <alignment horizontal="center"/>
    </xf>
    <xf numFmtId="4" fontId="10" fillId="3" borderId="21" xfId="2" applyNumberFormat="1" applyFont="1" applyFill="1" applyBorder="1" applyAlignment="1">
      <alignment horizontal="center"/>
    </xf>
    <xf numFmtId="4" fontId="2" fillId="0" borderId="1" xfId="2" applyNumberFormat="1" applyFont="1" applyBorder="1" applyAlignment="1">
      <alignment horizontal="center"/>
    </xf>
    <xf numFmtId="4" fontId="2" fillId="0" borderId="2" xfId="2" applyNumberFormat="1" applyFont="1" applyBorder="1" applyAlignment="1">
      <alignment horizontal="center"/>
    </xf>
    <xf numFmtId="4" fontId="2" fillId="0" borderId="3" xfId="2" applyNumberFormat="1" applyFont="1" applyBorder="1" applyAlignment="1">
      <alignment horizontal="center"/>
    </xf>
    <xf numFmtId="4" fontId="25" fillId="0" borderId="0" xfId="2" applyNumberFormat="1" applyFont="1" applyFill="1" applyAlignment="1">
      <alignment horizontal="center"/>
    </xf>
    <xf numFmtId="4" fontId="23" fillId="0" borderId="0" xfId="2" applyNumberFormat="1" applyFont="1" applyAlignment="1">
      <alignment horizontal="left" vertical="center" wrapText="1"/>
    </xf>
    <xf numFmtId="4" fontId="9" fillId="0" borderId="19" xfId="2" applyNumberFormat="1" applyFont="1" applyBorder="1" applyAlignment="1">
      <alignment horizontal="center"/>
    </xf>
    <xf numFmtId="4" fontId="9" fillId="0" borderId="20" xfId="2" applyNumberFormat="1" applyFont="1" applyBorder="1" applyAlignment="1">
      <alignment horizontal="center"/>
    </xf>
    <xf numFmtId="4" fontId="9" fillId="0" borderId="21" xfId="2" applyNumberFormat="1" applyFont="1" applyBorder="1" applyAlignment="1">
      <alignment horizontal="center"/>
    </xf>
    <xf numFmtId="4" fontId="2" fillId="0" borderId="26" xfId="2" applyNumberFormat="1" applyFont="1" applyBorder="1" applyAlignment="1">
      <alignment horizontal="center"/>
    </xf>
    <xf numFmtId="4" fontId="2" fillId="0" borderId="27" xfId="2" applyNumberFormat="1" applyFont="1" applyBorder="1" applyAlignment="1">
      <alignment horizontal="center"/>
    </xf>
    <xf numFmtId="4" fontId="2" fillId="5" borderId="19" xfId="2" applyNumberFormat="1" applyFont="1" applyFill="1" applyBorder="1" applyAlignment="1">
      <alignment horizontal="center"/>
    </xf>
    <xf numFmtId="4" fontId="2" fillId="5" borderId="20" xfId="2" applyNumberFormat="1" applyFont="1" applyFill="1" applyBorder="1" applyAlignment="1">
      <alignment horizontal="center"/>
    </xf>
    <xf numFmtId="4" fontId="2" fillId="5" borderId="21" xfId="2" applyNumberFormat="1" applyFont="1" applyFill="1" applyBorder="1" applyAlignment="1">
      <alignment horizontal="center"/>
    </xf>
    <xf numFmtId="4" fontId="15" fillId="5" borderId="19" xfId="2" applyNumberFormat="1" applyFont="1" applyFill="1" applyBorder="1" applyAlignment="1">
      <alignment horizontal="left"/>
    </xf>
    <xf numFmtId="4" fontId="15" fillId="5" borderId="20" xfId="2" applyNumberFormat="1" applyFont="1" applyFill="1" applyBorder="1" applyAlignment="1">
      <alignment horizontal="left"/>
    </xf>
    <xf numFmtId="4" fontId="15" fillId="5" borderId="21" xfId="2" applyNumberFormat="1" applyFont="1" applyFill="1" applyBorder="1" applyAlignment="1">
      <alignment horizontal="left"/>
    </xf>
    <xf numFmtId="4" fontId="10" fillId="0" borderId="19" xfId="2" applyNumberFormat="1" applyFont="1" applyBorder="1" applyAlignment="1">
      <alignment horizontal="center"/>
    </xf>
    <xf numFmtId="4" fontId="10" fillId="0" borderId="20" xfId="2" applyNumberFormat="1" applyFont="1" applyBorder="1" applyAlignment="1">
      <alignment horizontal="center"/>
    </xf>
    <xf numFmtId="4" fontId="10" fillId="0" borderId="21" xfId="2" applyNumberFormat="1" applyFont="1" applyBorder="1" applyAlignment="1">
      <alignment horizontal="center"/>
    </xf>
    <xf numFmtId="4" fontId="11" fillId="0" borderId="19" xfId="2" applyNumberFormat="1" applyFont="1" applyBorder="1" applyAlignment="1">
      <alignment horizontal="center"/>
    </xf>
    <xf numFmtId="4" fontId="11" fillId="0" borderId="21" xfId="2" applyNumberFormat="1" applyFont="1" applyBorder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21" fillId="3" borderId="63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44" fontId="1" fillId="0" borderId="11" xfId="0" applyNumberFormat="1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44" fontId="1" fillId="0" borderId="7" xfId="0" applyNumberFormat="1" applyFont="1" applyBorder="1" applyAlignment="1">
      <alignment horizontal="center" vertical="center"/>
    </xf>
    <xf numFmtId="0" fontId="0" fillId="0" borderId="39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3" borderId="54" xfId="0" applyFont="1" applyFill="1" applyBorder="1" applyAlignment="1">
      <alignment horizontal="center" wrapText="1"/>
    </xf>
    <xf numFmtId="0" fontId="1" fillId="3" borderId="43" xfId="0" applyFont="1" applyFill="1" applyBorder="1" applyAlignment="1">
      <alignment horizontal="center" wrapText="1"/>
    </xf>
    <xf numFmtId="0" fontId="21" fillId="3" borderId="5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46" fillId="0" borderId="52" xfId="0" applyFont="1" applyBorder="1" applyAlignment="1">
      <alignment horizontal="center" vertical="center"/>
    </xf>
    <xf numFmtId="0" fontId="46" fillId="0" borderId="53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55" xfId="0" applyFont="1" applyBorder="1" applyAlignment="1">
      <alignment horizontal="center" vertical="center"/>
    </xf>
    <xf numFmtId="0" fontId="46" fillId="0" borderId="73" xfId="0" applyFont="1" applyBorder="1" applyAlignment="1">
      <alignment horizontal="center" vertical="center"/>
    </xf>
    <xf numFmtId="0" fontId="46" fillId="0" borderId="74" xfId="0" applyFont="1" applyBorder="1" applyAlignment="1">
      <alignment horizontal="center" vertical="center"/>
    </xf>
    <xf numFmtId="0" fontId="46" fillId="0" borderId="67" xfId="0" applyFont="1" applyBorder="1" applyAlignment="1">
      <alignment horizontal="center" vertical="center" wrapText="1"/>
    </xf>
    <xf numFmtId="0" fontId="46" fillId="0" borderId="68" xfId="0" applyFont="1" applyBorder="1" applyAlignment="1">
      <alignment horizontal="center" vertical="center" wrapText="1"/>
    </xf>
    <xf numFmtId="0" fontId="46" fillId="0" borderId="69" xfId="0" applyFont="1" applyBorder="1" applyAlignment="1">
      <alignment horizontal="center" vertical="center" wrapText="1"/>
    </xf>
    <xf numFmtId="0" fontId="31" fillId="3" borderId="54" xfId="0" applyFont="1" applyFill="1" applyBorder="1" applyAlignment="1">
      <alignment horizontal="center" vertical="center" wrapText="1"/>
    </xf>
    <xf numFmtId="0" fontId="31" fillId="3" borderId="43" xfId="0" applyFont="1" applyFill="1" applyBorder="1" applyAlignment="1">
      <alignment horizontal="center" vertical="center" wrapText="1"/>
    </xf>
    <xf numFmtId="0" fontId="31" fillId="3" borderId="52" xfId="0" applyFont="1" applyFill="1" applyBorder="1" applyAlignment="1">
      <alignment horizontal="center" vertical="center" wrapText="1"/>
    </xf>
    <xf numFmtId="0" fontId="31" fillId="3" borderId="53" xfId="0" applyFont="1" applyFill="1" applyBorder="1" applyAlignment="1">
      <alignment horizontal="center" vertical="center" wrapText="1"/>
    </xf>
    <xf numFmtId="0" fontId="46" fillId="0" borderId="66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0" fontId="46" fillId="0" borderId="71" xfId="0" applyFont="1" applyBorder="1" applyAlignment="1">
      <alignment horizontal="center" vertical="center"/>
    </xf>
    <xf numFmtId="0" fontId="35" fillId="3" borderId="56" xfId="0" applyFont="1" applyFill="1" applyBorder="1" applyAlignment="1">
      <alignment horizontal="center" vertical="center" wrapText="1"/>
    </xf>
    <xf numFmtId="0" fontId="35" fillId="3" borderId="72" xfId="0" applyFont="1" applyFill="1" applyBorder="1" applyAlignment="1">
      <alignment horizontal="center" vertical="center" wrapText="1"/>
    </xf>
    <xf numFmtId="0" fontId="35" fillId="3" borderId="52" xfId="0" applyFont="1" applyFill="1" applyBorder="1" applyAlignment="1">
      <alignment horizontal="center" vertical="center" wrapText="1"/>
    </xf>
    <xf numFmtId="0" fontId="35" fillId="3" borderId="53" xfId="0" applyFont="1" applyFill="1" applyBorder="1" applyAlignment="1">
      <alignment horizontal="center" vertical="center" wrapText="1"/>
    </xf>
    <xf numFmtId="2" fontId="46" fillId="0" borderId="52" xfId="0" applyNumberFormat="1" applyFont="1" applyBorder="1" applyAlignment="1">
      <alignment horizontal="center" vertical="center"/>
    </xf>
    <xf numFmtId="2" fontId="46" fillId="0" borderId="53" xfId="0" applyNumberFormat="1" applyFont="1" applyBorder="1" applyAlignment="1">
      <alignment horizontal="center" vertical="center"/>
    </xf>
    <xf numFmtId="2" fontId="46" fillId="0" borderId="18" xfId="0" applyNumberFormat="1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 wrapText="1"/>
    </xf>
    <xf numFmtId="0" fontId="46" fillId="0" borderId="53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40" fillId="3" borderId="5" xfId="0" applyFont="1" applyFill="1" applyBorder="1" applyAlignment="1">
      <alignment horizontal="center" vertical="center"/>
    </xf>
    <xf numFmtId="0" fontId="40" fillId="3" borderId="5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vertical="center"/>
    </xf>
    <xf numFmtId="0" fontId="46" fillId="0" borderId="5" xfId="0" applyFont="1" applyFill="1" applyBorder="1" applyAlignment="1">
      <alignment horizontal="center" vertical="center"/>
    </xf>
    <xf numFmtId="2" fontId="51" fillId="0" borderId="5" xfId="0" applyNumberFormat="1" applyFont="1" applyFill="1" applyBorder="1" applyAlignment="1">
      <alignment horizontal="center" vertical="center"/>
    </xf>
    <xf numFmtId="0" fontId="48" fillId="0" borderId="5" xfId="0" applyFont="1" applyFill="1" applyBorder="1" applyAlignment="1">
      <alignment horizontal="center" vertical="center"/>
    </xf>
    <xf numFmtId="49" fontId="47" fillId="0" borderId="5" xfId="0" applyNumberFormat="1" applyFont="1" applyFill="1" applyBorder="1" applyAlignment="1">
      <alignment horizontal="center" vertical="center"/>
    </xf>
    <xf numFmtId="49" fontId="46" fillId="0" borderId="5" xfId="0" applyNumberFormat="1" applyFont="1" applyFill="1" applyBorder="1" applyAlignment="1">
      <alignment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2" fontId="33" fillId="0" borderId="5" xfId="0" applyNumberFormat="1" applyFont="1" applyFill="1" applyBorder="1" applyAlignment="1">
      <alignment horizontal="center" vertical="center"/>
    </xf>
    <xf numFmtId="167" fontId="33" fillId="0" borderId="5" xfId="0" applyNumberFormat="1" applyFont="1" applyFill="1" applyBorder="1" applyAlignment="1">
      <alignment horizontal="center" vertical="center"/>
    </xf>
    <xf numFmtId="0" fontId="29" fillId="3" borderId="21" xfId="0" applyFont="1" applyFill="1" applyBorder="1" applyAlignment="1">
      <alignment horizontal="center" vertical="center"/>
    </xf>
    <xf numFmtId="0" fontId="47" fillId="3" borderId="21" xfId="0" applyFont="1" applyFill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/>
    </xf>
    <xf numFmtId="0" fontId="46" fillId="0" borderId="54" xfId="0" applyFont="1" applyBorder="1" applyAlignment="1">
      <alignment vertical="center"/>
    </xf>
    <xf numFmtId="0" fontId="46" fillId="0" borderId="26" xfId="0" applyFont="1" applyBorder="1" applyAlignment="1">
      <alignment horizontal="center" vertical="center"/>
    </xf>
    <xf numFmtId="0" fontId="46" fillId="0" borderId="54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/>
    </xf>
    <xf numFmtId="0" fontId="46" fillId="0" borderId="54" xfId="0" applyFont="1" applyBorder="1" applyAlignment="1">
      <alignment horizontal="center" vertical="center"/>
    </xf>
    <xf numFmtId="0" fontId="46" fillId="0" borderId="41" xfId="0" applyFont="1" applyBorder="1" applyAlignment="1">
      <alignment horizontal="center" vertical="center"/>
    </xf>
    <xf numFmtId="0" fontId="46" fillId="0" borderId="43" xfId="0" applyFont="1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0" borderId="43" xfId="0" applyFont="1" applyBorder="1" applyAlignment="1">
      <alignment horizontal="center" vertical="center"/>
    </xf>
    <xf numFmtId="0" fontId="46" fillId="0" borderId="42" xfId="0" applyFont="1" applyFill="1" applyBorder="1" applyAlignment="1">
      <alignment vertical="center"/>
    </xf>
    <xf numFmtId="0" fontId="46" fillId="0" borderId="42" xfId="0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28" xfId="0" applyFont="1" applyBorder="1"/>
    <xf numFmtId="0" fontId="46" fillId="0" borderId="29" xfId="0" applyFont="1" applyBorder="1"/>
    <xf numFmtId="0" fontId="46" fillId="0" borderId="42" xfId="0" applyFont="1" applyBorder="1"/>
  </cellXfs>
  <cellStyles count="5">
    <cellStyle name="Celda de comprobación" xfId="1" builtinId="23"/>
    <cellStyle name="Millares 2" xfId="3"/>
    <cellStyle name="Normal" xfId="0" builtinId="0"/>
    <cellStyle name="Normal 2" xfId="2"/>
    <cellStyle name="Normal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spc="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rPr>
              <a:t>DESCUENTOS EN LA TARIFA SEGUN EL NIVEL DE SERVICIO QUE BRINDA EL TRANSPORTE URBANO EN BUSES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9525" cap="rnd" cmpd="sng">
              <a:solidFill>
                <a:srgbClr val="FFC00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'COSTOS T'!$H$15:$H$24</c:f>
              <c:strCache>
                <c:ptCount val="10"/>
                <c:pt idx="0">
                  <c:v>0 - 10</c:v>
                </c:pt>
                <c:pt idx="1">
                  <c:v>10 - 20</c:v>
                </c:pt>
                <c:pt idx="2">
                  <c:v>20 - 30</c:v>
                </c:pt>
                <c:pt idx="3">
                  <c:v>30 - 40</c:v>
                </c:pt>
                <c:pt idx="4">
                  <c:v>40 - 50</c:v>
                </c:pt>
                <c:pt idx="5">
                  <c:v>50 - 60</c:v>
                </c:pt>
                <c:pt idx="6">
                  <c:v>60 - 70</c:v>
                </c:pt>
                <c:pt idx="7">
                  <c:v>70 - 80</c:v>
                </c:pt>
                <c:pt idx="8">
                  <c:v>80 - 90</c:v>
                </c:pt>
                <c:pt idx="9">
                  <c:v>90 - 100</c:v>
                </c:pt>
              </c:strCache>
            </c:strRef>
          </c:cat>
          <c:val>
            <c:numRef>
              <c:f>'COSTOS T'!$I$15:$I$24</c:f>
              <c:numCache>
                <c:formatCode>0.000</c:formatCode>
                <c:ptCount val="10"/>
                <c:pt idx="0">
                  <c:v>0.14000000000000001</c:v>
                </c:pt>
                <c:pt idx="1">
                  <c:v>0.13500000000000001</c:v>
                </c:pt>
                <c:pt idx="2">
                  <c:v>0.12</c:v>
                </c:pt>
                <c:pt idx="3">
                  <c:v>0.1</c:v>
                </c:pt>
                <c:pt idx="4">
                  <c:v>0.08</c:v>
                </c:pt>
                <c:pt idx="5">
                  <c:v>0.06</c:v>
                </c:pt>
                <c:pt idx="6">
                  <c:v>0.04</c:v>
                </c:pt>
                <c:pt idx="7">
                  <c:v>2.5000000000000001E-2</c:v>
                </c:pt>
                <c:pt idx="8">
                  <c:v>0.01</c:v>
                </c:pt>
                <c:pt idx="9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51584"/>
        <c:axId val="153459432"/>
      </c:lineChart>
      <c:catAx>
        <c:axId val="15215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53459432"/>
        <c:crossesAt val="0"/>
        <c:auto val="1"/>
        <c:lblAlgn val="ctr"/>
        <c:lblOffset val="100"/>
        <c:noMultiLvlLbl val="1"/>
      </c:catAx>
      <c:valAx>
        <c:axId val="153459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5215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1" i="0" u="none" strike="noStrike" kern="1200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rPr>
              <a:t>SUBSIDIO QUE SERA ENTREGADA POR LA AUTORIDAD AL TRANSPORTE URBANO EN BUSES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'COSTOS T'!$N$14</c:f>
              <c:strCache>
                <c:ptCount val="1"/>
                <c:pt idx="0">
                  <c:v>SUBSIDIO AUTORIDAD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'COSTOS T'!$M$15:$M$24</c:f>
              <c:strCache>
                <c:ptCount val="10"/>
                <c:pt idx="0">
                  <c:v>0 - 10</c:v>
                </c:pt>
                <c:pt idx="1">
                  <c:v>10 - 20</c:v>
                </c:pt>
                <c:pt idx="2">
                  <c:v>20 - 30</c:v>
                </c:pt>
                <c:pt idx="3">
                  <c:v>30 - 40</c:v>
                </c:pt>
                <c:pt idx="4">
                  <c:v>40 - 50</c:v>
                </c:pt>
                <c:pt idx="5">
                  <c:v>50 - 60</c:v>
                </c:pt>
                <c:pt idx="6">
                  <c:v>60 - 70</c:v>
                </c:pt>
                <c:pt idx="7">
                  <c:v>70 - 80</c:v>
                </c:pt>
                <c:pt idx="8">
                  <c:v>80 - 90</c:v>
                </c:pt>
                <c:pt idx="9">
                  <c:v>90 - 100</c:v>
                </c:pt>
              </c:strCache>
            </c:strRef>
          </c:cat>
          <c:val>
            <c:numRef>
              <c:f>'COSTOS T'!$N$15:$N$24</c:f>
              <c:numCache>
                <c:formatCode>_-* #,##0.000\ _€_-;\-* #,##0.000\ _€_-;_-* "-"???\ _€_-;_-@_-</c:formatCode>
                <c:ptCount val="10"/>
                <c:pt idx="0">
                  <c:v>5.04E-2</c:v>
                </c:pt>
                <c:pt idx="1">
                  <c:v>4.8600000000000004E-2</c:v>
                </c:pt>
                <c:pt idx="2">
                  <c:v>4.3200000000000002E-2</c:v>
                </c:pt>
                <c:pt idx="3">
                  <c:v>3.6000000000000004E-2</c:v>
                </c:pt>
                <c:pt idx="4">
                  <c:v>2.8799999999999999E-2</c:v>
                </c:pt>
                <c:pt idx="5">
                  <c:v>2.1600000000000001E-2</c:v>
                </c:pt>
                <c:pt idx="6">
                  <c:v>1.44E-2</c:v>
                </c:pt>
                <c:pt idx="7">
                  <c:v>9.0000000000000011E-3</c:v>
                </c:pt>
                <c:pt idx="8">
                  <c:v>3.5999999999999999E-3</c:v>
                </c:pt>
                <c:pt idx="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15136"/>
        <c:axId val="153117568"/>
      </c:lineChart>
      <c:catAx>
        <c:axId val="153115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s-E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53117568"/>
        <c:crosses val="autoZero"/>
        <c:auto val="1"/>
        <c:lblAlgn val="ctr"/>
        <c:lblOffset val="100"/>
        <c:tickMarkSkip val="1"/>
        <c:noMultiLvlLbl val="0"/>
      </c:catAx>
      <c:valAx>
        <c:axId val="15311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0\ _€_-;\-* #,##0.000\ _€_-;_-* &quot;-&quot;???\ _€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s-ES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5311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242886</xdr:colOff>
      <xdr:row>5</xdr:row>
      <xdr:rowOff>138111</xdr:rowOff>
    </xdr:from>
    <xdr:ext cx="2747963" cy="3606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/>
            <xdr:cNvSpPr txBox="1"/>
          </xdr:nvSpPr>
          <xdr:spPr>
            <a:xfrm>
              <a:off x="1757361" y="2071686"/>
              <a:ext cx="2747963" cy="3606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panose="02040503050406030204" pitchFamily="18" charset="0"/>
                      </a:rPr>
                      <m:t>𝐶𝐾𝑎𝑛𝑢𝑎𝑙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𝑉𝑎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∗(1+</m:t>
                        </m:r>
                        <m:sSup>
                          <m:sSupPr>
                            <m:ctrlPr>
                              <a:rPr lang="es-ES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e>
                          <m:sup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sup>
                        </m:sSup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𝑉𝑠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(1+</m:t>
                        </m:r>
                        <m:sSup>
                          <m:sSupPr>
                            <m:ctrlP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𝑟</m:t>
                            </m:r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)</m:t>
                            </m:r>
                          </m:e>
                          <m:sup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</m:sup>
                        </m:sSup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2" name="CuadroTexto 1"/>
            <xdr:cNvSpPr txBox="1"/>
          </xdr:nvSpPr>
          <xdr:spPr>
            <a:xfrm>
              <a:off x="1757361" y="2071686"/>
              <a:ext cx="2747963" cy="3606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b="0" i="0">
                  <a:latin typeface="Cambria Math" panose="02040503050406030204" pitchFamily="18" charset="0"/>
                </a:rPr>
                <a:t>𝐶𝐾𝑎𝑛𝑢𝑎𝑙=(𝑉𝑎∗(1+〖𝑟)〗^(𝑛 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∗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𝑟−(𝑉𝑠∗𝑟))/(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(1+〖𝑟)〗^(𝑛 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−1)</a:t>
              </a:r>
              <a:endParaRPr lang="es-E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340550</xdr:colOff>
      <xdr:row>1</xdr:row>
      <xdr:rowOff>94265</xdr:rowOff>
    </xdr:from>
    <xdr:ext cx="977254" cy="358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/>
            <xdr:cNvSpPr txBox="1"/>
          </xdr:nvSpPr>
          <xdr:spPr>
            <a:xfrm>
              <a:off x="1864550" y="284765"/>
              <a:ext cx="977254" cy="358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𝑟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1+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</m:d>
                      </m:num>
                      <m:den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(1+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𝑓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  <m:r>
                      <a:rPr lang="es-ES" sz="1100" b="0" i="1">
                        <a:latin typeface="Cambria Math" panose="02040503050406030204" pitchFamily="18" charset="0"/>
                      </a:rPr>
                      <m:t>−1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1864550" y="284765"/>
              <a:ext cx="977254" cy="358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ES" sz="1100" i="0">
                  <a:latin typeface="Cambria Math" panose="02040503050406030204" pitchFamily="18" charset="0"/>
                </a:rPr>
                <a:t>𝑟=((</a:t>
              </a:r>
              <a:r>
                <a:rPr lang="es-ES" sz="1100" b="0" i="0">
                  <a:latin typeface="Cambria Math" panose="02040503050406030204" pitchFamily="18" charset="0"/>
                </a:rPr>
                <a:t>1+𝑘))/((1+𝑓))−1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219075</xdr:colOff>
      <xdr:row>38</xdr:row>
      <xdr:rowOff>123824</xdr:rowOff>
    </xdr:from>
    <xdr:ext cx="1600200" cy="358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/>
            <xdr:cNvSpPr txBox="1"/>
          </xdr:nvSpPr>
          <xdr:spPr>
            <a:xfrm>
              <a:off x="1743075" y="7496174"/>
              <a:ext cx="1600200" cy="358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𝑟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1+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</m:d>
                      </m:num>
                      <m:den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(1+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𝑓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  <m:r>
                      <a:rPr lang="es-ES" sz="1100" b="0" i="1">
                        <a:latin typeface="Cambria Math" panose="02040503050406030204" pitchFamily="18" charset="0"/>
                      </a:rPr>
                      <m:t>−1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4" name="CuadroTexto 3"/>
            <xdr:cNvSpPr txBox="1"/>
          </xdr:nvSpPr>
          <xdr:spPr>
            <a:xfrm>
              <a:off x="1743075" y="7496174"/>
              <a:ext cx="1600200" cy="358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ES" sz="1100" i="0">
                  <a:latin typeface="Cambria Math" panose="02040503050406030204" pitchFamily="18" charset="0"/>
                </a:rPr>
                <a:t>𝑟=((</a:t>
              </a:r>
              <a:r>
                <a:rPr lang="es-ES" sz="1100" b="0" i="0">
                  <a:latin typeface="Cambria Math" panose="02040503050406030204" pitchFamily="18" charset="0"/>
                </a:rPr>
                <a:t>1+𝑘))/((1+𝑓))−1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0</xdr:colOff>
      <xdr:row>43</xdr:row>
      <xdr:rowOff>0</xdr:rowOff>
    </xdr:from>
    <xdr:ext cx="1600200" cy="358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/>
            <xdr:cNvSpPr txBox="1"/>
          </xdr:nvSpPr>
          <xdr:spPr>
            <a:xfrm>
              <a:off x="1524000" y="8353425"/>
              <a:ext cx="1600200" cy="358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𝑟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1+0,0849</m:t>
                            </m:r>
                          </m:e>
                        </m:d>
                      </m:num>
                      <m:den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(1+0,0330)</m:t>
                        </m:r>
                      </m:den>
                    </m:f>
                    <m:r>
                      <a:rPr lang="es-ES" sz="1100" b="0" i="1">
                        <a:latin typeface="Cambria Math" panose="02040503050406030204" pitchFamily="18" charset="0"/>
                      </a:rPr>
                      <m:t>−1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1524000" y="8353425"/>
              <a:ext cx="1600200" cy="358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𝑟=((</a:t>
              </a:r>
              <a:r>
                <a:rPr lang="es-ES" sz="1100" b="0" i="0">
                  <a:latin typeface="Cambria Math" panose="02040503050406030204" pitchFamily="18" charset="0"/>
                </a:rPr>
                <a:t>1+0,0849))/((1+0,0330))−1</a:t>
              </a:r>
              <a:endParaRPr lang="es-E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555626</xdr:colOff>
      <xdr:row>25</xdr:row>
      <xdr:rowOff>39687</xdr:rowOff>
    </xdr:from>
    <xdr:to>
      <xdr:col>11</xdr:col>
      <xdr:colOff>228601</xdr:colOff>
      <xdr:row>39</xdr:row>
      <xdr:rowOff>152400</xdr:rowOff>
    </xdr:to>
    <xdr:graphicFrame macro="">
      <xdr:nvGraphicFramePr>
        <xdr:cNvPr id="2" name="Gráfico 1" title="% NIVEL DE SERVICI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571500</xdr:colOff>
      <xdr:row>40</xdr:row>
      <xdr:rowOff>0</xdr:rowOff>
    </xdr:from>
    <xdr:to>
      <xdr:col>11</xdr:col>
      <xdr:colOff>195262</xdr:colOff>
      <xdr:row>53</xdr:row>
      <xdr:rowOff>166687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zoomScaleNormal="100" workbookViewId="0">
      <selection activeCell="I13" sqref="I13"/>
    </sheetView>
  </sheetViews>
  <sheetFormatPr baseColWidth="10" defaultRowHeight="12.75" x14ac:dyDescent="0.2"/>
  <cols>
    <col min="1" max="1" width="11.42578125" style="9"/>
    <col min="2" max="2" width="6.85546875" style="9" customWidth="1"/>
    <col min="3" max="3" width="23.85546875" style="9" customWidth="1"/>
    <col min="4" max="4" width="15.7109375" style="9" customWidth="1"/>
    <col min="5" max="5" width="11.42578125" style="9"/>
    <col min="6" max="6" width="18.5703125" style="9" customWidth="1"/>
    <col min="7" max="7" width="15.5703125" style="9" customWidth="1"/>
    <col min="8" max="8" width="12.7109375" style="9" bestFit="1" customWidth="1"/>
    <col min="9" max="9" width="11.42578125" style="9"/>
    <col min="10" max="10" width="12.5703125" style="9" bestFit="1" customWidth="1"/>
    <col min="11" max="11" width="17.140625" style="10" bestFit="1" customWidth="1"/>
    <col min="12" max="12" width="24.140625" style="9" bestFit="1" customWidth="1"/>
    <col min="13" max="16384" width="11.42578125" style="9"/>
  </cols>
  <sheetData>
    <row r="1" spans="2:12" ht="13.5" thickBot="1" x14ac:dyDescent="0.25"/>
    <row r="2" spans="2:12" ht="20.25" thickBot="1" x14ac:dyDescent="0.35">
      <c r="B2" s="298" t="s">
        <v>55</v>
      </c>
      <c r="C2" s="299"/>
      <c r="D2" s="299"/>
      <c r="E2" s="299"/>
      <c r="F2" s="299"/>
      <c r="G2" s="299"/>
      <c r="H2" s="300"/>
    </row>
    <row r="3" spans="2:12" ht="13.5" thickBot="1" x14ac:dyDescent="0.25">
      <c r="B3" s="301"/>
      <c r="C3" s="302"/>
      <c r="D3" s="302"/>
      <c r="E3" s="302"/>
      <c r="F3" s="302"/>
      <c r="G3" s="302"/>
      <c r="H3" s="302"/>
    </row>
    <row r="4" spans="2:12" ht="20.25" customHeight="1" x14ac:dyDescent="0.2">
      <c r="B4" s="303"/>
      <c r="C4" s="304"/>
      <c r="D4" s="304"/>
      <c r="E4" s="304"/>
      <c r="F4" s="304"/>
      <c r="G4" s="304"/>
      <c r="H4" s="305"/>
    </row>
    <row r="5" spans="2:12" ht="20.25" customHeight="1" thickBot="1" x14ac:dyDescent="0.25">
      <c r="B5" s="306"/>
      <c r="C5" s="307"/>
      <c r="D5" s="307"/>
      <c r="E5" s="307"/>
      <c r="F5" s="307"/>
      <c r="G5" s="307"/>
      <c r="H5" s="308"/>
    </row>
    <row r="6" spans="2:12" ht="13.5" thickBot="1" x14ac:dyDescent="0.25">
      <c r="B6" s="309"/>
      <c r="C6" s="309"/>
      <c r="D6" s="309"/>
      <c r="E6" s="309"/>
      <c r="F6" s="309"/>
      <c r="G6" s="309"/>
      <c r="H6" s="309"/>
    </row>
    <row r="7" spans="2:12" ht="16.5" thickBot="1" x14ac:dyDescent="0.3">
      <c r="B7" s="314" t="s">
        <v>54</v>
      </c>
      <c r="C7" s="315"/>
      <c r="D7" s="316"/>
    </row>
    <row r="8" spans="2:12" x14ac:dyDescent="0.2">
      <c r="J8" s="214" t="s">
        <v>0</v>
      </c>
      <c r="K8" s="214" t="s">
        <v>1</v>
      </c>
      <c r="L8" s="214" t="s">
        <v>2</v>
      </c>
    </row>
    <row r="9" spans="2:12" ht="13.5" thickBot="1" x14ac:dyDescent="0.25">
      <c r="J9" s="215">
        <v>1</v>
      </c>
      <c r="K9" s="216" t="s">
        <v>49</v>
      </c>
      <c r="L9" s="215" t="s">
        <v>48</v>
      </c>
    </row>
    <row r="10" spans="2:12" x14ac:dyDescent="0.2">
      <c r="B10" s="317" t="s">
        <v>53</v>
      </c>
      <c r="C10" s="318"/>
      <c r="D10" s="318"/>
      <c r="E10" s="318"/>
      <c r="F10" s="318"/>
      <c r="G10" s="318"/>
      <c r="H10" s="319"/>
      <c r="J10" s="215">
        <v>2</v>
      </c>
      <c r="K10" s="216" t="s">
        <v>144</v>
      </c>
      <c r="L10" s="215" t="s">
        <v>48</v>
      </c>
    </row>
    <row r="11" spans="2:12" x14ac:dyDescent="0.2">
      <c r="B11" s="41" t="s">
        <v>0</v>
      </c>
      <c r="C11" s="13" t="s">
        <v>1</v>
      </c>
      <c r="D11" s="13" t="s">
        <v>26</v>
      </c>
      <c r="E11" s="13" t="s">
        <v>2</v>
      </c>
      <c r="F11" s="13" t="s">
        <v>52</v>
      </c>
      <c r="G11" s="13" t="s">
        <v>51</v>
      </c>
      <c r="H11" s="40" t="s">
        <v>50</v>
      </c>
      <c r="J11" s="215">
        <v>3</v>
      </c>
      <c r="K11" s="216" t="s">
        <v>145</v>
      </c>
      <c r="L11" s="215" t="s">
        <v>48</v>
      </c>
    </row>
    <row r="12" spans="2:12" x14ac:dyDescent="0.2">
      <c r="B12" s="23">
        <v>1</v>
      </c>
      <c r="C12" s="12" t="s">
        <v>340</v>
      </c>
      <c r="D12" s="20">
        <v>1</v>
      </c>
      <c r="E12" s="20" t="s">
        <v>48</v>
      </c>
      <c r="F12" s="20">
        <f>'COSTOS T'!D27</f>
        <v>62514.719999999994</v>
      </c>
      <c r="G12" s="20">
        <v>0</v>
      </c>
      <c r="H12" s="169">
        <f>+G12*D12/F12</f>
        <v>0</v>
      </c>
      <c r="J12" s="215">
        <v>4</v>
      </c>
      <c r="K12" s="216" t="s">
        <v>146</v>
      </c>
      <c r="L12" s="215" t="s">
        <v>48</v>
      </c>
    </row>
    <row r="13" spans="2:12" x14ac:dyDescent="0.2">
      <c r="B13" s="23">
        <v>2</v>
      </c>
      <c r="C13" s="12" t="s">
        <v>144</v>
      </c>
      <c r="D13" s="20">
        <v>1</v>
      </c>
      <c r="E13" s="20" t="s">
        <v>48</v>
      </c>
      <c r="F13" s="20">
        <f>'COSTOS T'!D27</f>
        <v>62514.719999999994</v>
      </c>
      <c r="G13" s="20">
        <v>390.03</v>
      </c>
      <c r="H13" s="169">
        <f>+G13*D13/F13</f>
        <v>6.2390105882262608E-3</v>
      </c>
      <c r="J13" s="215">
        <v>5</v>
      </c>
      <c r="K13" s="217" t="s">
        <v>47</v>
      </c>
      <c r="L13" s="215" t="s">
        <v>46</v>
      </c>
    </row>
    <row r="14" spans="2:12" x14ac:dyDescent="0.2">
      <c r="B14" s="23">
        <v>3</v>
      </c>
      <c r="C14" s="12" t="s">
        <v>339</v>
      </c>
      <c r="D14" s="20">
        <v>1</v>
      </c>
      <c r="E14" s="20" t="s">
        <v>48</v>
      </c>
      <c r="F14" s="20">
        <f>'COSTOS T'!D27</f>
        <v>62514.719999999994</v>
      </c>
      <c r="G14" s="20">
        <v>25</v>
      </c>
      <c r="H14" s="169">
        <f>+G14*D14/F14</f>
        <v>3.9990581418264376E-4</v>
      </c>
    </row>
    <row r="15" spans="2:12" x14ac:dyDescent="0.2">
      <c r="B15" s="23">
        <v>4</v>
      </c>
      <c r="C15" s="12" t="s">
        <v>338</v>
      </c>
      <c r="D15" s="20">
        <v>1</v>
      </c>
      <c r="E15" s="20" t="s">
        <v>48</v>
      </c>
      <c r="F15" s="20">
        <f>'COSTOS T'!D27</f>
        <v>62514.719999999994</v>
      </c>
      <c r="G15" s="20">
        <v>20</v>
      </c>
      <c r="H15" s="169">
        <f>+G15*D15/F15</f>
        <v>3.1992465134611498E-4</v>
      </c>
    </row>
    <row r="16" spans="2:12" ht="13.5" thickBot="1" x14ac:dyDescent="0.25">
      <c r="B16" s="18">
        <v>5</v>
      </c>
      <c r="C16" s="48" t="s">
        <v>47</v>
      </c>
      <c r="D16" s="17">
        <v>1</v>
      </c>
      <c r="E16" s="17" t="s">
        <v>46</v>
      </c>
      <c r="F16" s="17">
        <f>'COSTOS T'!D27</f>
        <v>62514.719999999994</v>
      </c>
      <c r="G16" s="17">
        <f>G46</f>
        <v>15318.04153419355</v>
      </c>
      <c r="H16" s="253">
        <f>+G16*D16/F16</f>
        <v>0.245030954856609</v>
      </c>
      <c r="K16" s="9"/>
    </row>
    <row r="17" spans="2:12" ht="13.5" thickBot="1" x14ac:dyDescent="0.25">
      <c r="B17" s="38"/>
      <c r="C17" s="39"/>
      <c r="D17" s="38"/>
      <c r="E17" s="38"/>
      <c r="F17" s="38"/>
      <c r="G17" s="251" t="s">
        <v>4</v>
      </c>
      <c r="H17" s="252">
        <f>SUM(H12:H16)</f>
        <v>0.25198979591036402</v>
      </c>
    </row>
    <row r="20" spans="2:12" ht="18" customHeight="1" x14ac:dyDescent="0.25">
      <c r="B20" s="320" t="s">
        <v>45</v>
      </c>
      <c r="C20" s="320"/>
      <c r="D20" s="321"/>
      <c r="E20" s="321"/>
      <c r="F20" s="321"/>
      <c r="G20" s="321"/>
      <c r="H20" s="321"/>
    </row>
    <row r="21" spans="2:12" ht="18" customHeight="1" x14ac:dyDescent="0.2">
      <c r="D21" s="321"/>
      <c r="E21" s="321"/>
      <c r="F21" s="321"/>
      <c r="G21" s="321"/>
      <c r="H21" s="321"/>
    </row>
    <row r="23" spans="2:12" ht="13.5" thickBot="1" x14ac:dyDescent="0.25"/>
    <row r="24" spans="2:12" ht="15.75" customHeight="1" thickBot="1" x14ac:dyDescent="0.25">
      <c r="B24" s="249" t="s">
        <v>44</v>
      </c>
      <c r="C24" s="322" t="s">
        <v>44</v>
      </c>
      <c r="D24" s="323"/>
      <c r="E24" s="323"/>
      <c r="F24" s="323"/>
      <c r="G24" s="323"/>
      <c r="H24" s="323"/>
      <c r="I24" s="323"/>
      <c r="J24" s="323"/>
      <c r="K24" s="323"/>
      <c r="L24" s="324"/>
    </row>
    <row r="25" spans="2:12" ht="22.5" customHeight="1" x14ac:dyDescent="0.2">
      <c r="B25" s="296" t="s">
        <v>43</v>
      </c>
      <c r="C25" s="294" t="s">
        <v>42</v>
      </c>
      <c r="D25" s="294" t="s">
        <v>41</v>
      </c>
      <c r="E25" s="292" t="s">
        <v>40</v>
      </c>
      <c r="F25" s="294" t="s">
        <v>39</v>
      </c>
      <c r="G25" s="290" t="s">
        <v>38</v>
      </c>
      <c r="H25" s="290" t="s">
        <v>37</v>
      </c>
      <c r="I25" s="290" t="s">
        <v>36</v>
      </c>
      <c r="J25" s="290" t="s">
        <v>35</v>
      </c>
      <c r="K25" s="312" t="s">
        <v>34</v>
      </c>
      <c r="L25" s="310" t="s">
        <v>33</v>
      </c>
    </row>
    <row r="26" spans="2:12" ht="12.75" customHeight="1" x14ac:dyDescent="0.2">
      <c r="B26" s="297"/>
      <c r="C26" s="295"/>
      <c r="D26" s="295"/>
      <c r="E26" s="293"/>
      <c r="F26" s="295"/>
      <c r="G26" s="291"/>
      <c r="H26" s="291"/>
      <c r="I26" s="291"/>
      <c r="J26" s="291"/>
      <c r="K26" s="313"/>
      <c r="L26" s="311"/>
    </row>
    <row r="27" spans="2:12" ht="15" x14ac:dyDescent="0.25">
      <c r="B27" s="37">
        <v>4</v>
      </c>
      <c r="C27" s="36" t="s">
        <v>32</v>
      </c>
      <c r="D27" s="36" t="s">
        <v>31</v>
      </c>
      <c r="E27" s="36">
        <v>1</v>
      </c>
      <c r="F27" s="254">
        <v>379.47</v>
      </c>
      <c r="G27" s="20">
        <f>F27*11.15/100</f>
        <v>42.310905000000005</v>
      </c>
      <c r="H27" s="35">
        <f>F27/12</f>
        <v>31.622500000000002</v>
      </c>
      <c r="I27" s="20">
        <f>366/12</f>
        <v>30.5</v>
      </c>
      <c r="J27" s="20">
        <f>F27/12</f>
        <v>31.622500000000002</v>
      </c>
      <c r="K27" s="255">
        <f>F27+G27+H27+I27+J27</f>
        <v>515.52590499999997</v>
      </c>
      <c r="L27" s="19">
        <f>K27*E27</f>
        <v>515.52590499999997</v>
      </c>
    </row>
    <row r="28" spans="2:12" ht="15" x14ac:dyDescent="0.25">
      <c r="B28" s="37">
        <v>12</v>
      </c>
      <c r="C28" s="36" t="s">
        <v>147</v>
      </c>
      <c r="D28" s="36" t="s">
        <v>28</v>
      </c>
      <c r="E28" s="36">
        <v>31</v>
      </c>
      <c r="F28" s="254">
        <v>366</v>
      </c>
      <c r="G28" s="20">
        <f>F28*11.15/100</f>
        <v>40.808999999999997</v>
      </c>
      <c r="H28" s="35">
        <f>F28/12</f>
        <v>30.5</v>
      </c>
      <c r="I28" s="20">
        <f>366/12</f>
        <v>30.5</v>
      </c>
      <c r="J28" s="20">
        <f>F28/12</f>
        <v>30.5</v>
      </c>
      <c r="K28" s="255">
        <f>F28+G28+H28+I28+J28</f>
        <v>498.30899999999997</v>
      </c>
      <c r="L28" s="19">
        <f>K28*E28</f>
        <v>15447.579</v>
      </c>
    </row>
    <row r="29" spans="2:12" ht="15" x14ac:dyDescent="0.25">
      <c r="B29" s="37">
        <v>13</v>
      </c>
      <c r="C29" s="36" t="s">
        <v>30</v>
      </c>
      <c r="D29" s="36" t="s">
        <v>28</v>
      </c>
      <c r="E29" s="36">
        <v>31</v>
      </c>
      <c r="F29" s="254">
        <v>557.5</v>
      </c>
      <c r="G29" s="20">
        <f>F29*11.15/100</f>
        <v>62.161250000000003</v>
      </c>
      <c r="H29" s="35">
        <f>F29/12</f>
        <v>46.458333333333336</v>
      </c>
      <c r="I29" s="20">
        <f>366/12</f>
        <v>30.5</v>
      </c>
      <c r="J29" s="20">
        <f>F29/12</f>
        <v>46.458333333333336</v>
      </c>
      <c r="K29" s="255">
        <f>F29+G29+H29+I29+J29</f>
        <v>743.07791666666674</v>
      </c>
      <c r="L29" s="19">
        <f>K29*E29</f>
        <v>23035.41541666667</v>
      </c>
    </row>
    <row r="30" spans="2:12" ht="15" x14ac:dyDescent="0.25">
      <c r="B30" s="37">
        <v>14</v>
      </c>
      <c r="C30" s="36" t="s">
        <v>29</v>
      </c>
      <c r="D30" s="36" t="s">
        <v>28</v>
      </c>
      <c r="E30" s="36">
        <v>1</v>
      </c>
      <c r="F30" s="254">
        <v>373.65</v>
      </c>
      <c r="G30" s="20">
        <f>F30*11.15/100</f>
        <v>41.661975000000005</v>
      </c>
      <c r="H30" s="35">
        <f>F30/12</f>
        <v>31.137499999999999</v>
      </c>
      <c r="I30" s="20">
        <f>366/12</f>
        <v>30.5</v>
      </c>
      <c r="J30" s="20">
        <f>F30/12</f>
        <v>31.137499999999999</v>
      </c>
      <c r="K30" s="255">
        <f>F30+G30+H30+I30+J30</f>
        <v>508.08697499999994</v>
      </c>
      <c r="L30" s="19">
        <f>K30*E30</f>
        <v>508.08697499999994</v>
      </c>
    </row>
    <row r="31" spans="2:12" ht="15.75" thickBot="1" x14ac:dyDescent="0.3">
      <c r="B31" s="34"/>
      <c r="C31" s="33"/>
      <c r="D31" s="33"/>
      <c r="E31" s="33"/>
      <c r="F31" s="32"/>
      <c r="G31" s="32"/>
      <c r="H31" s="32"/>
      <c r="I31" s="32"/>
      <c r="J31" s="32"/>
      <c r="K31" s="99" t="s">
        <v>4</v>
      </c>
      <c r="L31" s="100">
        <f>SUM(L27:L30)</f>
        <v>39506.607296666669</v>
      </c>
    </row>
    <row r="32" spans="2:12" ht="15.75" thickBot="1" x14ac:dyDescent="0.3">
      <c r="B32" s="30"/>
      <c r="C32" s="31"/>
      <c r="D32" s="31"/>
      <c r="E32" s="30"/>
      <c r="F32" s="29"/>
      <c r="K32" s="102" t="s">
        <v>150</v>
      </c>
      <c r="L32" s="88">
        <f>+L31/31</f>
        <v>1274.4066869892474</v>
      </c>
    </row>
    <row r="33" spans="2:11" ht="15" x14ac:dyDescent="0.25">
      <c r="B33" s="30"/>
      <c r="C33" s="31"/>
      <c r="D33" s="31"/>
      <c r="E33" s="30"/>
      <c r="F33" s="29"/>
    </row>
    <row r="34" spans="2:11" ht="15" x14ac:dyDescent="0.25">
      <c r="B34" s="98" t="s">
        <v>148</v>
      </c>
      <c r="C34" s="31" t="s">
        <v>149</v>
      </c>
      <c r="D34" s="31"/>
      <c r="E34" s="30"/>
      <c r="F34" s="29"/>
    </row>
    <row r="37" spans="2:11" ht="13.5" thickBot="1" x14ac:dyDescent="0.25"/>
    <row r="38" spans="2:11" ht="13.5" thickBot="1" x14ac:dyDescent="0.25">
      <c r="B38" s="287" t="s">
        <v>27</v>
      </c>
      <c r="C38" s="288"/>
      <c r="D38" s="288"/>
      <c r="E38" s="288"/>
      <c r="F38" s="288"/>
      <c r="G38" s="289"/>
      <c r="H38" s="28"/>
    </row>
    <row r="39" spans="2:11" x14ac:dyDescent="0.2">
      <c r="B39" s="27" t="s">
        <v>0</v>
      </c>
      <c r="C39" s="26" t="s">
        <v>1</v>
      </c>
      <c r="D39" s="26" t="s">
        <v>26</v>
      </c>
      <c r="E39" s="26" t="s">
        <v>2</v>
      </c>
      <c r="F39" s="26" t="s">
        <v>25</v>
      </c>
      <c r="G39" s="25" t="s">
        <v>24</v>
      </c>
      <c r="H39" s="24"/>
    </row>
    <row r="40" spans="2:11" x14ac:dyDescent="0.2">
      <c r="B40" s="23">
        <v>1</v>
      </c>
      <c r="C40" s="22" t="s">
        <v>23</v>
      </c>
      <c r="D40" s="20">
        <v>1</v>
      </c>
      <c r="E40" s="21" t="s">
        <v>3</v>
      </c>
      <c r="F40" s="20">
        <v>0.25806451612903225</v>
      </c>
      <c r="G40" s="19">
        <f>F40*12</f>
        <v>3.096774193548387</v>
      </c>
      <c r="H40" s="15"/>
    </row>
    <row r="41" spans="2:11" x14ac:dyDescent="0.2">
      <c r="B41" s="23">
        <v>2</v>
      </c>
      <c r="C41" s="22" t="s">
        <v>22</v>
      </c>
      <c r="D41" s="20">
        <v>1</v>
      </c>
      <c r="E41" s="21" t="s">
        <v>3</v>
      </c>
      <c r="F41" s="20">
        <v>0.32258064516129031</v>
      </c>
      <c r="G41" s="19">
        <f>F41*12</f>
        <v>3.870967741935484</v>
      </c>
      <c r="H41" s="15"/>
    </row>
    <row r="42" spans="2:11" x14ac:dyDescent="0.2">
      <c r="B42" s="23">
        <v>3</v>
      </c>
      <c r="C42" s="22" t="s">
        <v>21</v>
      </c>
      <c r="D42" s="20">
        <v>1</v>
      </c>
      <c r="E42" s="21" t="s">
        <v>3</v>
      </c>
      <c r="F42" s="20">
        <v>0.4838709677419355</v>
      </c>
      <c r="G42" s="19">
        <f>F42*12</f>
        <v>5.806451612903226</v>
      </c>
      <c r="H42" s="15"/>
    </row>
    <row r="43" spans="2:11" x14ac:dyDescent="0.2">
      <c r="B43" s="23">
        <v>4</v>
      </c>
      <c r="C43" s="22" t="s">
        <v>20</v>
      </c>
      <c r="D43" s="20">
        <v>1</v>
      </c>
      <c r="E43" s="21" t="s">
        <v>3</v>
      </c>
      <c r="F43" s="20">
        <v>0.64516129032258063</v>
      </c>
      <c r="G43" s="19">
        <f>F43*12</f>
        <v>7.741935483870968</v>
      </c>
      <c r="H43" s="15"/>
    </row>
    <row r="44" spans="2:11" x14ac:dyDescent="0.2">
      <c r="B44" s="23">
        <v>5</v>
      </c>
      <c r="C44" s="22" t="s">
        <v>18</v>
      </c>
      <c r="D44" s="20">
        <v>1</v>
      </c>
      <c r="E44" s="21" t="s">
        <v>3</v>
      </c>
      <c r="F44" s="20">
        <v>0.38709677419354838</v>
      </c>
      <c r="G44" s="19">
        <f>F44*12</f>
        <v>4.6451612903225801</v>
      </c>
      <c r="H44" s="15"/>
    </row>
    <row r="45" spans="2:11" ht="13.5" thickBot="1" x14ac:dyDescent="0.25">
      <c r="B45" s="18">
        <v>6</v>
      </c>
      <c r="C45" s="11" t="s">
        <v>17</v>
      </c>
      <c r="D45" s="17">
        <v>1</v>
      </c>
      <c r="E45" s="17" t="s">
        <v>3</v>
      </c>
      <c r="F45" s="17">
        <f>L32</f>
        <v>1274.4066869892474</v>
      </c>
      <c r="G45" s="16">
        <f>F45*12*D45</f>
        <v>15292.880243870968</v>
      </c>
      <c r="H45" s="15"/>
    </row>
    <row r="46" spans="2:11" ht="13.5" thickBot="1" x14ac:dyDescent="0.25">
      <c r="F46" s="14" t="s">
        <v>4</v>
      </c>
      <c r="G46" s="248">
        <f>SUM(G40:G45)</f>
        <v>15318.04153419355</v>
      </c>
      <c r="K46" s="9"/>
    </row>
  </sheetData>
  <mergeCells count="21">
    <mergeCell ref="B2:H2"/>
    <mergeCell ref="B3:H3"/>
    <mergeCell ref="B4:H5"/>
    <mergeCell ref="B6:H6"/>
    <mergeCell ref="L25:L26"/>
    <mergeCell ref="J25:J26"/>
    <mergeCell ref="K25:K26"/>
    <mergeCell ref="B7:D7"/>
    <mergeCell ref="B10:H10"/>
    <mergeCell ref="B20:C20"/>
    <mergeCell ref="D20:H21"/>
    <mergeCell ref="C24:L24"/>
    <mergeCell ref="B38:G38"/>
    <mergeCell ref="H25:H26"/>
    <mergeCell ref="E25:E26"/>
    <mergeCell ref="F25:F26"/>
    <mergeCell ref="I25:I26"/>
    <mergeCell ref="B25:B26"/>
    <mergeCell ref="C25:C26"/>
    <mergeCell ref="D25:D26"/>
    <mergeCell ref="G25:G26"/>
  </mergeCells>
  <pageMargins left="0.75" right="0.75" top="1" bottom="1" header="0" footer="0"/>
  <pageSetup paperSize="9" scale="4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37"/>
  <sheetViews>
    <sheetView zoomScaleNormal="100" workbookViewId="0">
      <selection activeCell="B4" sqref="B4:I4"/>
    </sheetView>
  </sheetViews>
  <sheetFormatPr baseColWidth="10" defaultRowHeight="12.75" x14ac:dyDescent="0.2"/>
  <cols>
    <col min="1" max="1" width="11.42578125" style="9"/>
    <col min="2" max="2" width="11.28515625" style="9" customWidth="1"/>
    <col min="3" max="3" width="35.7109375" style="9" bestFit="1" customWidth="1"/>
    <col min="4" max="4" width="13.42578125" style="9" customWidth="1"/>
    <col min="5" max="5" width="7.42578125" style="9" customWidth="1"/>
    <col min="6" max="6" width="18.42578125" style="9" bestFit="1" customWidth="1"/>
    <col min="7" max="7" width="12.7109375" style="9" bestFit="1" customWidth="1"/>
    <col min="8" max="8" width="12.85546875" style="9" bestFit="1" customWidth="1"/>
    <col min="9" max="9" width="21.28515625" style="9" bestFit="1" customWidth="1"/>
    <col min="10" max="10" width="14.42578125" style="9" bestFit="1" customWidth="1"/>
    <col min="11" max="16384" width="11.42578125" style="9"/>
  </cols>
  <sheetData>
    <row r="1" spans="2:9" ht="13.5" thickBot="1" x14ac:dyDescent="0.25"/>
    <row r="2" spans="2:9" ht="20.25" thickBot="1" x14ac:dyDescent="0.35">
      <c r="B2" s="298" t="s">
        <v>60</v>
      </c>
      <c r="C2" s="299"/>
      <c r="D2" s="299"/>
      <c r="E2" s="299"/>
      <c r="F2" s="299"/>
      <c r="G2" s="299"/>
      <c r="H2" s="299"/>
      <c r="I2" s="300"/>
    </row>
    <row r="3" spans="2:9" ht="10.5" customHeight="1" thickBot="1" x14ac:dyDescent="0.35">
      <c r="B3" s="94"/>
      <c r="C3" s="15"/>
      <c r="D3" s="15"/>
      <c r="E3" s="15"/>
      <c r="F3" s="15"/>
      <c r="G3" s="15"/>
      <c r="H3" s="15"/>
    </row>
    <row r="4" spans="2:9" ht="16.5" customHeight="1" thickBot="1" x14ac:dyDescent="0.25">
      <c r="B4" s="330"/>
      <c r="C4" s="331"/>
      <c r="D4" s="331"/>
      <c r="E4" s="331"/>
      <c r="F4" s="331"/>
      <c r="G4" s="331"/>
      <c r="H4" s="331"/>
      <c r="I4" s="332"/>
    </row>
    <row r="5" spans="2:9" x14ac:dyDescent="0.2">
      <c r="B5" s="15"/>
      <c r="C5" s="15"/>
      <c r="D5" s="15"/>
      <c r="E5" s="15"/>
      <c r="F5" s="15"/>
      <c r="G5" s="15"/>
      <c r="H5" s="15"/>
    </row>
    <row r="6" spans="2:9" x14ac:dyDescent="0.2">
      <c r="C6" s="44"/>
    </row>
    <row r="7" spans="2:9" x14ac:dyDescent="0.2">
      <c r="C7" s="44"/>
    </row>
    <row r="8" spans="2:9" x14ac:dyDescent="0.2">
      <c r="C8" s="44"/>
    </row>
    <row r="9" spans="2:9" x14ac:dyDescent="0.2">
      <c r="C9" s="44"/>
    </row>
    <row r="10" spans="2:9" x14ac:dyDescent="0.2">
      <c r="B10" s="9" t="s">
        <v>155</v>
      </c>
      <c r="C10" s="103" t="s">
        <v>156</v>
      </c>
    </row>
    <row r="11" spans="2:9" x14ac:dyDescent="0.2">
      <c r="B11" s="9" t="s">
        <v>151</v>
      </c>
      <c r="C11" s="103" t="s">
        <v>157</v>
      </c>
    </row>
    <row r="12" spans="2:9" x14ac:dyDescent="0.2">
      <c r="B12" s="9" t="s">
        <v>152</v>
      </c>
      <c r="C12" s="103" t="s">
        <v>159</v>
      </c>
    </row>
    <row r="13" spans="2:9" x14ac:dyDescent="0.2">
      <c r="B13" s="9" t="s">
        <v>153</v>
      </c>
      <c r="C13" s="103" t="s">
        <v>158</v>
      </c>
    </row>
    <row r="14" spans="2:9" x14ac:dyDescent="0.2">
      <c r="B14" s="9" t="s">
        <v>154</v>
      </c>
      <c r="C14" s="103" t="s">
        <v>160</v>
      </c>
    </row>
    <row r="15" spans="2:9" ht="13.5" thickBot="1" x14ac:dyDescent="0.25">
      <c r="C15" s="44"/>
    </row>
    <row r="16" spans="2:9" ht="20.25" thickBot="1" x14ac:dyDescent="0.35">
      <c r="B16" s="336" t="s">
        <v>59</v>
      </c>
      <c r="C16" s="337"/>
      <c r="D16" s="95"/>
      <c r="E16" s="96"/>
      <c r="F16" s="96"/>
      <c r="G16" s="96"/>
      <c r="H16" s="96"/>
      <c r="I16" s="96"/>
    </row>
    <row r="17" spans="2:10" ht="13.5" thickBot="1" x14ac:dyDescent="0.25">
      <c r="B17" s="46"/>
      <c r="C17" s="46"/>
      <c r="D17" s="97"/>
      <c r="E17" s="89"/>
      <c r="F17" s="89"/>
      <c r="G17" s="89"/>
      <c r="H17" s="89"/>
      <c r="I17" s="89"/>
    </row>
    <row r="18" spans="2:10" ht="16.5" thickBot="1" x14ac:dyDescent="0.3">
      <c r="B18" s="333" t="s">
        <v>54</v>
      </c>
      <c r="C18" s="334"/>
      <c r="D18" s="335"/>
      <c r="E18" s="15"/>
      <c r="F18" s="15"/>
      <c r="G18" s="15"/>
      <c r="H18" s="15"/>
    </row>
    <row r="19" spans="2:10" ht="15.75" x14ac:dyDescent="0.25">
      <c r="B19" s="55"/>
      <c r="C19" s="49"/>
      <c r="D19" s="50"/>
      <c r="E19" s="54"/>
      <c r="F19" s="53"/>
      <c r="G19" s="15"/>
      <c r="H19" s="15"/>
    </row>
    <row r="20" spans="2:10" ht="15.75" x14ac:dyDescent="0.25">
      <c r="B20" s="90" t="s">
        <v>58</v>
      </c>
      <c r="C20" s="49"/>
      <c r="D20" s="50"/>
      <c r="E20" s="54"/>
      <c r="F20" s="53"/>
      <c r="G20" s="15"/>
      <c r="H20" s="15"/>
    </row>
    <row r="21" spans="2:10" ht="13.5" thickBot="1" x14ac:dyDescent="0.25">
      <c r="B21" s="46"/>
      <c r="C21" s="46"/>
    </row>
    <row r="22" spans="2:10" ht="15.75" customHeight="1" thickBot="1" x14ac:dyDescent="0.25">
      <c r="B22" s="287" t="s">
        <v>54</v>
      </c>
      <c r="C22" s="288"/>
      <c r="D22" s="288"/>
      <c r="E22" s="288"/>
      <c r="F22" s="288"/>
      <c r="G22" s="288"/>
      <c r="H22" s="288"/>
      <c r="I22" s="289"/>
    </row>
    <row r="23" spans="2:10" x14ac:dyDescent="0.2">
      <c r="B23" s="27" t="s">
        <v>0</v>
      </c>
      <c r="C23" s="26" t="s">
        <v>1</v>
      </c>
      <c r="D23" s="26" t="s">
        <v>26</v>
      </c>
      <c r="E23" s="26" t="s">
        <v>2</v>
      </c>
      <c r="F23" s="26" t="s">
        <v>57</v>
      </c>
      <c r="G23" s="26" t="s">
        <v>162</v>
      </c>
      <c r="H23" s="26" t="s">
        <v>56</v>
      </c>
      <c r="I23" s="25" t="s">
        <v>161</v>
      </c>
    </row>
    <row r="24" spans="2:10" ht="13.5" thickBot="1" x14ac:dyDescent="0.25">
      <c r="B24" s="45">
        <v>1</v>
      </c>
      <c r="C24" s="11" t="s">
        <v>341</v>
      </c>
      <c r="D24" s="17">
        <v>1</v>
      </c>
      <c r="E24" s="17" t="s">
        <v>48</v>
      </c>
      <c r="F24" s="17">
        <v>120000</v>
      </c>
      <c r="G24" s="126">
        <v>5.0200000000000002E-2</v>
      </c>
      <c r="H24" s="17">
        <v>20</v>
      </c>
      <c r="I24" s="16">
        <f>0.1*F24</f>
        <v>12000</v>
      </c>
    </row>
    <row r="25" spans="2:10" x14ac:dyDescent="0.2">
      <c r="B25" s="38"/>
      <c r="C25" s="15"/>
      <c r="D25" s="38"/>
      <c r="E25" s="38"/>
      <c r="F25" s="47"/>
      <c r="G25" s="47"/>
      <c r="H25" s="52"/>
      <c r="I25" s="51"/>
    </row>
    <row r="26" spans="2:10" ht="13.5" thickBot="1" x14ac:dyDescent="0.25"/>
    <row r="27" spans="2:10" ht="13.5" thickBot="1" x14ac:dyDescent="0.25">
      <c r="B27" s="104" t="s">
        <v>155</v>
      </c>
      <c r="C27" s="101">
        <f>+(F24*((1+G24)^20)*G24-(I24*G24))/(((1+G24)^20)-1)</f>
        <v>9283.3016548733267</v>
      </c>
    </row>
    <row r="28" spans="2:10" x14ac:dyDescent="0.2">
      <c r="J28" s="46"/>
    </row>
    <row r="29" spans="2:10" x14ac:dyDescent="0.2">
      <c r="B29" s="46"/>
      <c r="C29" s="46"/>
    </row>
    <row r="30" spans="2:10" x14ac:dyDescent="0.2">
      <c r="B30" s="15"/>
      <c r="C30" s="42"/>
      <c r="D30" s="15"/>
      <c r="E30" s="15"/>
      <c r="F30" s="15"/>
      <c r="G30" s="15"/>
      <c r="H30" s="38"/>
      <c r="I30" s="38"/>
    </row>
    <row r="31" spans="2:10" ht="16.5" thickBot="1" x14ac:dyDescent="0.3">
      <c r="B31" s="43"/>
      <c r="C31" s="43"/>
      <c r="D31" s="43"/>
      <c r="E31" s="15"/>
      <c r="F31" s="15"/>
      <c r="G31" s="15"/>
      <c r="H31" s="15"/>
    </row>
    <row r="32" spans="2:10" ht="15.75" customHeight="1" thickBot="1" x14ac:dyDescent="0.25">
      <c r="B32" s="327" t="s">
        <v>342</v>
      </c>
      <c r="C32" s="328"/>
      <c r="D32" s="328"/>
      <c r="E32" s="328"/>
      <c r="F32" s="328"/>
      <c r="G32" s="328"/>
      <c r="H32" s="329"/>
      <c r="I32" s="107"/>
    </row>
    <row r="33" spans="2:9" x14ac:dyDescent="0.2">
      <c r="B33" s="127" t="s">
        <v>0</v>
      </c>
      <c r="C33" s="128" t="s">
        <v>1</v>
      </c>
      <c r="D33" s="128" t="s">
        <v>26</v>
      </c>
      <c r="E33" s="128" t="s">
        <v>2</v>
      </c>
      <c r="F33" s="129" t="s">
        <v>52</v>
      </c>
      <c r="G33" s="128" t="s">
        <v>51</v>
      </c>
      <c r="H33" s="130" t="s">
        <v>6</v>
      </c>
      <c r="I33" s="105"/>
    </row>
    <row r="34" spans="2:9" ht="13.5" thickBot="1" x14ac:dyDescent="0.25">
      <c r="B34" s="45">
        <v>1</v>
      </c>
      <c r="C34" s="11" t="s">
        <v>163</v>
      </c>
      <c r="D34" s="17">
        <v>1</v>
      </c>
      <c r="E34" s="17" t="s">
        <v>3</v>
      </c>
      <c r="F34" s="131">
        <f>+'COSTOS T'!D27</f>
        <v>62514.719999999994</v>
      </c>
      <c r="G34" s="17">
        <f>+C27</f>
        <v>9283.3016548733267</v>
      </c>
      <c r="H34" s="16">
        <f>G34*D34/(F34)</f>
        <v>0.14849785226380807</v>
      </c>
      <c r="I34" s="106"/>
    </row>
    <row r="35" spans="2:9" ht="15.75" customHeight="1" thickBot="1" x14ac:dyDescent="0.25">
      <c r="B35" s="325" t="s">
        <v>4</v>
      </c>
      <c r="C35" s="325"/>
      <c r="D35" s="325"/>
      <c r="E35" s="325"/>
      <c r="F35" s="325"/>
      <c r="G35" s="326"/>
      <c r="H35" s="108">
        <f>SUM(H34:H34)</f>
        <v>0.14849785226380807</v>
      </c>
      <c r="I35" s="106"/>
    </row>
    <row r="36" spans="2:9" x14ac:dyDescent="0.2">
      <c r="B36" s="15"/>
      <c r="C36" s="15"/>
      <c r="D36" s="15"/>
      <c r="E36" s="15"/>
      <c r="F36" s="15"/>
      <c r="G36" s="15"/>
      <c r="H36" s="15"/>
    </row>
    <row r="37" spans="2:9" x14ac:dyDescent="0.2">
      <c r="B37" s="15"/>
      <c r="C37" s="15"/>
      <c r="D37" s="15"/>
      <c r="E37" s="15"/>
      <c r="F37" s="15"/>
      <c r="G37" s="15"/>
      <c r="H37" s="15"/>
    </row>
  </sheetData>
  <mergeCells count="7">
    <mergeCell ref="B35:G35"/>
    <mergeCell ref="B22:I22"/>
    <mergeCell ref="B32:H32"/>
    <mergeCell ref="B2:I2"/>
    <mergeCell ref="B4:I4"/>
    <mergeCell ref="B18:D18"/>
    <mergeCell ref="B16:C16"/>
  </mergeCells>
  <pageMargins left="0.75" right="0.75" top="1" bottom="1" header="0" footer="0"/>
  <pageSetup scale="62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47"/>
  <sheetViews>
    <sheetView topLeftCell="A31" zoomScaleNormal="100" workbookViewId="0">
      <selection activeCell="G9" sqref="G9:H36"/>
    </sheetView>
  </sheetViews>
  <sheetFormatPr baseColWidth="10" defaultRowHeight="15" x14ac:dyDescent="0.25"/>
  <cols>
    <col min="3" max="3" width="18.42578125" customWidth="1"/>
    <col min="7" max="7" width="18" customWidth="1"/>
  </cols>
  <sheetData>
    <row r="1" spans="3:8" ht="15.75" thickBot="1" x14ac:dyDescent="0.3"/>
    <row r="2" spans="3:8" x14ac:dyDescent="0.25">
      <c r="C2" s="109"/>
      <c r="D2" s="110"/>
    </row>
    <row r="3" spans="3:8" x14ac:dyDescent="0.25">
      <c r="C3" s="111"/>
      <c r="D3" s="112"/>
    </row>
    <row r="4" spans="3:8" ht="15.75" thickBot="1" x14ac:dyDescent="0.3">
      <c r="C4" s="113"/>
      <c r="D4" s="114"/>
    </row>
    <row r="6" spans="3:8" x14ac:dyDescent="0.25">
      <c r="C6" t="s">
        <v>164</v>
      </c>
    </row>
    <row r="7" spans="3:8" x14ac:dyDescent="0.25">
      <c r="C7" t="s">
        <v>165</v>
      </c>
    </row>
    <row r="9" spans="3:8" x14ac:dyDescent="0.25">
      <c r="C9" s="338" t="s">
        <v>193</v>
      </c>
      <c r="D9" s="338"/>
      <c r="G9" s="338" t="s">
        <v>192</v>
      </c>
      <c r="H9" s="338"/>
    </row>
    <row r="10" spans="3:8" ht="15.75" thickBot="1" x14ac:dyDescent="0.3">
      <c r="C10" s="339"/>
      <c r="D10" s="339"/>
      <c r="G10" s="339"/>
      <c r="H10" s="339"/>
    </row>
    <row r="11" spans="3:8" x14ac:dyDescent="0.25">
      <c r="C11" s="115" t="s">
        <v>166</v>
      </c>
      <c r="D11" s="116" t="s">
        <v>51</v>
      </c>
      <c r="G11" s="115" t="s">
        <v>166</v>
      </c>
      <c r="H11" s="116" t="s">
        <v>51</v>
      </c>
    </row>
    <row r="12" spans="3:8" x14ac:dyDescent="0.25">
      <c r="C12" s="117" t="s">
        <v>167</v>
      </c>
      <c r="D12" s="119">
        <v>8.7800000000000003E-2</v>
      </c>
      <c r="G12" s="117" t="s">
        <v>168</v>
      </c>
      <c r="H12" s="119">
        <v>1.4200000000000001E-2</v>
      </c>
    </row>
    <row r="13" spans="3:8" x14ac:dyDescent="0.25">
      <c r="C13" s="117" t="s">
        <v>168</v>
      </c>
      <c r="D13" s="119">
        <v>8.2100000000000006E-2</v>
      </c>
      <c r="G13" s="117" t="s">
        <v>169</v>
      </c>
      <c r="H13" s="119">
        <v>1.5800000000000002E-2</v>
      </c>
    </row>
    <row r="14" spans="3:8" x14ac:dyDescent="0.25">
      <c r="C14" s="117" t="s">
        <v>169</v>
      </c>
      <c r="D14" s="119">
        <v>8.6699999999999999E-2</v>
      </c>
      <c r="G14" s="117" t="s">
        <v>170</v>
      </c>
      <c r="H14" s="119">
        <v>1.5900000000000001E-2</v>
      </c>
    </row>
    <row r="15" spans="3:8" x14ac:dyDescent="0.25">
      <c r="C15" s="117" t="s">
        <v>170</v>
      </c>
      <c r="D15" s="119">
        <v>8.6599999999999996E-2</v>
      </c>
      <c r="G15" s="117" t="s">
        <v>171</v>
      </c>
      <c r="H15" s="119">
        <v>1.6299999999999999E-2</v>
      </c>
    </row>
    <row r="16" spans="3:8" x14ac:dyDescent="0.25">
      <c r="C16" s="117" t="s">
        <v>171</v>
      </c>
      <c r="D16" s="119">
        <v>8.8900000000000007E-2</v>
      </c>
      <c r="G16" s="117" t="s">
        <v>172</v>
      </c>
      <c r="H16" s="119">
        <v>1.78E-2</v>
      </c>
    </row>
    <row r="17" spans="3:8" x14ac:dyDescent="0.25">
      <c r="C17" s="117" t="s">
        <v>172</v>
      </c>
      <c r="D17" s="119">
        <v>9.0300000000000005E-2</v>
      </c>
      <c r="G17" s="117" t="s">
        <v>173</v>
      </c>
      <c r="H17" s="119">
        <v>2.3199999999999998E-2</v>
      </c>
    </row>
    <row r="18" spans="3:8" x14ac:dyDescent="0.25">
      <c r="C18" s="117" t="s">
        <v>173</v>
      </c>
      <c r="D18" s="119">
        <v>8.8599999999999998E-2</v>
      </c>
      <c r="G18" s="117" t="s">
        <v>174</v>
      </c>
      <c r="H18" s="119">
        <v>2.5999999999999999E-2</v>
      </c>
    </row>
    <row r="19" spans="3:8" x14ac:dyDescent="0.25">
      <c r="C19" s="117" t="s">
        <v>174</v>
      </c>
      <c r="D19" s="119">
        <v>8.8800000000000004E-2</v>
      </c>
      <c r="G19" s="117" t="s">
        <v>175</v>
      </c>
      <c r="H19" s="119">
        <v>3.09E-2</v>
      </c>
    </row>
    <row r="20" spans="3:8" x14ac:dyDescent="0.25">
      <c r="C20" s="117" t="s">
        <v>175</v>
      </c>
      <c r="D20" s="119">
        <v>9.1499999999999998E-2</v>
      </c>
      <c r="G20" s="117" t="s">
        <v>176</v>
      </c>
      <c r="H20" s="119">
        <v>3.3799999999999997E-2</v>
      </c>
    </row>
    <row r="21" spans="3:8" x14ac:dyDescent="0.25">
      <c r="C21" s="117" t="s">
        <v>176</v>
      </c>
      <c r="D21" s="119">
        <v>9.1200000000000003E-2</v>
      </c>
      <c r="G21" s="117" t="s">
        <v>177</v>
      </c>
      <c r="H21" s="119">
        <v>3.4000000000000002E-2</v>
      </c>
    </row>
    <row r="22" spans="3:8" x14ac:dyDescent="0.25">
      <c r="C22" s="117" t="s">
        <v>177</v>
      </c>
      <c r="D22" s="119">
        <v>9.2200000000000004E-2</v>
      </c>
      <c r="G22" s="117" t="s">
        <v>178</v>
      </c>
      <c r="H22" s="119">
        <v>3.4799999999999998E-2</v>
      </c>
    </row>
    <row r="23" spans="3:8" x14ac:dyDescent="0.25">
      <c r="C23" s="117" t="s">
        <v>178</v>
      </c>
      <c r="D23" s="119">
        <v>9.11E-2</v>
      </c>
      <c r="G23" s="117" t="s">
        <v>179</v>
      </c>
      <c r="H23" s="119">
        <v>3.78E-2</v>
      </c>
    </row>
    <row r="24" spans="3:8" x14ac:dyDescent="0.25">
      <c r="C24" s="117" t="s">
        <v>179</v>
      </c>
      <c r="D24" s="119">
        <v>8.0600000000000005E-2</v>
      </c>
      <c r="G24" s="117" t="s">
        <v>180</v>
      </c>
      <c r="H24" s="119">
        <v>4.1399999999999999E-2</v>
      </c>
    </row>
    <row r="25" spans="3:8" x14ac:dyDescent="0.25">
      <c r="C25" s="117" t="s">
        <v>180</v>
      </c>
      <c r="D25" s="119">
        <v>8.0600000000000005E-2</v>
      </c>
      <c r="G25" s="117" t="s">
        <v>181</v>
      </c>
      <c r="H25" s="119">
        <v>4.36E-2</v>
      </c>
    </row>
    <row r="26" spans="3:8" x14ac:dyDescent="0.25">
      <c r="C26" s="117" t="s">
        <v>181</v>
      </c>
      <c r="D26" s="119">
        <v>8.5400000000000004E-2</v>
      </c>
      <c r="G26" s="117" t="s">
        <v>182</v>
      </c>
      <c r="H26" s="119">
        <v>4.87E-2</v>
      </c>
    </row>
    <row r="27" spans="3:8" x14ac:dyDescent="0.25">
      <c r="C27" s="117" t="s">
        <v>182</v>
      </c>
      <c r="D27" s="119">
        <v>8.6999999999999994E-2</v>
      </c>
      <c r="G27" s="117" t="s">
        <v>183</v>
      </c>
      <c r="H27" s="119">
        <v>4.5499999999999999E-2</v>
      </c>
    </row>
    <row r="28" spans="3:8" x14ac:dyDescent="0.25">
      <c r="C28" s="117" t="s">
        <v>183</v>
      </c>
      <c r="D28" s="119">
        <v>8.4500000000000006E-2</v>
      </c>
      <c r="G28" s="117" t="s">
        <v>184</v>
      </c>
      <c r="H28" s="119">
        <v>4.3200000000000002E-2</v>
      </c>
    </row>
    <row r="29" spans="3:8" x14ac:dyDescent="0.25">
      <c r="C29" s="117" t="s">
        <v>184</v>
      </c>
      <c r="D29" s="119">
        <v>8.09E-2</v>
      </c>
      <c r="G29" s="117" t="s">
        <v>185</v>
      </c>
      <c r="H29" s="119">
        <v>3.7600000000000001E-2</v>
      </c>
    </row>
    <row r="30" spans="3:8" x14ac:dyDescent="0.25">
      <c r="C30" s="117" t="s">
        <v>185</v>
      </c>
      <c r="D30" s="119">
        <v>7.3099999999999998E-2</v>
      </c>
      <c r="G30" s="117" t="s">
        <v>186</v>
      </c>
      <c r="H30" s="119">
        <v>4.0500000000000001E-2</v>
      </c>
    </row>
    <row r="31" spans="3:8" x14ac:dyDescent="0.25">
      <c r="C31" s="117" t="s">
        <v>186</v>
      </c>
      <c r="D31" s="119">
        <v>7.4099999999999999E-2</v>
      </c>
      <c r="G31" s="117" t="s">
        <v>187</v>
      </c>
      <c r="H31" s="119">
        <v>3.5299999999999998E-2</v>
      </c>
    </row>
    <row r="32" spans="3:8" x14ac:dyDescent="0.25">
      <c r="C32" s="117" t="s">
        <v>187</v>
      </c>
      <c r="D32" s="119">
        <v>7.8399999999999997E-2</v>
      </c>
      <c r="G32" s="117" t="s">
        <v>188</v>
      </c>
      <c r="H32" s="119">
        <v>3.6700000000000003E-2</v>
      </c>
    </row>
    <row r="33" spans="3:8" x14ac:dyDescent="0.25">
      <c r="C33" s="117" t="s">
        <v>188</v>
      </c>
      <c r="D33" s="119">
        <v>8.1900000000000001E-2</v>
      </c>
      <c r="G33" s="117" t="s">
        <v>189</v>
      </c>
      <c r="H33" s="119">
        <v>3.7600000000000001E-2</v>
      </c>
    </row>
    <row r="34" spans="3:8" x14ac:dyDescent="0.25">
      <c r="C34" s="117" t="s">
        <v>189</v>
      </c>
      <c r="D34" s="119">
        <v>8.1299999999999997E-2</v>
      </c>
      <c r="G34" s="117" t="s">
        <v>190</v>
      </c>
      <c r="H34" s="119">
        <v>3.9800000000000002E-2</v>
      </c>
    </row>
    <row r="35" spans="3:8" ht="15.75" thickBot="1" x14ac:dyDescent="0.3">
      <c r="C35" s="121" t="s">
        <v>190</v>
      </c>
      <c r="D35" s="122">
        <v>8.3400000000000002E-2</v>
      </c>
      <c r="G35" s="121" t="s">
        <v>191</v>
      </c>
      <c r="H35" s="122">
        <v>4.19E-2</v>
      </c>
    </row>
    <row r="36" spans="3:8" ht="15.75" thickBot="1" x14ac:dyDescent="0.3">
      <c r="C36" s="123" t="s">
        <v>195</v>
      </c>
      <c r="D36" s="124">
        <f>+AVERAGE(D12:D35)</f>
        <v>8.4874999999999992E-2</v>
      </c>
      <c r="G36" s="123" t="s">
        <v>195</v>
      </c>
      <c r="H36" s="124">
        <f>+AVERAGE(H12:H35)</f>
        <v>3.30125E-2</v>
      </c>
    </row>
    <row r="37" spans="3:8" ht="22.5" x14ac:dyDescent="0.25">
      <c r="C37" s="118" t="s">
        <v>194</v>
      </c>
    </row>
    <row r="38" spans="3:8" ht="15.75" thickBot="1" x14ac:dyDescent="0.3"/>
    <row r="39" spans="3:8" x14ac:dyDescent="0.25">
      <c r="C39" s="109"/>
      <c r="D39" s="110"/>
    </row>
    <row r="40" spans="3:8" x14ac:dyDescent="0.25">
      <c r="C40" s="111"/>
      <c r="D40" s="112"/>
    </row>
    <row r="41" spans="3:8" ht="15.75" thickBot="1" x14ac:dyDescent="0.3">
      <c r="C41" s="113"/>
      <c r="D41" s="114"/>
    </row>
    <row r="44" spans="3:8" x14ac:dyDescent="0.25">
      <c r="G44" s="93"/>
    </row>
    <row r="45" spans="3:8" x14ac:dyDescent="0.25">
      <c r="G45" s="93"/>
    </row>
    <row r="47" spans="3:8" x14ac:dyDescent="0.25">
      <c r="C47" s="125" t="s">
        <v>196</v>
      </c>
      <c r="D47" s="120">
        <f>+((1+D36)/(1+H36))-1</f>
        <v>5.0205104004065859E-2</v>
      </c>
    </row>
  </sheetData>
  <mergeCells count="2">
    <mergeCell ref="C9:D10"/>
    <mergeCell ref="G9:H10"/>
  </mergeCells>
  <pageMargins left="0.7" right="0.7" top="0.75" bottom="0.75" header="0.3" footer="0.3"/>
  <pageSetup paperSize="9" scale="83" orientation="portrait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abSelected="1" topLeftCell="B5" zoomScaleNormal="100" workbookViewId="0">
      <selection activeCell="J14" sqref="J14"/>
    </sheetView>
  </sheetViews>
  <sheetFormatPr baseColWidth="10" defaultRowHeight="15" x14ac:dyDescent="0.25"/>
  <cols>
    <col min="2" max="2" width="11.42578125" style="56"/>
    <col min="3" max="3" width="30.42578125" bestFit="1" customWidth="1"/>
    <col min="6" max="6" width="21.7109375" customWidth="1"/>
    <col min="8" max="8" width="13" customWidth="1"/>
  </cols>
  <sheetData>
    <row r="1" spans="2:10" ht="15.75" thickBot="1" x14ac:dyDescent="0.3"/>
    <row r="2" spans="2:10" x14ac:dyDescent="0.25">
      <c r="B2" s="340" t="s">
        <v>105</v>
      </c>
      <c r="C2" s="341"/>
      <c r="D2" s="341"/>
      <c r="E2" s="341"/>
      <c r="F2" s="341"/>
      <c r="G2" s="341"/>
      <c r="H2" s="342"/>
    </row>
    <row r="3" spans="2:10" ht="15.75" thickBot="1" x14ac:dyDescent="0.3">
      <c r="B3" s="343"/>
      <c r="C3" s="344"/>
      <c r="D3" s="344"/>
      <c r="E3" s="344"/>
      <c r="F3" s="344"/>
      <c r="G3" s="344"/>
      <c r="H3" s="345"/>
    </row>
    <row r="5" spans="2:10" ht="15.75" thickBot="1" x14ac:dyDescent="0.3"/>
    <row r="6" spans="2:10" s="5" customFormat="1" ht="16.5" thickBot="1" x14ac:dyDescent="0.3">
      <c r="B6" s="346" t="s">
        <v>104</v>
      </c>
      <c r="C6" s="347"/>
      <c r="D6" s="347"/>
      <c r="E6" s="347"/>
      <c r="F6" s="347"/>
      <c r="G6" s="347"/>
      <c r="H6" s="348"/>
    </row>
    <row r="7" spans="2:10" s="5" customFormat="1" ht="16.5" thickBot="1" x14ac:dyDescent="0.3">
      <c r="B7" s="70" t="s">
        <v>0</v>
      </c>
      <c r="C7" s="71" t="s">
        <v>1</v>
      </c>
      <c r="D7" s="70" t="s">
        <v>26</v>
      </c>
      <c r="E7" s="72" t="s">
        <v>2</v>
      </c>
      <c r="F7" s="70" t="s">
        <v>52</v>
      </c>
      <c r="G7" s="72" t="s">
        <v>51</v>
      </c>
      <c r="H7" s="70" t="s">
        <v>50</v>
      </c>
    </row>
    <row r="8" spans="2:10" x14ac:dyDescent="0.25">
      <c r="B8" s="67">
        <v>1</v>
      </c>
      <c r="C8" s="68" t="s">
        <v>103</v>
      </c>
      <c r="D8" s="69">
        <v>1</v>
      </c>
      <c r="E8" s="69" t="s">
        <v>62</v>
      </c>
      <c r="F8" s="69">
        <v>7.5</v>
      </c>
      <c r="G8" s="69">
        <v>1.0369999999999999</v>
      </c>
      <c r="H8" s="256">
        <f>+G8*D8/F8</f>
        <v>0.13826666666666665</v>
      </c>
      <c r="J8" s="93"/>
    </row>
    <row r="9" spans="2:10" x14ac:dyDescent="0.25">
      <c r="B9" s="57">
        <v>2</v>
      </c>
      <c r="C9" s="58" t="s">
        <v>102</v>
      </c>
      <c r="D9" s="59">
        <v>5</v>
      </c>
      <c r="E9" s="59" t="s">
        <v>99</v>
      </c>
      <c r="F9" s="59">
        <v>5000</v>
      </c>
      <c r="G9" s="59">
        <v>20</v>
      </c>
      <c r="H9" s="91">
        <f>+G9*D9/F9</f>
        <v>0.02</v>
      </c>
      <c r="J9" s="93"/>
    </row>
    <row r="10" spans="2:10" x14ac:dyDescent="0.25">
      <c r="B10" s="57">
        <v>3</v>
      </c>
      <c r="C10" s="58" t="s">
        <v>101</v>
      </c>
      <c r="D10" s="59">
        <v>3</v>
      </c>
      <c r="E10" s="59" t="s">
        <v>99</v>
      </c>
      <c r="F10" s="59">
        <v>25000</v>
      </c>
      <c r="G10" s="59">
        <v>21</v>
      </c>
      <c r="H10" s="91">
        <f t="shared" ref="H10:H48" si="0">+G10*D10/F10</f>
        <v>2.5200000000000001E-3</v>
      </c>
      <c r="J10" s="93"/>
    </row>
    <row r="11" spans="2:10" x14ac:dyDescent="0.25">
      <c r="B11" s="57">
        <v>4</v>
      </c>
      <c r="C11" s="58" t="s">
        <v>100</v>
      </c>
      <c r="D11" s="59">
        <v>3</v>
      </c>
      <c r="E11" s="59" t="s">
        <v>99</v>
      </c>
      <c r="F11" s="59">
        <v>25000</v>
      </c>
      <c r="G11" s="59">
        <v>21</v>
      </c>
      <c r="H11" s="91">
        <f t="shared" si="0"/>
        <v>2.5200000000000001E-3</v>
      </c>
      <c r="J11" s="93"/>
    </row>
    <row r="12" spans="2:10" x14ac:dyDescent="0.25">
      <c r="B12" s="57">
        <v>5</v>
      </c>
      <c r="C12" s="58" t="s">
        <v>343</v>
      </c>
      <c r="D12" s="59">
        <v>1</v>
      </c>
      <c r="E12" s="59" t="s">
        <v>62</v>
      </c>
      <c r="F12" s="59">
        <v>80000</v>
      </c>
      <c r="G12" s="59">
        <v>16.75</v>
      </c>
      <c r="H12" s="91">
        <f t="shared" si="0"/>
        <v>2.0937500000000001E-4</v>
      </c>
      <c r="J12" s="93"/>
    </row>
    <row r="13" spans="2:10" x14ac:dyDescent="0.25">
      <c r="B13" s="57">
        <v>6</v>
      </c>
      <c r="C13" s="58" t="s">
        <v>98</v>
      </c>
      <c r="D13" s="59">
        <v>4</v>
      </c>
      <c r="E13" s="59" t="s">
        <v>97</v>
      </c>
      <c r="F13" s="59">
        <v>5000</v>
      </c>
      <c r="G13" s="59">
        <v>8</v>
      </c>
      <c r="H13" s="91">
        <f t="shared" si="0"/>
        <v>6.4000000000000003E-3</v>
      </c>
      <c r="J13" s="93"/>
    </row>
    <row r="14" spans="2:10" x14ac:dyDescent="0.25">
      <c r="B14" s="57">
        <v>7</v>
      </c>
      <c r="C14" s="58" t="s">
        <v>96</v>
      </c>
      <c r="D14" s="59">
        <v>1</v>
      </c>
      <c r="E14" s="59" t="s">
        <v>48</v>
      </c>
      <c r="F14" s="59">
        <v>5000</v>
      </c>
      <c r="G14" s="59">
        <v>25</v>
      </c>
      <c r="H14" s="91">
        <f t="shared" si="0"/>
        <v>5.0000000000000001E-3</v>
      </c>
      <c r="J14" s="93"/>
    </row>
    <row r="15" spans="2:10" x14ac:dyDescent="0.25">
      <c r="B15" s="57">
        <v>8</v>
      </c>
      <c r="C15" s="60" t="s">
        <v>95</v>
      </c>
      <c r="D15" s="61">
        <v>2</v>
      </c>
      <c r="E15" s="59" t="s">
        <v>48</v>
      </c>
      <c r="F15" s="61">
        <v>25000</v>
      </c>
      <c r="G15" s="59">
        <v>45</v>
      </c>
      <c r="H15" s="91">
        <f t="shared" si="0"/>
        <v>3.5999999999999999E-3</v>
      </c>
      <c r="J15" s="93"/>
    </row>
    <row r="16" spans="2:10" x14ac:dyDescent="0.25">
      <c r="B16" s="57">
        <v>9</v>
      </c>
      <c r="C16" s="60" t="s">
        <v>94</v>
      </c>
      <c r="D16" s="61">
        <v>2</v>
      </c>
      <c r="E16" s="59" t="s">
        <v>48</v>
      </c>
      <c r="F16" s="61">
        <v>5000</v>
      </c>
      <c r="G16" s="59">
        <v>14</v>
      </c>
      <c r="H16" s="91">
        <f t="shared" si="0"/>
        <v>5.5999999999999999E-3</v>
      </c>
      <c r="J16" s="93"/>
    </row>
    <row r="17" spans="2:10" x14ac:dyDescent="0.25">
      <c r="B17" s="57">
        <v>10</v>
      </c>
      <c r="C17" s="60" t="s">
        <v>93</v>
      </c>
      <c r="D17" s="61">
        <v>1</v>
      </c>
      <c r="E17" s="59" t="s">
        <v>48</v>
      </c>
      <c r="F17" s="61">
        <v>5000</v>
      </c>
      <c r="G17" s="59">
        <v>22</v>
      </c>
      <c r="H17" s="91">
        <f t="shared" si="0"/>
        <v>4.4000000000000003E-3</v>
      </c>
      <c r="J17" s="93"/>
    </row>
    <row r="18" spans="2:10" x14ac:dyDescent="0.25">
      <c r="B18" s="57">
        <v>11</v>
      </c>
      <c r="C18" s="60" t="s">
        <v>92</v>
      </c>
      <c r="D18" s="61">
        <v>1</v>
      </c>
      <c r="E18" s="59" t="s">
        <v>48</v>
      </c>
      <c r="F18" s="61">
        <v>30000</v>
      </c>
      <c r="G18" s="59">
        <v>48</v>
      </c>
      <c r="H18" s="91">
        <f t="shared" si="0"/>
        <v>1.6000000000000001E-3</v>
      </c>
      <c r="J18" s="93"/>
    </row>
    <row r="19" spans="2:10" x14ac:dyDescent="0.25">
      <c r="B19" s="57">
        <v>12</v>
      </c>
      <c r="C19" s="60" t="s">
        <v>344</v>
      </c>
      <c r="D19" s="61">
        <v>1</v>
      </c>
      <c r="E19" s="59" t="s">
        <v>48</v>
      </c>
      <c r="F19" s="61">
        <v>20000</v>
      </c>
      <c r="G19" s="59">
        <v>36</v>
      </c>
      <c r="H19" s="91">
        <f t="shared" si="0"/>
        <v>1.8E-3</v>
      </c>
      <c r="J19" s="93"/>
    </row>
    <row r="20" spans="2:10" x14ac:dyDescent="0.25">
      <c r="B20" s="57">
        <v>13</v>
      </c>
      <c r="C20" s="60" t="s">
        <v>91</v>
      </c>
      <c r="D20" s="61">
        <v>1</v>
      </c>
      <c r="E20" s="59" t="s">
        <v>48</v>
      </c>
      <c r="F20" s="61">
        <v>30000</v>
      </c>
      <c r="G20" s="59">
        <v>350</v>
      </c>
      <c r="H20" s="91">
        <f t="shared" si="0"/>
        <v>1.1666666666666667E-2</v>
      </c>
      <c r="J20" s="93"/>
    </row>
    <row r="21" spans="2:10" x14ac:dyDescent="0.25">
      <c r="B21" s="57">
        <v>14</v>
      </c>
      <c r="C21" s="60" t="s">
        <v>90</v>
      </c>
      <c r="D21" s="61">
        <v>1</v>
      </c>
      <c r="E21" s="59" t="s">
        <v>48</v>
      </c>
      <c r="F21" s="61">
        <v>50000</v>
      </c>
      <c r="G21" s="59">
        <v>60</v>
      </c>
      <c r="H21" s="91">
        <f t="shared" si="0"/>
        <v>1.1999999999999999E-3</v>
      </c>
      <c r="J21" s="93"/>
    </row>
    <row r="22" spans="2:10" x14ac:dyDescent="0.25">
      <c r="B22" s="57">
        <v>15</v>
      </c>
      <c r="C22" s="60" t="s">
        <v>89</v>
      </c>
      <c r="D22" s="61">
        <v>5</v>
      </c>
      <c r="E22" s="59" t="s">
        <v>48</v>
      </c>
      <c r="F22" s="61">
        <v>80000</v>
      </c>
      <c r="G22" s="59">
        <v>22</v>
      </c>
      <c r="H22" s="91">
        <f t="shared" si="0"/>
        <v>1.3749999999999999E-3</v>
      </c>
      <c r="J22" s="93"/>
    </row>
    <row r="23" spans="2:10" x14ac:dyDescent="0.25">
      <c r="B23" s="57">
        <v>16</v>
      </c>
      <c r="C23" s="60" t="s">
        <v>88</v>
      </c>
      <c r="D23" s="61">
        <v>6</v>
      </c>
      <c r="E23" s="59" t="s">
        <v>48</v>
      </c>
      <c r="F23" s="61">
        <v>60000</v>
      </c>
      <c r="G23" s="59">
        <v>390</v>
      </c>
      <c r="H23" s="91">
        <f t="shared" si="0"/>
        <v>3.9E-2</v>
      </c>
      <c r="J23" s="93"/>
    </row>
    <row r="24" spans="2:10" x14ac:dyDescent="0.25">
      <c r="B24" s="57">
        <v>17</v>
      </c>
      <c r="C24" s="60" t="s">
        <v>87</v>
      </c>
      <c r="D24" s="61">
        <v>4</v>
      </c>
      <c r="E24" s="59" t="s">
        <v>48</v>
      </c>
      <c r="F24" s="61">
        <v>20000</v>
      </c>
      <c r="G24" s="59">
        <v>108</v>
      </c>
      <c r="H24" s="91">
        <f t="shared" si="0"/>
        <v>2.1600000000000001E-2</v>
      </c>
      <c r="J24" s="93"/>
    </row>
    <row r="25" spans="2:10" x14ac:dyDescent="0.25">
      <c r="B25" s="57">
        <v>18</v>
      </c>
      <c r="C25" s="60" t="s">
        <v>86</v>
      </c>
      <c r="D25" s="61">
        <v>1</v>
      </c>
      <c r="E25" s="59" t="s">
        <v>48</v>
      </c>
      <c r="F25" s="61">
        <v>70000</v>
      </c>
      <c r="G25" s="59">
        <v>358</v>
      </c>
      <c r="H25" s="91">
        <f t="shared" si="0"/>
        <v>5.1142857142857144E-3</v>
      </c>
      <c r="J25" s="93"/>
    </row>
    <row r="26" spans="2:10" x14ac:dyDescent="0.25">
      <c r="B26" s="57">
        <v>19</v>
      </c>
      <c r="C26" s="60" t="s">
        <v>85</v>
      </c>
      <c r="D26" s="61">
        <v>2</v>
      </c>
      <c r="E26" s="59" t="s">
        <v>48</v>
      </c>
      <c r="F26" s="61">
        <v>80000</v>
      </c>
      <c r="G26" s="59">
        <v>165</v>
      </c>
      <c r="H26" s="91">
        <f t="shared" si="0"/>
        <v>4.1250000000000002E-3</v>
      </c>
      <c r="J26" s="93"/>
    </row>
    <row r="27" spans="2:10" x14ac:dyDescent="0.25">
      <c r="B27" s="57">
        <v>20</v>
      </c>
      <c r="C27" s="60" t="s">
        <v>84</v>
      </c>
      <c r="D27" s="61">
        <v>3</v>
      </c>
      <c r="E27" s="59" t="s">
        <v>48</v>
      </c>
      <c r="F27" s="61">
        <v>40000</v>
      </c>
      <c r="G27" s="59">
        <v>18</v>
      </c>
      <c r="H27" s="91">
        <f t="shared" si="0"/>
        <v>1.3500000000000001E-3</v>
      </c>
      <c r="J27" s="93"/>
    </row>
    <row r="28" spans="2:10" x14ac:dyDescent="0.25">
      <c r="B28" s="57">
        <v>21</v>
      </c>
      <c r="C28" s="60" t="s">
        <v>83</v>
      </c>
      <c r="D28" s="61">
        <v>1</v>
      </c>
      <c r="E28" s="59" t="s">
        <v>48</v>
      </c>
      <c r="F28" s="61">
        <v>35000</v>
      </c>
      <c r="G28" s="59">
        <v>115</v>
      </c>
      <c r="H28" s="91">
        <f t="shared" si="0"/>
        <v>3.2857142857142859E-3</v>
      </c>
      <c r="J28" s="93"/>
    </row>
    <row r="29" spans="2:10" x14ac:dyDescent="0.25">
      <c r="B29" s="57">
        <v>22</v>
      </c>
      <c r="C29" s="60" t="s">
        <v>82</v>
      </c>
      <c r="D29" s="61">
        <v>1</v>
      </c>
      <c r="E29" s="59" t="s">
        <v>48</v>
      </c>
      <c r="F29" s="61">
        <v>5000</v>
      </c>
      <c r="G29" s="59">
        <v>80</v>
      </c>
      <c r="H29" s="91">
        <f t="shared" si="0"/>
        <v>1.6E-2</v>
      </c>
      <c r="J29" s="93"/>
    </row>
    <row r="30" spans="2:10" x14ac:dyDescent="0.25">
      <c r="B30" s="57">
        <v>23</v>
      </c>
      <c r="C30" s="60" t="s">
        <v>81</v>
      </c>
      <c r="D30" s="61">
        <v>1</v>
      </c>
      <c r="E30" s="59" t="s">
        <v>48</v>
      </c>
      <c r="F30" s="61">
        <v>150000</v>
      </c>
      <c r="G30" s="59">
        <v>680</v>
      </c>
      <c r="H30" s="91">
        <f t="shared" si="0"/>
        <v>4.5333333333333337E-3</v>
      </c>
      <c r="J30" s="93"/>
    </row>
    <row r="31" spans="2:10" x14ac:dyDescent="0.25">
      <c r="B31" s="57">
        <v>24</v>
      </c>
      <c r="C31" s="60" t="s">
        <v>80</v>
      </c>
      <c r="D31" s="61">
        <v>4</v>
      </c>
      <c r="E31" s="59" t="s">
        <v>48</v>
      </c>
      <c r="F31" s="61">
        <v>45000</v>
      </c>
      <c r="G31" s="59">
        <v>105</v>
      </c>
      <c r="H31" s="91">
        <f t="shared" si="0"/>
        <v>9.3333333333333341E-3</v>
      </c>
      <c r="J31" s="93"/>
    </row>
    <row r="32" spans="2:10" x14ac:dyDescent="0.25">
      <c r="B32" s="57">
        <v>25</v>
      </c>
      <c r="C32" s="60" t="s">
        <v>79</v>
      </c>
      <c r="D32" s="61">
        <v>1</v>
      </c>
      <c r="E32" s="59" t="s">
        <v>71</v>
      </c>
      <c r="F32" s="61">
        <v>75000</v>
      </c>
      <c r="G32" s="59">
        <v>168</v>
      </c>
      <c r="H32" s="91">
        <f t="shared" si="0"/>
        <v>2.2399999999999998E-3</v>
      </c>
      <c r="J32" s="93"/>
    </row>
    <row r="33" spans="2:10" x14ac:dyDescent="0.25">
      <c r="B33" s="57">
        <v>26</v>
      </c>
      <c r="C33" s="60" t="s">
        <v>78</v>
      </c>
      <c r="D33" s="61">
        <v>1</v>
      </c>
      <c r="E33" s="59" t="s">
        <v>71</v>
      </c>
      <c r="F33" s="61">
        <v>75000</v>
      </c>
      <c r="G33" s="59">
        <v>97</v>
      </c>
      <c r="H33" s="91">
        <f t="shared" si="0"/>
        <v>1.2933333333333334E-3</v>
      </c>
      <c r="J33" s="93"/>
    </row>
    <row r="34" spans="2:10" x14ac:dyDescent="0.25">
      <c r="B34" s="57">
        <v>27</v>
      </c>
      <c r="C34" s="60" t="s">
        <v>77</v>
      </c>
      <c r="D34" s="59">
        <v>1</v>
      </c>
      <c r="E34" s="59" t="s">
        <v>71</v>
      </c>
      <c r="F34" s="61">
        <v>75000</v>
      </c>
      <c r="G34" s="59">
        <v>392</v>
      </c>
      <c r="H34" s="91">
        <f t="shared" si="0"/>
        <v>5.2266666666666668E-3</v>
      </c>
      <c r="J34" s="93"/>
    </row>
    <row r="35" spans="2:10" x14ac:dyDescent="0.25">
      <c r="B35" s="57">
        <v>28</v>
      </c>
      <c r="C35" s="60" t="s">
        <v>76</v>
      </c>
      <c r="D35" s="59">
        <v>1</v>
      </c>
      <c r="E35" s="59" t="s">
        <v>71</v>
      </c>
      <c r="F35" s="61">
        <v>200000</v>
      </c>
      <c r="G35" s="59">
        <v>720</v>
      </c>
      <c r="H35" s="91">
        <f t="shared" si="0"/>
        <v>3.5999999999999999E-3</v>
      </c>
      <c r="J35" s="93"/>
    </row>
    <row r="36" spans="2:10" x14ac:dyDescent="0.25">
      <c r="B36" s="57">
        <v>29</v>
      </c>
      <c r="C36" s="60" t="s">
        <v>75</v>
      </c>
      <c r="D36" s="59">
        <v>1</v>
      </c>
      <c r="E36" s="59" t="s">
        <v>71</v>
      </c>
      <c r="F36" s="61">
        <v>150000</v>
      </c>
      <c r="G36" s="59">
        <v>452</v>
      </c>
      <c r="H36" s="91">
        <f t="shared" si="0"/>
        <v>3.0133333333333331E-3</v>
      </c>
      <c r="J36" s="93"/>
    </row>
    <row r="37" spans="2:10" x14ac:dyDescent="0.25">
      <c r="B37" s="57">
        <v>30</v>
      </c>
      <c r="C37" s="60" t="s">
        <v>74</v>
      </c>
      <c r="D37" s="59">
        <v>1</v>
      </c>
      <c r="E37" s="59" t="s">
        <v>48</v>
      </c>
      <c r="F37" s="61">
        <v>140000</v>
      </c>
      <c r="G37" s="59">
        <v>200</v>
      </c>
      <c r="H37" s="91">
        <f t="shared" si="0"/>
        <v>1.4285714285714286E-3</v>
      </c>
      <c r="J37" s="93"/>
    </row>
    <row r="38" spans="2:10" x14ac:dyDescent="0.25">
      <c r="B38" s="57">
        <v>31</v>
      </c>
      <c r="C38" s="60" t="s">
        <v>73</v>
      </c>
      <c r="D38" s="59">
        <v>1</v>
      </c>
      <c r="E38" s="59" t="s">
        <v>48</v>
      </c>
      <c r="F38" s="61">
        <v>100000</v>
      </c>
      <c r="G38" s="59">
        <v>675</v>
      </c>
      <c r="H38" s="91">
        <f t="shared" si="0"/>
        <v>6.7499999999999999E-3</v>
      </c>
      <c r="J38" s="93"/>
    </row>
    <row r="39" spans="2:10" x14ac:dyDescent="0.25">
      <c r="B39" s="57">
        <v>32</v>
      </c>
      <c r="C39" s="60" t="s">
        <v>72</v>
      </c>
      <c r="D39" s="59">
        <v>1</v>
      </c>
      <c r="E39" s="59" t="s">
        <v>71</v>
      </c>
      <c r="F39" s="61">
        <v>75000</v>
      </c>
      <c r="G39" s="59">
        <v>420</v>
      </c>
      <c r="H39" s="91">
        <f t="shared" si="0"/>
        <v>5.5999999999999999E-3</v>
      </c>
      <c r="J39" s="93"/>
    </row>
    <row r="40" spans="2:10" x14ac:dyDescent="0.25">
      <c r="B40" s="57">
        <v>33</v>
      </c>
      <c r="C40" s="60" t="s">
        <v>70</v>
      </c>
      <c r="D40" s="59">
        <v>1</v>
      </c>
      <c r="E40" s="59" t="s">
        <v>48</v>
      </c>
      <c r="F40" s="61">
        <v>150000</v>
      </c>
      <c r="G40" s="59">
        <v>390</v>
      </c>
      <c r="H40" s="91">
        <f t="shared" si="0"/>
        <v>2.5999999999999999E-3</v>
      </c>
      <c r="J40" s="93"/>
    </row>
    <row r="41" spans="2:10" x14ac:dyDescent="0.25">
      <c r="B41" s="57">
        <v>34</v>
      </c>
      <c r="C41" s="60" t="s">
        <v>69</v>
      </c>
      <c r="D41" s="59">
        <v>1</v>
      </c>
      <c r="E41" s="59" t="s">
        <v>48</v>
      </c>
      <c r="F41" s="61">
        <v>300000</v>
      </c>
      <c r="G41" s="59">
        <v>970</v>
      </c>
      <c r="H41" s="91">
        <f t="shared" si="0"/>
        <v>3.2333333333333333E-3</v>
      </c>
      <c r="J41" s="93"/>
    </row>
    <row r="42" spans="2:10" x14ac:dyDescent="0.25">
      <c r="B42" s="57">
        <v>35</v>
      </c>
      <c r="C42" s="60" t="s">
        <v>68</v>
      </c>
      <c r="D42" s="59">
        <v>1</v>
      </c>
      <c r="E42" s="59" t="s">
        <v>48</v>
      </c>
      <c r="F42" s="61">
        <v>500000</v>
      </c>
      <c r="G42" s="59">
        <v>4500</v>
      </c>
      <c r="H42" s="91">
        <f t="shared" si="0"/>
        <v>8.9999999999999993E-3</v>
      </c>
      <c r="J42" s="93"/>
    </row>
    <row r="43" spans="2:10" x14ac:dyDescent="0.25">
      <c r="B43" s="57">
        <v>36</v>
      </c>
      <c r="C43" s="60" t="s">
        <v>67</v>
      </c>
      <c r="D43" s="59">
        <v>1</v>
      </c>
      <c r="E43" s="59" t="s">
        <v>48</v>
      </c>
      <c r="F43" s="61">
        <v>300000</v>
      </c>
      <c r="G43" s="59">
        <v>3500</v>
      </c>
      <c r="H43" s="91">
        <f t="shared" si="0"/>
        <v>1.1666666666666667E-2</v>
      </c>
      <c r="J43" s="93"/>
    </row>
    <row r="44" spans="2:10" x14ac:dyDescent="0.25">
      <c r="B44" s="57">
        <v>37</v>
      </c>
      <c r="C44" s="60" t="s">
        <v>66</v>
      </c>
      <c r="D44" s="59">
        <v>1</v>
      </c>
      <c r="E44" s="59" t="s">
        <v>48</v>
      </c>
      <c r="F44" s="61">
        <v>300000</v>
      </c>
      <c r="G44" s="59">
        <v>2800</v>
      </c>
      <c r="H44" s="91">
        <f t="shared" si="0"/>
        <v>9.3333333333333341E-3</v>
      </c>
      <c r="J44" s="93"/>
    </row>
    <row r="45" spans="2:10" x14ac:dyDescent="0.25">
      <c r="B45" s="57">
        <v>38</v>
      </c>
      <c r="C45" s="60" t="s">
        <v>65</v>
      </c>
      <c r="D45" s="59">
        <v>1</v>
      </c>
      <c r="E45" s="59" t="s">
        <v>48</v>
      </c>
      <c r="F45" s="61">
        <v>5000</v>
      </c>
      <c r="G45" s="59">
        <v>20</v>
      </c>
      <c r="H45" s="91">
        <f t="shared" si="0"/>
        <v>4.0000000000000001E-3</v>
      </c>
      <c r="J45" s="93"/>
    </row>
    <row r="46" spans="2:10" x14ac:dyDescent="0.25">
      <c r="B46" s="57">
        <v>39</v>
      </c>
      <c r="C46" s="60" t="s">
        <v>64</v>
      </c>
      <c r="D46" s="59">
        <v>4</v>
      </c>
      <c r="E46" s="59" t="s">
        <v>48</v>
      </c>
      <c r="F46" s="61">
        <v>45000</v>
      </c>
      <c r="G46" s="59">
        <v>4</v>
      </c>
      <c r="H46" s="91">
        <f t="shared" si="0"/>
        <v>3.5555555555555557E-4</v>
      </c>
      <c r="J46" s="93"/>
    </row>
    <row r="47" spans="2:10" x14ac:dyDescent="0.25">
      <c r="B47" s="57">
        <v>40</v>
      </c>
      <c r="C47" s="60" t="s">
        <v>63</v>
      </c>
      <c r="D47" s="59">
        <v>1</v>
      </c>
      <c r="E47" s="59" t="s">
        <v>62</v>
      </c>
      <c r="F47" s="61">
        <v>150000</v>
      </c>
      <c r="G47" s="59">
        <v>21</v>
      </c>
      <c r="H47" s="91">
        <f t="shared" si="0"/>
        <v>1.3999999999999999E-4</v>
      </c>
      <c r="J47" s="93"/>
    </row>
    <row r="48" spans="2:10" ht="15.75" thickBot="1" x14ac:dyDescent="0.3">
      <c r="B48" s="62">
        <v>41</v>
      </c>
      <c r="C48" s="63" t="s">
        <v>61</v>
      </c>
      <c r="D48" s="64">
        <v>1</v>
      </c>
      <c r="E48" s="64" t="s">
        <v>48</v>
      </c>
      <c r="F48" s="65">
        <v>30000</v>
      </c>
      <c r="G48" s="64">
        <v>450</v>
      </c>
      <c r="H48" s="91">
        <f t="shared" si="0"/>
        <v>1.4999999999999999E-2</v>
      </c>
      <c r="J48" s="93"/>
    </row>
    <row r="49" spans="2:10" ht="15.75" thickBot="1" x14ac:dyDescent="0.3">
      <c r="B49" s="66"/>
      <c r="C49" s="349" t="s">
        <v>4</v>
      </c>
      <c r="D49" s="349"/>
      <c r="E49" s="349"/>
      <c r="F49" s="349"/>
      <c r="G49" s="350"/>
      <c r="H49" s="92">
        <f>SUM(H8:H48)</f>
        <v>0.39498016865079355</v>
      </c>
      <c r="J49" s="93"/>
    </row>
  </sheetData>
  <mergeCells count="3">
    <mergeCell ref="B2:H3"/>
    <mergeCell ref="B6:H6"/>
    <mergeCell ref="C49:G49"/>
  </mergeCells>
  <pageMargins left="0.7" right="0.7" top="0.75" bottom="0.75" header="0.3" footer="0.3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Q55"/>
  <sheetViews>
    <sheetView topLeftCell="A37" zoomScaleNormal="100" workbookViewId="0">
      <selection activeCell="D28" sqref="D28"/>
    </sheetView>
  </sheetViews>
  <sheetFormatPr baseColWidth="10" defaultRowHeight="15" x14ac:dyDescent="0.25"/>
  <cols>
    <col min="3" max="3" width="17.7109375" customWidth="1"/>
    <col min="7" max="7" width="11.85546875" customWidth="1"/>
    <col min="9" max="9" width="14.7109375" customWidth="1"/>
    <col min="10" max="10" width="17" style="132" customWidth="1"/>
    <col min="11" max="11" width="13.5703125" customWidth="1"/>
    <col min="12" max="12" width="14.140625" customWidth="1"/>
    <col min="13" max="13" width="12.85546875" customWidth="1"/>
  </cols>
  <sheetData>
    <row r="2" spans="2:14" ht="15.75" thickBot="1" x14ac:dyDescent="0.3">
      <c r="L2" s="4"/>
      <c r="M2" s="4"/>
    </row>
    <row r="3" spans="2:14" ht="15.75" customHeight="1" thickBot="1" x14ac:dyDescent="0.3">
      <c r="B3" s="361" t="s">
        <v>5</v>
      </c>
      <c r="C3" s="365"/>
      <c r="D3" s="365"/>
      <c r="E3" s="362"/>
      <c r="G3" s="353" t="s">
        <v>325</v>
      </c>
      <c r="H3" s="354"/>
      <c r="I3" s="361" t="s">
        <v>313</v>
      </c>
      <c r="J3" s="362"/>
      <c r="K3" s="223"/>
      <c r="L3" s="223"/>
    </row>
    <row r="4" spans="2:14" ht="16.5" customHeight="1" thickBot="1" x14ac:dyDescent="0.3">
      <c r="B4" s="82" t="s">
        <v>0</v>
      </c>
      <c r="C4" s="83" t="s">
        <v>1</v>
      </c>
      <c r="D4" s="83" t="s">
        <v>132</v>
      </c>
      <c r="E4" s="84" t="s">
        <v>51</v>
      </c>
      <c r="G4" s="355"/>
      <c r="H4" s="356"/>
      <c r="I4" s="363"/>
      <c r="J4" s="364"/>
      <c r="K4" s="223"/>
      <c r="L4" s="223"/>
    </row>
    <row r="5" spans="2:14" ht="17.25" x14ac:dyDescent="0.4">
      <c r="B5" s="1">
        <v>1</v>
      </c>
      <c r="C5" s="3" t="s">
        <v>133</v>
      </c>
      <c r="D5" s="3" t="s">
        <v>19</v>
      </c>
      <c r="E5" s="85">
        <f>+'COSTOS FIJOS'!H17</f>
        <v>0.25198979591036402</v>
      </c>
      <c r="G5" s="221" t="s">
        <v>326</v>
      </c>
      <c r="H5" s="224">
        <f>(E8+E8*D23%)*D24*D25/D28</f>
        <v>0.33885467115368872</v>
      </c>
      <c r="I5" s="226" t="s">
        <v>324</v>
      </c>
      <c r="J5" s="228">
        <f>+J22</f>
        <v>0.3138546711536887</v>
      </c>
    </row>
    <row r="6" spans="2:14" s="132" customFormat="1" ht="18" thickBot="1" x14ac:dyDescent="0.45">
      <c r="B6" s="1">
        <v>2</v>
      </c>
      <c r="C6" s="3" t="s">
        <v>60</v>
      </c>
      <c r="D6" s="3" t="s">
        <v>19</v>
      </c>
      <c r="E6" s="85">
        <f>+'COSTOS DE CAPITAL'!H35</f>
        <v>0.14849785226380807</v>
      </c>
      <c r="G6" s="7" t="s">
        <v>327</v>
      </c>
      <c r="H6" s="225">
        <f>(E8-'COSTOS FIJOS'!H16+0.012)*D24*D25/D28</f>
        <v>0.19965647245133006</v>
      </c>
      <c r="I6" s="227" t="s">
        <v>310</v>
      </c>
      <c r="J6" s="229">
        <f>+L18</f>
        <v>3.6000000000000004E-2</v>
      </c>
      <c r="K6" s="220"/>
      <c r="L6" s="222"/>
    </row>
    <row r="7" spans="2:14" ht="15.75" customHeight="1" thickBot="1" x14ac:dyDescent="0.3">
      <c r="B7" s="1">
        <v>3</v>
      </c>
      <c r="C7" s="3" t="s">
        <v>105</v>
      </c>
      <c r="D7" s="3" t="s">
        <v>19</v>
      </c>
      <c r="E7" s="85">
        <f>+'COSTOS VARIABLES'!H49</f>
        <v>0.39498016865079355</v>
      </c>
      <c r="L7" s="4"/>
      <c r="M7" s="4"/>
    </row>
    <row r="8" spans="2:14" ht="15" customHeight="1" thickBot="1" x14ac:dyDescent="0.3">
      <c r="B8" s="366" t="s">
        <v>4</v>
      </c>
      <c r="C8" s="367"/>
      <c r="D8" s="367"/>
      <c r="E8" s="257">
        <f>SUM(E5:E7)</f>
        <v>0.79546781682496559</v>
      </c>
      <c r="G8" s="357" t="s">
        <v>323</v>
      </c>
      <c r="H8" s="358"/>
      <c r="I8" s="375" t="s">
        <v>312</v>
      </c>
      <c r="J8" s="351" t="s">
        <v>322</v>
      </c>
    </row>
    <row r="9" spans="2:14" ht="15.75" thickBot="1" x14ac:dyDescent="0.3">
      <c r="G9" s="359"/>
      <c r="H9" s="360"/>
      <c r="I9" s="376"/>
      <c r="J9" s="352"/>
    </row>
    <row r="10" spans="2:14" ht="15.75" customHeight="1" x14ac:dyDescent="0.25">
      <c r="G10" s="371" t="s">
        <v>260</v>
      </c>
      <c r="H10" s="372"/>
      <c r="I10" s="218">
        <f>+'% Incidencia'!G3</f>
        <v>64</v>
      </c>
      <c r="J10" s="230">
        <f>+'% Incidencia'!M3</f>
        <v>78.292175956979676</v>
      </c>
    </row>
    <row r="11" spans="2:14" ht="15.75" thickBot="1" x14ac:dyDescent="0.3">
      <c r="G11" s="373" t="s">
        <v>311</v>
      </c>
      <c r="H11" s="374"/>
      <c r="I11" s="219">
        <f>100-I10</f>
        <v>36</v>
      </c>
      <c r="J11" s="231">
        <f>+'% Incidencia'!L3</f>
        <v>28.104999839097413</v>
      </c>
    </row>
    <row r="12" spans="2:14" ht="15" customHeight="1" x14ac:dyDescent="0.25"/>
    <row r="13" spans="2:14" ht="18" thickBot="1" x14ac:dyDescent="0.35">
      <c r="H13" s="86"/>
      <c r="I13" s="87"/>
      <c r="J13" s="87"/>
      <c r="K13" s="87"/>
    </row>
    <row r="14" spans="2:14" ht="45.75" thickBot="1" x14ac:dyDescent="0.3">
      <c r="C14" s="377" t="s">
        <v>134</v>
      </c>
      <c r="D14" s="377"/>
      <c r="E14" s="377"/>
      <c r="G14" s="197" t="s">
        <v>8</v>
      </c>
      <c r="H14" s="198" t="s">
        <v>298</v>
      </c>
      <c r="I14" s="198" t="s">
        <v>314</v>
      </c>
      <c r="J14" s="199" t="s">
        <v>14</v>
      </c>
      <c r="K14" s="203" t="s">
        <v>309</v>
      </c>
      <c r="L14" s="204" t="s">
        <v>315</v>
      </c>
      <c r="M14" s="198" t="s">
        <v>298</v>
      </c>
      <c r="N14" s="204" t="s">
        <v>315</v>
      </c>
    </row>
    <row r="15" spans="2:14" x14ac:dyDescent="0.25">
      <c r="C15" s="382" t="s">
        <v>135</v>
      </c>
      <c r="D15" s="383"/>
      <c r="E15" s="386" t="s">
        <v>13</v>
      </c>
      <c r="G15" s="368">
        <f>+H5</f>
        <v>0.33885467115368872</v>
      </c>
      <c r="H15" s="145" t="s">
        <v>300</v>
      </c>
      <c r="I15" s="194">
        <v>0.14000000000000001</v>
      </c>
      <c r="J15" s="195">
        <f>+G15-I15</f>
        <v>0.19885467115368871</v>
      </c>
      <c r="K15" s="196">
        <f>+I15*I10/100</f>
        <v>8.9600000000000013E-2</v>
      </c>
      <c r="L15" s="200">
        <f t="shared" ref="L15:L24" si="0">+I15-K15</f>
        <v>5.04E-2</v>
      </c>
      <c r="M15" s="145" t="s">
        <v>300</v>
      </c>
      <c r="N15" s="200">
        <f>+L15</f>
        <v>5.04E-2</v>
      </c>
    </row>
    <row r="16" spans="2:14" x14ac:dyDescent="0.25">
      <c r="C16" s="384"/>
      <c r="D16" s="385"/>
      <c r="E16" s="387"/>
      <c r="F16" s="6"/>
      <c r="G16" s="369"/>
      <c r="H16" s="170" t="s">
        <v>299</v>
      </c>
      <c r="I16" s="175">
        <v>0.13500000000000001</v>
      </c>
      <c r="J16" s="172">
        <f>+G15-I16</f>
        <v>0.20385467115368872</v>
      </c>
      <c r="K16" s="192">
        <f t="shared" ref="K16:K23" si="1">+I16*$I$10/100</f>
        <v>8.6400000000000005E-2</v>
      </c>
      <c r="L16" s="201">
        <f t="shared" si="0"/>
        <v>4.8600000000000004E-2</v>
      </c>
      <c r="M16" s="170" t="s">
        <v>299</v>
      </c>
      <c r="N16" s="201">
        <f>+L16</f>
        <v>4.8600000000000004E-2</v>
      </c>
    </row>
    <row r="17" spans="3:14" x14ac:dyDescent="0.25">
      <c r="C17" s="2" t="s">
        <v>12</v>
      </c>
      <c r="D17" s="3">
        <v>40</v>
      </c>
      <c r="E17" s="3" t="s">
        <v>11</v>
      </c>
      <c r="F17" s="8"/>
      <c r="G17" s="369"/>
      <c r="H17" s="170" t="s">
        <v>301</v>
      </c>
      <c r="I17" s="176">
        <v>0.12</v>
      </c>
      <c r="J17" s="172">
        <f>+G15-I17</f>
        <v>0.21885467115368873</v>
      </c>
      <c r="K17" s="192">
        <f t="shared" si="1"/>
        <v>7.6799999999999993E-2</v>
      </c>
      <c r="L17" s="201">
        <f t="shared" si="0"/>
        <v>4.3200000000000002E-2</v>
      </c>
      <c r="M17" s="170" t="s">
        <v>301</v>
      </c>
      <c r="N17" s="201">
        <f>+L17</f>
        <v>4.3200000000000002E-2</v>
      </c>
    </row>
    <row r="18" spans="3:14" x14ac:dyDescent="0.25">
      <c r="C18" s="2" t="s">
        <v>136</v>
      </c>
      <c r="D18" s="3">
        <v>5</v>
      </c>
      <c r="E18" s="3" t="s">
        <v>10</v>
      </c>
      <c r="F18" s="8"/>
      <c r="G18" s="369"/>
      <c r="H18" s="170" t="s">
        <v>302</v>
      </c>
      <c r="I18" s="176">
        <v>0.1</v>
      </c>
      <c r="J18" s="172">
        <f>+G15-I18</f>
        <v>0.23885467115368872</v>
      </c>
      <c r="K18" s="192">
        <f t="shared" si="1"/>
        <v>6.4000000000000001E-2</v>
      </c>
      <c r="L18" s="201">
        <f t="shared" si="0"/>
        <v>3.6000000000000004E-2</v>
      </c>
      <c r="M18" s="170" t="s">
        <v>302</v>
      </c>
      <c r="N18" s="201">
        <f t="shared" ref="N18:N23" si="2">+L18</f>
        <v>3.6000000000000004E-2</v>
      </c>
    </row>
    <row r="19" spans="3:14" x14ac:dyDescent="0.25">
      <c r="C19" s="2" t="s">
        <v>137</v>
      </c>
      <c r="D19" s="3">
        <v>45</v>
      </c>
      <c r="E19" s="3" t="s">
        <v>10</v>
      </c>
      <c r="F19" s="8"/>
      <c r="G19" s="369"/>
      <c r="H19" s="170" t="s">
        <v>303</v>
      </c>
      <c r="I19" s="176">
        <v>0.08</v>
      </c>
      <c r="J19" s="172">
        <f>+G15-I19</f>
        <v>0.25885467115368871</v>
      </c>
      <c r="K19" s="192">
        <f t="shared" si="1"/>
        <v>5.1200000000000002E-2</v>
      </c>
      <c r="L19" s="201">
        <f t="shared" si="0"/>
        <v>2.8799999999999999E-2</v>
      </c>
      <c r="M19" s="170" t="s">
        <v>303</v>
      </c>
      <c r="N19" s="201">
        <f t="shared" si="2"/>
        <v>2.8799999999999999E-2</v>
      </c>
    </row>
    <row r="20" spans="3:14" x14ac:dyDescent="0.25">
      <c r="C20" s="2" t="s">
        <v>138</v>
      </c>
      <c r="D20" s="3">
        <v>5</v>
      </c>
      <c r="E20" s="3" t="s">
        <v>10</v>
      </c>
      <c r="F20" s="8"/>
      <c r="G20" s="369"/>
      <c r="H20" s="170" t="s">
        <v>304</v>
      </c>
      <c r="I20" s="176">
        <v>0.06</v>
      </c>
      <c r="J20" s="172">
        <f>+G15-I20</f>
        <v>0.27885467115368873</v>
      </c>
      <c r="K20" s="192">
        <f t="shared" si="1"/>
        <v>3.8399999999999997E-2</v>
      </c>
      <c r="L20" s="201">
        <f t="shared" si="0"/>
        <v>2.1600000000000001E-2</v>
      </c>
      <c r="M20" s="170" t="s">
        <v>304</v>
      </c>
      <c r="N20" s="201">
        <f t="shared" si="2"/>
        <v>2.1600000000000001E-2</v>
      </c>
    </row>
    <row r="21" spans="3:14" x14ac:dyDescent="0.25">
      <c r="C21" s="378" t="s">
        <v>321</v>
      </c>
      <c r="D21" s="380">
        <f>+VARIOS!P3</f>
        <v>698</v>
      </c>
      <c r="E21" s="380" t="s">
        <v>11</v>
      </c>
      <c r="F21" s="8"/>
      <c r="G21" s="369"/>
      <c r="H21" s="170" t="s">
        <v>305</v>
      </c>
      <c r="I21" s="176">
        <v>0.04</v>
      </c>
      <c r="J21" s="172">
        <f>+G15-I21</f>
        <v>0.29885467115368874</v>
      </c>
      <c r="K21" s="192">
        <f t="shared" si="1"/>
        <v>2.5600000000000001E-2</v>
      </c>
      <c r="L21" s="201">
        <f t="shared" si="0"/>
        <v>1.44E-2</v>
      </c>
      <c r="M21" s="170" t="s">
        <v>305</v>
      </c>
      <c r="N21" s="201">
        <f t="shared" si="2"/>
        <v>1.44E-2</v>
      </c>
    </row>
    <row r="22" spans="3:14" x14ac:dyDescent="0.25">
      <c r="C22" s="379"/>
      <c r="D22" s="381"/>
      <c r="E22" s="381"/>
      <c r="F22" s="6"/>
      <c r="G22" s="369"/>
      <c r="H22" s="170" t="s">
        <v>306</v>
      </c>
      <c r="I22" s="176">
        <v>2.5000000000000001E-2</v>
      </c>
      <c r="J22" s="172">
        <f>+G15-I22</f>
        <v>0.3138546711536887</v>
      </c>
      <c r="K22" s="192">
        <f t="shared" si="1"/>
        <v>1.6E-2</v>
      </c>
      <c r="L22" s="201">
        <f t="shared" si="0"/>
        <v>9.0000000000000011E-3</v>
      </c>
      <c r="M22" s="170" t="s">
        <v>306</v>
      </c>
      <c r="N22" s="201">
        <f t="shared" si="2"/>
        <v>9.0000000000000011E-3</v>
      </c>
    </row>
    <row r="23" spans="3:14" x14ac:dyDescent="0.25">
      <c r="C23" s="2" t="s">
        <v>139</v>
      </c>
      <c r="D23" s="3">
        <v>20</v>
      </c>
      <c r="E23" s="3" t="s">
        <v>10</v>
      </c>
      <c r="F23" s="6"/>
      <c r="G23" s="369"/>
      <c r="H23" s="170" t="s">
        <v>307</v>
      </c>
      <c r="I23" s="176">
        <v>0.01</v>
      </c>
      <c r="J23" s="172">
        <f>+$G$15-I23</f>
        <v>0.32885467115368872</v>
      </c>
      <c r="K23" s="192">
        <f t="shared" si="1"/>
        <v>6.4000000000000003E-3</v>
      </c>
      <c r="L23" s="201">
        <f t="shared" si="0"/>
        <v>3.5999999999999999E-3</v>
      </c>
      <c r="M23" s="170" t="s">
        <v>307</v>
      </c>
      <c r="N23" s="201">
        <f t="shared" si="2"/>
        <v>3.5999999999999999E-3</v>
      </c>
    </row>
    <row r="24" spans="3:14" ht="15.75" thickBot="1" x14ac:dyDescent="0.3">
      <c r="C24" s="2" t="s">
        <v>7</v>
      </c>
      <c r="D24" s="3">
        <f>+VARIOS!E19</f>
        <v>24.949999999999996</v>
      </c>
      <c r="E24" s="3" t="s">
        <v>9</v>
      </c>
      <c r="F24" s="8"/>
      <c r="G24" s="370"/>
      <c r="H24" s="171" t="s">
        <v>308</v>
      </c>
      <c r="I24" s="177">
        <v>0</v>
      </c>
      <c r="J24" s="173">
        <f>+$G$15-I24</f>
        <v>0.33885467115368872</v>
      </c>
      <c r="K24" s="193">
        <f>+I24*I10/100</f>
        <v>0</v>
      </c>
      <c r="L24" s="202">
        <f t="shared" si="0"/>
        <v>0</v>
      </c>
      <c r="M24" s="171" t="s">
        <v>308</v>
      </c>
      <c r="N24" s="202">
        <f>+L24</f>
        <v>0</v>
      </c>
    </row>
    <row r="25" spans="3:14" x14ac:dyDescent="0.25">
      <c r="C25" s="2" t="s">
        <v>140</v>
      </c>
      <c r="D25" s="3">
        <v>7.2</v>
      </c>
      <c r="E25" s="3" t="s">
        <v>13</v>
      </c>
      <c r="F25" s="8"/>
    </row>
    <row r="26" spans="3:14" x14ac:dyDescent="0.25">
      <c r="C26" s="2" t="s">
        <v>15</v>
      </c>
      <c r="D26" s="3">
        <v>29</v>
      </c>
      <c r="E26" s="3" t="s">
        <v>16</v>
      </c>
      <c r="F26" s="8"/>
    </row>
    <row r="27" spans="3:14" x14ac:dyDescent="0.25">
      <c r="C27" s="2" t="s">
        <v>141</v>
      </c>
      <c r="D27" s="3">
        <f>+D24*D25*D26*12</f>
        <v>62514.719999999994</v>
      </c>
      <c r="E27" s="3" t="s">
        <v>143</v>
      </c>
      <c r="F27" s="8"/>
    </row>
    <row r="28" spans="3:14" x14ac:dyDescent="0.25">
      <c r="C28" s="2" t="s">
        <v>142</v>
      </c>
      <c r="D28" s="212">
        <f>+D21-D21*(D18+D19+D20)%/2</f>
        <v>506.04999999999995</v>
      </c>
      <c r="E28" s="3" t="s">
        <v>11</v>
      </c>
      <c r="F28" s="8"/>
    </row>
    <row r="29" spans="3:14" x14ac:dyDescent="0.25">
      <c r="C29" s="4"/>
      <c r="D29" s="213"/>
      <c r="E29" s="4"/>
      <c r="F29" s="6"/>
    </row>
    <row r="55" spans="2:17" x14ac:dyDescent="0.25"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</row>
  </sheetData>
  <mergeCells count="16">
    <mergeCell ref="G15:G24"/>
    <mergeCell ref="G10:H10"/>
    <mergeCell ref="G11:H11"/>
    <mergeCell ref="I8:I9"/>
    <mergeCell ref="C14:E14"/>
    <mergeCell ref="C21:C22"/>
    <mergeCell ref="E21:E22"/>
    <mergeCell ref="D21:D22"/>
    <mergeCell ref="C15:D16"/>
    <mergeCell ref="E15:E16"/>
    <mergeCell ref="J8:J9"/>
    <mergeCell ref="G3:H4"/>
    <mergeCell ref="G8:H9"/>
    <mergeCell ref="I3:J4"/>
    <mergeCell ref="B3:E3"/>
    <mergeCell ref="B8:D8"/>
  </mergeCells>
  <pageMargins left="0.7" right="0.7" top="0.75" bottom="0.75" header="0.3" footer="0.3"/>
  <pageSetup paperSize="9" scale="76" orientation="landscape" horizontalDpi="4294967292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topLeftCell="B1" zoomScaleNormal="100" workbookViewId="0">
      <selection activeCell="P16" sqref="P16"/>
    </sheetView>
  </sheetViews>
  <sheetFormatPr baseColWidth="10" defaultRowHeight="15" x14ac:dyDescent="0.25"/>
  <cols>
    <col min="3" max="3" width="31.5703125" customWidth="1"/>
    <col min="4" max="4" width="17" hidden="1" customWidth="1"/>
    <col min="5" max="5" width="15.42578125" customWidth="1"/>
    <col min="6" max="6" width="15.42578125" style="132" hidden="1" customWidth="1"/>
    <col min="7" max="7" width="12.42578125" style="132" hidden="1" customWidth="1"/>
    <col min="8" max="8" width="0" hidden="1" customWidth="1"/>
    <col min="9" max="9" width="10.85546875" style="132" customWidth="1"/>
    <col min="10" max="10" width="13.140625" customWidth="1"/>
    <col min="11" max="11" width="14.140625" customWidth="1"/>
    <col min="12" max="12" width="13.140625" customWidth="1"/>
    <col min="13" max="13" width="13.28515625" customWidth="1"/>
  </cols>
  <sheetData>
    <row r="1" spans="2:13" ht="15.75" thickBot="1" x14ac:dyDescent="0.3"/>
    <row r="2" spans="2:13" ht="64.5" thickBot="1" x14ac:dyDescent="0.3">
      <c r="B2" s="73" t="s">
        <v>106</v>
      </c>
      <c r="C2" s="74" t="s">
        <v>107</v>
      </c>
      <c r="D2" s="74" t="s">
        <v>108</v>
      </c>
      <c r="E2" s="74" t="s">
        <v>353</v>
      </c>
      <c r="F2" s="74" t="s">
        <v>109</v>
      </c>
      <c r="G2" s="74" t="s">
        <v>295</v>
      </c>
      <c r="H2" s="74" t="s">
        <v>8</v>
      </c>
      <c r="I2" s="74" t="s">
        <v>278</v>
      </c>
      <c r="J2" s="74" t="s">
        <v>354</v>
      </c>
      <c r="K2" s="74" t="s">
        <v>355</v>
      </c>
      <c r="L2" s="74" t="s">
        <v>351</v>
      </c>
      <c r="M2" s="75" t="s">
        <v>352</v>
      </c>
    </row>
    <row r="3" spans="2:13" ht="25.5" x14ac:dyDescent="0.25">
      <c r="B3" s="398" t="s">
        <v>110</v>
      </c>
      <c r="C3" s="79" t="s">
        <v>111</v>
      </c>
      <c r="D3" s="281" t="s">
        <v>114</v>
      </c>
      <c r="E3" s="282">
        <v>4</v>
      </c>
      <c r="F3" s="406">
        <f>+E4+E5+E3</f>
        <v>10</v>
      </c>
      <c r="G3" s="404">
        <f>+SUM(E14:E27)+E9+E10</f>
        <v>64</v>
      </c>
      <c r="H3" s="395">
        <f>+'COSTOS T'!H5</f>
        <v>0.33885467115368872</v>
      </c>
      <c r="I3" s="178">
        <f>+'ANEXO INC'!D19/'ANEXO INC'!B18</f>
        <v>0</v>
      </c>
      <c r="J3" s="181">
        <f t="shared" ref="J3:J8" si="0">+I3*E3</f>
        <v>0</v>
      </c>
      <c r="K3" s="283"/>
      <c r="L3" s="392">
        <f>SUM(J3:J32)*100/36</f>
        <v>28.104999839097413</v>
      </c>
      <c r="M3" s="392">
        <f>SUM(K3:K32)*100/64</f>
        <v>78.292175956979676</v>
      </c>
    </row>
    <row r="4" spans="2:13" x14ac:dyDescent="0.25">
      <c r="B4" s="399"/>
      <c r="C4" s="77" t="s">
        <v>112</v>
      </c>
      <c r="D4" s="151" t="s">
        <v>113</v>
      </c>
      <c r="E4" s="158">
        <v>2</v>
      </c>
      <c r="F4" s="406"/>
      <c r="G4" s="404"/>
      <c r="H4" s="396"/>
      <c r="I4" s="148">
        <f>+'ANEXO INC'!E19/'ANEXO INC'!F19</f>
        <v>0.98246492985971945</v>
      </c>
      <c r="J4" s="180">
        <f t="shared" si="0"/>
        <v>1.9649298597194389</v>
      </c>
      <c r="K4" s="182"/>
      <c r="L4" s="392"/>
      <c r="M4" s="392"/>
    </row>
    <row r="5" spans="2:13" ht="15.75" thickBot="1" x14ac:dyDescent="0.3">
      <c r="B5" s="400"/>
      <c r="C5" s="78" t="s">
        <v>130</v>
      </c>
      <c r="D5" s="152" t="s">
        <v>114</v>
      </c>
      <c r="E5" s="159">
        <v>4</v>
      </c>
      <c r="F5" s="407"/>
      <c r="G5" s="404"/>
      <c r="H5" s="396"/>
      <c r="I5" s="149">
        <f>+'ANEXO INC'!G19/'ANEXO INC'!H19</f>
        <v>0.25</v>
      </c>
      <c r="J5" s="174">
        <f>I5*1/0.3*E5</f>
        <v>3.3333333333333335</v>
      </c>
      <c r="K5" s="183"/>
      <c r="L5" s="392"/>
      <c r="M5" s="392"/>
    </row>
    <row r="6" spans="2:13" x14ac:dyDescent="0.25">
      <c r="B6" s="398" t="s">
        <v>115</v>
      </c>
      <c r="C6" s="79" t="s">
        <v>279</v>
      </c>
      <c r="D6" s="153" t="s">
        <v>114</v>
      </c>
      <c r="E6" s="160">
        <v>2</v>
      </c>
      <c r="F6" s="388">
        <f>+E6+E7+E8</f>
        <v>8</v>
      </c>
      <c r="G6" s="404"/>
      <c r="H6" s="396"/>
      <c r="I6" s="147">
        <f>+'ANEXO INC'!I19/'ANEXO INC'!J19</f>
        <v>0.50774307708610467</v>
      </c>
      <c r="J6" s="181">
        <f t="shared" si="0"/>
        <v>1.0154861541722093</v>
      </c>
      <c r="K6" s="165"/>
      <c r="L6" s="392"/>
      <c r="M6" s="392"/>
    </row>
    <row r="7" spans="2:13" s="132" customFormat="1" x14ac:dyDescent="0.25">
      <c r="B7" s="399"/>
      <c r="C7" s="77" t="s">
        <v>280</v>
      </c>
      <c r="D7" s="153" t="s">
        <v>114</v>
      </c>
      <c r="E7" s="161">
        <v>2</v>
      </c>
      <c r="F7" s="389"/>
      <c r="G7" s="404"/>
      <c r="H7" s="396"/>
      <c r="I7" s="148">
        <f>+'ANEXO INC'!K19/'ANEXO INC'!L19</f>
        <v>0.69123621590249562</v>
      </c>
      <c r="J7" s="180">
        <f t="shared" si="0"/>
        <v>1.3824724318049912</v>
      </c>
      <c r="K7" s="163"/>
      <c r="L7" s="392"/>
      <c r="M7" s="392"/>
    </row>
    <row r="8" spans="2:13" ht="15.75" thickBot="1" x14ac:dyDescent="0.3">
      <c r="B8" s="401"/>
      <c r="C8" s="80" t="s">
        <v>116</v>
      </c>
      <c r="D8" s="150" t="s">
        <v>114</v>
      </c>
      <c r="E8" s="162">
        <v>4</v>
      </c>
      <c r="F8" s="390"/>
      <c r="G8" s="404"/>
      <c r="H8" s="396"/>
      <c r="I8" s="149">
        <f>+'ANEXO INC'!M19/'ANEXO INC'!N19</f>
        <v>0.20376647834274952</v>
      </c>
      <c r="J8" s="180">
        <f t="shared" si="0"/>
        <v>0.8150659133709981</v>
      </c>
      <c r="K8" s="164"/>
      <c r="L8" s="392"/>
      <c r="M8" s="392"/>
    </row>
    <row r="9" spans="2:13" x14ac:dyDescent="0.25">
      <c r="B9" s="402" t="s">
        <v>118</v>
      </c>
      <c r="C9" s="76" t="s">
        <v>282</v>
      </c>
      <c r="D9" s="154" t="s">
        <v>117</v>
      </c>
      <c r="E9" s="160">
        <v>2</v>
      </c>
      <c r="F9" s="388">
        <f>+E9+E10+E11+E12+E13</f>
        <v>12</v>
      </c>
      <c r="G9" s="404"/>
      <c r="H9" s="396"/>
      <c r="I9" s="147">
        <f>+'ANEXO INC'!O19/'ANEXO INC'!P19</f>
        <v>0.73764799301994399</v>
      </c>
      <c r="J9" s="179"/>
      <c r="K9" s="184">
        <f>+I9*E9</f>
        <v>1.475295986039888</v>
      </c>
      <c r="L9" s="392"/>
      <c r="M9" s="392"/>
    </row>
    <row r="10" spans="2:13" s="132" customFormat="1" x14ac:dyDescent="0.25">
      <c r="B10" s="398"/>
      <c r="C10" s="79" t="s">
        <v>281</v>
      </c>
      <c r="D10" s="153" t="s">
        <v>117</v>
      </c>
      <c r="E10" s="161">
        <v>2</v>
      </c>
      <c r="F10" s="389"/>
      <c r="G10" s="404"/>
      <c r="H10" s="396"/>
      <c r="I10" s="148">
        <f>+'ANEXO INC'!Q19/'ANEXO INC'!R19</f>
        <v>0.88984881209503242</v>
      </c>
      <c r="J10" s="180"/>
      <c r="K10" s="185">
        <f>+I10*E10</f>
        <v>1.7796976241900648</v>
      </c>
      <c r="L10" s="392"/>
      <c r="M10" s="392"/>
    </row>
    <row r="11" spans="2:13" x14ac:dyDescent="0.25">
      <c r="B11" s="403"/>
      <c r="C11" s="81" t="s">
        <v>119</v>
      </c>
      <c r="D11" s="155" t="s">
        <v>114</v>
      </c>
      <c r="E11" s="161">
        <v>2</v>
      </c>
      <c r="F11" s="389"/>
      <c r="G11" s="404"/>
      <c r="H11" s="396"/>
      <c r="I11" s="148">
        <f>+'ANEXO INC'!S19/'ANEXO INC'!N19</f>
        <v>0</v>
      </c>
      <c r="J11" s="180">
        <f>+I11*E11</f>
        <v>0</v>
      </c>
      <c r="K11" s="185"/>
      <c r="L11" s="392"/>
      <c r="M11" s="392"/>
    </row>
    <row r="12" spans="2:13" x14ac:dyDescent="0.25">
      <c r="B12" s="403"/>
      <c r="C12" s="81" t="s">
        <v>131</v>
      </c>
      <c r="D12" s="155" t="s">
        <v>114</v>
      </c>
      <c r="E12" s="161">
        <v>4</v>
      </c>
      <c r="F12" s="389"/>
      <c r="G12" s="404"/>
      <c r="H12" s="396"/>
      <c r="I12" s="148">
        <f>+'ANEXO INC'!T19/'ANEXO INC'!N19</f>
        <v>0</v>
      </c>
      <c r="J12" s="180">
        <f>+I12*E12</f>
        <v>0</v>
      </c>
      <c r="K12" s="185"/>
      <c r="L12" s="392"/>
      <c r="M12" s="392"/>
    </row>
    <row r="13" spans="2:13" ht="15.75" thickBot="1" x14ac:dyDescent="0.3">
      <c r="B13" s="400"/>
      <c r="C13" s="78" t="s">
        <v>120</v>
      </c>
      <c r="D13" s="156" t="s">
        <v>114</v>
      </c>
      <c r="E13" s="162">
        <v>2</v>
      </c>
      <c r="F13" s="390"/>
      <c r="G13" s="404"/>
      <c r="H13" s="396"/>
      <c r="I13" s="149">
        <f>+'ANEXO INC'!U19/'ANEXO INC'!N19</f>
        <v>0</v>
      </c>
      <c r="J13" s="174">
        <f>+I13*E13</f>
        <v>0</v>
      </c>
      <c r="K13" s="186"/>
      <c r="L13" s="392"/>
      <c r="M13" s="392"/>
    </row>
    <row r="14" spans="2:13" x14ac:dyDescent="0.25">
      <c r="B14" s="402" t="s">
        <v>121</v>
      </c>
      <c r="C14" s="76" t="s">
        <v>283</v>
      </c>
      <c r="D14" s="157" t="s">
        <v>117</v>
      </c>
      <c r="E14" s="160">
        <v>4</v>
      </c>
      <c r="F14" s="388">
        <f>+E14+E15+E16+E17+E18+E19+E20+E21+E22+E23+E24+E25+E26+E27</f>
        <v>60</v>
      </c>
      <c r="G14" s="404"/>
      <c r="H14" s="396"/>
      <c r="I14" s="147">
        <f>+'ANEXO INC'!V19/'ANEXO INC'!F19</f>
        <v>0</v>
      </c>
      <c r="J14" s="181"/>
      <c r="K14" s="180">
        <f>IF(I14&lt;=0,E14,4)</f>
        <v>4</v>
      </c>
      <c r="L14" s="392"/>
      <c r="M14" s="392"/>
    </row>
    <row r="15" spans="2:13" s="132" customFormat="1" x14ac:dyDescent="0.25">
      <c r="B15" s="398"/>
      <c r="C15" s="79" t="s">
        <v>356</v>
      </c>
      <c r="D15" s="157" t="s">
        <v>117</v>
      </c>
      <c r="E15" s="161">
        <v>4</v>
      </c>
      <c r="F15" s="389"/>
      <c r="G15" s="404"/>
      <c r="H15" s="396"/>
      <c r="I15" s="148">
        <f>+'ANEXO INC'!W19/'ANEXO INC'!F19</f>
        <v>0</v>
      </c>
      <c r="J15" s="180"/>
      <c r="K15" s="180">
        <f>IF(I15&lt;=0,E15,4)</f>
        <v>4</v>
      </c>
      <c r="L15" s="392"/>
      <c r="M15" s="392"/>
    </row>
    <row r="16" spans="2:13" s="132" customFormat="1" x14ac:dyDescent="0.25">
      <c r="B16" s="398"/>
      <c r="C16" s="79" t="s">
        <v>284</v>
      </c>
      <c r="D16" s="157" t="s">
        <v>117</v>
      </c>
      <c r="E16" s="161">
        <v>6</v>
      </c>
      <c r="F16" s="389"/>
      <c r="G16" s="404"/>
      <c r="H16" s="396"/>
      <c r="I16" s="148">
        <f>+'ANEXO INC'!AK19/'ANEXO INC'!X19</f>
        <v>0</v>
      </c>
      <c r="J16" s="180"/>
      <c r="K16" s="180">
        <f>IF(I16&lt;=0,E16,4)</f>
        <v>6</v>
      </c>
      <c r="L16" s="392"/>
      <c r="M16" s="392"/>
    </row>
    <row r="17" spans="2:13" s="132" customFormat="1" x14ac:dyDescent="0.25">
      <c r="B17" s="398"/>
      <c r="C17" s="79" t="s">
        <v>285</v>
      </c>
      <c r="D17" s="157" t="s">
        <v>117</v>
      </c>
      <c r="E17" s="161">
        <v>6</v>
      </c>
      <c r="F17" s="389"/>
      <c r="G17" s="404"/>
      <c r="H17" s="396"/>
      <c r="I17" s="148">
        <f>+'ANEXO INC'!Y19/'ANEXO INC'!Z19</f>
        <v>0.97826086956521741</v>
      </c>
      <c r="J17" s="180"/>
      <c r="K17" s="180">
        <f>+I17*E17</f>
        <v>5.8695652173913047</v>
      </c>
      <c r="L17" s="392"/>
      <c r="M17" s="392"/>
    </row>
    <row r="18" spans="2:13" x14ac:dyDescent="0.25">
      <c r="B18" s="403"/>
      <c r="C18" s="81" t="s">
        <v>122</v>
      </c>
      <c r="D18" s="150" t="s">
        <v>117</v>
      </c>
      <c r="E18" s="161">
        <v>4</v>
      </c>
      <c r="F18" s="389"/>
      <c r="G18" s="404"/>
      <c r="H18" s="396"/>
      <c r="I18" s="148">
        <f>+'ANEXO INC'!AA19/'ANEXO INC'!AB19</f>
        <v>1</v>
      </c>
      <c r="J18" s="180"/>
      <c r="K18" s="180">
        <f>+I18*E18</f>
        <v>4</v>
      </c>
      <c r="L18" s="392"/>
      <c r="M18" s="392"/>
    </row>
    <row r="19" spans="2:13" x14ac:dyDescent="0.25">
      <c r="B19" s="403"/>
      <c r="C19" s="81" t="s">
        <v>123</v>
      </c>
      <c r="D19" s="150" t="s">
        <v>117</v>
      </c>
      <c r="E19" s="161">
        <v>6</v>
      </c>
      <c r="F19" s="389"/>
      <c r="G19" s="404"/>
      <c r="H19" s="396"/>
      <c r="I19" s="148">
        <f>+'ANEXO INC'!AC19/'ANEXO INC'!AD19</f>
        <v>4.3749999999999991</v>
      </c>
      <c r="J19" s="180"/>
      <c r="K19" s="180">
        <f>IF(I19&lt;=4.5,E19,0)</f>
        <v>6</v>
      </c>
      <c r="L19" s="392"/>
      <c r="M19" s="392"/>
    </row>
    <row r="20" spans="2:13" x14ac:dyDescent="0.25">
      <c r="B20" s="403"/>
      <c r="C20" s="81" t="s">
        <v>124</v>
      </c>
      <c r="D20" s="150" t="s">
        <v>117</v>
      </c>
      <c r="E20" s="161">
        <v>4</v>
      </c>
      <c r="F20" s="389"/>
      <c r="G20" s="404"/>
      <c r="H20" s="396"/>
      <c r="I20" s="148">
        <f>+'ANEXO INC'!AE19/'ANEXO INC'!AB19</f>
        <v>1</v>
      </c>
      <c r="J20" s="180"/>
      <c r="K20" s="180">
        <f t="shared" ref="K20:K24" si="1">+I20*E20</f>
        <v>4</v>
      </c>
      <c r="L20" s="392"/>
      <c r="M20" s="392"/>
    </row>
    <row r="21" spans="2:13" x14ac:dyDescent="0.25">
      <c r="B21" s="403"/>
      <c r="C21" s="81" t="s">
        <v>286</v>
      </c>
      <c r="D21" s="150" t="s">
        <v>117</v>
      </c>
      <c r="E21" s="161">
        <v>2</v>
      </c>
      <c r="F21" s="389"/>
      <c r="G21" s="404"/>
      <c r="H21" s="396"/>
      <c r="I21" s="148">
        <f>+'ANEXO INC'!AF19/'ANEXO INC'!Z19</f>
        <v>0</v>
      </c>
      <c r="J21" s="180"/>
      <c r="K21" s="180">
        <f t="shared" si="1"/>
        <v>0</v>
      </c>
      <c r="L21" s="392"/>
      <c r="M21" s="392"/>
    </row>
    <row r="22" spans="2:13" s="132" customFormat="1" x14ac:dyDescent="0.25">
      <c r="B22" s="403"/>
      <c r="C22" s="81" t="s">
        <v>287</v>
      </c>
      <c r="D22" s="150" t="s">
        <v>117</v>
      </c>
      <c r="E22" s="161">
        <v>2</v>
      </c>
      <c r="F22" s="389"/>
      <c r="G22" s="404"/>
      <c r="H22" s="396"/>
      <c r="I22" s="148">
        <f>+'ANEXO INC'!AG19/'ANEXO INC'!AI19</f>
        <v>0.37908271353848844</v>
      </c>
      <c r="J22" s="180"/>
      <c r="K22" s="180">
        <f t="shared" si="1"/>
        <v>0.75816542707697687</v>
      </c>
      <c r="L22" s="392"/>
      <c r="M22" s="392"/>
    </row>
    <row r="23" spans="2:13" s="132" customFormat="1" x14ac:dyDescent="0.25">
      <c r="B23" s="403"/>
      <c r="C23" s="81" t="s">
        <v>288</v>
      </c>
      <c r="D23" s="150" t="s">
        <v>117</v>
      </c>
      <c r="E23" s="161">
        <v>2</v>
      </c>
      <c r="F23" s="389"/>
      <c r="G23" s="404"/>
      <c r="H23" s="396"/>
      <c r="I23" s="148">
        <f>+'ANEXO INC'!AH19/'ANEXO INC'!AI19</f>
        <v>0.11213417888437974</v>
      </c>
      <c r="J23" s="180"/>
      <c r="K23" s="180">
        <f t="shared" si="1"/>
        <v>0.22426835776875947</v>
      </c>
      <c r="L23" s="392"/>
      <c r="M23" s="392"/>
    </row>
    <row r="24" spans="2:13" x14ac:dyDescent="0.25">
      <c r="B24" s="403"/>
      <c r="C24" s="81" t="s">
        <v>296</v>
      </c>
      <c r="D24" s="150" t="s">
        <v>117</v>
      </c>
      <c r="E24" s="161">
        <v>4</v>
      </c>
      <c r="F24" s="389"/>
      <c r="G24" s="404"/>
      <c r="H24" s="396"/>
      <c r="I24" s="148">
        <f>+'ANEXO INC'!AJ19/'ANEXO INC'!Z19</f>
        <v>0</v>
      </c>
      <c r="J24" s="180"/>
      <c r="K24" s="180">
        <f t="shared" si="1"/>
        <v>0</v>
      </c>
      <c r="L24" s="392"/>
      <c r="M24" s="392"/>
    </row>
    <row r="25" spans="2:13" x14ac:dyDescent="0.25">
      <c r="B25" s="403"/>
      <c r="C25" s="81" t="s">
        <v>297</v>
      </c>
      <c r="D25" s="150" t="s">
        <v>117</v>
      </c>
      <c r="E25" s="161">
        <v>4</v>
      </c>
      <c r="F25" s="389"/>
      <c r="G25" s="404"/>
      <c r="H25" s="396"/>
      <c r="I25" s="148">
        <f>+'ANEXO INC'!AK19</f>
        <v>0</v>
      </c>
      <c r="J25" s="180"/>
      <c r="K25" s="180">
        <f>IF(I25&gt;=0,E25,0)</f>
        <v>4</v>
      </c>
      <c r="L25" s="392"/>
      <c r="M25" s="392"/>
    </row>
    <row r="26" spans="2:13" s="132" customFormat="1" x14ac:dyDescent="0.25">
      <c r="B26" s="401"/>
      <c r="C26" s="80" t="s">
        <v>290</v>
      </c>
      <c r="D26" s="150" t="s">
        <v>117</v>
      </c>
      <c r="E26" s="161">
        <v>8</v>
      </c>
      <c r="F26" s="389"/>
      <c r="G26" s="404"/>
      <c r="H26" s="396"/>
      <c r="I26" s="148">
        <f>+'ANEXO INC'!AL19</f>
        <v>19.56991714304214</v>
      </c>
      <c r="J26" s="180"/>
      <c r="K26" s="180">
        <f>IF(I26&gt;=15,E26,0)</f>
        <v>8</v>
      </c>
      <c r="L26" s="392"/>
      <c r="M26" s="392"/>
    </row>
    <row r="27" spans="2:13" ht="15.75" thickBot="1" x14ac:dyDescent="0.3">
      <c r="B27" s="400"/>
      <c r="C27" s="78" t="s">
        <v>291</v>
      </c>
      <c r="D27" s="150" t="s">
        <v>117</v>
      </c>
      <c r="E27" s="162">
        <v>4</v>
      </c>
      <c r="F27" s="390"/>
      <c r="G27" s="404"/>
      <c r="H27" s="396"/>
      <c r="I27" s="149">
        <v>0</v>
      </c>
      <c r="J27" s="187"/>
      <c r="K27" s="174">
        <f>IF(I27&gt;=2,E27,0)</f>
        <v>0</v>
      </c>
      <c r="L27" s="392"/>
      <c r="M27" s="392"/>
    </row>
    <row r="28" spans="2:13" ht="20.25" customHeight="1" x14ac:dyDescent="0.25">
      <c r="B28" s="402" t="s">
        <v>125</v>
      </c>
      <c r="C28" s="76" t="s">
        <v>126</v>
      </c>
      <c r="D28" s="167" t="s">
        <v>114</v>
      </c>
      <c r="E28" s="160">
        <v>2</v>
      </c>
      <c r="F28" s="388">
        <f>+E28+E29</f>
        <v>6</v>
      </c>
      <c r="G28" s="404"/>
      <c r="H28" s="396"/>
      <c r="I28" s="147">
        <f>+'ANEXO INC'!AN19/'ANEXO INC'!N19</f>
        <v>0</v>
      </c>
      <c r="J28" s="188">
        <f>+I28*E28</f>
        <v>0</v>
      </c>
      <c r="K28" s="179"/>
      <c r="L28" s="393"/>
      <c r="M28" s="393"/>
    </row>
    <row r="29" spans="2:13" ht="15.75" thickBot="1" x14ac:dyDescent="0.3">
      <c r="B29" s="400"/>
      <c r="C29" s="78" t="s">
        <v>127</v>
      </c>
      <c r="D29" s="168" t="s">
        <v>114</v>
      </c>
      <c r="E29" s="162">
        <v>4</v>
      </c>
      <c r="F29" s="390"/>
      <c r="G29" s="404"/>
      <c r="H29" s="396"/>
      <c r="I29" s="149">
        <f>+'ANEXO INC'!T19/'ANEXO INC'!N19</f>
        <v>0</v>
      </c>
      <c r="J29" s="189">
        <f>+I29*E29</f>
        <v>0</v>
      </c>
      <c r="K29" s="174"/>
      <c r="L29" s="393"/>
      <c r="M29" s="393"/>
    </row>
    <row r="30" spans="2:13" x14ac:dyDescent="0.25">
      <c r="B30" s="398" t="s">
        <v>128</v>
      </c>
      <c r="C30" s="79" t="s">
        <v>293</v>
      </c>
      <c r="D30" s="153" t="s">
        <v>114</v>
      </c>
      <c r="E30" s="166">
        <v>1</v>
      </c>
      <c r="F30" s="388">
        <f>+E30+E31+E32</f>
        <v>4</v>
      </c>
      <c r="G30" s="404"/>
      <c r="H30" s="396"/>
      <c r="I30" s="178">
        <f>+'ANEXO INC'!I19/'ANEXO INC'!J19</f>
        <v>0.50774307708610467</v>
      </c>
      <c r="J30" s="190">
        <f>+I30*E30</f>
        <v>0.50774307708610467</v>
      </c>
      <c r="K30" s="181"/>
      <c r="L30" s="393"/>
      <c r="M30" s="393"/>
    </row>
    <row r="31" spans="2:13" s="132" customFormat="1" x14ac:dyDescent="0.25">
      <c r="B31" s="399"/>
      <c r="C31" s="77" t="s">
        <v>294</v>
      </c>
      <c r="D31" s="150" t="s">
        <v>114</v>
      </c>
      <c r="E31" s="161">
        <v>1</v>
      </c>
      <c r="F31" s="389"/>
      <c r="G31" s="404"/>
      <c r="H31" s="396"/>
      <c r="I31" s="148">
        <f>+'ANEXO INC'!K19/'ANEXO INC'!L19</f>
        <v>0.69123621590249562</v>
      </c>
      <c r="J31" s="191">
        <f>+I31*E31</f>
        <v>0.69123621590249562</v>
      </c>
      <c r="K31" s="180"/>
      <c r="L31" s="393"/>
      <c r="M31" s="393"/>
    </row>
    <row r="32" spans="2:13" ht="15.75" thickBot="1" x14ac:dyDescent="0.3">
      <c r="B32" s="400"/>
      <c r="C32" s="78" t="s">
        <v>129</v>
      </c>
      <c r="D32" s="156" t="s">
        <v>114</v>
      </c>
      <c r="E32" s="162">
        <v>2</v>
      </c>
      <c r="F32" s="390"/>
      <c r="G32" s="405"/>
      <c r="H32" s="397"/>
      <c r="I32" s="149">
        <f>+'ANEXO INC'!M19/'ANEXO INC'!N19</f>
        <v>0.20376647834274952</v>
      </c>
      <c r="J32" s="189">
        <f>+I32*E32</f>
        <v>0.40753295668549905</v>
      </c>
      <c r="K32" s="174"/>
      <c r="L32" s="394"/>
      <c r="M32" s="394"/>
    </row>
    <row r="33" spans="2:11" x14ac:dyDescent="0.25">
      <c r="B33" s="391" t="s">
        <v>4</v>
      </c>
      <c r="C33" s="391"/>
      <c r="D33" s="391"/>
      <c r="E33" s="391"/>
      <c r="F33" s="391"/>
      <c r="G33" s="391"/>
      <c r="H33" s="391"/>
      <c r="I33" s="391"/>
      <c r="J33" s="146">
        <f>SUM(J3:J32)</f>
        <v>10.117799942075068</v>
      </c>
      <c r="K33" s="146">
        <f>SUM(K3:K32)</f>
        <v>50.106992612466989</v>
      </c>
    </row>
  </sheetData>
  <mergeCells count="17">
    <mergeCell ref="F9:F13"/>
    <mergeCell ref="F14:F27"/>
    <mergeCell ref="F28:F29"/>
    <mergeCell ref="F30:F32"/>
    <mergeCell ref="B33:I33"/>
    <mergeCell ref="M3:M32"/>
    <mergeCell ref="H3:H32"/>
    <mergeCell ref="L3:L32"/>
    <mergeCell ref="B30:B32"/>
    <mergeCell ref="B3:B5"/>
    <mergeCell ref="B6:B8"/>
    <mergeCell ref="B9:B13"/>
    <mergeCell ref="B14:B27"/>
    <mergeCell ref="B28:B29"/>
    <mergeCell ref="G3:G32"/>
    <mergeCell ref="F3:F5"/>
    <mergeCell ref="F6:F8"/>
  </mergeCells>
  <pageMargins left="0.7" right="0.7" top="0.75" bottom="0.75" header="0.3" footer="0.3"/>
  <pageSetup paperSize="9" scale="92" orientation="landscape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19"/>
  <sheetViews>
    <sheetView workbookViewId="0">
      <selection sqref="A1:AO1048576"/>
    </sheetView>
  </sheetViews>
  <sheetFormatPr baseColWidth="10" defaultRowHeight="15" x14ac:dyDescent="0.25"/>
  <cols>
    <col min="2" max="2" width="6.5703125" customWidth="1"/>
    <col min="3" max="3" width="25.42578125" bestFit="1" customWidth="1"/>
    <col min="4" max="4" width="10.140625" customWidth="1"/>
    <col min="5" max="5" width="9.140625" customWidth="1"/>
    <col min="6" max="6" width="8.42578125" customWidth="1"/>
    <col min="7" max="7" width="8.140625" customWidth="1"/>
    <col min="8" max="8" width="11.140625" customWidth="1"/>
    <col min="9" max="9" width="10.85546875" customWidth="1"/>
    <col min="10" max="10" width="8.85546875" customWidth="1"/>
    <col min="11" max="11" width="9" customWidth="1"/>
    <col min="12" max="12" width="9.85546875" customWidth="1"/>
    <col min="13" max="13" width="8.85546875" customWidth="1"/>
    <col min="14" max="14" width="8.28515625" customWidth="1"/>
    <col min="15" max="15" width="14.5703125" customWidth="1"/>
    <col min="16" max="16" width="9.7109375" customWidth="1"/>
    <col min="17" max="17" width="8.28515625" customWidth="1"/>
    <col min="18" max="18" width="10.28515625" customWidth="1"/>
    <col min="19" max="19" width="11.42578125" customWidth="1"/>
    <col min="20" max="20" width="12.7109375" style="132" customWidth="1"/>
    <col min="21" max="21" width="10.5703125" customWidth="1"/>
    <col min="22" max="22" width="13.5703125" customWidth="1"/>
    <col min="23" max="23" width="13.28515625" customWidth="1"/>
    <col min="24" max="30" width="11.42578125" customWidth="1"/>
    <col min="31" max="31" width="11.42578125" style="132"/>
    <col min="32" max="32" width="12" customWidth="1"/>
    <col min="34" max="34" width="11.42578125" style="132"/>
    <col min="36" max="36" width="11" customWidth="1"/>
    <col min="37" max="37" width="13.42578125" customWidth="1"/>
  </cols>
  <sheetData>
    <row r="1" spans="2:41" ht="15" customHeight="1" x14ac:dyDescent="0.25">
      <c r="B1" s="424" t="s">
        <v>216</v>
      </c>
      <c r="C1" s="426" t="s">
        <v>217</v>
      </c>
      <c r="D1" s="419" t="s">
        <v>255</v>
      </c>
      <c r="E1" s="419" t="s">
        <v>235</v>
      </c>
      <c r="F1" s="419" t="s">
        <v>234</v>
      </c>
      <c r="G1" s="419" t="s">
        <v>270</v>
      </c>
      <c r="H1" s="419" t="s">
        <v>236</v>
      </c>
      <c r="I1" s="419" t="s">
        <v>256</v>
      </c>
      <c r="J1" s="419" t="s">
        <v>257</v>
      </c>
      <c r="K1" s="419" t="s">
        <v>237</v>
      </c>
      <c r="L1" s="419" t="s">
        <v>238</v>
      </c>
      <c r="M1" s="419" t="s">
        <v>239</v>
      </c>
      <c r="N1" s="419" t="s">
        <v>240</v>
      </c>
      <c r="O1" s="419" t="s">
        <v>348</v>
      </c>
      <c r="P1" s="419" t="s">
        <v>271</v>
      </c>
      <c r="Q1" s="419" t="s">
        <v>241</v>
      </c>
      <c r="R1" s="419" t="s">
        <v>272</v>
      </c>
      <c r="S1" s="419" t="s">
        <v>242</v>
      </c>
      <c r="T1" s="419" t="s">
        <v>292</v>
      </c>
      <c r="U1" s="419" t="s">
        <v>243</v>
      </c>
      <c r="V1" s="419" t="s">
        <v>244</v>
      </c>
      <c r="W1" s="419" t="s">
        <v>246</v>
      </c>
      <c r="X1" s="419" t="s">
        <v>245</v>
      </c>
      <c r="Y1" s="419" t="s">
        <v>247</v>
      </c>
      <c r="Z1" s="419" t="s">
        <v>277</v>
      </c>
      <c r="AA1" s="419" t="s">
        <v>248</v>
      </c>
      <c r="AB1" s="419" t="s">
        <v>249</v>
      </c>
      <c r="AC1" s="419" t="s">
        <v>250</v>
      </c>
      <c r="AD1" s="419" t="s">
        <v>251</v>
      </c>
      <c r="AE1" s="419" t="s">
        <v>269</v>
      </c>
      <c r="AF1" s="419" t="s">
        <v>252</v>
      </c>
      <c r="AG1" s="419" t="s">
        <v>350</v>
      </c>
      <c r="AH1" s="419" t="s">
        <v>289</v>
      </c>
      <c r="AI1" s="419" t="s">
        <v>349</v>
      </c>
      <c r="AJ1" s="419" t="s">
        <v>253</v>
      </c>
      <c r="AK1" s="419" t="s">
        <v>273</v>
      </c>
      <c r="AL1" s="419" t="s">
        <v>276</v>
      </c>
      <c r="AM1" s="419" t="s">
        <v>275</v>
      </c>
      <c r="AN1" s="419" t="s">
        <v>274</v>
      </c>
      <c r="AO1" s="417" t="s">
        <v>254</v>
      </c>
    </row>
    <row r="2" spans="2:41" ht="30.75" customHeight="1" thickBot="1" x14ac:dyDescent="0.3">
      <c r="B2" s="425"/>
      <c r="C2" s="427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K2" s="420"/>
      <c r="AL2" s="420"/>
      <c r="AM2" s="420"/>
      <c r="AN2" s="420"/>
      <c r="AO2" s="418"/>
    </row>
    <row r="3" spans="2:41" ht="15" customHeight="1" x14ac:dyDescent="0.25">
      <c r="B3" s="273">
        <v>1</v>
      </c>
      <c r="C3" s="274" t="s">
        <v>218</v>
      </c>
      <c r="D3" s="275">
        <v>0</v>
      </c>
      <c r="E3" s="275">
        <f>+VARIOS!E3</f>
        <v>22.6</v>
      </c>
      <c r="F3" s="258">
        <f>+X3</f>
        <v>22.6</v>
      </c>
      <c r="G3" s="408">
        <v>0.25</v>
      </c>
      <c r="H3" s="408">
        <v>300</v>
      </c>
      <c r="I3" s="408">
        <v>3147.52</v>
      </c>
      <c r="J3" s="428">
        <f>61990407/10000</f>
        <v>6199.0406999999996</v>
      </c>
      <c r="K3" s="275">
        <v>90</v>
      </c>
      <c r="L3" s="275">
        <v>137</v>
      </c>
      <c r="M3" s="275">
        <v>33</v>
      </c>
      <c r="N3" s="284">
        <f>INT(F3/0.15)</f>
        <v>150</v>
      </c>
      <c r="O3" s="275">
        <v>3</v>
      </c>
      <c r="P3" s="275">
        <v>2</v>
      </c>
      <c r="Q3" s="275">
        <v>15</v>
      </c>
      <c r="R3" s="275">
        <v>16</v>
      </c>
      <c r="S3" s="408" t="s">
        <v>346</v>
      </c>
      <c r="T3" s="408" t="s">
        <v>346</v>
      </c>
      <c r="U3" s="408" t="s">
        <v>346</v>
      </c>
      <c r="V3" s="431" t="s">
        <v>345</v>
      </c>
      <c r="W3" s="431" t="s">
        <v>345</v>
      </c>
      <c r="X3" s="276">
        <f>+VARIOS!E3</f>
        <v>22.6</v>
      </c>
      <c r="Y3" s="408">
        <v>180</v>
      </c>
      <c r="Z3" s="408">
        <f>31+56+13+6+28+41+9</f>
        <v>184</v>
      </c>
      <c r="AA3" s="408">
        <v>180</v>
      </c>
      <c r="AB3" s="408">
        <v>180</v>
      </c>
      <c r="AC3" s="408">
        <v>42</v>
      </c>
      <c r="AD3" s="408">
        <f>12*0.8</f>
        <v>9.6000000000000014</v>
      </c>
      <c r="AE3" s="408">
        <v>180</v>
      </c>
      <c r="AF3" s="408">
        <v>0</v>
      </c>
      <c r="AG3" s="277">
        <v>48</v>
      </c>
      <c r="AH3" s="277">
        <v>10</v>
      </c>
      <c r="AI3" s="408">
        <v>30</v>
      </c>
      <c r="AJ3" s="408">
        <v>0</v>
      </c>
      <c r="AK3" s="414" t="s">
        <v>345</v>
      </c>
      <c r="AL3" s="278">
        <f>+VARIOS!G3</f>
        <v>18.833333333333336</v>
      </c>
      <c r="AM3" s="421">
        <v>2</v>
      </c>
      <c r="AN3" s="408">
        <v>0</v>
      </c>
      <c r="AO3" s="411">
        <v>0</v>
      </c>
    </row>
    <row r="4" spans="2:41" x14ac:dyDescent="0.25">
      <c r="B4" s="134">
        <v>2</v>
      </c>
      <c r="C4" s="133" t="s">
        <v>219</v>
      </c>
      <c r="D4" s="259">
        <v>0</v>
      </c>
      <c r="E4" s="260">
        <f>+VARIOS!E4</f>
        <v>20.3</v>
      </c>
      <c r="F4" s="259">
        <f>+X4</f>
        <v>20.3</v>
      </c>
      <c r="G4" s="409"/>
      <c r="H4" s="409"/>
      <c r="I4" s="409"/>
      <c r="J4" s="429"/>
      <c r="K4" s="260">
        <v>90</v>
      </c>
      <c r="L4" s="260">
        <v>137</v>
      </c>
      <c r="M4" s="260">
        <v>35</v>
      </c>
      <c r="N4" s="285">
        <f>INT(F4/0.15)</f>
        <v>135</v>
      </c>
      <c r="O4" s="260">
        <v>4</v>
      </c>
      <c r="P4" s="260">
        <v>3</v>
      </c>
      <c r="Q4" s="260">
        <v>15</v>
      </c>
      <c r="R4" s="260">
        <v>16</v>
      </c>
      <c r="S4" s="409"/>
      <c r="T4" s="409"/>
      <c r="U4" s="409"/>
      <c r="V4" s="432"/>
      <c r="W4" s="432"/>
      <c r="X4" s="261">
        <f>+VARIOS!E4</f>
        <v>20.3</v>
      </c>
      <c r="Y4" s="409"/>
      <c r="Z4" s="409"/>
      <c r="AA4" s="409"/>
      <c r="AB4" s="409"/>
      <c r="AC4" s="409"/>
      <c r="AD4" s="409"/>
      <c r="AE4" s="409"/>
      <c r="AF4" s="409"/>
      <c r="AG4" s="272">
        <v>50</v>
      </c>
      <c r="AH4" s="272">
        <v>10</v>
      </c>
      <c r="AI4" s="409"/>
      <c r="AJ4" s="409"/>
      <c r="AK4" s="415"/>
      <c r="AL4" s="269">
        <f>+VARIOS!G4</f>
        <v>16.916666666666668</v>
      </c>
      <c r="AM4" s="422"/>
      <c r="AN4" s="409"/>
      <c r="AO4" s="412"/>
    </row>
    <row r="5" spans="2:41" x14ac:dyDescent="0.25">
      <c r="B5" s="134">
        <v>3</v>
      </c>
      <c r="C5" s="133" t="s">
        <v>220</v>
      </c>
      <c r="D5" s="259">
        <v>0</v>
      </c>
      <c r="E5" s="260">
        <f>+VARIOS!E5-3</f>
        <v>22</v>
      </c>
      <c r="F5" s="259">
        <f t="shared" ref="F5:F17" si="0">+X5</f>
        <v>25</v>
      </c>
      <c r="G5" s="409"/>
      <c r="H5" s="409"/>
      <c r="I5" s="409"/>
      <c r="J5" s="429"/>
      <c r="K5" s="260">
        <v>78</v>
      </c>
      <c r="L5" s="260">
        <v>137</v>
      </c>
      <c r="M5" s="260">
        <v>28</v>
      </c>
      <c r="N5" s="285">
        <f t="shared" ref="N5:N17" si="1">INT(F5/0.15)</f>
        <v>166</v>
      </c>
      <c r="O5" s="260">
        <v>3</v>
      </c>
      <c r="P5" s="260">
        <v>2</v>
      </c>
      <c r="Q5" s="260">
        <v>13</v>
      </c>
      <c r="R5" s="260">
        <v>16</v>
      </c>
      <c r="S5" s="409"/>
      <c r="T5" s="409"/>
      <c r="U5" s="409"/>
      <c r="V5" s="432"/>
      <c r="W5" s="432"/>
      <c r="X5" s="261">
        <f>+VARIOS!E5</f>
        <v>25</v>
      </c>
      <c r="Y5" s="409"/>
      <c r="Z5" s="409"/>
      <c r="AA5" s="409"/>
      <c r="AB5" s="409"/>
      <c r="AC5" s="409"/>
      <c r="AD5" s="409"/>
      <c r="AE5" s="409"/>
      <c r="AF5" s="409"/>
      <c r="AG5" s="272">
        <v>40</v>
      </c>
      <c r="AH5" s="272">
        <v>12</v>
      </c>
      <c r="AI5" s="409"/>
      <c r="AJ5" s="409"/>
      <c r="AK5" s="415"/>
      <c r="AL5" s="269">
        <f>+VARIOS!G5</f>
        <v>20</v>
      </c>
      <c r="AM5" s="422"/>
      <c r="AN5" s="409"/>
      <c r="AO5" s="412"/>
    </row>
    <row r="6" spans="2:41" x14ac:dyDescent="0.25">
      <c r="B6" s="134">
        <v>4</v>
      </c>
      <c r="C6" s="133" t="s">
        <v>221</v>
      </c>
      <c r="D6" s="259">
        <v>0</v>
      </c>
      <c r="E6" s="260">
        <f>+VARIOS!E6</f>
        <v>22.1</v>
      </c>
      <c r="F6" s="259">
        <f t="shared" si="0"/>
        <v>22.1</v>
      </c>
      <c r="G6" s="409"/>
      <c r="H6" s="409"/>
      <c r="I6" s="409"/>
      <c r="J6" s="429"/>
      <c r="K6" s="260">
        <v>65</v>
      </c>
      <c r="L6" s="260">
        <v>70</v>
      </c>
      <c r="M6" s="260">
        <v>40</v>
      </c>
      <c r="N6" s="285">
        <f t="shared" si="1"/>
        <v>147</v>
      </c>
      <c r="O6" s="260">
        <v>4</v>
      </c>
      <c r="P6" s="260">
        <v>4</v>
      </c>
      <c r="Q6" s="260">
        <v>14</v>
      </c>
      <c r="R6" s="260">
        <v>14</v>
      </c>
      <c r="S6" s="409"/>
      <c r="T6" s="409"/>
      <c r="U6" s="409"/>
      <c r="V6" s="432"/>
      <c r="W6" s="432"/>
      <c r="X6" s="261">
        <f>+VARIOS!E6</f>
        <v>22.1</v>
      </c>
      <c r="Y6" s="409"/>
      <c r="Z6" s="409"/>
      <c r="AA6" s="409"/>
      <c r="AB6" s="409"/>
      <c r="AC6" s="409"/>
      <c r="AD6" s="409"/>
      <c r="AE6" s="409"/>
      <c r="AF6" s="409"/>
      <c r="AG6" s="272">
        <v>60</v>
      </c>
      <c r="AH6" s="272">
        <v>12</v>
      </c>
      <c r="AI6" s="409"/>
      <c r="AJ6" s="409"/>
      <c r="AK6" s="415"/>
      <c r="AL6" s="269">
        <f>+VARIOS!G6</f>
        <v>17.68</v>
      </c>
      <c r="AM6" s="422"/>
      <c r="AN6" s="409"/>
      <c r="AO6" s="412"/>
    </row>
    <row r="7" spans="2:41" x14ac:dyDescent="0.25">
      <c r="B7" s="134">
        <v>5</v>
      </c>
      <c r="C7" s="133" t="s">
        <v>222</v>
      </c>
      <c r="D7" s="259">
        <v>0</v>
      </c>
      <c r="E7" s="260">
        <f>+VARIOS!E7</f>
        <v>31.6</v>
      </c>
      <c r="F7" s="259">
        <f t="shared" si="0"/>
        <v>31.6</v>
      </c>
      <c r="G7" s="409"/>
      <c r="H7" s="409"/>
      <c r="I7" s="409"/>
      <c r="J7" s="429"/>
      <c r="K7" s="260">
        <v>65</v>
      </c>
      <c r="L7" s="260">
        <v>70</v>
      </c>
      <c r="M7" s="260">
        <v>42</v>
      </c>
      <c r="N7" s="285">
        <f t="shared" si="1"/>
        <v>210</v>
      </c>
      <c r="O7" s="260">
        <v>5</v>
      </c>
      <c r="P7" s="260">
        <v>4</v>
      </c>
      <c r="Q7" s="260">
        <v>14</v>
      </c>
      <c r="R7" s="260">
        <v>14</v>
      </c>
      <c r="S7" s="409"/>
      <c r="T7" s="409"/>
      <c r="U7" s="409"/>
      <c r="V7" s="432"/>
      <c r="W7" s="432"/>
      <c r="X7" s="261">
        <f>+VARIOS!E7</f>
        <v>31.6</v>
      </c>
      <c r="Y7" s="409"/>
      <c r="Z7" s="409"/>
      <c r="AA7" s="409"/>
      <c r="AB7" s="409"/>
      <c r="AC7" s="409"/>
      <c r="AD7" s="409"/>
      <c r="AE7" s="409"/>
      <c r="AF7" s="409"/>
      <c r="AG7" s="272">
        <v>45</v>
      </c>
      <c r="AH7" s="272">
        <v>12</v>
      </c>
      <c r="AI7" s="409"/>
      <c r="AJ7" s="409"/>
      <c r="AK7" s="415"/>
      <c r="AL7" s="269">
        <f>+VARIOS!G7</f>
        <v>23.407407407407408</v>
      </c>
      <c r="AM7" s="422"/>
      <c r="AN7" s="409"/>
      <c r="AO7" s="412"/>
    </row>
    <row r="8" spans="2:41" x14ac:dyDescent="0.25">
      <c r="B8" s="134">
        <v>6</v>
      </c>
      <c r="C8" s="133" t="s">
        <v>223</v>
      </c>
      <c r="D8" s="259">
        <v>0</v>
      </c>
      <c r="E8" s="260">
        <f>+VARIOS!E8</f>
        <v>23</v>
      </c>
      <c r="F8" s="259">
        <f t="shared" si="0"/>
        <v>23</v>
      </c>
      <c r="G8" s="409"/>
      <c r="H8" s="409"/>
      <c r="I8" s="409"/>
      <c r="J8" s="429"/>
      <c r="K8" s="260">
        <v>65</v>
      </c>
      <c r="L8" s="260">
        <v>70</v>
      </c>
      <c r="M8" s="260">
        <v>36</v>
      </c>
      <c r="N8" s="285">
        <f t="shared" si="1"/>
        <v>153</v>
      </c>
      <c r="O8" s="260">
        <v>4</v>
      </c>
      <c r="P8" s="260">
        <v>4</v>
      </c>
      <c r="Q8" s="260">
        <v>14</v>
      </c>
      <c r="R8" s="260">
        <v>14</v>
      </c>
      <c r="S8" s="409"/>
      <c r="T8" s="409"/>
      <c r="U8" s="409"/>
      <c r="V8" s="432"/>
      <c r="W8" s="432"/>
      <c r="X8" s="261">
        <f>+VARIOS!E8</f>
        <v>23</v>
      </c>
      <c r="Y8" s="409"/>
      <c r="Z8" s="409"/>
      <c r="AA8" s="409"/>
      <c r="AB8" s="409"/>
      <c r="AC8" s="409"/>
      <c r="AD8" s="409"/>
      <c r="AE8" s="409"/>
      <c r="AF8" s="409"/>
      <c r="AG8" s="272">
        <v>60</v>
      </c>
      <c r="AH8" s="272">
        <v>10</v>
      </c>
      <c r="AI8" s="409"/>
      <c r="AJ8" s="409"/>
      <c r="AK8" s="415"/>
      <c r="AL8" s="269">
        <f>+VARIOS!G8</f>
        <v>18.399999999999999</v>
      </c>
      <c r="AM8" s="422"/>
      <c r="AN8" s="409"/>
      <c r="AO8" s="412"/>
    </row>
    <row r="9" spans="2:41" x14ac:dyDescent="0.25">
      <c r="B9" s="134">
        <v>7</v>
      </c>
      <c r="C9" s="133" t="s">
        <v>224</v>
      </c>
      <c r="D9" s="259">
        <v>0</v>
      </c>
      <c r="E9" s="260">
        <f>+VARIOS!E9-3</f>
        <v>30.1</v>
      </c>
      <c r="F9" s="259">
        <f t="shared" si="0"/>
        <v>33.1</v>
      </c>
      <c r="G9" s="409"/>
      <c r="H9" s="409"/>
      <c r="I9" s="409"/>
      <c r="J9" s="429"/>
      <c r="K9" s="260">
        <v>83</v>
      </c>
      <c r="L9" s="260">
        <v>97</v>
      </c>
      <c r="M9" s="260">
        <v>28</v>
      </c>
      <c r="N9" s="285">
        <f t="shared" si="1"/>
        <v>220</v>
      </c>
      <c r="O9" s="260">
        <v>9</v>
      </c>
      <c r="P9" s="260">
        <v>8</v>
      </c>
      <c r="Q9" s="260">
        <v>12.5</v>
      </c>
      <c r="R9" s="260">
        <v>13</v>
      </c>
      <c r="S9" s="409"/>
      <c r="T9" s="409"/>
      <c r="U9" s="409"/>
      <c r="V9" s="432"/>
      <c r="W9" s="432"/>
      <c r="X9" s="261">
        <f>+VARIOS!E9</f>
        <v>33.1</v>
      </c>
      <c r="Y9" s="409"/>
      <c r="Z9" s="409"/>
      <c r="AA9" s="409"/>
      <c r="AB9" s="409"/>
      <c r="AC9" s="409"/>
      <c r="AD9" s="409"/>
      <c r="AE9" s="409"/>
      <c r="AF9" s="409"/>
      <c r="AG9" s="272">
        <v>45</v>
      </c>
      <c r="AH9" s="272">
        <v>15</v>
      </c>
      <c r="AI9" s="409"/>
      <c r="AJ9" s="409"/>
      <c r="AK9" s="415"/>
      <c r="AL9" s="269">
        <f>+VARIOS!G9</f>
        <v>23.642857142857146</v>
      </c>
      <c r="AM9" s="422"/>
      <c r="AN9" s="409"/>
      <c r="AO9" s="412"/>
    </row>
    <row r="10" spans="2:41" x14ac:dyDescent="0.25">
      <c r="B10" s="134">
        <v>8</v>
      </c>
      <c r="C10" s="133" t="s">
        <v>225</v>
      </c>
      <c r="D10" s="259">
        <v>0</v>
      </c>
      <c r="E10" s="260">
        <f>+VARIOS!E10</f>
        <v>19.5</v>
      </c>
      <c r="F10" s="259">
        <f t="shared" si="0"/>
        <v>19.5</v>
      </c>
      <c r="G10" s="409"/>
      <c r="H10" s="409"/>
      <c r="I10" s="409"/>
      <c r="J10" s="429"/>
      <c r="K10" s="260">
        <v>97</v>
      </c>
      <c r="L10" s="260">
        <v>140</v>
      </c>
      <c r="M10" s="260">
        <v>22</v>
      </c>
      <c r="N10" s="285">
        <f t="shared" si="1"/>
        <v>130</v>
      </c>
      <c r="O10" s="260">
        <v>8</v>
      </c>
      <c r="P10" s="260">
        <v>6</v>
      </c>
      <c r="Q10" s="260">
        <v>13</v>
      </c>
      <c r="R10" s="260">
        <v>14</v>
      </c>
      <c r="S10" s="409"/>
      <c r="T10" s="409"/>
      <c r="U10" s="409"/>
      <c r="V10" s="432"/>
      <c r="W10" s="432"/>
      <c r="X10" s="261">
        <f>+VARIOS!E10</f>
        <v>19.5</v>
      </c>
      <c r="Y10" s="409"/>
      <c r="Z10" s="409"/>
      <c r="AA10" s="409"/>
      <c r="AB10" s="409"/>
      <c r="AC10" s="409"/>
      <c r="AD10" s="409"/>
      <c r="AE10" s="409"/>
      <c r="AF10" s="409"/>
      <c r="AG10" s="272">
        <v>60</v>
      </c>
      <c r="AH10" s="272">
        <v>5</v>
      </c>
      <c r="AI10" s="409"/>
      <c r="AJ10" s="409"/>
      <c r="AK10" s="415"/>
      <c r="AL10" s="269">
        <f>+VARIOS!G10</f>
        <v>16.25</v>
      </c>
      <c r="AM10" s="422"/>
      <c r="AN10" s="409"/>
      <c r="AO10" s="412"/>
    </row>
    <row r="11" spans="2:41" x14ac:dyDescent="0.25">
      <c r="B11" s="134">
        <v>9</v>
      </c>
      <c r="C11" s="133" t="s">
        <v>226</v>
      </c>
      <c r="D11" s="259">
        <v>0</v>
      </c>
      <c r="E11" s="260">
        <f>+VARIOS!E11</f>
        <v>27.2</v>
      </c>
      <c r="F11" s="259">
        <f t="shared" si="0"/>
        <v>27.2</v>
      </c>
      <c r="G11" s="409"/>
      <c r="H11" s="409"/>
      <c r="I11" s="409"/>
      <c r="J11" s="429"/>
      <c r="K11" s="260">
        <v>75</v>
      </c>
      <c r="L11" s="260">
        <v>105</v>
      </c>
      <c r="M11" s="260">
        <v>30</v>
      </c>
      <c r="N11" s="285">
        <f t="shared" si="1"/>
        <v>181</v>
      </c>
      <c r="O11" s="260">
        <v>10</v>
      </c>
      <c r="P11" s="260">
        <v>8</v>
      </c>
      <c r="Q11" s="260">
        <v>12.5</v>
      </c>
      <c r="R11" s="260">
        <v>14</v>
      </c>
      <c r="S11" s="409"/>
      <c r="T11" s="409"/>
      <c r="U11" s="409"/>
      <c r="V11" s="432"/>
      <c r="W11" s="432"/>
      <c r="X11" s="261">
        <f>+VARIOS!E11</f>
        <v>27.2</v>
      </c>
      <c r="Y11" s="409"/>
      <c r="Z11" s="409"/>
      <c r="AA11" s="409"/>
      <c r="AB11" s="409"/>
      <c r="AC11" s="409"/>
      <c r="AD11" s="409"/>
      <c r="AE11" s="409"/>
      <c r="AF11" s="409"/>
      <c r="AG11" s="272">
        <v>45</v>
      </c>
      <c r="AH11" s="272">
        <v>8</v>
      </c>
      <c r="AI11" s="409"/>
      <c r="AJ11" s="409"/>
      <c r="AK11" s="415"/>
      <c r="AL11" s="269">
        <f>+VARIOS!G11</f>
        <v>22.666666666666668</v>
      </c>
      <c r="AM11" s="422"/>
      <c r="AN11" s="409"/>
      <c r="AO11" s="412"/>
    </row>
    <row r="12" spans="2:41" x14ac:dyDescent="0.25">
      <c r="B12" s="134">
        <v>10</v>
      </c>
      <c r="C12" s="133" t="s">
        <v>227</v>
      </c>
      <c r="D12" s="259">
        <v>0</v>
      </c>
      <c r="E12" s="260">
        <f>+VARIOS!E12-1</f>
        <v>25.5</v>
      </c>
      <c r="F12" s="259">
        <f t="shared" si="0"/>
        <v>26.5</v>
      </c>
      <c r="G12" s="409"/>
      <c r="H12" s="409"/>
      <c r="I12" s="409"/>
      <c r="J12" s="429"/>
      <c r="K12" s="260">
        <v>55</v>
      </c>
      <c r="L12" s="260">
        <v>93</v>
      </c>
      <c r="M12" s="260">
        <v>26</v>
      </c>
      <c r="N12" s="285">
        <f t="shared" si="1"/>
        <v>176</v>
      </c>
      <c r="O12" s="260">
        <v>12</v>
      </c>
      <c r="P12" s="260">
        <v>8</v>
      </c>
      <c r="Q12" s="260">
        <v>11</v>
      </c>
      <c r="R12" s="260">
        <v>12.5</v>
      </c>
      <c r="S12" s="409"/>
      <c r="T12" s="409"/>
      <c r="U12" s="409"/>
      <c r="V12" s="432"/>
      <c r="W12" s="432"/>
      <c r="X12" s="261">
        <f>+VARIOS!E12</f>
        <v>26.5</v>
      </c>
      <c r="Y12" s="409"/>
      <c r="Z12" s="409"/>
      <c r="AA12" s="409"/>
      <c r="AB12" s="409"/>
      <c r="AC12" s="409"/>
      <c r="AD12" s="409"/>
      <c r="AE12" s="409"/>
      <c r="AF12" s="409"/>
      <c r="AG12" s="272">
        <v>30</v>
      </c>
      <c r="AH12" s="272">
        <v>6</v>
      </c>
      <c r="AI12" s="409"/>
      <c r="AJ12" s="409"/>
      <c r="AK12" s="415"/>
      <c r="AL12" s="269">
        <f>+VARIOS!G12</f>
        <v>19.62962962962963</v>
      </c>
      <c r="AM12" s="422"/>
      <c r="AN12" s="409"/>
      <c r="AO12" s="412"/>
    </row>
    <row r="13" spans="2:41" x14ac:dyDescent="0.25">
      <c r="B13" s="134">
        <v>11</v>
      </c>
      <c r="C13" s="133" t="s">
        <v>228</v>
      </c>
      <c r="D13" s="259">
        <v>0</v>
      </c>
      <c r="E13" s="260">
        <f>+VARIOS!E13</f>
        <v>18.5</v>
      </c>
      <c r="F13" s="259">
        <f t="shared" si="0"/>
        <v>18.5</v>
      </c>
      <c r="G13" s="409"/>
      <c r="H13" s="409"/>
      <c r="I13" s="409"/>
      <c r="J13" s="429"/>
      <c r="K13" s="260">
        <v>16</v>
      </c>
      <c r="L13" s="260">
        <v>78</v>
      </c>
      <c r="M13" s="260">
        <v>8</v>
      </c>
      <c r="N13" s="285">
        <f t="shared" si="1"/>
        <v>123</v>
      </c>
      <c r="O13" s="260">
        <v>15</v>
      </c>
      <c r="P13" s="260">
        <v>10</v>
      </c>
      <c r="Q13" s="260">
        <v>4</v>
      </c>
      <c r="R13" s="260">
        <v>13</v>
      </c>
      <c r="S13" s="409"/>
      <c r="T13" s="409"/>
      <c r="U13" s="409"/>
      <c r="V13" s="432"/>
      <c r="W13" s="432"/>
      <c r="X13" s="261">
        <f>+VARIOS!E13</f>
        <v>18.5</v>
      </c>
      <c r="Y13" s="409"/>
      <c r="Z13" s="409"/>
      <c r="AA13" s="409"/>
      <c r="AB13" s="409"/>
      <c r="AC13" s="409"/>
      <c r="AD13" s="409"/>
      <c r="AE13" s="409"/>
      <c r="AF13" s="409"/>
      <c r="AG13" s="272">
        <v>20</v>
      </c>
      <c r="AH13" s="272">
        <v>3</v>
      </c>
      <c r="AI13" s="409"/>
      <c r="AJ13" s="409"/>
      <c r="AK13" s="415"/>
      <c r="AL13" s="269">
        <f>+VARIOS!G13</f>
        <v>16.818181818181817</v>
      </c>
      <c r="AM13" s="422"/>
      <c r="AN13" s="409"/>
      <c r="AO13" s="412"/>
    </row>
    <row r="14" spans="2:41" x14ac:dyDescent="0.25">
      <c r="B14" s="134">
        <v>12</v>
      </c>
      <c r="C14" s="133" t="s">
        <v>229</v>
      </c>
      <c r="D14" s="259">
        <v>0</v>
      </c>
      <c r="E14" s="260">
        <f>+VARIOS!E14</f>
        <v>21.9</v>
      </c>
      <c r="F14" s="259">
        <f t="shared" si="0"/>
        <v>21.9</v>
      </c>
      <c r="G14" s="409"/>
      <c r="H14" s="409"/>
      <c r="I14" s="409"/>
      <c r="J14" s="429"/>
      <c r="K14" s="260">
        <v>72</v>
      </c>
      <c r="L14" s="260">
        <v>97</v>
      </c>
      <c r="M14" s="260">
        <v>24</v>
      </c>
      <c r="N14" s="285">
        <f t="shared" si="1"/>
        <v>146</v>
      </c>
      <c r="O14" s="260">
        <v>10</v>
      </c>
      <c r="P14" s="260">
        <v>8</v>
      </c>
      <c r="Q14" s="260">
        <v>12</v>
      </c>
      <c r="R14" s="260">
        <v>13</v>
      </c>
      <c r="S14" s="409"/>
      <c r="T14" s="409"/>
      <c r="U14" s="409"/>
      <c r="V14" s="432"/>
      <c r="W14" s="432"/>
      <c r="X14" s="261">
        <f>+VARIOS!E14</f>
        <v>21.9</v>
      </c>
      <c r="Y14" s="409"/>
      <c r="Z14" s="409"/>
      <c r="AA14" s="409"/>
      <c r="AB14" s="409"/>
      <c r="AC14" s="409"/>
      <c r="AD14" s="409"/>
      <c r="AE14" s="409"/>
      <c r="AF14" s="409"/>
      <c r="AG14" s="272">
        <v>45</v>
      </c>
      <c r="AH14" s="272">
        <v>15</v>
      </c>
      <c r="AI14" s="409"/>
      <c r="AJ14" s="409"/>
      <c r="AK14" s="415"/>
      <c r="AL14" s="269">
        <f>+VARIOS!G14</f>
        <v>16.846153846153843</v>
      </c>
      <c r="AM14" s="422"/>
      <c r="AN14" s="409"/>
      <c r="AO14" s="412"/>
    </row>
    <row r="15" spans="2:41" x14ac:dyDescent="0.25">
      <c r="B15" s="134">
        <v>13</v>
      </c>
      <c r="C15" s="133" t="s">
        <v>230</v>
      </c>
      <c r="D15" s="259">
        <v>0</v>
      </c>
      <c r="E15" s="260">
        <f>+VARIOS!E15</f>
        <v>24.5</v>
      </c>
      <c r="F15" s="259">
        <f t="shared" si="0"/>
        <v>24.5</v>
      </c>
      <c r="G15" s="409"/>
      <c r="H15" s="409"/>
      <c r="I15" s="409"/>
      <c r="J15" s="429"/>
      <c r="K15" s="260">
        <v>112</v>
      </c>
      <c r="L15" s="260">
        <v>150</v>
      </c>
      <c r="M15" s="260">
        <v>48</v>
      </c>
      <c r="N15" s="285">
        <f t="shared" si="1"/>
        <v>163</v>
      </c>
      <c r="O15" s="260">
        <v>4</v>
      </c>
      <c r="P15" s="260">
        <v>3</v>
      </c>
      <c r="Q15" s="260">
        <v>15</v>
      </c>
      <c r="R15" s="260">
        <v>15</v>
      </c>
      <c r="S15" s="409"/>
      <c r="T15" s="409"/>
      <c r="U15" s="409"/>
      <c r="V15" s="432"/>
      <c r="W15" s="432"/>
      <c r="X15" s="261">
        <f>+VARIOS!E15</f>
        <v>24.5</v>
      </c>
      <c r="Y15" s="409"/>
      <c r="Z15" s="409"/>
      <c r="AA15" s="409"/>
      <c r="AB15" s="409"/>
      <c r="AC15" s="409"/>
      <c r="AD15" s="409"/>
      <c r="AE15" s="409"/>
      <c r="AF15" s="409"/>
      <c r="AG15" s="272">
        <v>60</v>
      </c>
      <c r="AH15" s="272">
        <v>12</v>
      </c>
      <c r="AI15" s="409"/>
      <c r="AJ15" s="409"/>
      <c r="AK15" s="415"/>
      <c r="AL15" s="269">
        <f>+VARIOS!G15</f>
        <v>17.5</v>
      </c>
      <c r="AM15" s="422"/>
      <c r="AN15" s="409"/>
      <c r="AO15" s="412"/>
    </row>
    <row r="16" spans="2:41" x14ac:dyDescent="0.25">
      <c r="B16" s="134">
        <v>14</v>
      </c>
      <c r="C16" s="133" t="s">
        <v>231</v>
      </c>
      <c r="D16" s="259">
        <v>0</v>
      </c>
      <c r="E16" s="260">
        <f>+VARIOS!E16</f>
        <v>31.2</v>
      </c>
      <c r="F16" s="259">
        <f t="shared" si="0"/>
        <v>31.2</v>
      </c>
      <c r="G16" s="409"/>
      <c r="H16" s="409"/>
      <c r="I16" s="409"/>
      <c r="J16" s="429"/>
      <c r="K16" s="260">
        <v>112</v>
      </c>
      <c r="L16" s="260">
        <v>150</v>
      </c>
      <c r="M16" s="260">
        <v>54</v>
      </c>
      <c r="N16" s="285">
        <f t="shared" si="1"/>
        <v>208</v>
      </c>
      <c r="O16" s="260">
        <v>4</v>
      </c>
      <c r="P16" s="260">
        <v>3</v>
      </c>
      <c r="Q16" s="260">
        <v>15</v>
      </c>
      <c r="R16" s="260">
        <v>15</v>
      </c>
      <c r="S16" s="409"/>
      <c r="T16" s="409"/>
      <c r="U16" s="409"/>
      <c r="V16" s="432"/>
      <c r="W16" s="432"/>
      <c r="X16" s="261">
        <f>+VARIOS!E16</f>
        <v>31.2</v>
      </c>
      <c r="Y16" s="409"/>
      <c r="Z16" s="409"/>
      <c r="AA16" s="409"/>
      <c r="AB16" s="409"/>
      <c r="AC16" s="409"/>
      <c r="AD16" s="409"/>
      <c r="AE16" s="409"/>
      <c r="AF16" s="409"/>
      <c r="AG16" s="272">
        <v>60</v>
      </c>
      <c r="AH16" s="272">
        <v>12</v>
      </c>
      <c r="AI16" s="409"/>
      <c r="AJ16" s="409"/>
      <c r="AK16" s="415"/>
      <c r="AL16" s="269">
        <f>+VARIOS!G16</f>
        <v>22.285714285714288</v>
      </c>
      <c r="AM16" s="422"/>
      <c r="AN16" s="409"/>
      <c r="AO16" s="412"/>
    </row>
    <row r="17" spans="2:41" x14ac:dyDescent="0.25">
      <c r="B17" s="134">
        <v>15</v>
      </c>
      <c r="C17" s="133" t="s">
        <v>232</v>
      </c>
      <c r="D17" s="259">
        <v>0</v>
      </c>
      <c r="E17" s="260">
        <f>+VARIOS!E17</f>
        <v>20.5</v>
      </c>
      <c r="F17" s="259">
        <f t="shared" si="0"/>
        <v>20.5</v>
      </c>
      <c r="G17" s="409"/>
      <c r="H17" s="409"/>
      <c r="I17" s="409"/>
      <c r="J17" s="429"/>
      <c r="K17" s="260">
        <v>60</v>
      </c>
      <c r="L17" s="260">
        <v>96</v>
      </c>
      <c r="M17" s="260">
        <v>42</v>
      </c>
      <c r="N17" s="285">
        <f t="shared" si="1"/>
        <v>136</v>
      </c>
      <c r="O17" s="260">
        <v>12</v>
      </c>
      <c r="P17" s="260">
        <v>10</v>
      </c>
      <c r="Q17" s="260">
        <v>12</v>
      </c>
      <c r="R17" s="260">
        <v>16</v>
      </c>
      <c r="S17" s="409"/>
      <c r="T17" s="409"/>
      <c r="U17" s="409"/>
      <c r="V17" s="432"/>
      <c r="W17" s="432"/>
      <c r="X17" s="261">
        <f>+VARIOS!E17</f>
        <v>20.5</v>
      </c>
      <c r="Y17" s="409"/>
      <c r="Z17" s="409"/>
      <c r="AA17" s="409"/>
      <c r="AB17" s="409"/>
      <c r="AC17" s="409"/>
      <c r="AD17" s="409"/>
      <c r="AE17" s="409"/>
      <c r="AF17" s="409"/>
      <c r="AG17" s="272">
        <v>50</v>
      </c>
      <c r="AH17" s="272">
        <v>12</v>
      </c>
      <c r="AI17" s="409"/>
      <c r="AJ17" s="409"/>
      <c r="AK17" s="415"/>
      <c r="AL17" s="269">
        <f>+VARIOS!G17</f>
        <v>17.083333333333336</v>
      </c>
      <c r="AM17" s="422"/>
      <c r="AN17" s="409"/>
      <c r="AO17" s="412"/>
    </row>
    <row r="18" spans="2:41" ht="15.75" thickBot="1" x14ac:dyDescent="0.3">
      <c r="B18" s="136">
        <v>16</v>
      </c>
      <c r="C18" s="137" t="s">
        <v>233</v>
      </c>
      <c r="D18" s="262">
        <v>0</v>
      </c>
      <c r="E18" s="262">
        <f>+VARIOS!E18</f>
        <v>31.7</v>
      </c>
      <c r="F18" s="263">
        <f>+X18</f>
        <v>31.7</v>
      </c>
      <c r="G18" s="410"/>
      <c r="H18" s="410"/>
      <c r="I18" s="410"/>
      <c r="J18" s="430"/>
      <c r="K18" s="262">
        <v>56</v>
      </c>
      <c r="L18" s="262">
        <v>96</v>
      </c>
      <c r="M18" s="262">
        <v>45</v>
      </c>
      <c r="N18" s="286">
        <f>INT(F18/0.15)</f>
        <v>211</v>
      </c>
      <c r="O18" s="262">
        <v>15</v>
      </c>
      <c r="P18" s="262">
        <v>10</v>
      </c>
      <c r="Q18" s="262">
        <v>14</v>
      </c>
      <c r="R18" s="262">
        <v>16</v>
      </c>
      <c r="S18" s="410"/>
      <c r="T18" s="410"/>
      <c r="U18" s="410"/>
      <c r="V18" s="433"/>
      <c r="W18" s="433"/>
      <c r="X18" s="264">
        <f>+VARIOS!E18</f>
        <v>31.7</v>
      </c>
      <c r="Y18" s="410"/>
      <c r="Z18" s="410"/>
      <c r="AA18" s="410"/>
      <c r="AB18" s="410"/>
      <c r="AC18" s="410"/>
      <c r="AD18" s="410"/>
      <c r="AE18" s="410"/>
      <c r="AF18" s="410"/>
      <c r="AG18" s="279">
        <v>50</v>
      </c>
      <c r="AH18" s="279">
        <v>12</v>
      </c>
      <c r="AI18" s="410"/>
      <c r="AJ18" s="410"/>
      <c r="AK18" s="416"/>
      <c r="AL18" s="280">
        <f>+VARIOS!G18</f>
        <v>25.158730158730158</v>
      </c>
      <c r="AM18" s="423"/>
      <c r="AN18" s="410"/>
      <c r="AO18" s="413"/>
    </row>
    <row r="19" spans="2:41" x14ac:dyDescent="0.25">
      <c r="D19" s="265">
        <f>SUM(D3:D18)</f>
        <v>0</v>
      </c>
      <c r="E19" s="265">
        <f>SUM(E3:E18)</f>
        <v>392.19999999999993</v>
      </c>
      <c r="F19" s="265">
        <f>SUM(F3:F18)</f>
        <v>399.19999999999993</v>
      </c>
      <c r="G19" s="265">
        <f>+G3*300</f>
        <v>75</v>
      </c>
      <c r="H19" s="265">
        <f>+H3</f>
        <v>300</v>
      </c>
      <c r="I19" s="265">
        <f>+I3</f>
        <v>3147.52</v>
      </c>
      <c r="J19" s="266">
        <f>+J3</f>
        <v>6199.0406999999996</v>
      </c>
      <c r="K19" s="266">
        <f>+AVERAGE(K3:K18)</f>
        <v>74.4375</v>
      </c>
      <c r="L19" s="266">
        <f>+AVERAGE(L3:L18)</f>
        <v>107.6875</v>
      </c>
      <c r="M19" s="267">
        <f>SUM(M3:M18)</f>
        <v>541</v>
      </c>
      <c r="N19" s="267">
        <f>SUM(N3:N18)</f>
        <v>2655</v>
      </c>
      <c r="O19" s="267">
        <f>+_xlfn.STDEV.S(O3:O18)</f>
        <v>4.2875789594284246</v>
      </c>
      <c r="P19" s="266">
        <f>+AVERAGE(P3:P18)</f>
        <v>5.8125</v>
      </c>
      <c r="Q19" s="266">
        <f>+AVERAGE(Q3:Q18)</f>
        <v>12.875</v>
      </c>
      <c r="R19" s="266">
        <f>+AVERAGE(R3:R18)</f>
        <v>14.46875</v>
      </c>
      <c r="S19" s="265">
        <v>0</v>
      </c>
      <c r="T19" s="265">
        <v>0</v>
      </c>
      <c r="U19" s="265">
        <v>0</v>
      </c>
      <c r="V19" s="265">
        <v>0</v>
      </c>
      <c r="W19" s="265">
        <v>0</v>
      </c>
      <c r="X19" s="265">
        <f>SUM(X3:X18)</f>
        <v>399.19999999999993</v>
      </c>
      <c r="Y19" s="265">
        <f>+Y3</f>
        <v>180</v>
      </c>
      <c r="Z19" s="265">
        <f t="shared" ref="Z19:AO19" si="2">+Z3</f>
        <v>184</v>
      </c>
      <c r="AA19" s="265">
        <f t="shared" si="2"/>
        <v>180</v>
      </c>
      <c r="AB19" s="265">
        <f t="shared" si="2"/>
        <v>180</v>
      </c>
      <c r="AC19" s="265">
        <f t="shared" si="2"/>
        <v>42</v>
      </c>
      <c r="AD19" s="265">
        <f t="shared" si="2"/>
        <v>9.6000000000000014</v>
      </c>
      <c r="AE19" s="265">
        <f t="shared" si="2"/>
        <v>180</v>
      </c>
      <c r="AF19" s="265">
        <f t="shared" si="2"/>
        <v>0</v>
      </c>
      <c r="AG19" s="267">
        <f>+_xlfn.STDEV.S(AG3:AG18)</f>
        <v>11.372481406154654</v>
      </c>
      <c r="AH19" s="267">
        <f>+_xlfn.STDEV.S(AH3:AH18)</f>
        <v>3.3640253665313922</v>
      </c>
      <c r="AI19" s="266">
        <f>+AVERAGE(AI3:AI18)</f>
        <v>30</v>
      </c>
      <c r="AJ19" s="265">
        <f t="shared" si="2"/>
        <v>0</v>
      </c>
      <c r="AK19" s="265">
        <v>0</v>
      </c>
      <c r="AL19" s="268">
        <f>+AVERAGE(AL3:AL18)</f>
        <v>19.56991714304214</v>
      </c>
      <c r="AM19" s="265">
        <f t="shared" si="2"/>
        <v>2</v>
      </c>
      <c r="AN19" s="265">
        <f t="shared" si="2"/>
        <v>0</v>
      </c>
      <c r="AO19" s="265">
        <f t="shared" si="2"/>
        <v>0</v>
      </c>
    </row>
  </sheetData>
  <mergeCells count="63">
    <mergeCell ref="T3:T18"/>
    <mergeCell ref="AH1:AH2"/>
    <mergeCell ref="U1:U2"/>
    <mergeCell ref="M1:M2"/>
    <mergeCell ref="N1:N2"/>
    <mergeCell ref="O1:O2"/>
    <mergeCell ref="P1:P2"/>
    <mergeCell ref="Q1:Q2"/>
    <mergeCell ref="R1:R2"/>
    <mergeCell ref="T1:T2"/>
    <mergeCell ref="V1:V2"/>
    <mergeCell ref="W1:W2"/>
    <mergeCell ref="X1:X2"/>
    <mergeCell ref="V3:V18"/>
    <mergeCell ref="W3:W18"/>
    <mergeCell ref="AC1:AC2"/>
    <mergeCell ref="L1:L2"/>
    <mergeCell ref="S1:S2"/>
    <mergeCell ref="G3:G18"/>
    <mergeCell ref="H3:H18"/>
    <mergeCell ref="G1:G2"/>
    <mergeCell ref="H1:H2"/>
    <mergeCell ref="S3:S18"/>
    <mergeCell ref="I3:I18"/>
    <mergeCell ref="J3:J18"/>
    <mergeCell ref="I1:I2"/>
    <mergeCell ref="J1:J2"/>
    <mergeCell ref="K1:K2"/>
    <mergeCell ref="B1:B2"/>
    <mergeCell ref="C1:C2"/>
    <mergeCell ref="D1:D2"/>
    <mergeCell ref="E1:E2"/>
    <mergeCell ref="F1:F2"/>
    <mergeCell ref="AD1:AD2"/>
    <mergeCell ref="AF1:AF2"/>
    <mergeCell ref="Y1:Y2"/>
    <mergeCell ref="Z1:Z2"/>
    <mergeCell ref="AA1:AA2"/>
    <mergeCell ref="AB1:AB2"/>
    <mergeCell ref="AG1:AG2"/>
    <mergeCell ref="AE1:AE2"/>
    <mergeCell ref="AI1:AI2"/>
    <mergeCell ref="AJ1:AJ2"/>
    <mergeCell ref="AK1:AK2"/>
    <mergeCell ref="AO3:AO18"/>
    <mergeCell ref="AJ3:AJ18"/>
    <mergeCell ref="AK3:AK18"/>
    <mergeCell ref="AO1:AO2"/>
    <mergeCell ref="AL1:AL2"/>
    <mergeCell ref="AN3:AN18"/>
    <mergeCell ref="AM3:AM18"/>
    <mergeCell ref="AM1:AM2"/>
    <mergeCell ref="AN1:AN2"/>
    <mergeCell ref="AI3:AI18"/>
    <mergeCell ref="U3:U18"/>
    <mergeCell ref="Y3:Y18"/>
    <mergeCell ref="AB3:AB18"/>
    <mergeCell ref="AD3:AD18"/>
    <mergeCell ref="AF3:AF18"/>
    <mergeCell ref="Z3:Z18"/>
    <mergeCell ref="AA3:AA18"/>
    <mergeCell ref="AE3:AE18"/>
    <mergeCell ref="AC3:AC18"/>
  </mergeCells>
  <pageMargins left="0.51181102362204722" right="0.31496062992125984" top="0.74803149606299213" bottom="0.74803149606299213" header="0.31496062992125984" footer="0.31496062992125984"/>
  <pageSetup paperSize="9" scale="50" fitToHeight="0" orientation="landscape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6"/>
  <sheetViews>
    <sheetView zoomScaleNormal="100" workbookViewId="0">
      <selection activeCell="H50" sqref="H50"/>
    </sheetView>
  </sheetViews>
  <sheetFormatPr baseColWidth="10" defaultRowHeight="15" x14ac:dyDescent="0.25"/>
  <cols>
    <col min="2" max="2" width="6.85546875" customWidth="1"/>
    <col min="3" max="3" width="38.7109375" customWidth="1"/>
    <col min="4" max="4" width="15.140625" style="132" customWidth="1"/>
    <col min="5" max="5" width="15.140625" customWidth="1"/>
    <col min="6" max="6" width="14.5703125" customWidth="1"/>
    <col min="10" max="10" width="32.7109375" bestFit="1" customWidth="1"/>
    <col min="11" max="11" width="13.5703125" customWidth="1"/>
    <col min="12" max="12" width="12.85546875" bestFit="1" customWidth="1"/>
    <col min="13" max="13" width="14.140625" customWidth="1"/>
    <col min="14" max="15" width="13.140625" customWidth="1"/>
    <col min="16" max="16" width="15.28515625" customWidth="1"/>
  </cols>
  <sheetData>
    <row r="1" spans="2:24" ht="16.5" thickBot="1" x14ac:dyDescent="0.3">
      <c r="I1" s="207"/>
      <c r="J1" s="207"/>
      <c r="K1" s="207"/>
      <c r="L1" s="207"/>
      <c r="M1" s="207"/>
      <c r="N1" s="207"/>
      <c r="O1" s="207"/>
      <c r="P1" s="207"/>
    </row>
    <row r="2" spans="2:24" ht="80.25" customHeight="1" thickBot="1" x14ac:dyDescent="0.3">
      <c r="B2" s="436" t="s">
        <v>197</v>
      </c>
      <c r="C2" s="437" t="s">
        <v>198</v>
      </c>
      <c r="D2" s="438" t="s">
        <v>337</v>
      </c>
      <c r="E2" s="439" t="s">
        <v>212</v>
      </c>
      <c r="F2" s="439" t="s">
        <v>258</v>
      </c>
      <c r="G2" s="439" t="s">
        <v>259</v>
      </c>
      <c r="I2" s="206" t="s">
        <v>197</v>
      </c>
      <c r="J2" s="450" t="s">
        <v>217</v>
      </c>
      <c r="K2" s="451" t="s">
        <v>357</v>
      </c>
      <c r="L2" s="451" t="s">
        <v>316</v>
      </c>
      <c r="M2" s="451" t="s">
        <v>320</v>
      </c>
      <c r="N2" s="451" t="s">
        <v>319</v>
      </c>
      <c r="O2" s="451" t="s">
        <v>358</v>
      </c>
      <c r="P2" s="451" t="s">
        <v>317</v>
      </c>
    </row>
    <row r="3" spans="2:24" ht="15.75" x14ac:dyDescent="0.25">
      <c r="B3" s="261">
        <v>1</v>
      </c>
      <c r="C3" s="440" t="s">
        <v>199</v>
      </c>
      <c r="D3" s="441">
        <v>8</v>
      </c>
      <c r="E3" s="261">
        <v>22.6</v>
      </c>
      <c r="F3" s="442">
        <v>1.2</v>
      </c>
      <c r="G3" s="442">
        <f>+E3/F3</f>
        <v>18.833333333333336</v>
      </c>
      <c r="H3">
        <f>8+12+7+22+12+13</f>
        <v>74</v>
      </c>
      <c r="I3" s="452">
        <v>1</v>
      </c>
      <c r="J3" s="453" t="s">
        <v>218</v>
      </c>
      <c r="K3" s="454">
        <v>12</v>
      </c>
      <c r="L3" s="455">
        <v>12186</v>
      </c>
      <c r="M3" s="454">
        <f>INT(L3/K3)</f>
        <v>1015</v>
      </c>
      <c r="N3" s="455">
        <v>7</v>
      </c>
      <c r="O3" s="456">
        <f>+M3*N3</f>
        <v>7105</v>
      </c>
      <c r="P3" s="457">
        <f>INT(SUM(O3:O17)/120)</f>
        <v>698</v>
      </c>
      <c r="R3" s="434" t="s">
        <v>328</v>
      </c>
      <c r="S3" s="434" t="s">
        <v>360</v>
      </c>
      <c r="T3" s="434"/>
      <c r="U3" s="434"/>
      <c r="V3" s="434"/>
      <c r="W3" s="434"/>
      <c r="X3" s="434"/>
    </row>
    <row r="4" spans="2:24" ht="15.75" x14ac:dyDescent="0.25">
      <c r="B4" s="261">
        <v>2</v>
      </c>
      <c r="C4" s="440" t="s">
        <v>200</v>
      </c>
      <c r="D4" s="441">
        <v>8</v>
      </c>
      <c r="E4" s="261">
        <v>20.3</v>
      </c>
      <c r="F4" s="442">
        <v>1.2</v>
      </c>
      <c r="G4" s="442">
        <f t="shared" ref="G4:G18" si="0">+E4/F4</f>
        <v>16.916666666666668</v>
      </c>
      <c r="I4" s="458">
        <v>2</v>
      </c>
      <c r="J4" s="459" t="s">
        <v>219</v>
      </c>
      <c r="K4" s="460">
        <v>12</v>
      </c>
      <c r="L4" s="461">
        <v>9585</v>
      </c>
      <c r="M4" s="460">
        <f t="shared" ref="M4:M17" si="1">INT(L4/K4)</f>
        <v>798</v>
      </c>
      <c r="N4" s="461">
        <v>9</v>
      </c>
      <c r="O4" s="462">
        <f>+M4*N4</f>
        <v>7182</v>
      </c>
      <c r="P4" s="463"/>
      <c r="R4" s="434"/>
      <c r="S4" s="241" t="s">
        <v>329</v>
      </c>
      <c r="T4" s="241" t="s">
        <v>330</v>
      </c>
      <c r="U4" s="241" t="s">
        <v>331</v>
      </c>
      <c r="V4" s="242" t="s">
        <v>332</v>
      </c>
      <c r="W4" s="242" t="s">
        <v>333</v>
      </c>
      <c r="X4" s="242" t="s">
        <v>334</v>
      </c>
    </row>
    <row r="5" spans="2:24" ht="15.75" x14ac:dyDescent="0.25">
      <c r="B5" s="261">
        <v>3</v>
      </c>
      <c r="C5" s="440" t="s">
        <v>214</v>
      </c>
      <c r="D5" s="441">
        <v>8</v>
      </c>
      <c r="E5" s="261">
        <v>25</v>
      </c>
      <c r="F5" s="442">
        <v>1.25</v>
      </c>
      <c r="G5" s="442">
        <f t="shared" si="0"/>
        <v>20</v>
      </c>
      <c r="I5" s="458">
        <v>3</v>
      </c>
      <c r="J5" s="459" t="s">
        <v>220</v>
      </c>
      <c r="K5" s="460">
        <v>12</v>
      </c>
      <c r="L5" s="461">
        <v>9553</v>
      </c>
      <c r="M5" s="460">
        <f t="shared" si="1"/>
        <v>796</v>
      </c>
      <c r="N5" s="461">
        <v>8</v>
      </c>
      <c r="O5" s="462">
        <f t="shared" ref="O5:O17" si="2">+M5*N5</f>
        <v>6368</v>
      </c>
      <c r="P5" s="463"/>
      <c r="R5" s="241">
        <v>1</v>
      </c>
      <c r="S5" s="240">
        <v>0.25694444444444448</v>
      </c>
      <c r="T5" s="240">
        <v>0.34027777777777773</v>
      </c>
      <c r="U5" s="240">
        <v>0.4375</v>
      </c>
      <c r="V5" s="240">
        <v>0.53472222222222221</v>
      </c>
      <c r="W5" s="240">
        <v>0.63194444444444442</v>
      </c>
      <c r="X5" s="240">
        <v>0.72916666666666663</v>
      </c>
    </row>
    <row r="6" spans="2:24" ht="15.75" x14ac:dyDescent="0.25">
      <c r="B6" s="261">
        <v>4</v>
      </c>
      <c r="C6" s="440" t="s">
        <v>201</v>
      </c>
      <c r="D6" s="441">
        <v>8</v>
      </c>
      <c r="E6" s="261">
        <v>22.1</v>
      </c>
      <c r="F6" s="442">
        <v>1.25</v>
      </c>
      <c r="G6" s="442">
        <f t="shared" si="0"/>
        <v>17.68</v>
      </c>
      <c r="I6" s="458">
        <v>4</v>
      </c>
      <c r="J6" s="459" t="s">
        <v>221</v>
      </c>
      <c r="K6" s="460">
        <v>8</v>
      </c>
      <c r="L6" s="461">
        <v>6188</v>
      </c>
      <c r="M6" s="460">
        <f t="shared" si="1"/>
        <v>773</v>
      </c>
      <c r="N6" s="461">
        <v>6</v>
      </c>
      <c r="O6" s="462">
        <f t="shared" si="2"/>
        <v>4638</v>
      </c>
      <c r="P6" s="463"/>
      <c r="R6" s="241">
        <v>2</v>
      </c>
      <c r="S6" s="240">
        <v>0.26111111111111113</v>
      </c>
      <c r="T6" s="240">
        <v>0.34722222222222227</v>
      </c>
      <c r="U6" s="240">
        <v>0.44444444444444442</v>
      </c>
      <c r="V6" s="240">
        <v>0.54166666666666663</v>
      </c>
      <c r="W6" s="240">
        <v>0.63888888888888895</v>
      </c>
      <c r="X6" s="240">
        <v>0.73611111111111116</v>
      </c>
    </row>
    <row r="7" spans="2:24" ht="15.75" x14ac:dyDescent="0.25">
      <c r="B7" s="261">
        <v>5</v>
      </c>
      <c r="C7" s="440" t="s">
        <v>202</v>
      </c>
      <c r="D7" s="441">
        <v>8</v>
      </c>
      <c r="E7" s="261">
        <v>31.6</v>
      </c>
      <c r="F7" s="442">
        <v>1.35</v>
      </c>
      <c r="G7" s="442">
        <f t="shared" si="0"/>
        <v>23.407407407407408</v>
      </c>
      <c r="I7" s="458">
        <v>5</v>
      </c>
      <c r="J7" s="459" t="s">
        <v>222</v>
      </c>
      <c r="K7" s="460">
        <v>8</v>
      </c>
      <c r="L7" s="461">
        <v>7534</v>
      </c>
      <c r="M7" s="460">
        <f t="shared" si="1"/>
        <v>941</v>
      </c>
      <c r="N7" s="461">
        <v>4</v>
      </c>
      <c r="O7" s="462">
        <f t="shared" si="2"/>
        <v>3764</v>
      </c>
      <c r="P7" s="463"/>
      <c r="R7" s="241">
        <v>3</v>
      </c>
      <c r="S7" s="240">
        <v>0.26527777777777778</v>
      </c>
      <c r="T7" s="240">
        <v>0.35416666666666702</v>
      </c>
      <c r="U7" s="240">
        <v>0.45138888888888901</v>
      </c>
      <c r="V7" s="240">
        <v>0.54861111111111105</v>
      </c>
      <c r="W7" s="240">
        <v>0.64583333333333304</v>
      </c>
      <c r="X7" s="240">
        <v>0.74305555555555602</v>
      </c>
    </row>
    <row r="8" spans="2:24" ht="15.75" x14ac:dyDescent="0.25">
      <c r="B8" s="261">
        <v>6</v>
      </c>
      <c r="C8" s="440" t="s">
        <v>203</v>
      </c>
      <c r="D8" s="441">
        <v>8</v>
      </c>
      <c r="E8" s="261">
        <v>23</v>
      </c>
      <c r="F8" s="442">
        <v>1.25</v>
      </c>
      <c r="G8" s="442">
        <f t="shared" si="0"/>
        <v>18.399999999999999</v>
      </c>
      <c r="I8" s="458">
        <v>6</v>
      </c>
      <c r="J8" s="459" t="s">
        <v>223</v>
      </c>
      <c r="K8" s="460">
        <v>8</v>
      </c>
      <c r="L8" s="461">
        <v>5807</v>
      </c>
      <c r="M8" s="460">
        <f t="shared" si="1"/>
        <v>725</v>
      </c>
      <c r="N8" s="461">
        <v>6</v>
      </c>
      <c r="O8" s="462">
        <f t="shared" si="2"/>
        <v>4350</v>
      </c>
      <c r="P8" s="463"/>
      <c r="R8" s="241">
        <v>4</v>
      </c>
      <c r="S8" s="240">
        <v>0.26944444444444443</v>
      </c>
      <c r="T8" s="240">
        <v>0.36111111111111099</v>
      </c>
      <c r="U8" s="240">
        <v>0.45833333333333298</v>
      </c>
      <c r="V8" s="240">
        <v>0.55555555555555503</v>
      </c>
      <c r="W8" s="240">
        <v>0.65277777777777801</v>
      </c>
      <c r="X8" s="240">
        <v>0.75</v>
      </c>
    </row>
    <row r="9" spans="2:24" ht="15.75" x14ac:dyDescent="0.25">
      <c r="B9" s="261">
        <v>7</v>
      </c>
      <c r="C9" s="440" t="s">
        <v>204</v>
      </c>
      <c r="D9" s="441">
        <v>5</v>
      </c>
      <c r="E9" s="261">
        <v>33.1</v>
      </c>
      <c r="F9" s="442">
        <v>1.4</v>
      </c>
      <c r="G9" s="442">
        <f t="shared" si="0"/>
        <v>23.642857142857146</v>
      </c>
      <c r="I9" s="458">
        <v>7</v>
      </c>
      <c r="J9" s="459" t="s">
        <v>224</v>
      </c>
      <c r="K9" s="460">
        <v>14</v>
      </c>
      <c r="L9" s="461">
        <v>7497</v>
      </c>
      <c r="M9" s="460">
        <f t="shared" si="1"/>
        <v>535</v>
      </c>
      <c r="N9" s="461">
        <v>11</v>
      </c>
      <c r="O9" s="462">
        <f t="shared" si="2"/>
        <v>5885</v>
      </c>
      <c r="P9" s="463"/>
      <c r="R9" s="241">
        <v>5</v>
      </c>
      <c r="S9" s="240">
        <v>0.27361111111111103</v>
      </c>
      <c r="T9" s="240">
        <v>0.36805555555555602</v>
      </c>
      <c r="U9" s="240">
        <v>0.46527777777777801</v>
      </c>
      <c r="V9" s="240">
        <v>0.5625</v>
      </c>
      <c r="W9" s="240">
        <v>0.65972222222222299</v>
      </c>
      <c r="X9" s="240"/>
    </row>
    <row r="10" spans="2:24" ht="15.75" x14ac:dyDescent="0.25">
      <c r="B10" s="261">
        <v>8</v>
      </c>
      <c r="C10" s="440" t="s">
        <v>205</v>
      </c>
      <c r="D10" s="441">
        <v>8</v>
      </c>
      <c r="E10" s="261">
        <v>19.5</v>
      </c>
      <c r="F10" s="442">
        <v>1.2</v>
      </c>
      <c r="G10" s="442">
        <f t="shared" si="0"/>
        <v>16.25</v>
      </c>
      <c r="I10" s="458">
        <v>8</v>
      </c>
      <c r="J10" s="459" t="s">
        <v>225</v>
      </c>
      <c r="K10" s="460">
        <v>14</v>
      </c>
      <c r="L10" s="461">
        <v>11994</v>
      </c>
      <c r="M10" s="460">
        <f t="shared" si="1"/>
        <v>856</v>
      </c>
      <c r="N10" s="461">
        <v>10</v>
      </c>
      <c r="O10" s="462">
        <f t="shared" si="2"/>
        <v>8560</v>
      </c>
      <c r="P10" s="463"/>
      <c r="R10" s="241">
        <v>6</v>
      </c>
      <c r="S10" s="240">
        <v>0.27777777777777801</v>
      </c>
      <c r="T10" s="240">
        <v>0.375</v>
      </c>
      <c r="U10" s="240">
        <v>0.47222222222222199</v>
      </c>
      <c r="V10" s="240">
        <v>0.56944444444444398</v>
      </c>
      <c r="W10" s="240">
        <v>0.66666666666666696</v>
      </c>
      <c r="X10" s="240"/>
    </row>
    <row r="11" spans="2:24" ht="15.75" x14ac:dyDescent="0.25">
      <c r="B11" s="261">
        <v>9</v>
      </c>
      <c r="C11" s="440" t="s">
        <v>215</v>
      </c>
      <c r="D11" s="441">
        <v>7</v>
      </c>
      <c r="E11" s="261">
        <v>27.2</v>
      </c>
      <c r="F11" s="442">
        <v>1.2</v>
      </c>
      <c r="G11" s="442">
        <f t="shared" si="0"/>
        <v>22.666666666666668</v>
      </c>
      <c r="I11" s="458">
        <v>9</v>
      </c>
      <c r="J11" s="459" t="s">
        <v>226</v>
      </c>
      <c r="K11" s="460">
        <v>12</v>
      </c>
      <c r="L11" s="461">
        <v>7976</v>
      </c>
      <c r="M11" s="460">
        <f t="shared" si="1"/>
        <v>664</v>
      </c>
      <c r="N11" s="461">
        <v>8</v>
      </c>
      <c r="O11" s="462">
        <f t="shared" si="2"/>
        <v>5312</v>
      </c>
      <c r="P11" s="463"/>
      <c r="R11" s="241">
        <v>7</v>
      </c>
      <c r="S11" s="240">
        <v>0.28472222222222221</v>
      </c>
      <c r="T11" s="240">
        <v>0.38194444444444497</v>
      </c>
      <c r="U11" s="240">
        <v>0.47916666666666702</v>
      </c>
      <c r="V11" s="240">
        <v>0.57638888888888895</v>
      </c>
      <c r="W11" s="240">
        <v>0.67361111111111205</v>
      </c>
      <c r="X11" s="240"/>
    </row>
    <row r="12" spans="2:24" ht="15.75" x14ac:dyDescent="0.25">
      <c r="B12" s="261">
        <v>10</v>
      </c>
      <c r="C12" s="440" t="s">
        <v>206</v>
      </c>
      <c r="D12" s="441">
        <v>7</v>
      </c>
      <c r="E12" s="443">
        <v>26.5</v>
      </c>
      <c r="F12" s="442">
        <v>1.35</v>
      </c>
      <c r="G12" s="442">
        <f t="shared" si="0"/>
        <v>19.62962962962963</v>
      </c>
      <c r="I12" s="458">
        <v>10</v>
      </c>
      <c r="J12" s="459" t="s">
        <v>227</v>
      </c>
      <c r="K12" s="460">
        <v>10</v>
      </c>
      <c r="L12" s="461">
        <v>7007</v>
      </c>
      <c r="M12" s="460">
        <f t="shared" si="1"/>
        <v>700</v>
      </c>
      <c r="N12" s="461">
        <v>7</v>
      </c>
      <c r="O12" s="462">
        <f t="shared" si="2"/>
        <v>4900</v>
      </c>
      <c r="P12" s="463"/>
      <c r="R12" s="241">
        <v>8</v>
      </c>
      <c r="S12" s="240">
        <v>0.29166666666666669</v>
      </c>
      <c r="T12" s="240">
        <v>0.38888888888888901</v>
      </c>
      <c r="U12" s="240">
        <v>0.48611111111111099</v>
      </c>
      <c r="V12" s="240">
        <v>0.58333333333333304</v>
      </c>
      <c r="W12" s="240">
        <v>0.68055555555555602</v>
      </c>
      <c r="X12" s="240"/>
    </row>
    <row r="13" spans="2:24" ht="15.75" x14ac:dyDescent="0.25">
      <c r="B13" s="261">
        <v>11</v>
      </c>
      <c r="C13" s="440" t="s">
        <v>207</v>
      </c>
      <c r="D13" s="441">
        <v>6</v>
      </c>
      <c r="E13" s="441">
        <v>18.5</v>
      </c>
      <c r="F13" s="442">
        <v>1.1000000000000001</v>
      </c>
      <c r="G13" s="442">
        <f t="shared" si="0"/>
        <v>16.818181818181817</v>
      </c>
      <c r="I13" s="458">
        <v>11</v>
      </c>
      <c r="J13" s="459" t="s">
        <v>228</v>
      </c>
      <c r="K13" s="460">
        <v>10</v>
      </c>
      <c r="L13" s="461">
        <v>1342</v>
      </c>
      <c r="M13" s="460">
        <f t="shared" si="1"/>
        <v>134</v>
      </c>
      <c r="N13" s="461">
        <v>6</v>
      </c>
      <c r="O13" s="462">
        <f t="shared" si="2"/>
        <v>804</v>
      </c>
      <c r="P13" s="463"/>
      <c r="R13" s="241">
        <v>9</v>
      </c>
      <c r="S13" s="240">
        <v>0.29861111111111099</v>
      </c>
      <c r="T13" s="240">
        <v>0.39583333333333398</v>
      </c>
      <c r="U13" s="240">
        <v>0.49305555555555503</v>
      </c>
      <c r="V13" s="240">
        <v>0.59027777777777801</v>
      </c>
      <c r="W13" s="240">
        <v>0.687500000000001</v>
      </c>
      <c r="X13" s="240"/>
    </row>
    <row r="14" spans="2:24" ht="15.75" x14ac:dyDescent="0.25">
      <c r="B14" s="261">
        <v>12</v>
      </c>
      <c r="C14" s="440" t="s">
        <v>208</v>
      </c>
      <c r="D14" s="441">
        <v>6</v>
      </c>
      <c r="E14" s="261">
        <v>21.9</v>
      </c>
      <c r="F14" s="442">
        <v>1.3</v>
      </c>
      <c r="G14" s="442">
        <f t="shared" si="0"/>
        <v>16.846153846153843</v>
      </c>
      <c r="I14" s="458">
        <v>12</v>
      </c>
      <c r="J14" s="459" t="s">
        <v>229</v>
      </c>
      <c r="K14" s="460">
        <v>12</v>
      </c>
      <c r="L14" s="461">
        <v>7070</v>
      </c>
      <c r="M14" s="460">
        <f t="shared" si="1"/>
        <v>589</v>
      </c>
      <c r="N14" s="461">
        <v>8</v>
      </c>
      <c r="O14" s="462">
        <f t="shared" si="2"/>
        <v>4712</v>
      </c>
      <c r="P14" s="463"/>
      <c r="R14" s="241">
        <v>10</v>
      </c>
      <c r="S14" s="240">
        <v>0.30555555555555503</v>
      </c>
      <c r="T14" s="240">
        <v>0.40277777777777901</v>
      </c>
      <c r="U14" s="240">
        <v>0.5</v>
      </c>
      <c r="V14" s="240">
        <v>0.59722222222222199</v>
      </c>
      <c r="W14" s="240">
        <v>0.69444444444444497</v>
      </c>
      <c r="X14" s="240"/>
    </row>
    <row r="15" spans="2:24" ht="15.75" x14ac:dyDescent="0.25">
      <c r="B15" s="261">
        <v>13</v>
      </c>
      <c r="C15" s="440" t="s">
        <v>209</v>
      </c>
      <c r="D15" s="441">
        <v>7</v>
      </c>
      <c r="E15" s="261">
        <v>24.5</v>
      </c>
      <c r="F15" s="442">
        <v>1.4</v>
      </c>
      <c r="G15" s="442">
        <f t="shared" si="0"/>
        <v>17.5</v>
      </c>
      <c r="I15" s="458">
        <v>13</v>
      </c>
      <c r="J15" s="459" t="s">
        <v>230</v>
      </c>
      <c r="K15" s="460">
        <v>15</v>
      </c>
      <c r="L15" s="461">
        <v>12643</v>
      </c>
      <c r="M15" s="460">
        <f t="shared" si="1"/>
        <v>842</v>
      </c>
      <c r="N15" s="461">
        <v>9</v>
      </c>
      <c r="O15" s="462">
        <f t="shared" si="2"/>
        <v>7578</v>
      </c>
      <c r="P15" s="463"/>
      <c r="R15" s="241">
        <v>11</v>
      </c>
      <c r="S15" s="240">
        <v>0.312499999999999</v>
      </c>
      <c r="T15" s="240">
        <v>0.40972222222222299</v>
      </c>
      <c r="U15" s="240">
        <v>0.50694444444444398</v>
      </c>
      <c r="V15" s="240">
        <v>0.60416666666666596</v>
      </c>
      <c r="W15" s="240">
        <v>0.70138888888888995</v>
      </c>
      <c r="X15" s="240"/>
    </row>
    <row r="16" spans="2:24" ht="15.75" x14ac:dyDescent="0.25">
      <c r="B16" s="261">
        <v>14</v>
      </c>
      <c r="C16" s="440" t="s">
        <v>210</v>
      </c>
      <c r="D16" s="441">
        <v>7</v>
      </c>
      <c r="E16" s="443">
        <v>31.2</v>
      </c>
      <c r="F16" s="442">
        <v>1.4</v>
      </c>
      <c r="G16" s="442">
        <f t="shared" si="0"/>
        <v>22.285714285714288</v>
      </c>
      <c r="I16" s="458">
        <v>14</v>
      </c>
      <c r="J16" s="459" t="s">
        <v>231</v>
      </c>
      <c r="K16" s="460">
        <v>15</v>
      </c>
      <c r="L16" s="461">
        <v>13515</v>
      </c>
      <c r="M16" s="460">
        <f t="shared" si="1"/>
        <v>901</v>
      </c>
      <c r="N16" s="461">
        <v>12</v>
      </c>
      <c r="O16" s="462">
        <f t="shared" si="2"/>
        <v>10812</v>
      </c>
      <c r="P16" s="463"/>
      <c r="R16" s="241">
        <v>12</v>
      </c>
      <c r="S16" s="240">
        <v>0.31944444444444298</v>
      </c>
      <c r="T16" s="240">
        <v>0.41666666666666802</v>
      </c>
      <c r="U16" s="240">
        <v>0.51388888888888895</v>
      </c>
      <c r="V16" s="240">
        <v>0.61111111111111105</v>
      </c>
      <c r="W16" s="240">
        <v>0.70833333333333404</v>
      </c>
      <c r="X16" s="240"/>
    </row>
    <row r="17" spans="2:26" ht="15.75" x14ac:dyDescent="0.25">
      <c r="B17" s="261">
        <v>15</v>
      </c>
      <c r="C17" s="440" t="s">
        <v>211</v>
      </c>
      <c r="D17" s="441">
        <v>7</v>
      </c>
      <c r="E17" s="261">
        <v>20.5</v>
      </c>
      <c r="F17" s="442">
        <v>1.2</v>
      </c>
      <c r="G17" s="442">
        <f t="shared" si="0"/>
        <v>17.083333333333336</v>
      </c>
      <c r="I17" s="458">
        <v>15</v>
      </c>
      <c r="J17" s="459" t="s">
        <v>232</v>
      </c>
      <c r="K17" s="460">
        <v>10</v>
      </c>
      <c r="L17" s="461">
        <v>3142</v>
      </c>
      <c r="M17" s="460">
        <f t="shared" si="1"/>
        <v>314</v>
      </c>
      <c r="N17" s="461">
        <v>6</v>
      </c>
      <c r="O17" s="462">
        <f t="shared" si="2"/>
        <v>1884</v>
      </c>
      <c r="P17" s="463"/>
      <c r="R17" s="241">
        <v>13</v>
      </c>
      <c r="S17" s="240">
        <v>0.32638888888888701</v>
      </c>
      <c r="T17" s="240">
        <v>0.42361111111111199</v>
      </c>
      <c r="U17" s="240">
        <v>0.52083333333333304</v>
      </c>
      <c r="V17" s="240">
        <v>0.61805555555555503</v>
      </c>
      <c r="W17" s="240">
        <v>0.71527777777777901</v>
      </c>
      <c r="X17" s="240"/>
    </row>
    <row r="18" spans="2:26" ht="16.5" thickBot="1" x14ac:dyDescent="0.3">
      <c r="B18" s="444" t="s">
        <v>347</v>
      </c>
      <c r="C18" s="445" t="s">
        <v>233</v>
      </c>
      <c r="D18" s="441">
        <v>10</v>
      </c>
      <c r="E18" s="261">
        <v>31.7</v>
      </c>
      <c r="F18" s="442">
        <v>1.26</v>
      </c>
      <c r="G18" s="442">
        <f t="shared" si="0"/>
        <v>25.158730158730158</v>
      </c>
      <c r="I18" s="467"/>
      <c r="J18" s="464" t="s">
        <v>318</v>
      </c>
      <c r="K18" s="468"/>
      <c r="L18" s="469"/>
      <c r="M18" s="468"/>
      <c r="N18" s="465">
        <v>3</v>
      </c>
      <c r="O18" s="468"/>
      <c r="P18" s="466"/>
      <c r="R18" s="241">
        <v>14</v>
      </c>
      <c r="S18" s="240">
        <v>0.33333333333333198</v>
      </c>
      <c r="T18" s="240">
        <v>0.43055555555555702</v>
      </c>
      <c r="U18" s="240">
        <v>0.52777777777777701</v>
      </c>
      <c r="V18" s="240">
        <v>0.625</v>
      </c>
      <c r="W18" s="240">
        <v>0.72222222222222299</v>
      </c>
      <c r="X18" s="240"/>
    </row>
    <row r="19" spans="2:26" ht="16.5" thickBot="1" x14ac:dyDescent="0.3">
      <c r="B19" s="446" t="s">
        <v>213</v>
      </c>
      <c r="C19" s="446"/>
      <c r="D19" s="447">
        <f>+AVERAGE(D41:D55)</f>
        <v>7.2</v>
      </c>
      <c r="E19" s="447">
        <f>+AVERAGE(E3:E18)</f>
        <v>24.949999999999996</v>
      </c>
      <c r="F19" s="448">
        <f>+AVERAGE(F3:F18)</f>
        <v>1.2693749999999999</v>
      </c>
      <c r="G19" s="449">
        <f>+AVERAGE(G3:G18)</f>
        <v>19.56991714304214</v>
      </c>
      <c r="I19" s="209">
        <v>15</v>
      </c>
      <c r="J19" s="210" t="s">
        <v>233</v>
      </c>
      <c r="K19" s="211">
        <v>6</v>
      </c>
      <c r="L19" s="211">
        <v>4336</v>
      </c>
      <c r="M19" s="211">
        <f>INT(L19/K19)</f>
        <v>722</v>
      </c>
      <c r="N19" s="211">
        <v>120</v>
      </c>
      <c r="O19" s="211">
        <f>+M19*N19</f>
        <v>86640</v>
      </c>
      <c r="P19" s="211">
        <f>+O19/120</f>
        <v>722</v>
      </c>
    </row>
    <row r="20" spans="2:26" s="132" customFormat="1" ht="15.75" x14ac:dyDescent="0.25">
      <c r="B20" s="250"/>
      <c r="C20" s="250"/>
      <c r="D20" s="250"/>
      <c r="E20" s="250"/>
      <c r="F20" s="270"/>
      <c r="G20" s="232"/>
      <c r="I20" s="208"/>
      <c r="J20" s="271"/>
      <c r="K20" s="208"/>
      <c r="L20" s="208"/>
      <c r="M20" s="208"/>
      <c r="N20" s="208"/>
      <c r="O20" s="208"/>
      <c r="P20" s="208"/>
    </row>
    <row r="21" spans="2:26" ht="15.75" thickBot="1" x14ac:dyDescent="0.3">
      <c r="R21" s="434" t="s">
        <v>328</v>
      </c>
      <c r="S21" s="434" t="s">
        <v>361</v>
      </c>
      <c r="T21" s="434"/>
      <c r="U21" s="434"/>
      <c r="V21" s="434"/>
      <c r="W21" s="434"/>
      <c r="X21" s="434"/>
      <c r="Y21" s="434"/>
      <c r="Z21" s="434"/>
    </row>
    <row r="22" spans="2:26" ht="15.75" thickBot="1" x14ac:dyDescent="0.3">
      <c r="C22" s="141" t="s">
        <v>260</v>
      </c>
      <c r="D22" s="243"/>
      <c r="E22" s="142" t="s">
        <v>262</v>
      </c>
      <c r="R22" s="434"/>
      <c r="S22" s="241" t="s">
        <v>329</v>
      </c>
      <c r="T22" s="241" t="s">
        <v>330</v>
      </c>
      <c r="U22" s="241" t="s">
        <v>331</v>
      </c>
      <c r="V22" s="242" t="s">
        <v>332</v>
      </c>
      <c r="W22" s="242" t="s">
        <v>333</v>
      </c>
      <c r="X22" s="242" t="s">
        <v>334</v>
      </c>
      <c r="Y22" s="241" t="s">
        <v>335</v>
      </c>
      <c r="Z22" s="241" t="s">
        <v>336</v>
      </c>
    </row>
    <row r="23" spans="2:26" x14ac:dyDescent="0.25">
      <c r="C23" s="140" t="s">
        <v>261</v>
      </c>
      <c r="D23" s="244"/>
      <c r="E23" s="138">
        <v>56</v>
      </c>
      <c r="R23" s="241">
        <v>1</v>
      </c>
      <c r="S23" s="240">
        <v>0.25694444444444448</v>
      </c>
      <c r="T23" s="240">
        <v>0.33055555555555555</v>
      </c>
      <c r="U23" s="240">
        <v>0.41388888888888892</v>
      </c>
      <c r="V23" s="240">
        <v>0.49722222222222223</v>
      </c>
      <c r="W23" s="240">
        <v>0.5805555555555556</v>
      </c>
      <c r="X23" s="240">
        <v>0.66388888888888886</v>
      </c>
      <c r="Y23" s="239">
        <v>0.74722222222222223</v>
      </c>
      <c r="Z23" s="239">
        <v>0.84722222222222221</v>
      </c>
    </row>
    <row r="24" spans="2:26" x14ac:dyDescent="0.25">
      <c r="C24" s="139" t="s">
        <v>263</v>
      </c>
      <c r="D24" s="245"/>
      <c r="E24" s="135">
        <v>41</v>
      </c>
      <c r="R24" s="241">
        <v>2</v>
      </c>
      <c r="S24" s="240">
        <v>0.26111111111111113</v>
      </c>
      <c r="T24" s="240">
        <v>0.33611111111111108</v>
      </c>
      <c r="U24" s="240">
        <v>0.41944444444444445</v>
      </c>
      <c r="V24" s="240">
        <v>0.50277777777777777</v>
      </c>
      <c r="W24" s="240">
        <v>0.58611111111111114</v>
      </c>
      <c r="X24" s="240">
        <v>0.6694444444444444</v>
      </c>
      <c r="Y24" s="239">
        <v>0.75277777777777777</v>
      </c>
      <c r="Z24" s="239">
        <v>0.86111111111111116</v>
      </c>
    </row>
    <row r="25" spans="2:26" x14ac:dyDescent="0.25">
      <c r="C25" s="139" t="s">
        <v>264</v>
      </c>
      <c r="D25" s="245"/>
      <c r="E25" s="135">
        <v>31</v>
      </c>
      <c r="R25" s="241">
        <v>3</v>
      </c>
      <c r="S25" s="240">
        <v>0.26527777777777778</v>
      </c>
      <c r="T25" s="240">
        <v>0.34166666666666701</v>
      </c>
      <c r="U25" s="240">
        <v>0.42499999999999999</v>
      </c>
      <c r="V25" s="240">
        <v>0.50833333333333297</v>
      </c>
      <c r="W25" s="240">
        <v>0.59166666666666701</v>
      </c>
      <c r="X25" s="240">
        <v>0.67500000000000004</v>
      </c>
      <c r="Y25" s="239">
        <v>0.75833333333333297</v>
      </c>
      <c r="Z25" s="239">
        <v>0.875</v>
      </c>
    </row>
    <row r="26" spans="2:26" x14ac:dyDescent="0.25">
      <c r="C26" s="139" t="s">
        <v>265</v>
      </c>
      <c r="D26" s="245"/>
      <c r="E26" s="135">
        <v>28</v>
      </c>
      <c r="R26" s="241">
        <v>4</v>
      </c>
      <c r="S26" s="240">
        <v>0.26944444444444399</v>
      </c>
      <c r="T26" s="240">
        <v>0.34722222222222199</v>
      </c>
      <c r="U26" s="240">
        <v>0.43055555555555602</v>
      </c>
      <c r="V26" s="240">
        <v>0.51388888888888895</v>
      </c>
      <c r="W26" s="240">
        <v>0.59722222222222199</v>
      </c>
      <c r="X26" s="240">
        <v>0.68055555555555503</v>
      </c>
      <c r="Y26" s="239">
        <v>0.76388888888888895</v>
      </c>
    </row>
    <row r="27" spans="2:26" x14ac:dyDescent="0.25">
      <c r="C27" s="139" t="s">
        <v>266</v>
      </c>
      <c r="D27" s="245"/>
      <c r="E27" s="135">
        <v>13</v>
      </c>
      <c r="R27" s="241">
        <v>5</v>
      </c>
      <c r="S27" s="240">
        <v>0.27361111111111103</v>
      </c>
      <c r="T27" s="240">
        <v>0.35277777777777802</v>
      </c>
      <c r="U27" s="240">
        <v>0.43611111111111101</v>
      </c>
      <c r="V27" s="240">
        <v>0.51944444444444404</v>
      </c>
      <c r="W27" s="240">
        <v>0.60277777777777797</v>
      </c>
      <c r="X27" s="240">
        <v>0.68611111111111101</v>
      </c>
      <c r="Y27" s="239">
        <v>0.76944444444444404</v>
      </c>
    </row>
    <row r="28" spans="2:26" x14ac:dyDescent="0.25">
      <c r="C28" s="139" t="s">
        <v>267</v>
      </c>
      <c r="D28" s="245"/>
      <c r="E28" s="135">
        <v>9</v>
      </c>
      <c r="R28" s="241">
        <v>6</v>
      </c>
      <c r="S28" s="240">
        <v>0.27777777777777801</v>
      </c>
      <c r="T28" s="240">
        <v>0.358333333333333</v>
      </c>
      <c r="U28" s="240">
        <v>0.44166666666666698</v>
      </c>
      <c r="V28" s="240">
        <v>0.52500000000000002</v>
      </c>
      <c r="W28" s="240">
        <v>0.60833333333333295</v>
      </c>
      <c r="X28" s="240">
        <v>0.69166666666666698</v>
      </c>
      <c r="Y28" s="239">
        <v>0.77500000000000002</v>
      </c>
    </row>
    <row r="29" spans="2:26" x14ac:dyDescent="0.25">
      <c r="C29" s="139" t="s">
        <v>268</v>
      </c>
      <c r="D29" s="245"/>
      <c r="E29" s="135">
        <v>6</v>
      </c>
      <c r="R29" s="241">
        <v>7</v>
      </c>
      <c r="S29" s="240">
        <v>0.281944444444444</v>
      </c>
      <c r="T29" s="240">
        <v>0.36388888888888898</v>
      </c>
      <c r="U29" s="240">
        <v>0.44722222222222202</v>
      </c>
      <c r="V29" s="240">
        <v>0.530555555555555</v>
      </c>
      <c r="W29" s="240">
        <v>0.61388888888888904</v>
      </c>
      <c r="X29" s="240">
        <v>0.69722222222222197</v>
      </c>
      <c r="Y29" s="239">
        <v>0.780555555555555</v>
      </c>
    </row>
    <row r="30" spans="2:26" ht="16.5" thickBot="1" x14ac:dyDescent="0.3">
      <c r="C30" s="143" t="s">
        <v>4</v>
      </c>
      <c r="D30" s="246"/>
      <c r="E30" s="144">
        <f>SUM(E23:E29)</f>
        <v>184</v>
      </c>
      <c r="R30" s="241">
        <v>8</v>
      </c>
      <c r="S30" s="240">
        <v>0.28611111111111098</v>
      </c>
      <c r="T30" s="240">
        <v>0.36944444444444402</v>
      </c>
      <c r="U30" s="240">
        <v>0.452777777777778</v>
      </c>
      <c r="V30" s="240">
        <v>0.53611111111111098</v>
      </c>
      <c r="W30" s="240">
        <v>0.61944444444444402</v>
      </c>
      <c r="X30" s="240">
        <v>0.70277777777777795</v>
      </c>
      <c r="Y30" s="239">
        <v>0.78611111111111098</v>
      </c>
    </row>
    <row r="31" spans="2:26" x14ac:dyDescent="0.25">
      <c r="R31" s="241">
        <v>9</v>
      </c>
      <c r="S31" s="240">
        <v>0.29166666666666669</v>
      </c>
      <c r="T31" s="240">
        <v>0.375</v>
      </c>
      <c r="U31" s="240">
        <v>0.45833333333333298</v>
      </c>
      <c r="V31" s="240">
        <v>0.54166666666666696</v>
      </c>
      <c r="W31" s="240">
        <v>0.625</v>
      </c>
      <c r="X31" s="240">
        <v>0.70833333333333304</v>
      </c>
      <c r="Y31" s="239">
        <v>0.79166666666666696</v>
      </c>
    </row>
    <row r="32" spans="2:26" x14ac:dyDescent="0.25">
      <c r="R32" s="241">
        <v>10</v>
      </c>
      <c r="S32" s="240">
        <v>0.29722222222222222</v>
      </c>
      <c r="T32" s="240">
        <v>0.38055555555555498</v>
      </c>
      <c r="U32" s="240">
        <v>0.46388888888888902</v>
      </c>
      <c r="V32" s="240">
        <v>0.54722222222222205</v>
      </c>
      <c r="W32" s="240">
        <v>0.63055555555555498</v>
      </c>
      <c r="X32" s="240">
        <v>0.71388888888888902</v>
      </c>
      <c r="Y32" s="239">
        <v>0.79861111111111116</v>
      </c>
    </row>
    <row r="33" spans="2:25" x14ac:dyDescent="0.25">
      <c r="R33" s="241">
        <v>11</v>
      </c>
      <c r="S33" s="240">
        <v>0.30277777777777776</v>
      </c>
      <c r="T33" s="240">
        <v>0.38611111111111102</v>
      </c>
      <c r="U33" s="240">
        <v>0.469444444444444</v>
      </c>
      <c r="V33" s="240">
        <v>0.55277777777777803</v>
      </c>
      <c r="W33" s="240">
        <v>0.63611111111111096</v>
      </c>
      <c r="X33" s="240">
        <v>0.719444444444444</v>
      </c>
      <c r="Y33" s="239">
        <v>0.80555555555555547</v>
      </c>
    </row>
    <row r="34" spans="2:25" x14ac:dyDescent="0.25">
      <c r="R34" s="241">
        <v>12</v>
      </c>
      <c r="S34" s="240">
        <v>0.30833333333333302</v>
      </c>
      <c r="T34" s="240">
        <v>0.391666666666666</v>
      </c>
      <c r="U34" s="240">
        <v>0.47499999999999998</v>
      </c>
      <c r="V34" s="240">
        <v>0.55833333333333302</v>
      </c>
      <c r="W34" s="240">
        <v>0.64166666666666605</v>
      </c>
      <c r="X34" s="240">
        <v>0.72499999999999998</v>
      </c>
      <c r="Y34" s="239">
        <v>0.8125</v>
      </c>
    </row>
    <row r="35" spans="2:25" x14ac:dyDescent="0.25">
      <c r="R35" s="241">
        <v>13</v>
      </c>
      <c r="S35" s="240">
        <v>0.31388888888888899</v>
      </c>
      <c r="T35" s="240">
        <v>0.39722222222222198</v>
      </c>
      <c r="U35" s="240">
        <v>0.48055555555555501</v>
      </c>
      <c r="V35" s="240">
        <v>0.56388888888888899</v>
      </c>
      <c r="W35" s="240">
        <v>0.64722222222222203</v>
      </c>
      <c r="X35" s="240">
        <v>0.73055555555555496</v>
      </c>
      <c r="Y35" s="239">
        <v>0.81944444444444398</v>
      </c>
    </row>
    <row r="36" spans="2:25" x14ac:dyDescent="0.25">
      <c r="R36" s="241">
        <v>14</v>
      </c>
      <c r="S36" s="240">
        <v>0.31944444444444398</v>
      </c>
      <c r="T36" s="240">
        <v>0.40277777777777801</v>
      </c>
      <c r="U36" s="240">
        <v>0.48611111111111099</v>
      </c>
      <c r="V36" s="240">
        <v>0.56944444444444398</v>
      </c>
      <c r="W36" s="240">
        <v>0.65277777777777801</v>
      </c>
      <c r="X36" s="240">
        <v>0.73611111111111105</v>
      </c>
      <c r="Y36" s="239">
        <v>0.82638888888888795</v>
      </c>
    </row>
    <row r="37" spans="2:25" x14ac:dyDescent="0.25">
      <c r="R37" s="241">
        <v>15</v>
      </c>
      <c r="S37" s="240">
        <v>0.32500000000000001</v>
      </c>
      <c r="T37" s="240">
        <v>0.40833333333333299</v>
      </c>
      <c r="U37" s="240">
        <v>0.49166666666666597</v>
      </c>
      <c r="V37" s="240">
        <v>0.57499999999999996</v>
      </c>
      <c r="W37" s="240">
        <v>0.65833333333333299</v>
      </c>
      <c r="X37" s="240">
        <v>0.74166666666666603</v>
      </c>
      <c r="Y37" s="239">
        <v>0.83333333333333304</v>
      </c>
    </row>
    <row r="40" spans="2:25" ht="15" customHeight="1" x14ac:dyDescent="0.25">
      <c r="B40" s="236" t="s">
        <v>197</v>
      </c>
      <c r="C40" s="237" t="s">
        <v>198</v>
      </c>
      <c r="D40" s="247" t="s">
        <v>337</v>
      </c>
      <c r="R40" s="434" t="s">
        <v>328</v>
      </c>
      <c r="S40" s="434" t="s">
        <v>359</v>
      </c>
      <c r="T40" s="434"/>
      <c r="U40" s="434"/>
      <c r="V40" s="434"/>
      <c r="W40" s="434"/>
      <c r="X40" s="434"/>
      <c r="Y40" s="434"/>
    </row>
    <row r="41" spans="2:25" x14ac:dyDescent="0.25">
      <c r="B41" s="234">
        <v>1</v>
      </c>
      <c r="C41" s="233" t="s">
        <v>199</v>
      </c>
      <c r="D41" s="238">
        <v>8</v>
      </c>
      <c r="R41" s="434"/>
      <c r="S41" s="241" t="s">
        <v>329</v>
      </c>
      <c r="T41" s="241" t="s">
        <v>330</v>
      </c>
      <c r="U41" s="241" t="s">
        <v>331</v>
      </c>
      <c r="V41" s="242" t="s">
        <v>332</v>
      </c>
      <c r="W41" s="242" t="s">
        <v>333</v>
      </c>
      <c r="X41" s="242" t="s">
        <v>334</v>
      </c>
      <c r="Y41" s="242" t="s">
        <v>335</v>
      </c>
    </row>
    <row r="42" spans="2:25" x14ac:dyDescent="0.25">
      <c r="B42" s="234">
        <v>2</v>
      </c>
      <c r="C42" s="233" t="s">
        <v>200</v>
      </c>
      <c r="D42" s="238">
        <v>8</v>
      </c>
      <c r="R42" s="241">
        <v>1</v>
      </c>
      <c r="S42" s="240">
        <v>0.25694444444444448</v>
      </c>
      <c r="T42" s="240">
        <v>0.3263888888888889</v>
      </c>
      <c r="U42" s="240">
        <v>0.40972222222222227</v>
      </c>
      <c r="V42" s="240">
        <v>0.49305555555555558</v>
      </c>
      <c r="W42" s="240">
        <v>0.57638888888888895</v>
      </c>
      <c r="X42" s="240">
        <v>0.65972222222222221</v>
      </c>
      <c r="Y42" s="239">
        <v>0.74305555555555547</v>
      </c>
    </row>
    <row r="43" spans="2:25" x14ac:dyDescent="0.25">
      <c r="B43" s="234">
        <v>3</v>
      </c>
      <c r="C43" s="233" t="s">
        <v>214</v>
      </c>
      <c r="D43" s="238">
        <v>8</v>
      </c>
      <c r="R43" s="241">
        <v>2</v>
      </c>
      <c r="S43" s="240">
        <v>0.26111111111111113</v>
      </c>
      <c r="T43" s="240">
        <v>0.33333333333333331</v>
      </c>
      <c r="U43" s="240">
        <v>0.41666666666666669</v>
      </c>
      <c r="V43" s="240">
        <v>0.5</v>
      </c>
      <c r="W43" s="240">
        <v>0.58333333333333337</v>
      </c>
      <c r="X43" s="240">
        <v>0.66666666666666663</v>
      </c>
      <c r="Y43" s="239">
        <v>0.75</v>
      </c>
    </row>
    <row r="44" spans="2:25" x14ac:dyDescent="0.25">
      <c r="B44" s="234">
        <v>4</v>
      </c>
      <c r="C44" s="233" t="s">
        <v>201</v>
      </c>
      <c r="D44" s="238">
        <v>8</v>
      </c>
      <c r="R44" s="241">
        <v>3</v>
      </c>
      <c r="S44" s="240">
        <v>0.26527777777777778</v>
      </c>
      <c r="T44" s="240">
        <v>0.34027777777777801</v>
      </c>
      <c r="U44" s="240">
        <v>0.42361111111111099</v>
      </c>
      <c r="V44" s="240">
        <v>0.50694444444444398</v>
      </c>
      <c r="W44" s="240">
        <v>0.59027777777777801</v>
      </c>
      <c r="X44" s="240">
        <v>0.67361111111111105</v>
      </c>
    </row>
    <row r="45" spans="2:25" x14ac:dyDescent="0.25">
      <c r="B45" s="234">
        <v>5</v>
      </c>
      <c r="C45" s="233" t="s">
        <v>202</v>
      </c>
      <c r="D45" s="238">
        <v>8</v>
      </c>
      <c r="R45" s="241">
        <v>4</v>
      </c>
      <c r="S45" s="240">
        <v>0.26944444444444443</v>
      </c>
      <c r="T45" s="240">
        <v>0.34722222222222199</v>
      </c>
      <c r="U45" s="240">
        <v>0.43055555555555602</v>
      </c>
      <c r="V45" s="240">
        <v>0.51388888888888895</v>
      </c>
      <c r="W45" s="240">
        <v>0.59722222222222199</v>
      </c>
      <c r="X45" s="240">
        <v>0.68055555555555503</v>
      </c>
    </row>
    <row r="46" spans="2:25" x14ac:dyDescent="0.25">
      <c r="B46" s="234">
        <v>6</v>
      </c>
      <c r="C46" s="233" t="s">
        <v>203</v>
      </c>
      <c r="D46" s="238">
        <v>8</v>
      </c>
      <c r="R46" s="241">
        <v>5</v>
      </c>
      <c r="S46" s="240">
        <v>0.27361111111111103</v>
      </c>
      <c r="T46" s="240">
        <v>0.35416666666666702</v>
      </c>
      <c r="U46" s="240">
        <v>0.4375</v>
      </c>
      <c r="V46" s="240">
        <v>0.52083333333333304</v>
      </c>
      <c r="W46" s="240">
        <v>0.60416666666666696</v>
      </c>
      <c r="X46" s="240">
        <v>0.6875</v>
      </c>
    </row>
    <row r="47" spans="2:25" x14ac:dyDescent="0.25">
      <c r="B47" s="234">
        <v>7</v>
      </c>
      <c r="C47" s="233" t="s">
        <v>204</v>
      </c>
      <c r="D47" s="238">
        <v>5</v>
      </c>
      <c r="R47" s="241">
        <v>6</v>
      </c>
      <c r="S47" s="240">
        <v>0.27777777777777801</v>
      </c>
      <c r="T47" s="240">
        <v>0.36111111111111099</v>
      </c>
      <c r="U47" s="240">
        <v>0.44444444444444398</v>
      </c>
      <c r="V47" s="240">
        <v>0.52777777777777801</v>
      </c>
      <c r="W47" s="240">
        <v>0.61111111111111105</v>
      </c>
      <c r="X47" s="240">
        <v>0.69444444444444398</v>
      </c>
    </row>
    <row r="48" spans="2:25" x14ac:dyDescent="0.25">
      <c r="B48" s="234">
        <v>8</v>
      </c>
      <c r="C48" s="233" t="s">
        <v>205</v>
      </c>
      <c r="D48" s="238">
        <v>8</v>
      </c>
      <c r="R48" s="241">
        <v>7</v>
      </c>
      <c r="S48" s="240">
        <v>0.28472222222222221</v>
      </c>
      <c r="T48" s="240">
        <v>0.36805555555555503</v>
      </c>
      <c r="U48" s="240">
        <v>0.45138888888888901</v>
      </c>
      <c r="V48" s="240">
        <v>0.53472222222222199</v>
      </c>
      <c r="W48" s="240">
        <v>0.61805555555555503</v>
      </c>
      <c r="X48" s="240">
        <v>0.70138888888888895</v>
      </c>
    </row>
    <row r="49" spans="2:24" x14ac:dyDescent="0.25">
      <c r="B49" s="234">
        <v>9</v>
      </c>
      <c r="C49" s="233" t="s">
        <v>215</v>
      </c>
      <c r="D49" s="238">
        <v>7</v>
      </c>
      <c r="R49" s="241">
        <v>8</v>
      </c>
      <c r="S49" s="240">
        <v>0.29166666666666669</v>
      </c>
      <c r="T49" s="240">
        <v>0.375</v>
      </c>
      <c r="U49" s="240">
        <v>0.45833333333333298</v>
      </c>
      <c r="V49" s="240">
        <v>0.54166666666666696</v>
      </c>
      <c r="W49" s="240">
        <v>0.625</v>
      </c>
      <c r="X49" s="240">
        <v>0.70833333333333304</v>
      </c>
    </row>
    <row r="50" spans="2:24" x14ac:dyDescent="0.25">
      <c r="B50" s="234">
        <v>10</v>
      </c>
      <c r="C50" s="233" t="s">
        <v>206</v>
      </c>
      <c r="D50" s="238">
        <v>7</v>
      </c>
      <c r="R50" s="241">
        <v>9</v>
      </c>
      <c r="S50" s="240">
        <v>0.29861111111111099</v>
      </c>
      <c r="T50" s="240">
        <v>0.38194444444444398</v>
      </c>
      <c r="U50" s="240">
        <v>0.46527777777777801</v>
      </c>
      <c r="V50" s="240">
        <v>0.54861111111111105</v>
      </c>
      <c r="W50" s="240">
        <v>0.63194444444444398</v>
      </c>
      <c r="X50" s="240">
        <v>0.71527777777777801</v>
      </c>
    </row>
    <row r="51" spans="2:24" x14ac:dyDescent="0.25">
      <c r="B51" s="234">
        <v>11</v>
      </c>
      <c r="C51" s="233" t="s">
        <v>207</v>
      </c>
      <c r="D51" s="238">
        <v>6</v>
      </c>
      <c r="R51" s="241">
        <v>10</v>
      </c>
      <c r="S51" s="240">
        <v>0.30555555555555503</v>
      </c>
      <c r="T51" s="240">
        <v>0.38888888888888901</v>
      </c>
      <c r="U51" s="240">
        <v>0.47222222222222199</v>
      </c>
      <c r="V51" s="240">
        <v>0.55555555555555503</v>
      </c>
      <c r="W51" s="240">
        <v>0.63888888888888895</v>
      </c>
      <c r="X51" s="240">
        <v>0.72222222222222199</v>
      </c>
    </row>
    <row r="52" spans="2:24" x14ac:dyDescent="0.25">
      <c r="B52" s="234">
        <v>12</v>
      </c>
      <c r="C52" s="233" t="s">
        <v>208</v>
      </c>
      <c r="D52" s="238">
        <v>6</v>
      </c>
      <c r="R52" s="241">
        <v>11</v>
      </c>
      <c r="S52" s="240">
        <v>0.312499999999999</v>
      </c>
      <c r="T52" s="240">
        <v>0.39583333333333298</v>
      </c>
      <c r="U52" s="240">
        <v>0.47916666666666602</v>
      </c>
      <c r="V52" s="240">
        <v>0.5625</v>
      </c>
      <c r="W52" s="240">
        <v>0.64583333333333304</v>
      </c>
      <c r="X52" s="240">
        <v>0.72916666666666596</v>
      </c>
    </row>
    <row r="53" spans="2:24" x14ac:dyDescent="0.25">
      <c r="B53" s="234">
        <v>13</v>
      </c>
      <c r="C53" s="233" t="s">
        <v>209</v>
      </c>
      <c r="D53" s="238">
        <v>7</v>
      </c>
      <c r="R53" s="241">
        <v>12</v>
      </c>
      <c r="S53" s="240">
        <v>0.31944444444444298</v>
      </c>
      <c r="T53" s="240">
        <v>0.40277777777777801</v>
      </c>
      <c r="U53" s="240">
        <v>0.48611111111111099</v>
      </c>
      <c r="V53" s="240">
        <v>0.56944444444444398</v>
      </c>
      <c r="W53" s="240">
        <v>0.65277777777777801</v>
      </c>
      <c r="X53" s="240">
        <v>0.73611111111111105</v>
      </c>
    </row>
    <row r="54" spans="2:24" x14ac:dyDescent="0.25">
      <c r="B54" s="234">
        <v>14</v>
      </c>
      <c r="C54" s="233" t="s">
        <v>210</v>
      </c>
      <c r="D54" s="238">
        <v>7</v>
      </c>
    </row>
    <row r="55" spans="2:24" x14ac:dyDescent="0.25">
      <c r="B55" s="234">
        <v>15</v>
      </c>
      <c r="C55" s="233" t="s">
        <v>211</v>
      </c>
      <c r="D55" s="238">
        <v>7</v>
      </c>
    </row>
    <row r="56" spans="2:24" x14ac:dyDescent="0.25">
      <c r="B56" s="435" t="s">
        <v>213</v>
      </c>
      <c r="C56" s="435"/>
      <c r="D56" s="235">
        <f>+AVERAGE(D41:D55)</f>
        <v>7.2</v>
      </c>
    </row>
  </sheetData>
  <mergeCells count="9">
    <mergeCell ref="R40:R41"/>
    <mergeCell ref="B56:C56"/>
    <mergeCell ref="P3:P18"/>
    <mergeCell ref="B19:C19"/>
    <mergeCell ref="R3:R4"/>
    <mergeCell ref="S3:X3"/>
    <mergeCell ref="R21:R22"/>
    <mergeCell ref="S21:Z21"/>
    <mergeCell ref="S40:Y40"/>
  </mergeCells>
  <pageMargins left="0.7" right="0.7" top="0.75" bottom="0.75" header="0.3" footer="0.3"/>
  <pageSetup paperSize="9" scale="77" orientation="portrait" horizontalDpi="4294967292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COSTOS FIJOS</vt:lpstr>
      <vt:lpstr>COSTOS DE CAPITAL</vt:lpstr>
      <vt:lpstr>Calculo de r</vt:lpstr>
      <vt:lpstr>COSTOS VARIABLES</vt:lpstr>
      <vt:lpstr>COSTOS T</vt:lpstr>
      <vt:lpstr>% Incidencia</vt:lpstr>
      <vt:lpstr>ANEXO INC</vt:lpstr>
      <vt:lpstr>VARIOS</vt:lpstr>
      <vt:lpstr>'COSTOS T'!Área_de_impresión</vt:lpstr>
      <vt:lpstr>VARIOS!Área_de_impresión</vt:lpstr>
      <vt:lpstr>'ANEXO INC'!Títulos_a_imprimir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CAMPAÑA S.</dc:creator>
  <cp:lastModifiedBy>Usuario</cp:lastModifiedBy>
  <cp:lastPrinted>2016-12-09T11:12:35Z</cp:lastPrinted>
  <dcterms:created xsi:type="dcterms:W3CDTF">2010-09-15T17:56:40Z</dcterms:created>
  <dcterms:modified xsi:type="dcterms:W3CDTF">2017-01-09T13:45:16Z</dcterms:modified>
</cp:coreProperties>
</file>