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95" tabRatio="688"/>
  </bookViews>
  <sheets>
    <sheet name="FACTORES " sheetId="4" r:id="rId1"/>
    <sheet name="DESCRIPCIÓN SUELO" sheetId="1" r:id="rId2"/>
    <sheet name="DENSIDAD RELATIVA SUELO" sheetId="6" r:id="rId3"/>
    <sheet name="Hoja1" sheetId="7" state="hidden" r:id="rId4"/>
    <sheet name="FACTOR &quot;M&quot;" sheetId="2" r:id="rId5"/>
    <sheet name="FACTOR M POR SUELO" sheetId="5" r:id="rId6"/>
    <sheet name="FACTOR M POR ESTRATIGRAFÍIA" sheetId="8" r:id="rId7"/>
    <sheet name="CÁLCULO EFICIENCIA " sheetId="3" r:id="rId8"/>
  </sheets>
  <calcPr calcId="145621" concurrentCalc="0" concurrentManualCount="4"/>
</workbook>
</file>

<file path=xl/calcChain.xml><?xml version="1.0" encoding="utf-8"?>
<calcChain xmlns="http://schemas.openxmlformats.org/spreadsheetml/2006/main">
  <c r="K5" i="8" l="1"/>
  <c r="K4" i="8"/>
  <c r="I5" i="8"/>
  <c r="I4" i="8"/>
  <c r="H5" i="8"/>
  <c r="H4" i="8"/>
  <c r="E4" i="8"/>
  <c r="E5" i="8"/>
  <c r="O5" i="6"/>
  <c r="E88" i="3"/>
  <c r="E71" i="3"/>
  <c r="E84" i="3"/>
  <c r="E67" i="3"/>
  <c r="AA6" i="6"/>
  <c r="AG6" i="6"/>
  <c r="L6" i="6"/>
  <c r="O6" i="6"/>
  <c r="AA8" i="6"/>
  <c r="AG8" i="6"/>
  <c r="L8" i="6"/>
  <c r="O8" i="6"/>
  <c r="AA9" i="6"/>
  <c r="AG9" i="6"/>
  <c r="L9" i="6"/>
  <c r="O9" i="6"/>
  <c r="AA12" i="6"/>
  <c r="AG12" i="6"/>
  <c r="L12" i="6"/>
  <c r="O12" i="6"/>
  <c r="J16" i="6"/>
  <c r="AA16" i="6"/>
  <c r="AG16" i="6"/>
  <c r="L16" i="6"/>
  <c r="O16" i="6"/>
  <c r="AA19" i="6"/>
  <c r="AG19" i="6"/>
  <c r="L19" i="6"/>
  <c r="O19" i="6"/>
  <c r="AA20" i="6"/>
  <c r="AG20" i="6"/>
  <c r="L20" i="6"/>
  <c r="O20" i="6"/>
  <c r="L5" i="8"/>
  <c r="M5" i="8"/>
  <c r="P5" i="8"/>
  <c r="E82" i="3"/>
  <c r="AA5" i="6"/>
  <c r="AG5" i="6"/>
  <c r="L5" i="6"/>
  <c r="AA7" i="6"/>
  <c r="AG7" i="6"/>
  <c r="L7" i="6"/>
  <c r="O7" i="6"/>
  <c r="AA10" i="6"/>
  <c r="AG10" i="6"/>
  <c r="L10" i="6"/>
  <c r="O10" i="6"/>
  <c r="AA11" i="6"/>
  <c r="AG11" i="6"/>
  <c r="L11" i="6"/>
  <c r="O11" i="6"/>
  <c r="AA14" i="6"/>
  <c r="AG14" i="6"/>
  <c r="L14" i="6"/>
  <c r="O14" i="6"/>
  <c r="AA15" i="6"/>
  <c r="AG15" i="6"/>
  <c r="L15" i="6"/>
  <c r="O15" i="6"/>
  <c r="AA17" i="6"/>
  <c r="AG17" i="6"/>
  <c r="L17" i="6"/>
  <c r="O17" i="6"/>
  <c r="AA18" i="6"/>
  <c r="AG18" i="6"/>
  <c r="L18" i="6"/>
  <c r="O18" i="6"/>
  <c r="L4" i="8"/>
  <c r="M4" i="8"/>
  <c r="P4" i="8"/>
  <c r="E65" i="3"/>
  <c r="E79" i="3"/>
  <c r="E80" i="3"/>
  <c r="E81" i="3"/>
  <c r="E83" i="3"/>
  <c r="E85" i="3"/>
  <c r="E86" i="3"/>
  <c r="E87" i="3"/>
  <c r="E90" i="3"/>
  <c r="E62" i="3"/>
  <c r="E63" i="3"/>
  <c r="E64" i="3"/>
  <c r="E66" i="3"/>
  <c r="E68" i="3"/>
  <c r="E69" i="3"/>
  <c r="E70" i="3"/>
  <c r="E73" i="3"/>
  <c r="AB15" i="6"/>
  <c r="AB16" i="6"/>
  <c r="AB17" i="6"/>
  <c r="AB18" i="6"/>
  <c r="AB19" i="6"/>
  <c r="AB20" i="6"/>
  <c r="AB14" i="6"/>
  <c r="AB6" i="6"/>
  <c r="AB7" i="6"/>
  <c r="AB8" i="6"/>
  <c r="AB9" i="6"/>
  <c r="AB10" i="6"/>
  <c r="AB11" i="6"/>
  <c r="AB12" i="6"/>
  <c r="AB5" i="6"/>
  <c r="M6" i="6"/>
  <c r="N6" i="6"/>
  <c r="M8" i="6"/>
  <c r="N8" i="6"/>
  <c r="M9" i="6"/>
  <c r="N9" i="6"/>
  <c r="M12" i="6"/>
  <c r="N12" i="6"/>
  <c r="M16" i="6"/>
  <c r="N16" i="6"/>
  <c r="M19" i="6"/>
  <c r="N19" i="6"/>
  <c r="M20" i="6"/>
  <c r="N20" i="6"/>
  <c r="M5" i="6"/>
  <c r="N5" i="6"/>
  <c r="M7" i="6"/>
  <c r="N7" i="6"/>
  <c r="M10" i="6"/>
  <c r="N10" i="6"/>
  <c r="M11" i="6"/>
  <c r="N11" i="6"/>
  <c r="M14" i="6"/>
  <c r="N14" i="6"/>
  <c r="M15" i="6"/>
  <c r="N15" i="6"/>
  <c r="M17" i="6"/>
  <c r="N17" i="6"/>
  <c r="M18" i="6"/>
  <c r="N18" i="6"/>
  <c r="C5" i="8"/>
  <c r="W5" i="6"/>
  <c r="AH5" i="6"/>
  <c r="AJ20" i="6"/>
  <c r="AK20" i="6"/>
  <c r="AH20" i="6"/>
  <c r="AI20" i="6"/>
  <c r="AJ19" i="6"/>
  <c r="AK19" i="6"/>
  <c r="AH19" i="6"/>
  <c r="AI19" i="6"/>
  <c r="AJ18" i="6"/>
  <c r="AK18" i="6"/>
  <c r="AH18" i="6"/>
  <c r="AI18" i="6"/>
  <c r="W17" i="6"/>
  <c r="AJ17" i="6"/>
  <c r="AK17" i="6"/>
  <c r="AH17" i="6"/>
  <c r="AI17" i="6"/>
  <c r="AJ16" i="6"/>
  <c r="AK16" i="6"/>
  <c r="AH16" i="6"/>
  <c r="AI16" i="6"/>
  <c r="AJ15" i="6"/>
  <c r="AK15" i="6"/>
  <c r="AH15" i="6"/>
  <c r="AI15" i="6"/>
  <c r="W14" i="6"/>
  <c r="AJ14" i="6"/>
  <c r="AK14" i="6"/>
  <c r="AH14" i="6"/>
  <c r="AI14" i="6"/>
  <c r="AJ12" i="6"/>
  <c r="AK12" i="6"/>
  <c r="AH12" i="6"/>
  <c r="AI12" i="6"/>
  <c r="AJ11" i="6"/>
  <c r="AK11" i="6"/>
  <c r="AH11" i="6"/>
  <c r="AI11" i="6"/>
  <c r="W10" i="6"/>
  <c r="AJ10" i="6"/>
  <c r="AK10" i="6"/>
  <c r="AH10" i="6"/>
  <c r="AI10" i="6"/>
  <c r="AJ9" i="6"/>
  <c r="AK9" i="6"/>
  <c r="AH9" i="6"/>
  <c r="AI9" i="6"/>
  <c r="AJ8" i="6"/>
  <c r="AK8" i="6"/>
  <c r="AH8" i="6"/>
  <c r="AI8" i="6"/>
  <c r="W7" i="6"/>
  <c r="AJ7" i="6"/>
  <c r="AK7" i="6"/>
  <c r="AH7" i="6"/>
  <c r="AI7" i="6"/>
  <c r="AJ6" i="6"/>
  <c r="AK6" i="6"/>
  <c r="AH6" i="6"/>
  <c r="AI6" i="6"/>
  <c r="AJ5" i="6"/>
  <c r="AK5" i="6"/>
  <c r="AI5" i="6"/>
  <c r="O12" i="7"/>
  <c r="O11" i="7"/>
  <c r="O10" i="7"/>
  <c r="O9" i="7"/>
  <c r="O8" i="7"/>
  <c r="K12" i="7"/>
  <c r="K11" i="7"/>
  <c r="K10" i="7"/>
  <c r="K17" i="7"/>
  <c r="P15" i="6"/>
  <c r="P16" i="6"/>
  <c r="P17" i="6"/>
  <c r="P18" i="6"/>
  <c r="P19" i="6"/>
  <c r="P20" i="6"/>
  <c r="P6" i="6"/>
  <c r="P7" i="6"/>
  <c r="P8" i="6"/>
  <c r="P9" i="6"/>
  <c r="P10" i="6"/>
  <c r="P11" i="6"/>
  <c r="P12" i="6"/>
  <c r="M41" i="6"/>
  <c r="M40" i="6"/>
  <c r="M39" i="6"/>
  <c r="M38" i="6"/>
  <c r="M37" i="6"/>
  <c r="I18" i="2"/>
  <c r="J18" i="2"/>
  <c r="I15" i="2"/>
  <c r="J15" i="2"/>
  <c r="I16" i="2"/>
  <c r="J16" i="2"/>
  <c r="I17" i="2"/>
  <c r="J17" i="2"/>
  <c r="I19" i="2"/>
  <c r="J19" i="2"/>
  <c r="I20" i="2"/>
  <c r="J20" i="2"/>
  <c r="P14" i="6"/>
  <c r="I14" i="2"/>
  <c r="J14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P5" i="6"/>
  <c r="I5" i="2"/>
  <c r="K15" i="2"/>
  <c r="M24" i="5"/>
  <c r="P24" i="5"/>
  <c r="K16" i="2"/>
  <c r="M25" i="5"/>
  <c r="P25" i="5"/>
  <c r="K17" i="2"/>
  <c r="M26" i="5"/>
  <c r="P26" i="5"/>
  <c r="K18" i="2"/>
  <c r="M27" i="5"/>
  <c r="P27" i="5"/>
  <c r="K19" i="2"/>
  <c r="M28" i="5"/>
  <c r="P28" i="5"/>
  <c r="K20" i="2"/>
  <c r="M29" i="5"/>
  <c r="P29" i="5"/>
  <c r="P30" i="5"/>
  <c r="E46" i="3"/>
  <c r="E43" i="3"/>
  <c r="E44" i="3"/>
  <c r="E45" i="3"/>
  <c r="E47" i="3"/>
  <c r="E48" i="3"/>
  <c r="E49" i="3"/>
  <c r="E50" i="3"/>
  <c r="E51" i="3"/>
  <c r="E54" i="3"/>
  <c r="K6" i="2"/>
  <c r="M13" i="5"/>
  <c r="P13" i="5"/>
  <c r="K8" i="2"/>
  <c r="M14" i="5"/>
  <c r="P14" i="5"/>
  <c r="K9" i="2"/>
  <c r="M15" i="5"/>
  <c r="P15" i="5"/>
  <c r="K10" i="2"/>
  <c r="M16" i="5"/>
  <c r="P16" i="5"/>
  <c r="K12" i="2"/>
  <c r="M17" i="5"/>
  <c r="P17" i="5"/>
  <c r="K14" i="2"/>
  <c r="M18" i="5"/>
  <c r="P18" i="5"/>
  <c r="P19" i="5"/>
  <c r="E30" i="3"/>
  <c r="E27" i="3"/>
  <c r="E28" i="3"/>
  <c r="E29" i="3"/>
  <c r="E31" i="3"/>
  <c r="E32" i="3"/>
  <c r="E33" i="3"/>
  <c r="E34" i="3"/>
  <c r="E35" i="3"/>
  <c r="E38" i="3"/>
  <c r="J5" i="2"/>
  <c r="K5" i="2"/>
  <c r="M5" i="5"/>
  <c r="P5" i="5"/>
  <c r="K7" i="2"/>
  <c r="M6" i="5"/>
  <c r="P6" i="5"/>
  <c r="K11" i="2"/>
  <c r="M7" i="5"/>
  <c r="P7" i="5"/>
  <c r="P8" i="5"/>
  <c r="E14" i="3"/>
  <c r="E20" i="3"/>
  <c r="E11" i="3"/>
  <c r="E12" i="3"/>
  <c r="E13" i="3"/>
  <c r="E15" i="3"/>
  <c r="E16" i="3"/>
  <c r="E17" i="3"/>
  <c r="E18" i="3"/>
  <c r="E19" i="3"/>
  <c r="E22" i="3"/>
  <c r="L38" i="5"/>
  <c r="L37" i="5"/>
  <c r="L36" i="5"/>
  <c r="M30" i="5"/>
  <c r="L29" i="5"/>
  <c r="L28" i="5"/>
  <c r="L27" i="5"/>
  <c r="L26" i="5"/>
  <c r="L25" i="5"/>
  <c r="L24" i="5"/>
  <c r="M19" i="5"/>
  <c r="L18" i="5"/>
  <c r="L17" i="5"/>
  <c r="L16" i="5"/>
  <c r="L15" i="5"/>
  <c r="L14" i="5"/>
  <c r="L13" i="5"/>
  <c r="M8" i="5"/>
  <c r="L7" i="5"/>
  <c r="L6" i="5"/>
  <c r="L5" i="5"/>
  <c r="H41" i="6"/>
  <c r="H40" i="6"/>
  <c r="H39" i="6"/>
  <c r="C38" i="6"/>
  <c r="G86" i="4"/>
  <c r="G74" i="4"/>
  <c r="G73" i="4"/>
  <c r="G72" i="4"/>
  <c r="G71" i="4"/>
  <c r="G70" i="4"/>
  <c r="C65" i="4"/>
  <c r="C64" i="4"/>
  <c r="C62" i="4"/>
  <c r="C61" i="4"/>
  <c r="G56" i="4"/>
  <c r="G55" i="4"/>
  <c r="G54" i="4"/>
  <c r="G41" i="4"/>
  <c r="G36" i="4"/>
  <c r="G35" i="4"/>
  <c r="G34" i="4"/>
  <c r="G33" i="4"/>
  <c r="G32" i="4"/>
  <c r="G11" i="4"/>
  <c r="G10" i="4"/>
  <c r="G9" i="4"/>
  <c r="G8" i="4"/>
</calcChain>
</file>

<file path=xl/sharedStrings.xml><?xml version="1.0" encoding="utf-8"?>
<sst xmlns="http://schemas.openxmlformats.org/spreadsheetml/2006/main" count="834" uniqueCount="275">
  <si>
    <t>Tababela</t>
  </si>
  <si>
    <t>Nuevo Aeropuerto Internacional Quito</t>
  </si>
  <si>
    <t>limo arenoso color café claro</t>
  </si>
  <si>
    <t>FECHA</t>
  </si>
  <si>
    <t>LUGAR</t>
  </si>
  <si>
    <t>PROYECTO</t>
  </si>
  <si>
    <t>S 1363</t>
  </si>
  <si>
    <t>Torre de Transmisión Eléctrica Tababela</t>
  </si>
  <si>
    <t>SPT</t>
  </si>
  <si>
    <t>&gt;30</t>
  </si>
  <si>
    <t>AÑO</t>
  </si>
  <si>
    <t>SUELO</t>
  </si>
  <si>
    <t>CL</t>
  </si>
  <si>
    <t>ML</t>
  </si>
  <si>
    <t>CONSISTENCIA</t>
  </si>
  <si>
    <t>dura</t>
  </si>
  <si>
    <t>DENSIDAD RELATIVA</t>
  </si>
  <si>
    <t>TRABAJABILIDAD</t>
  </si>
  <si>
    <t>FACTOR "M"</t>
  </si>
  <si>
    <t>PROFUNDIDAD</t>
  </si>
  <si>
    <t>S 1645</t>
  </si>
  <si>
    <t>S 1262</t>
  </si>
  <si>
    <t>SUCS</t>
  </si>
  <si>
    <t>arcilla de baja plasticidad, color café claro, consistencia dura</t>
  </si>
  <si>
    <t>limo arenoso de baja plasticidad, color café, consistencia dura</t>
  </si>
  <si>
    <t>3m - 7m</t>
  </si>
  <si>
    <t>0 - 4m</t>
  </si>
  <si>
    <t>SM</t>
  </si>
  <si>
    <t>3m - 3,50m</t>
  </si>
  <si>
    <t>1m - 2,50m</t>
  </si>
  <si>
    <t>limo arenoso, color café oscuro muy húmedo</t>
  </si>
  <si>
    <t>arena fina limosa no plástica, color café oscuro, muy húmeda</t>
  </si>
  <si>
    <t>arena fina limosa no plástica, color café oscuro, muy húmeda, con presencia de pómez</t>
  </si>
  <si>
    <t>Vivienda Familiar de 2 plantas</t>
  </si>
  <si>
    <t>arena de grano medio limosa no plástica, color café oscuro, muy húmeda, con presencia de pómez</t>
  </si>
  <si>
    <t>6m - 6,50m</t>
  </si>
  <si>
    <t>4m - 5,50m</t>
  </si>
  <si>
    <t>19-20</t>
  </si>
  <si>
    <t>26-17</t>
  </si>
  <si>
    <t>46-44</t>
  </si>
  <si>
    <t>35-24</t>
  </si>
  <si>
    <t>21-42</t>
  </si>
  <si>
    <t>medianamente densa</t>
  </si>
  <si>
    <t>densa</t>
  </si>
  <si>
    <t>muy densa</t>
  </si>
  <si>
    <t>17 - 8</t>
  </si>
  <si>
    <t>compacta</t>
  </si>
  <si>
    <t>RESISTENCIA A LA COMPRESIÓN SIMPLE</t>
  </si>
  <si>
    <t>&gt; 4.00</t>
  </si>
  <si>
    <t>1.00 - 2.00</t>
  </si>
  <si>
    <t>Vivienda Familiar de           2 plantas</t>
  </si>
  <si>
    <t>Arcilla de baja plasticidad</t>
  </si>
  <si>
    <t>Limo arenoso de baja plasticidad</t>
  </si>
  <si>
    <t>Arena limosa no plástica</t>
  </si>
  <si>
    <t>REGISTRO         No.</t>
  </si>
  <si>
    <t>N/A</t>
  </si>
  <si>
    <t>Tababela (Barrio Morachupa)</t>
  </si>
  <si>
    <t xml:space="preserve">SONDEO No. </t>
  </si>
  <si>
    <t>ESTRATOS</t>
  </si>
  <si>
    <t>0 - 4</t>
  </si>
  <si>
    <t>4 - 7</t>
  </si>
  <si>
    <t>0 - 3</t>
  </si>
  <si>
    <t>4 - 5</t>
  </si>
  <si>
    <t>5 - 7</t>
  </si>
  <si>
    <t>0 - 2</t>
  </si>
  <si>
    <t>3 - 4</t>
  </si>
  <si>
    <t>4 - 6</t>
  </si>
  <si>
    <t>0 -2,50</t>
  </si>
  <si>
    <t>2,50 - 3,50</t>
  </si>
  <si>
    <t>3,50 - 5,50</t>
  </si>
  <si>
    <t>5,50 - 6,50</t>
  </si>
  <si>
    <t>-</t>
  </si>
  <si>
    <t>DESCRIPCIÓN DEL SUELO</t>
  </si>
  <si>
    <t>Tiempo efectivamente trabajado por hora transcurrida (minutos)</t>
  </si>
  <si>
    <t>Factor                     (i)</t>
  </si>
  <si>
    <t>Calificación</t>
  </si>
  <si>
    <t>Utópico</t>
  </si>
  <si>
    <t xml:space="preserve">Bueno </t>
  </si>
  <si>
    <t xml:space="preserve">Medio </t>
  </si>
  <si>
    <t>Pobre</t>
  </si>
  <si>
    <t>F A C T O R E S   P A R A   C Á L C U L O   D E   L A   E F I C I  E N C I A</t>
  </si>
  <si>
    <t>Eficiencia en Tiempo (i)</t>
  </si>
  <si>
    <t>Habilidad del operador</t>
  </si>
  <si>
    <t>Factor (o)</t>
  </si>
  <si>
    <t>Factor                   (o)</t>
  </si>
  <si>
    <t>Operación (o)</t>
  </si>
  <si>
    <t>Buena</t>
  </si>
  <si>
    <t xml:space="preserve">Regular </t>
  </si>
  <si>
    <t>Mala</t>
  </si>
  <si>
    <t>Excelente</t>
  </si>
  <si>
    <t>91 - 100%</t>
  </si>
  <si>
    <t>81 - 90%</t>
  </si>
  <si>
    <t>71 - 80%</t>
  </si>
  <si>
    <t>61 - 70%</t>
  </si>
  <si>
    <t>60 - 70%</t>
  </si>
  <si>
    <t>POR: GABRIELA CATALINA CHIRIBOGA TRUJILLO</t>
  </si>
  <si>
    <t>Nivel de Organización de la Administración</t>
  </si>
  <si>
    <t>Factor          (a)</t>
  </si>
  <si>
    <t>Bueno</t>
  </si>
  <si>
    <t>Regular - Bueno</t>
  </si>
  <si>
    <t>Malo - Aceptable</t>
  </si>
  <si>
    <t>91 - 95 %</t>
  </si>
  <si>
    <t>81 - 90 %</t>
  </si>
  <si>
    <t>71 - 80 %</t>
  </si>
  <si>
    <t>Administración (a)</t>
  </si>
  <si>
    <t>Tipo de material</t>
  </si>
  <si>
    <t>Factor        (m)</t>
  </si>
  <si>
    <t>Trabajabilidad</t>
  </si>
  <si>
    <t>Tierra no compactada; arena; grava; y suelo suave</t>
  </si>
  <si>
    <t>Tierra compactada; arcilla seca; y suelos con contenido rocoso &lt; 25%</t>
  </si>
  <si>
    <t>Suelo duro con contenido de roca &gt; 25% &lt;50%</t>
  </si>
  <si>
    <t>Roca dinamitada o escarificada; suelos con contenido rocoso &gt;50% &lt;75%</t>
  </si>
  <si>
    <t>Rocas  y areniscas</t>
  </si>
  <si>
    <t>Muy Fácil</t>
  </si>
  <si>
    <t>Fácil</t>
  </si>
  <si>
    <t>Medio</t>
  </si>
  <si>
    <t>Difícil</t>
  </si>
  <si>
    <t>Muy Difícil</t>
  </si>
  <si>
    <t>ARCILLA DE BAJA PLASTICIDAD</t>
  </si>
  <si>
    <t>Vivienda Familiar</t>
  </si>
  <si>
    <t>PROMEDIO</t>
  </si>
  <si>
    <t>%</t>
  </si>
  <si>
    <t>Tipo de material (m)</t>
  </si>
  <si>
    <t>Estado del material</t>
  </si>
  <si>
    <t>Factor                       (e)</t>
  </si>
  <si>
    <t>Estado del material (e)</t>
  </si>
  <si>
    <t>Suelto</t>
  </si>
  <si>
    <t>En banco</t>
  </si>
  <si>
    <t>Compactado</t>
  </si>
  <si>
    <t>Fw</t>
  </si>
  <si>
    <t>Fh</t>
  </si>
  <si>
    <t>Capacidad real</t>
  </si>
  <si>
    <t>Capacidad nominal</t>
  </si>
  <si>
    <t>Factor              (c)</t>
  </si>
  <si>
    <t>Especificaciones del Equipo</t>
  </si>
  <si>
    <t>Factor de llenado (c)</t>
  </si>
  <si>
    <r>
      <t>V</t>
    </r>
    <r>
      <rPr>
        <sz val="8"/>
        <color theme="1"/>
        <rFont val="Calibri"/>
        <family val="2"/>
        <scheme val="minor"/>
      </rPr>
      <t>N</t>
    </r>
  </si>
  <si>
    <r>
      <t>V</t>
    </r>
    <r>
      <rPr>
        <sz val="8"/>
        <color theme="1"/>
        <rFont val="Calibri"/>
        <family val="2"/>
        <scheme val="minor"/>
      </rPr>
      <t>R</t>
    </r>
  </si>
  <si>
    <t>Arcilla</t>
  </si>
  <si>
    <t>Arena y Limos</t>
  </si>
  <si>
    <t>Giro en grados</t>
  </si>
  <si>
    <t>Factor             (g)</t>
  </si>
  <si>
    <t>Maniobra y alcance (g)</t>
  </si>
  <si>
    <t>90°</t>
  </si>
  <si>
    <t>45°</t>
  </si>
  <si>
    <t>180°</t>
  </si>
  <si>
    <t>Pendiente del terreno       (%)</t>
  </si>
  <si>
    <t>Factor         (p)</t>
  </si>
  <si>
    <t>Pendiente del terreno (p)</t>
  </si>
  <si>
    <t>Hasta 125%</t>
  </si>
  <si>
    <t>Hasta 110%</t>
  </si>
  <si>
    <t>Hasta 90%</t>
  </si>
  <si>
    <t>Hasta 75%</t>
  </si>
  <si>
    <t>Condiciones del camino</t>
  </si>
  <si>
    <t>Factor                 (r)</t>
  </si>
  <si>
    <t>Plano y firme</t>
  </si>
  <si>
    <t>Firme - mal conservado</t>
  </si>
  <si>
    <t>Arena y grava suelta</t>
  </si>
  <si>
    <t>Sin conservar y lodoso</t>
  </si>
  <si>
    <t>Condiciones de camino (r)</t>
  </si>
  <si>
    <t>Máquinas con orugas</t>
  </si>
  <si>
    <t>Razón imprevisto</t>
  </si>
  <si>
    <t>Afectación          %</t>
  </si>
  <si>
    <t>Lluvia</t>
  </si>
  <si>
    <t>Reparaciones</t>
  </si>
  <si>
    <t>Roturas</t>
  </si>
  <si>
    <t>Otros</t>
  </si>
  <si>
    <t>5% a 6%</t>
  </si>
  <si>
    <t>12% a 15%</t>
  </si>
  <si>
    <t>18% a 20%</t>
  </si>
  <si>
    <t>5% a 7%</t>
  </si>
  <si>
    <t>Eventualidades (l)</t>
  </si>
  <si>
    <t>100%  -  %Afectación                     (%Afectación = 15-20%)</t>
  </si>
  <si>
    <t>Factor                                                 (l)</t>
  </si>
  <si>
    <t>Uso anual</t>
  </si>
  <si>
    <t>Uso anual (u)</t>
  </si>
  <si>
    <t>C Á L C U L O   D E   L A   E F I C I  E N C I A</t>
  </si>
  <si>
    <t>Descripción</t>
  </si>
  <si>
    <t>Valor</t>
  </si>
  <si>
    <t>Eficiencia en tiempo</t>
  </si>
  <si>
    <t>Operación</t>
  </si>
  <si>
    <t>Administración</t>
  </si>
  <si>
    <t>Estado de material</t>
  </si>
  <si>
    <t>Factor de llenado</t>
  </si>
  <si>
    <t>Maniobra y alcance</t>
  </si>
  <si>
    <t>Pendiente</t>
  </si>
  <si>
    <t>Condiciones del terreno</t>
  </si>
  <si>
    <t>Eventualidades</t>
  </si>
  <si>
    <t>Factor (i)</t>
  </si>
  <si>
    <t>Factor (a)</t>
  </si>
  <si>
    <t>Factor (m)</t>
  </si>
  <si>
    <t>Factor (e)</t>
  </si>
  <si>
    <t>Factor (c)</t>
  </si>
  <si>
    <t>Factor (g)</t>
  </si>
  <si>
    <t>Factor (p)</t>
  </si>
  <si>
    <t>Factor (r)</t>
  </si>
  <si>
    <t>Factor (l)</t>
  </si>
  <si>
    <t>Factor (u)</t>
  </si>
  <si>
    <t>0 a -10</t>
  </si>
  <si>
    <t>Tipo de Suelo</t>
  </si>
  <si>
    <t>E F I C I E N C I A</t>
  </si>
  <si>
    <t>LIMO ARENOSO DE BAJA PLASTICIDAD</t>
  </si>
  <si>
    <t>ARENA LIMOSA NO PLÁSTICA</t>
  </si>
  <si>
    <t>PESO UNITARIO</t>
  </si>
  <si>
    <t>País</t>
  </si>
  <si>
    <t>Tipo de martinete</t>
  </si>
  <si>
    <t>Liberación del martinete</t>
  </si>
  <si>
    <t>hH</t>
  </si>
  <si>
    <t>Japón</t>
  </si>
  <si>
    <t>Estados Unidos</t>
  </si>
  <si>
    <t>Argentina</t>
  </si>
  <si>
    <t>China</t>
  </si>
  <si>
    <t>De seguridad</t>
  </si>
  <si>
    <t>Caída libra</t>
  </si>
  <si>
    <t>Cuerda y polea</t>
  </si>
  <si>
    <r>
      <t xml:space="preserve">Variación de </t>
    </r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  <scheme val="minor"/>
      </rPr>
      <t>H</t>
    </r>
  </si>
  <si>
    <t>Diámetro (cm)</t>
  </si>
  <si>
    <t xml:space="preserve">hB </t>
  </si>
  <si>
    <r>
      <t xml:space="preserve">Variación de </t>
    </r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</rPr>
      <t xml:space="preserve">B </t>
    </r>
  </si>
  <si>
    <t>Variable</t>
  </si>
  <si>
    <t>Muestreador estándar</t>
  </si>
  <si>
    <t>Con recubrimiento para arena y arcilla densas</t>
  </si>
  <si>
    <t>Con recubrimiento para arena suelta</t>
  </si>
  <si>
    <t>h</t>
  </si>
  <si>
    <r>
      <t xml:space="preserve">Variación de </t>
    </r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</rPr>
      <t xml:space="preserve">S </t>
    </r>
    <r>
      <rPr>
        <b/>
        <sz val="11"/>
        <color theme="1"/>
        <rFont val="Symbol"/>
        <family val="1"/>
        <charset val="2"/>
      </rPr>
      <t xml:space="preserve"> </t>
    </r>
  </si>
  <si>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  <scheme val="minor"/>
      </rPr>
      <t>S</t>
    </r>
  </si>
  <si>
    <t>Longitud de la barra (m)</t>
  </si>
  <si>
    <t>&gt; 1.00</t>
  </si>
  <si>
    <r>
      <t>N</t>
    </r>
    <r>
      <rPr>
        <b/>
        <sz val="8"/>
        <color theme="1"/>
        <rFont val="Calibri"/>
        <family val="2"/>
        <scheme val="minor"/>
      </rPr>
      <t>60</t>
    </r>
  </si>
  <si>
    <r>
      <t>N</t>
    </r>
    <r>
      <rPr>
        <b/>
        <sz val="8"/>
        <color theme="1"/>
        <rFont val="Calibri"/>
        <family val="2"/>
        <scheme val="minor"/>
      </rPr>
      <t>SPT</t>
    </r>
  </si>
  <si>
    <r>
      <t xml:space="preserve">Variación </t>
    </r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  <scheme val="minor"/>
      </rPr>
      <t>R</t>
    </r>
  </si>
  <si>
    <r>
      <rPr>
        <b/>
        <sz val="11"/>
        <color theme="1"/>
        <rFont val="Symbol"/>
        <family val="1"/>
        <charset val="2"/>
      </rPr>
      <t>h</t>
    </r>
    <r>
      <rPr>
        <b/>
        <sz val="11"/>
        <color theme="1"/>
        <rFont val="Calibri"/>
        <family val="2"/>
      </rPr>
      <t>R</t>
    </r>
  </si>
  <si>
    <r>
      <t>(N1)</t>
    </r>
    <r>
      <rPr>
        <b/>
        <sz val="8"/>
        <color theme="1"/>
        <rFont val="Calibri"/>
        <family val="2"/>
        <scheme val="minor"/>
      </rPr>
      <t>60</t>
    </r>
  </si>
  <si>
    <t>Dr</t>
  </si>
  <si>
    <r>
      <t xml:space="preserve">DENSIDAD RELATIVA              </t>
    </r>
    <r>
      <rPr>
        <b/>
        <sz val="8"/>
        <color theme="1"/>
        <rFont val="Calibri"/>
        <family val="2"/>
        <scheme val="minor"/>
      </rPr>
      <t xml:space="preserve">  CARACTERIZACIÓN</t>
    </r>
  </si>
  <si>
    <r>
      <t>C</t>
    </r>
    <r>
      <rPr>
        <b/>
        <sz val="8"/>
        <color theme="1"/>
        <rFont val="Calibri"/>
        <family val="2"/>
        <scheme val="minor"/>
      </rPr>
      <t>N</t>
    </r>
  </si>
  <si>
    <t>Arcilla en banco</t>
  </si>
  <si>
    <t>Arena y limo en banco</t>
  </si>
  <si>
    <t>Muy suelto</t>
  </si>
  <si>
    <t>Muy denso</t>
  </si>
  <si>
    <t>Dr (%)</t>
  </si>
  <si>
    <t>Medianamente denso</t>
  </si>
  <si>
    <t>Denso</t>
  </si>
  <si>
    <t>Toroide</t>
  </si>
  <si>
    <r>
      <t xml:space="preserve">Variación de </t>
    </r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  <scheme val="minor"/>
      </rPr>
      <t>H</t>
    </r>
  </si>
  <si>
    <r>
      <t xml:space="preserve">Variación </t>
    </r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  <scheme val="minor"/>
      </rPr>
      <t>R</t>
    </r>
  </si>
  <si>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</rPr>
      <t>R</t>
    </r>
  </si>
  <si>
    <r>
      <t xml:space="preserve">Variación de </t>
    </r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</rPr>
      <t xml:space="preserve">S </t>
    </r>
    <r>
      <rPr>
        <b/>
        <sz val="10"/>
        <color theme="1"/>
        <rFont val="Symbol"/>
        <family val="1"/>
        <charset val="2"/>
      </rPr>
      <t xml:space="preserve"> </t>
    </r>
  </si>
  <si>
    <r>
      <t xml:space="preserve">Variación de </t>
    </r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</rPr>
      <t xml:space="preserve">B </t>
    </r>
  </si>
  <si>
    <r>
      <rPr>
        <b/>
        <sz val="10"/>
        <color theme="1"/>
        <rFont val="Symbol"/>
        <family val="1"/>
        <charset val="2"/>
      </rPr>
      <t>h</t>
    </r>
    <r>
      <rPr>
        <b/>
        <sz val="10"/>
        <color theme="1"/>
        <rFont val="Calibri"/>
        <family val="2"/>
        <scheme val="minor"/>
      </rPr>
      <t>S</t>
    </r>
  </si>
  <si>
    <r>
      <rPr>
        <b/>
        <u/>
        <sz val="11"/>
        <color theme="1"/>
        <rFont val="Calibri"/>
        <family val="2"/>
        <scheme val="minor"/>
      </rPr>
      <t xml:space="preserve">Variación de </t>
    </r>
    <r>
      <rPr>
        <b/>
        <u/>
        <sz val="11"/>
        <color theme="1"/>
        <rFont val="Symbol"/>
        <family val="1"/>
        <charset val="2"/>
      </rPr>
      <t>hH, hB</t>
    </r>
    <r>
      <rPr>
        <b/>
        <u/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Symbol"/>
        <family val="1"/>
        <charset val="2"/>
      </rPr>
      <t>h</t>
    </r>
    <r>
      <rPr>
        <b/>
        <u/>
        <sz val="11"/>
        <color theme="1"/>
        <rFont val="Calibri"/>
        <family val="2"/>
      </rPr>
      <t xml:space="preserve">S, </t>
    </r>
    <r>
      <rPr>
        <b/>
        <u/>
        <sz val="11"/>
        <color theme="1"/>
        <rFont val="Symbol"/>
        <family val="1"/>
        <charset val="2"/>
      </rPr>
      <t>h</t>
    </r>
    <r>
      <rPr>
        <b/>
        <u/>
        <sz val="11"/>
        <color theme="1"/>
        <rFont val="Calibri"/>
        <family val="2"/>
      </rPr>
      <t>R</t>
    </r>
  </si>
  <si>
    <t>nh</t>
  </si>
  <si>
    <t>nb</t>
  </si>
  <si>
    <t>ns</t>
  </si>
  <si>
    <t>nr</t>
  </si>
  <si>
    <t>COMPACIDAD</t>
  </si>
  <si>
    <t>ÁNGULO DE FRICCIÓN</t>
  </si>
  <si>
    <t>FACTOR             M</t>
  </si>
  <si>
    <t>PESO                   UNITARIO</t>
  </si>
  <si>
    <t>CL , ML</t>
  </si>
  <si>
    <t>ML , SM</t>
  </si>
  <si>
    <t>Dr                    (%)</t>
  </si>
  <si>
    <t>P O R   T I P O   D E   S U E L O</t>
  </si>
  <si>
    <t>P O R   E S T R A T I G R A F Í A</t>
  </si>
  <si>
    <t>ESTRATO</t>
  </si>
  <si>
    <t>ESTRATO 2   (4-7m)</t>
  </si>
  <si>
    <t>ESTRATO 1   (0-4m)</t>
  </si>
  <si>
    <t>Estrato 1</t>
  </si>
  <si>
    <t>Estrato 2</t>
  </si>
  <si>
    <t>Limos y Arcillas</t>
  </si>
  <si>
    <t>30°</t>
  </si>
  <si>
    <t xml:space="preserve">Limos y arcillas de baja plasticidad con consistencia media. </t>
  </si>
  <si>
    <t>Arenas de grano fino no plásticas y limos de baja plasticidad con densidad dura.</t>
  </si>
  <si>
    <t>COHESIÓN              ton/m2</t>
  </si>
  <si>
    <t>38°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</si>
</sst>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u/>
      <sz val="14"/>
      <color theme="7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u/>
      <sz val="14"/>
      <color rgb="FFF6F10F"/>
      <name val="Calibri"/>
      <family val="2"/>
      <scheme val="minor"/>
    </font>
    <font>
      <b/>
      <sz val="14"/>
      <color rgb="FFF6F10F"/>
      <name val="Calibri"/>
      <family val="2"/>
      <scheme val="minor"/>
    </font>
    <font>
      <b/>
      <u/>
      <sz val="14"/>
      <color rgb="FF8EE31D"/>
      <name val="Calibri"/>
      <family val="2"/>
      <scheme val="minor"/>
    </font>
    <font>
      <b/>
      <sz val="14"/>
      <color rgb="FF8EE31D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sz val="9"/>
      <color theme="1" tint="0.34998626667073579"/>
      <name val="Calibri"/>
      <family val="2"/>
      <scheme val="minor"/>
    </font>
    <font>
      <b/>
      <sz val="10"/>
      <color theme="1"/>
      <name val="Symbol"/>
      <family val="1"/>
      <charset val="2"/>
    </font>
    <font>
      <b/>
      <sz val="10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Symbol"/>
      <family val="1"/>
      <charset val="2"/>
    </font>
    <font>
      <b/>
      <u/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u/>
      <sz val="14"/>
      <color rgb="FFFFC00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u/>
      <sz val="14"/>
      <color rgb="FF996633"/>
      <name val="Calibri"/>
      <family val="2"/>
      <scheme val="minor"/>
    </font>
    <font>
      <b/>
      <sz val="14"/>
      <color rgb="FF996633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6F10F"/>
        <bgColor indexed="64"/>
      </patternFill>
    </fill>
    <fill>
      <patternFill patternType="solid">
        <fgColor rgb="FFFBF885"/>
        <bgColor indexed="64"/>
      </patternFill>
    </fill>
    <fill>
      <patternFill patternType="solid">
        <fgColor rgb="FF8EE31D"/>
        <bgColor indexed="64"/>
      </patternFill>
    </fill>
    <fill>
      <patternFill patternType="solid">
        <fgColor rgb="FFC2F084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D25F"/>
        <bgColor indexed="64"/>
      </patternFill>
    </fill>
    <fill>
      <patternFill patternType="solid">
        <fgColor rgb="FFD3A77B"/>
        <bgColor indexed="64"/>
      </patternFill>
    </fill>
    <fill>
      <patternFill patternType="solid">
        <fgColor rgb="FFB0753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6" fillId="7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 wrapText="1"/>
    </xf>
    <xf numFmtId="0" fontId="0" fillId="8" borderId="4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9" fontId="0" fillId="4" borderId="4" xfId="0" applyNumberFormat="1" applyFill="1" applyBorder="1" applyAlignment="1">
      <alignment horizontal="left" vertical="center"/>
    </xf>
    <xf numFmtId="0" fontId="0" fillId="8" borderId="3" xfId="0" applyFill="1" applyBorder="1" applyAlignment="1">
      <alignment horizontal="right" vertical="center"/>
    </xf>
    <xf numFmtId="1" fontId="0" fillId="4" borderId="3" xfId="0" applyNumberFormat="1" applyFill="1" applyBorder="1" applyAlignment="1">
      <alignment horizontal="right" vertical="center"/>
    </xf>
    <xf numFmtId="0" fontId="0" fillId="8" borderId="12" xfId="0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2" fontId="0" fillId="8" borderId="3" xfId="0" applyNumberFormat="1" applyFill="1" applyBorder="1" applyAlignment="1">
      <alignment horizontal="right" vertical="center"/>
    </xf>
    <xf numFmtId="9" fontId="0" fillId="8" borderId="4" xfId="0" applyNumberFormat="1" applyFill="1" applyBorder="1" applyAlignment="1">
      <alignment horizontal="left" vertical="center"/>
    </xf>
    <xf numFmtId="49" fontId="0" fillId="6" borderId="1" xfId="0" applyNumberForma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9" fontId="0" fillId="8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9" fontId="0" fillId="0" borderId="0" xfId="0" applyNumberFormat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2" fontId="0" fillId="12" borderId="1" xfId="0" applyNumberForma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0" fontId="2" fillId="8" borderId="0" xfId="0" applyFont="1" applyFill="1" applyBorder="1" applyAlignment="1">
      <alignment horizontal="left" vertical="center"/>
    </xf>
    <xf numFmtId="49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49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3" xfId="0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49" fontId="0" fillId="8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49" fontId="1" fillId="14" borderId="1" xfId="0" applyNumberFormat="1" applyFont="1" applyFill="1" applyBorder="1" applyAlignment="1">
      <alignment horizontal="center" vertical="center" wrapText="1"/>
    </xf>
    <xf numFmtId="49" fontId="3" fillId="14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0" fillId="8" borderId="10" xfId="0" applyFill="1" applyBorder="1"/>
    <xf numFmtId="0" fontId="0" fillId="8" borderId="0" xfId="0" applyFill="1" applyBorder="1"/>
    <xf numFmtId="0" fontId="0" fillId="8" borderId="12" xfId="0" applyFill="1" applyBorder="1"/>
    <xf numFmtId="0" fontId="0" fillId="8" borderId="14" xfId="0" applyFill="1" applyBorder="1"/>
    <xf numFmtId="0" fontId="0" fillId="8" borderId="13" xfId="0" applyFill="1" applyBorder="1"/>
    <xf numFmtId="0" fontId="2" fillId="8" borderId="0" xfId="0" applyFont="1" applyFill="1" applyBorder="1"/>
    <xf numFmtId="0" fontId="2" fillId="8" borderId="11" xfId="0" applyFont="1" applyFill="1" applyBorder="1"/>
    <xf numFmtId="49" fontId="2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2" fillId="8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left" vertical="center"/>
    </xf>
    <xf numFmtId="2" fontId="2" fillId="8" borderId="0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0" fillId="8" borderId="4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49" fontId="1" fillId="14" borderId="1" xfId="0" applyNumberFormat="1" applyFont="1" applyFill="1" applyBorder="1" applyAlignment="1">
      <alignment horizontal="center" vertical="center" wrapText="1"/>
    </xf>
    <xf numFmtId="49" fontId="3" fillId="14" borderId="1" xfId="0" applyNumberFormat="1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2" fontId="0" fillId="0" borderId="3" xfId="0" applyNumberForma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2" fontId="0" fillId="16" borderId="1" xfId="0" applyNumberFormat="1" applyFill="1" applyBorder="1" applyAlignment="1">
      <alignment horizontal="center" vertical="center"/>
    </xf>
    <xf numFmtId="0" fontId="1" fillId="18" borderId="2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2" fontId="0" fillId="19" borderId="1" xfId="0" applyNumberFormat="1" applyFill="1" applyBorder="1" applyAlignment="1">
      <alignment horizontal="center" vertical="center"/>
    </xf>
    <xf numFmtId="2" fontId="33" fillId="0" borderId="0" xfId="0" applyNumberFormat="1" applyFont="1" applyAlignment="1">
      <alignment horizontal="center" vertical="center"/>
    </xf>
    <xf numFmtId="10" fontId="0" fillId="8" borderId="3" xfId="0" applyNumberFormat="1" applyFill="1" applyBorder="1" applyAlignment="1">
      <alignment horizontal="right" vertical="center"/>
    </xf>
    <xf numFmtId="9" fontId="0" fillId="8" borderId="3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6" fillId="7" borderId="0" xfId="0" applyFont="1" applyFill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7" borderId="0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center"/>
    </xf>
    <xf numFmtId="0" fontId="24" fillId="8" borderId="8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1" fillId="18" borderId="2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753A"/>
      <color rgb="FFD3A77B"/>
      <color rgb="FF996633"/>
      <color rgb="FFF8F200"/>
      <color rgb="FFCCCC00"/>
      <color rgb="FF00E266"/>
      <color rgb="FF00D25F"/>
      <color rgb="FFFF9933"/>
      <color rgb="FFC2F084"/>
      <color rgb="FFFFD6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3</xdr:row>
      <xdr:rowOff>95250</xdr:rowOff>
    </xdr:from>
    <xdr:to>
      <xdr:col>5</xdr:col>
      <xdr:colOff>142545</xdr:colOff>
      <xdr:row>3</xdr:row>
      <xdr:rowOff>504774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3575" y="647700"/>
          <a:ext cx="2638095" cy="409524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  <xdr:oneCellAnchor>
    <xdr:from>
      <xdr:col>4</xdr:col>
      <xdr:colOff>114301</xdr:colOff>
      <xdr:row>46</xdr:row>
      <xdr:rowOff>419100</xdr:rowOff>
    </xdr:from>
    <xdr:ext cx="571500" cy="4092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3 CuadroTexto"/>
            <xdr:cNvSpPr txBox="1"/>
          </xdr:nvSpPr>
          <xdr:spPr>
            <a:xfrm>
              <a:off x="3381376" y="11991975"/>
              <a:ext cx="571500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EC" sz="110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s-EC" sz="1100" b="0" i="0">
                            <a:latin typeface="Cambria Math"/>
                          </a:rPr>
                          <m:t>VR</m:t>
                        </m:r>
                      </m:num>
                      <m:den>
                        <m:r>
                          <m:rPr>
                            <m:sty m:val="p"/>
                          </m:rPr>
                          <a:rPr lang="es-EC" sz="1100" b="0" i="0">
                            <a:latin typeface="Cambria Math"/>
                          </a:rPr>
                          <m:t>VN</m:t>
                        </m:r>
                      </m:den>
                    </m:f>
                  </m:oMath>
                </m:oMathPara>
              </a14:m>
              <a:endParaRPr lang="es-EC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3 CuadroTexto"/>
            <xdr:cNvSpPr txBox="1"/>
          </xdr:nvSpPr>
          <xdr:spPr>
            <a:xfrm>
              <a:off x="3381376" y="11991975"/>
              <a:ext cx="571500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s-EC" sz="1100" b="0" i="0">
                  <a:latin typeface="Cambria Math"/>
                </a:rPr>
                <a:t>VR/VN</a:t>
              </a:r>
              <a:endParaRPr lang="es-EC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  <xdr:twoCellAnchor editAs="oneCell">
    <xdr:from>
      <xdr:col>8</xdr:col>
      <xdr:colOff>142876</xdr:colOff>
      <xdr:row>43</xdr:row>
      <xdr:rowOff>152400</xdr:rowOff>
    </xdr:from>
    <xdr:to>
      <xdr:col>12</xdr:col>
      <xdr:colOff>699568</xdr:colOff>
      <xdr:row>52</xdr:row>
      <xdr:rowOff>66675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19876" y="11115675"/>
          <a:ext cx="3604692" cy="1943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476250</xdr:colOff>
      <xdr:row>23</xdr:row>
      <xdr:rowOff>76200</xdr:rowOff>
    </xdr:from>
    <xdr:ext cx="2190750" cy="41376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1 CuadroTexto"/>
            <xdr:cNvSpPr txBox="1"/>
          </xdr:nvSpPr>
          <xdr:spPr>
            <a:xfrm>
              <a:off x="2466975" y="4400550"/>
              <a:ext cx="2190750" cy="4137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C" sz="1100" b="0" i="1">
                        <a:latin typeface="Cambria Math"/>
                      </a:rPr>
                      <m:t>𝑁</m:t>
                    </m:r>
                    <m:r>
                      <a:rPr lang="es-EC" sz="1100" b="0" i="1">
                        <a:latin typeface="Cambria Math"/>
                      </a:rPr>
                      <m:t>60= </m:t>
                    </m:r>
                    <m:f>
                      <m:fPr>
                        <m:ctrlPr>
                          <a:rPr lang="es-EC" sz="11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s-EC" sz="1100" b="0" i="1">
                            <a:latin typeface="Cambria Math"/>
                          </a:rPr>
                          <m:t>𝑁</m:t>
                        </m:r>
                        <m:r>
                          <a:rPr lang="es-EC" sz="1100" b="0" i="1">
                            <a:latin typeface="Cambria Math"/>
                          </a:rPr>
                          <m:t>∗</m:t>
                        </m:r>
                        <m:r>
                          <a:rPr lang="es-EC" sz="1100" b="0" i="1">
                            <a:latin typeface="Cambria Math"/>
                          </a:rPr>
                          <m:t>𝐻</m:t>
                        </m:r>
                        <m:r>
                          <a:rPr lang="es-EC" sz="1100" b="0" i="1">
                            <a:latin typeface="Cambria Math"/>
                          </a:rPr>
                          <m:t>∗</m:t>
                        </m:r>
                        <m:r>
                          <a:rPr lang="es-EC" sz="1100" b="0" i="1">
                            <a:latin typeface="Cambria Math"/>
                          </a:rPr>
                          <m:t>𝐵</m:t>
                        </m:r>
                        <m:r>
                          <a:rPr lang="es-EC" sz="1100" b="0" i="1">
                            <a:latin typeface="Cambria Math"/>
                          </a:rPr>
                          <m:t>∗</m:t>
                        </m:r>
                        <m:r>
                          <a:rPr lang="es-EC" sz="1100" b="0" i="1">
                            <a:latin typeface="Cambria Math"/>
                          </a:rPr>
                          <m:t>𝑆</m:t>
                        </m:r>
                        <m:r>
                          <a:rPr lang="es-EC" sz="1100" b="0" i="1">
                            <a:latin typeface="Cambria Math"/>
                          </a:rPr>
                          <m:t>∗</m:t>
                        </m:r>
                        <m:r>
                          <a:rPr lang="es-EC" sz="1100" b="0" i="1">
                            <a:latin typeface="Cambria Math"/>
                          </a:rPr>
                          <m:t>𝑅</m:t>
                        </m:r>
                      </m:num>
                      <m:den>
                        <m:r>
                          <a:rPr lang="es-EC" sz="1100" b="0" i="1">
                            <a:latin typeface="Cambria Math"/>
                          </a:rPr>
                          <m:t>60</m:t>
                        </m:r>
                      </m:den>
                    </m:f>
                  </m:oMath>
                </m:oMathPara>
              </a14:m>
              <a:endParaRPr lang="es-EC" sz="1100"/>
            </a:p>
          </xdr:txBody>
        </xdr:sp>
      </mc:Choice>
      <mc:Fallback xmlns="">
        <xdr:sp macro="" textlink="">
          <xdr:nvSpPr>
            <xdr:cNvPr id="2" name="1 CuadroTexto"/>
            <xdr:cNvSpPr txBox="1"/>
          </xdr:nvSpPr>
          <xdr:spPr>
            <a:xfrm>
              <a:off x="2466975" y="4400550"/>
              <a:ext cx="2190750" cy="4137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s-EC" sz="1100" b="0" i="0">
                  <a:latin typeface="Cambria Math"/>
                </a:rPr>
                <a:t>𝑁60=  (𝑁∗</a:t>
              </a:r>
              <a:r>
                <a:rPr lang="es-EC" sz="1100" b="0" i="0">
                  <a:latin typeface="Cambria Math"/>
                  <a:sym typeface="Symbol"/>
                </a:rPr>
                <a:t></a:t>
              </a:r>
              <a:r>
                <a:rPr lang="es-EC" sz="1100" b="0" i="0">
                  <a:latin typeface="Cambria Math"/>
                </a:rPr>
                <a:t>𝐻∗</a:t>
              </a:r>
              <a:r>
                <a:rPr lang="es-EC" sz="1100" b="0" i="0">
                  <a:latin typeface="Cambria Math"/>
                  <a:sym typeface="Symbol"/>
                </a:rPr>
                <a:t></a:t>
              </a:r>
              <a:r>
                <a:rPr lang="es-EC" sz="1100" b="0" i="0">
                  <a:latin typeface="Cambria Math"/>
                </a:rPr>
                <a:t>𝐵∗</a:t>
              </a:r>
              <a:r>
                <a:rPr lang="es-EC" sz="1100" b="0" i="0">
                  <a:latin typeface="Cambria Math"/>
                  <a:sym typeface="Symbol"/>
                </a:rPr>
                <a:t></a:t>
              </a:r>
              <a:r>
                <a:rPr lang="es-EC" sz="1100" b="0" i="0">
                  <a:latin typeface="Cambria Math"/>
                </a:rPr>
                <a:t>𝑆∗</a:t>
              </a:r>
              <a:r>
                <a:rPr lang="es-EC" sz="1100" b="0" i="0">
                  <a:latin typeface="Cambria Math"/>
                  <a:sym typeface="Symbol"/>
                </a:rPr>
                <a:t></a:t>
              </a:r>
              <a:r>
                <a:rPr lang="es-EC" sz="1100" b="0" i="0">
                  <a:latin typeface="Cambria Math"/>
                </a:rPr>
                <a:t>𝑅)/60</a:t>
              </a:r>
              <a:endParaRPr lang="es-EC" sz="1100"/>
            </a:p>
          </xdr:txBody>
        </xdr:sp>
      </mc:Fallback>
    </mc:AlternateContent>
    <xdr:clientData/>
  </xdr:oneCellAnchor>
  <xdr:oneCellAnchor>
    <xdr:from>
      <xdr:col>12</xdr:col>
      <xdr:colOff>200025</xdr:colOff>
      <xdr:row>22</xdr:row>
      <xdr:rowOff>161925</xdr:rowOff>
    </xdr:from>
    <xdr:ext cx="2247900" cy="6022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3 CuadroTexto"/>
            <xdr:cNvSpPr txBox="1"/>
          </xdr:nvSpPr>
          <xdr:spPr>
            <a:xfrm>
              <a:off x="7553325" y="4295775"/>
              <a:ext cx="2247900" cy="6022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C" sz="1200" b="0" i="1">
                        <a:latin typeface="Cambria Math"/>
                      </a:rPr>
                      <m:t>𝐶𝑁</m:t>
                    </m:r>
                    <m:r>
                      <a:rPr lang="es-EC" sz="1200" b="0" i="1">
                        <a:latin typeface="Cambria Math"/>
                      </a:rPr>
                      <m:t>=[</m:t>
                    </m:r>
                    <m:sSup>
                      <m:sSupPr>
                        <m:ctrlPr>
                          <a:rPr lang="es-EC" sz="1200" b="0" i="1">
                            <a:latin typeface="Cambria Math"/>
                          </a:rPr>
                        </m:ctrlPr>
                      </m:sSupPr>
                      <m:e>
                        <m:f>
                          <m:fPr>
                            <m:ctrlPr>
                              <a:rPr lang="es-EC" sz="1200" b="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s-EC" sz="1200" b="0" i="1">
                                <a:latin typeface="Cambria Math"/>
                              </a:rPr>
                              <m:t>1</m:t>
                            </m:r>
                          </m:num>
                          <m:den>
                            <m:f>
                              <m:fPr>
                                <m:ctrlPr>
                                  <a:rPr lang="es-EC" sz="1200" b="0" i="1">
                                    <a:latin typeface="Cambria Math"/>
                                  </a:rPr>
                                </m:ctrlPr>
                              </m:fPr>
                              <m:num>
                                <m:r>
                                  <a:rPr lang="es-EC" sz="1200" b="0" i="1">
                                    <a:latin typeface="Cambria Math"/>
                                    <a:ea typeface="Cambria Math"/>
                                  </a:rPr>
                                  <m:t>𝜎</m:t>
                                </m:r>
                                <m:r>
                                  <a:rPr lang="es-EC" sz="1200" b="0" i="1">
                                    <a:latin typeface="Cambria Math"/>
                                    <a:ea typeface="Cambria Math"/>
                                  </a:rPr>
                                  <m:t>′</m:t>
                                </m:r>
                                <m:r>
                                  <a:rPr lang="es-EC" sz="1200" b="0" i="1">
                                    <a:latin typeface="Cambria Math"/>
                                    <a:ea typeface="Cambria Math"/>
                                  </a:rPr>
                                  <m:t>𝑜</m:t>
                                </m:r>
                              </m:num>
                              <m:den>
                                <m:r>
                                  <a:rPr lang="es-EC" sz="1200" b="0" i="1">
                                    <a:latin typeface="Cambria Math"/>
                                  </a:rPr>
                                  <m:t>𝑃𝑎</m:t>
                                </m:r>
                              </m:den>
                            </m:f>
                          </m:den>
                        </m:f>
                        <m:r>
                          <a:rPr lang="es-EC" sz="1200" b="0" i="1">
                            <a:latin typeface="Cambria Math"/>
                          </a:rPr>
                          <m:t>]</m:t>
                        </m:r>
                      </m:e>
                      <m:sup>
                        <m:r>
                          <a:rPr lang="es-EC" sz="1200" b="0" i="1">
                            <a:latin typeface="Cambria Math"/>
                          </a:rPr>
                          <m:t>0.5</m:t>
                        </m:r>
                      </m:sup>
                    </m:sSup>
                  </m:oMath>
                </m:oMathPara>
              </a14:m>
              <a:endParaRPr lang="es-EC" sz="1100"/>
            </a:p>
          </xdr:txBody>
        </xdr:sp>
      </mc:Choice>
      <mc:Fallback xmlns="">
        <xdr:sp macro="" textlink="">
          <xdr:nvSpPr>
            <xdr:cNvPr id="4" name="3 CuadroTexto"/>
            <xdr:cNvSpPr txBox="1"/>
          </xdr:nvSpPr>
          <xdr:spPr>
            <a:xfrm>
              <a:off x="7553325" y="4295775"/>
              <a:ext cx="2247900" cy="6022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s-EC" sz="1200" b="0" i="0">
                  <a:latin typeface="Cambria Math"/>
                </a:rPr>
                <a:t>𝐶𝑁=[〖1/(</a:t>
              </a:r>
              <a:r>
                <a:rPr lang="es-EC" sz="1200" b="0" i="0">
                  <a:latin typeface="Cambria Math"/>
                  <a:ea typeface="Cambria Math"/>
                </a:rPr>
                <a:t>𝜎′𝑜/</a:t>
              </a:r>
              <a:r>
                <a:rPr lang="es-EC" sz="1200" b="0" i="0">
                  <a:latin typeface="Cambria Math"/>
                </a:rPr>
                <a:t>𝑃𝑎)]〗^0.5</a:t>
              </a:r>
              <a:endParaRPr lang="es-EC" sz="1100"/>
            </a:p>
          </xdr:txBody>
        </xdr:sp>
      </mc:Fallback>
    </mc:AlternateContent>
    <xdr:clientData/>
  </xdr:oneCellAnchor>
  <xdr:oneCellAnchor>
    <xdr:from>
      <xdr:col>14</xdr:col>
      <xdr:colOff>19050</xdr:colOff>
      <xdr:row>25</xdr:row>
      <xdr:rowOff>57150</xdr:rowOff>
    </xdr:from>
    <xdr:ext cx="11430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4 CuadroTexto"/>
            <xdr:cNvSpPr txBox="1"/>
          </xdr:nvSpPr>
          <xdr:spPr>
            <a:xfrm>
              <a:off x="8181975" y="5067300"/>
              <a:ext cx="11430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C" sz="1100" i="1">
                        <a:latin typeface="Cambria Math"/>
                        <a:ea typeface="Cambria Math"/>
                      </a:rPr>
                      <m:t>𝜎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′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𝑜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= 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𝛾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∗</m:t>
                    </m:r>
                    <m:r>
                      <a:rPr lang="es-EC" sz="1100" b="0" i="1">
                        <a:latin typeface="Cambria Math"/>
                        <a:ea typeface="Cambria Math"/>
                      </a:rPr>
                      <m:t>h</m:t>
                    </m:r>
                  </m:oMath>
                </m:oMathPara>
              </a14:m>
              <a:endParaRPr lang="es-EC" sz="1100"/>
            </a:p>
          </xdr:txBody>
        </xdr:sp>
      </mc:Choice>
      <mc:Fallback xmlns="">
        <xdr:sp macro="" textlink="">
          <xdr:nvSpPr>
            <xdr:cNvPr id="5" name="4 CuadroTexto"/>
            <xdr:cNvSpPr txBox="1"/>
          </xdr:nvSpPr>
          <xdr:spPr>
            <a:xfrm>
              <a:off x="8181975" y="5067300"/>
              <a:ext cx="11430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s-EC" sz="1100" i="0">
                  <a:latin typeface="Cambria Math"/>
                  <a:ea typeface="Cambria Math"/>
                </a:rPr>
                <a:t>𝜎</a:t>
              </a:r>
              <a:r>
                <a:rPr lang="es-EC" sz="1100" b="0" i="0">
                  <a:latin typeface="Cambria Math"/>
                  <a:ea typeface="Cambria Math"/>
                </a:rPr>
                <a:t>′𝑜= 𝛾∗ℎ</a:t>
              </a:r>
              <a:endParaRPr lang="es-EC" sz="1100"/>
            </a:p>
          </xdr:txBody>
        </xdr:sp>
      </mc:Fallback>
    </mc:AlternateContent>
    <xdr:clientData/>
  </xdr:oneCellAnchor>
  <xdr:oneCellAnchor>
    <xdr:from>
      <xdr:col>13</xdr:col>
      <xdr:colOff>114300</xdr:colOff>
      <xdr:row>28</xdr:row>
      <xdr:rowOff>66675</xdr:rowOff>
    </xdr:from>
    <xdr:ext cx="16383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5 CuadroTexto"/>
            <xdr:cNvSpPr txBox="1"/>
          </xdr:nvSpPr>
          <xdr:spPr>
            <a:xfrm>
              <a:off x="7839075" y="5648325"/>
              <a:ext cx="16383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d>
                      <m:dPr>
                        <m:ctrlPr>
                          <a:rPr lang="es-EC" sz="1100" b="0" i="1">
                            <a:latin typeface="Cambria Math"/>
                          </a:rPr>
                        </m:ctrlPr>
                      </m:dPr>
                      <m:e>
                        <m:r>
                          <a:rPr lang="es-EC" sz="1100" b="0" i="1">
                            <a:latin typeface="Cambria Math"/>
                          </a:rPr>
                          <m:t>𝑁</m:t>
                        </m:r>
                        <m:r>
                          <a:rPr lang="es-EC" sz="1100" b="0" i="1">
                            <a:latin typeface="Cambria Math"/>
                          </a:rPr>
                          <m:t>1</m:t>
                        </m:r>
                      </m:e>
                    </m:d>
                    <m:r>
                      <a:rPr lang="es-EC" sz="1100" b="0" i="1">
                        <a:latin typeface="Cambria Math"/>
                      </a:rPr>
                      <m:t>60=</m:t>
                    </m:r>
                    <m:r>
                      <a:rPr lang="es-EC" sz="1100" b="0" i="1">
                        <a:latin typeface="Cambria Math"/>
                      </a:rPr>
                      <m:t>𝐶𝑁</m:t>
                    </m:r>
                    <m:r>
                      <a:rPr lang="es-EC" sz="1100" b="0" i="1">
                        <a:latin typeface="Cambria Math"/>
                      </a:rPr>
                      <m:t> ∗</m:t>
                    </m:r>
                    <m:r>
                      <a:rPr lang="es-EC" sz="1100" b="0" i="1">
                        <a:latin typeface="Cambria Math"/>
                      </a:rPr>
                      <m:t>𝑁</m:t>
                    </m:r>
                    <m:r>
                      <a:rPr lang="es-EC" sz="1100" b="0" i="1">
                        <a:latin typeface="Cambria Math"/>
                      </a:rPr>
                      <m:t>60</m:t>
                    </m:r>
                  </m:oMath>
                </m:oMathPara>
              </a14:m>
              <a:endParaRPr lang="es-EC" sz="1100"/>
            </a:p>
          </xdr:txBody>
        </xdr:sp>
      </mc:Choice>
      <mc:Fallback xmlns="">
        <xdr:sp macro="" textlink="">
          <xdr:nvSpPr>
            <xdr:cNvPr id="6" name="5 CuadroTexto"/>
            <xdr:cNvSpPr txBox="1"/>
          </xdr:nvSpPr>
          <xdr:spPr>
            <a:xfrm>
              <a:off x="7839075" y="5648325"/>
              <a:ext cx="16383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s-EC" sz="1100" b="0" i="0">
                  <a:latin typeface="Cambria Math"/>
                </a:rPr>
                <a:t>(𝑁1)60=𝐶𝑁 ∗𝑁60</a:t>
              </a:r>
              <a:endParaRPr lang="es-EC" sz="1100"/>
            </a:p>
          </xdr:txBody>
        </xdr:sp>
      </mc:Fallback>
    </mc:AlternateContent>
    <xdr:clientData/>
  </xdr:oneCellAnchor>
  <xdr:oneCellAnchor>
    <xdr:from>
      <xdr:col>13</xdr:col>
      <xdr:colOff>171450</xdr:colOff>
      <xdr:row>31</xdr:row>
      <xdr:rowOff>19050</xdr:rowOff>
    </xdr:from>
    <xdr:ext cx="1704975" cy="58676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6 CuadroTexto"/>
            <xdr:cNvSpPr txBox="1"/>
          </xdr:nvSpPr>
          <xdr:spPr>
            <a:xfrm>
              <a:off x="7896225" y="6172200"/>
              <a:ext cx="1704975" cy="58676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C" sz="1100" b="0" i="1">
                        <a:latin typeface="Cambria Math"/>
                      </a:rPr>
                      <m:t>𝐷𝑟</m:t>
                    </m:r>
                    <m:r>
                      <a:rPr lang="es-EC" sz="1100" b="0" i="1">
                        <a:latin typeface="Cambria Math"/>
                      </a:rPr>
                      <m:t>=</m:t>
                    </m:r>
                    <m:sSup>
                      <m:sSupPr>
                        <m:ctrlPr>
                          <a:rPr lang="es-EC" sz="1100" b="0" i="1">
                            <a:latin typeface="Cambria Math"/>
                          </a:rPr>
                        </m:ctrlPr>
                      </m:sSupPr>
                      <m:e>
                        <m:r>
                          <a:rPr lang="es-EC" sz="1100" b="0" i="1">
                            <a:latin typeface="Cambria Math"/>
                          </a:rPr>
                          <m:t>(</m:t>
                        </m:r>
                        <m:f>
                          <m:fPr>
                            <m:ctrlPr>
                              <a:rPr lang="es-EC" sz="1100" b="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s-EC" sz="1100" b="0" i="1">
                                <a:latin typeface="Cambria Math"/>
                              </a:rPr>
                              <m:t>𝑁</m:t>
                            </m:r>
                            <m:r>
                              <a:rPr lang="es-EC" sz="1100" b="0" i="1">
                                <a:latin typeface="Cambria Math"/>
                              </a:rPr>
                              <m:t>60</m:t>
                            </m:r>
                          </m:num>
                          <m:den>
                            <m:r>
                              <a:rPr lang="es-EC" sz="1100" b="0" i="1">
                                <a:latin typeface="Cambria Math"/>
                              </a:rPr>
                              <m:t>17+24</m:t>
                            </m:r>
                            <m:d>
                              <m:dPr>
                                <m:ctrlPr>
                                  <a:rPr lang="es-EC" sz="1100" b="0" i="1">
                                    <a:latin typeface="Cambria Math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s-EC" sz="1100" b="0" i="1">
                                        <a:latin typeface="Cambria Math"/>
                                      </a:rPr>
                                    </m:ctrlPr>
                                  </m:fPr>
                                  <m:num>
                                    <m:r>
                                      <a:rPr lang="es-EC" sz="1100" b="0" i="1">
                                        <a:latin typeface="Cambria Math"/>
                                        <a:ea typeface="Cambria Math"/>
                                      </a:rPr>
                                      <m:t>𝜎</m:t>
                                    </m:r>
                                    <m:r>
                                      <a:rPr lang="es-EC" sz="1100" b="0" i="1">
                                        <a:latin typeface="Cambria Math"/>
                                        <a:ea typeface="Cambria Math"/>
                                      </a:rPr>
                                      <m:t>′</m:t>
                                    </m:r>
                                    <m:r>
                                      <a:rPr lang="es-EC" sz="1100" b="0" i="1">
                                        <a:latin typeface="Cambria Math"/>
                                        <a:ea typeface="Cambria Math"/>
                                      </a:rPr>
                                      <m:t>𝑜</m:t>
                                    </m:r>
                                  </m:num>
                                  <m:den>
                                    <m:r>
                                      <a:rPr lang="es-EC" sz="1100" b="0" i="1">
                                        <a:latin typeface="Cambria Math"/>
                                      </a:rPr>
                                      <m:t>𝑃𝑎</m:t>
                                    </m:r>
                                  </m:den>
                                </m:f>
                              </m:e>
                            </m:d>
                          </m:den>
                        </m:f>
                        <m:r>
                          <a:rPr lang="es-EC" sz="1100" b="0" i="1">
                            <a:latin typeface="Cambria Math"/>
                          </a:rPr>
                          <m:t>)</m:t>
                        </m:r>
                      </m:e>
                      <m:sup>
                        <m:r>
                          <a:rPr lang="es-EC" sz="1100" b="0" i="1">
                            <a:latin typeface="Cambria Math"/>
                          </a:rPr>
                          <m:t>0.5</m:t>
                        </m:r>
                      </m:sup>
                    </m:sSup>
                  </m:oMath>
                </m:oMathPara>
              </a14:m>
              <a:endParaRPr lang="es-EC" sz="1100"/>
            </a:p>
          </xdr:txBody>
        </xdr:sp>
      </mc:Choice>
      <mc:Fallback xmlns="">
        <xdr:sp macro="" textlink="">
          <xdr:nvSpPr>
            <xdr:cNvPr id="7" name="6 CuadroTexto"/>
            <xdr:cNvSpPr txBox="1"/>
          </xdr:nvSpPr>
          <xdr:spPr>
            <a:xfrm>
              <a:off x="7896225" y="6172200"/>
              <a:ext cx="1704975" cy="58676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s-EC" sz="1100" b="0" i="0">
                  <a:latin typeface="Cambria Math"/>
                </a:rPr>
                <a:t>𝐷𝑟=〖(𝑁60/(17+24(</a:t>
              </a:r>
              <a:r>
                <a:rPr lang="es-EC" sz="1100" b="0" i="0">
                  <a:latin typeface="Cambria Math"/>
                  <a:ea typeface="Cambria Math"/>
                </a:rPr>
                <a:t>𝜎′𝑜/</a:t>
              </a:r>
              <a:r>
                <a:rPr lang="es-EC" sz="1100" b="0" i="0">
                  <a:latin typeface="Cambria Math"/>
                </a:rPr>
                <a:t>𝑃𝑎) ))〗^0.5</a:t>
              </a:r>
              <a:endParaRPr lang="es-EC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1514475</xdr:colOff>
      <xdr:row>3</xdr:row>
      <xdr:rowOff>114300</xdr:rowOff>
    </xdr:from>
    <xdr:to>
      <xdr:col>3</xdr:col>
      <xdr:colOff>1571295</xdr:colOff>
      <xdr:row>3</xdr:row>
      <xdr:rowOff>523824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6475" y="857250"/>
          <a:ext cx="2638095" cy="409524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  <xdr:twoCellAnchor editAs="oneCell">
    <xdr:from>
      <xdr:col>1</xdr:col>
      <xdr:colOff>676275</xdr:colOff>
      <xdr:row>4</xdr:row>
      <xdr:rowOff>9525</xdr:rowOff>
    </xdr:from>
    <xdr:to>
      <xdr:col>4</xdr:col>
      <xdr:colOff>220904</xdr:colOff>
      <xdr:row>4</xdr:row>
      <xdr:rowOff>1333335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8275" y="1400175"/>
          <a:ext cx="4430954" cy="13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6"/>
  <sheetViews>
    <sheetView tabSelected="1" zoomScaleNormal="100" workbookViewId="0"/>
  </sheetViews>
  <sheetFormatPr baseColWidth="10" defaultRowHeight="15" x14ac:dyDescent="0.25"/>
  <cols>
    <col min="1" max="1" width="5.7109375" style="15" customWidth="1"/>
    <col min="2" max="2" width="7.85546875" style="15" customWidth="1"/>
    <col min="3" max="3" width="23.7109375" style="15" customWidth="1"/>
    <col min="4" max="5" width="11.7109375" style="15" customWidth="1"/>
    <col min="6" max="6" width="15.7109375" style="15" bestFit="1" customWidth="1"/>
    <col min="7" max="7" width="11.42578125" style="21"/>
    <col min="8" max="8" width="18.42578125" style="15" bestFit="1" customWidth="1"/>
    <col min="9" max="16384" width="11.42578125" style="15"/>
  </cols>
  <sheetData>
    <row r="1" spans="2:7" x14ac:dyDescent="0.25">
      <c r="B1" s="169" t="s">
        <v>95</v>
      </c>
      <c r="C1" s="169"/>
      <c r="D1" s="169"/>
      <c r="E1" s="169"/>
      <c r="F1" s="169"/>
      <c r="G1" s="169"/>
    </row>
    <row r="3" spans="2:7" ht="28.5" customHeight="1" x14ac:dyDescent="0.25">
      <c r="B3" s="171" t="s">
        <v>80</v>
      </c>
      <c r="C3" s="171"/>
      <c r="D3" s="171"/>
      <c r="E3" s="171"/>
      <c r="F3" s="171"/>
      <c r="G3" s="171"/>
    </row>
    <row r="4" spans="2:7" ht="51" customHeight="1" x14ac:dyDescent="0.25">
      <c r="B4" s="164"/>
      <c r="C4" s="164"/>
      <c r="D4" s="164"/>
      <c r="E4" s="164"/>
      <c r="F4" s="164"/>
      <c r="G4" s="164"/>
    </row>
    <row r="6" spans="2:7" ht="18" customHeight="1" x14ac:dyDescent="0.25">
      <c r="C6" s="167" t="s">
        <v>81</v>
      </c>
      <c r="D6" s="167"/>
      <c r="E6" s="167"/>
    </row>
    <row r="7" spans="2:7" ht="37.5" customHeight="1" x14ac:dyDescent="0.25">
      <c r="C7" s="19" t="s">
        <v>73</v>
      </c>
      <c r="D7" s="17" t="s">
        <v>74</v>
      </c>
      <c r="E7" s="18" t="s">
        <v>75</v>
      </c>
    </row>
    <row r="8" spans="2:7" x14ac:dyDescent="0.25">
      <c r="C8" s="3">
        <v>60</v>
      </c>
      <c r="D8" s="16">
        <v>1</v>
      </c>
      <c r="E8" s="3" t="s">
        <v>76</v>
      </c>
      <c r="G8" s="20">
        <f>D8</f>
        <v>1</v>
      </c>
    </row>
    <row r="9" spans="2:7" x14ac:dyDescent="0.25">
      <c r="C9" s="3">
        <v>50</v>
      </c>
      <c r="D9" s="4">
        <v>0.83</v>
      </c>
      <c r="E9" s="3" t="s">
        <v>77</v>
      </c>
      <c r="G9" s="20">
        <f>D9</f>
        <v>0.83</v>
      </c>
    </row>
    <row r="10" spans="2:7" x14ac:dyDescent="0.25">
      <c r="C10" s="3">
        <v>40</v>
      </c>
      <c r="D10" s="4">
        <v>0.67</v>
      </c>
      <c r="E10" s="3" t="s">
        <v>78</v>
      </c>
      <c r="G10" s="20">
        <f>D10</f>
        <v>0.67</v>
      </c>
    </row>
    <row r="11" spans="2:7" x14ac:dyDescent="0.25">
      <c r="C11" s="3">
        <v>30</v>
      </c>
      <c r="D11" s="4">
        <v>0.5</v>
      </c>
      <c r="E11" s="3" t="s">
        <v>79</v>
      </c>
      <c r="G11" s="20">
        <f>D11</f>
        <v>0.5</v>
      </c>
    </row>
    <row r="14" spans="2:7" ht="18" customHeight="1" x14ac:dyDescent="0.25">
      <c r="C14" s="163" t="s">
        <v>85</v>
      </c>
      <c r="D14" s="163"/>
    </row>
    <row r="15" spans="2:7" ht="33.75" customHeight="1" x14ac:dyDescent="0.25">
      <c r="C15" s="18" t="s">
        <v>82</v>
      </c>
      <c r="D15" s="17" t="s">
        <v>84</v>
      </c>
    </row>
    <row r="16" spans="2:7" x14ac:dyDescent="0.25">
      <c r="C16" s="3" t="s">
        <v>89</v>
      </c>
      <c r="D16" s="3" t="s">
        <v>90</v>
      </c>
      <c r="G16" s="21">
        <v>0.95</v>
      </c>
    </row>
    <row r="17" spans="3:7" x14ac:dyDescent="0.25">
      <c r="C17" s="3" t="s">
        <v>86</v>
      </c>
      <c r="D17" s="3" t="s">
        <v>91</v>
      </c>
      <c r="G17" s="21">
        <v>0.85</v>
      </c>
    </row>
    <row r="18" spans="3:7" x14ac:dyDescent="0.25">
      <c r="C18" s="3" t="s">
        <v>87</v>
      </c>
      <c r="D18" s="3" t="s">
        <v>92</v>
      </c>
      <c r="G18" s="21">
        <v>0.75</v>
      </c>
    </row>
    <row r="19" spans="3:7" x14ac:dyDescent="0.25">
      <c r="C19" s="3" t="s">
        <v>88</v>
      </c>
      <c r="D19" s="3" t="s">
        <v>94</v>
      </c>
      <c r="G19" s="21">
        <v>0.65</v>
      </c>
    </row>
    <row r="22" spans="3:7" ht="18" customHeight="1" x14ac:dyDescent="0.25">
      <c r="C22" s="167" t="s">
        <v>104</v>
      </c>
      <c r="D22" s="167"/>
    </row>
    <row r="23" spans="3:7" ht="30" x14ac:dyDescent="0.25">
      <c r="C23" s="17" t="s">
        <v>96</v>
      </c>
      <c r="D23" s="17" t="s">
        <v>97</v>
      </c>
    </row>
    <row r="24" spans="3:7" x14ac:dyDescent="0.25">
      <c r="C24" s="3" t="s">
        <v>89</v>
      </c>
      <c r="D24" s="3" t="s">
        <v>101</v>
      </c>
      <c r="G24" s="21">
        <v>0.93</v>
      </c>
    </row>
    <row r="25" spans="3:7" x14ac:dyDescent="0.25">
      <c r="C25" s="3" t="s">
        <v>98</v>
      </c>
      <c r="D25" s="3" t="s">
        <v>102</v>
      </c>
      <c r="G25" s="21">
        <v>0.85</v>
      </c>
    </row>
    <row r="26" spans="3:7" x14ac:dyDescent="0.25">
      <c r="C26" s="3" t="s">
        <v>99</v>
      </c>
      <c r="D26" s="3" t="s">
        <v>103</v>
      </c>
      <c r="G26" s="21">
        <v>0.75</v>
      </c>
    </row>
    <row r="27" spans="3:7" x14ac:dyDescent="0.25">
      <c r="C27" s="3" t="s">
        <v>100</v>
      </c>
      <c r="D27" s="3" t="s">
        <v>93</v>
      </c>
      <c r="G27" s="21">
        <v>0.65</v>
      </c>
    </row>
    <row r="30" spans="3:7" ht="18" customHeight="1" x14ac:dyDescent="0.25">
      <c r="C30" s="167" t="s">
        <v>122</v>
      </c>
      <c r="D30" s="170"/>
      <c r="E30" s="170"/>
      <c r="F30" s="170"/>
    </row>
    <row r="31" spans="3:7" ht="33.75" customHeight="1" x14ac:dyDescent="0.25">
      <c r="C31" s="168" t="s">
        <v>105</v>
      </c>
      <c r="D31" s="168"/>
      <c r="E31" s="17" t="s">
        <v>106</v>
      </c>
      <c r="F31" s="18" t="s">
        <v>107</v>
      </c>
    </row>
    <row r="32" spans="3:7" ht="27" customHeight="1" x14ac:dyDescent="0.25">
      <c r="C32" s="165" t="s">
        <v>108</v>
      </c>
      <c r="D32" s="165"/>
      <c r="E32" s="4">
        <v>1</v>
      </c>
      <c r="F32" s="3" t="s">
        <v>113</v>
      </c>
      <c r="G32" s="20">
        <f>E32</f>
        <v>1</v>
      </c>
    </row>
    <row r="33" spans="3:8" ht="27" customHeight="1" x14ac:dyDescent="0.25">
      <c r="C33" s="165" t="s">
        <v>109</v>
      </c>
      <c r="D33" s="165"/>
      <c r="E33" s="4">
        <v>0.9</v>
      </c>
      <c r="F33" s="3" t="s">
        <v>114</v>
      </c>
      <c r="G33" s="20">
        <f>E33</f>
        <v>0.9</v>
      </c>
    </row>
    <row r="34" spans="3:8" ht="27" customHeight="1" x14ac:dyDescent="0.25">
      <c r="C34" s="165" t="s">
        <v>110</v>
      </c>
      <c r="D34" s="165"/>
      <c r="E34" s="4">
        <v>0.8</v>
      </c>
      <c r="F34" s="3" t="s">
        <v>115</v>
      </c>
      <c r="G34" s="20">
        <f>E34</f>
        <v>0.8</v>
      </c>
    </row>
    <row r="35" spans="3:8" ht="27" customHeight="1" x14ac:dyDescent="0.25">
      <c r="C35" s="165" t="s">
        <v>111</v>
      </c>
      <c r="D35" s="165"/>
      <c r="E35" s="4">
        <v>0.7</v>
      </c>
      <c r="F35" s="3" t="s">
        <v>116</v>
      </c>
      <c r="G35" s="20">
        <f>E35</f>
        <v>0.7</v>
      </c>
    </row>
    <row r="36" spans="3:8" ht="27" customHeight="1" x14ac:dyDescent="0.25">
      <c r="C36" s="165" t="s">
        <v>112</v>
      </c>
      <c r="D36" s="165"/>
      <c r="E36" s="4">
        <v>0.6</v>
      </c>
      <c r="F36" s="3" t="s">
        <v>117</v>
      </c>
      <c r="G36" s="20">
        <f>E36</f>
        <v>0.6</v>
      </c>
    </row>
    <row r="39" spans="3:8" ht="18" customHeight="1" x14ac:dyDescent="0.25">
      <c r="C39" s="163" t="s">
        <v>125</v>
      </c>
      <c r="D39" s="163"/>
    </row>
    <row r="40" spans="3:8" ht="33.75" customHeight="1" x14ac:dyDescent="0.25">
      <c r="C40" s="18" t="s">
        <v>123</v>
      </c>
      <c r="D40" s="41" t="s">
        <v>124</v>
      </c>
    </row>
    <row r="41" spans="3:8" x14ac:dyDescent="0.25">
      <c r="C41" s="3" t="s">
        <v>126</v>
      </c>
      <c r="D41" s="4">
        <v>1</v>
      </c>
      <c r="G41" s="20">
        <f>D41</f>
        <v>1</v>
      </c>
    </row>
    <row r="42" spans="3:8" x14ac:dyDescent="0.25">
      <c r="C42" s="3" t="s">
        <v>127</v>
      </c>
      <c r="D42" s="3" t="s">
        <v>129</v>
      </c>
      <c r="G42" s="21">
        <v>0.85</v>
      </c>
      <c r="H42" s="100" t="s">
        <v>236</v>
      </c>
    </row>
    <row r="43" spans="3:8" x14ac:dyDescent="0.25">
      <c r="C43" s="3" t="s">
        <v>128</v>
      </c>
      <c r="D43" s="3" t="s">
        <v>130</v>
      </c>
      <c r="G43" s="21">
        <v>0.89</v>
      </c>
      <c r="H43" s="100" t="s">
        <v>237</v>
      </c>
    </row>
    <row r="46" spans="3:8" ht="18" customHeight="1" x14ac:dyDescent="0.25">
      <c r="C46" s="163" t="s">
        <v>135</v>
      </c>
      <c r="D46" s="164"/>
      <c r="E46" s="164"/>
    </row>
    <row r="47" spans="3:8" ht="33.75" customHeight="1" x14ac:dyDescent="0.25">
      <c r="C47" s="168" t="s">
        <v>134</v>
      </c>
      <c r="D47" s="168"/>
      <c r="E47" s="17" t="s">
        <v>133</v>
      </c>
    </row>
    <row r="48" spans="3:8" x14ac:dyDescent="0.25">
      <c r="C48" s="3" t="s">
        <v>131</v>
      </c>
      <c r="D48" s="3" t="s">
        <v>137</v>
      </c>
      <c r="E48" s="162"/>
      <c r="G48" s="21">
        <v>0.95</v>
      </c>
      <c r="H48" s="42" t="s">
        <v>139</v>
      </c>
    </row>
    <row r="49" spans="3:8" x14ac:dyDescent="0.25">
      <c r="C49" s="3" t="s">
        <v>132</v>
      </c>
      <c r="D49" s="3" t="s">
        <v>136</v>
      </c>
      <c r="E49" s="162"/>
      <c r="G49" s="21">
        <v>0.85</v>
      </c>
      <c r="H49" s="42" t="s">
        <v>138</v>
      </c>
    </row>
    <row r="50" spans="3:8" x14ac:dyDescent="0.25">
      <c r="G50" s="128">
        <v>0.9</v>
      </c>
      <c r="H50" s="133" t="s">
        <v>269</v>
      </c>
    </row>
    <row r="52" spans="3:8" ht="18" customHeight="1" x14ac:dyDescent="0.25">
      <c r="C52" s="163" t="s">
        <v>142</v>
      </c>
      <c r="D52" s="163"/>
    </row>
    <row r="53" spans="3:8" ht="33.75" customHeight="1" x14ac:dyDescent="0.25">
      <c r="C53" s="18" t="s">
        <v>140</v>
      </c>
      <c r="D53" s="17" t="s">
        <v>141</v>
      </c>
    </row>
    <row r="54" spans="3:8" x14ac:dyDescent="0.25">
      <c r="C54" s="3" t="s">
        <v>143</v>
      </c>
      <c r="D54" s="4">
        <v>1</v>
      </c>
      <c r="G54" s="20">
        <f>D54</f>
        <v>1</v>
      </c>
    </row>
    <row r="55" spans="3:8" x14ac:dyDescent="0.25">
      <c r="C55" s="3" t="s">
        <v>144</v>
      </c>
      <c r="D55" s="4">
        <v>1.3</v>
      </c>
      <c r="G55" s="20">
        <f>D55</f>
        <v>1.3</v>
      </c>
    </row>
    <row r="56" spans="3:8" x14ac:dyDescent="0.25">
      <c r="C56" s="3" t="s">
        <v>145</v>
      </c>
      <c r="D56" s="4">
        <v>0.75</v>
      </c>
      <c r="G56" s="20">
        <f>D56</f>
        <v>0.75</v>
      </c>
    </row>
    <row r="59" spans="3:8" ht="18" customHeight="1" x14ac:dyDescent="0.25">
      <c r="C59" s="163" t="s">
        <v>148</v>
      </c>
      <c r="D59" s="163"/>
    </row>
    <row r="60" spans="3:8" ht="33.75" customHeight="1" x14ac:dyDescent="0.25">
      <c r="C60" s="17" t="s">
        <v>146</v>
      </c>
      <c r="D60" s="17" t="s">
        <v>147</v>
      </c>
    </row>
    <row r="61" spans="3:8" x14ac:dyDescent="0.25">
      <c r="C61" s="3" t="str">
        <f>"-10 a -20"</f>
        <v>-10 a -20</v>
      </c>
      <c r="D61" s="3" t="s">
        <v>149</v>
      </c>
      <c r="G61" s="20">
        <v>1.25</v>
      </c>
    </row>
    <row r="62" spans="3:8" x14ac:dyDescent="0.25">
      <c r="C62" s="3" t="str">
        <f>"0 a -10"</f>
        <v>0 a -10</v>
      </c>
      <c r="D62" s="3" t="s">
        <v>150</v>
      </c>
      <c r="G62" s="20">
        <v>1.1000000000000001</v>
      </c>
    </row>
    <row r="63" spans="3:8" x14ac:dyDescent="0.25">
      <c r="C63" s="3">
        <v>0</v>
      </c>
      <c r="D63" s="4">
        <v>1</v>
      </c>
      <c r="G63" s="20">
        <v>1</v>
      </c>
    </row>
    <row r="64" spans="3:8" x14ac:dyDescent="0.25">
      <c r="C64" s="3" t="str">
        <f>"0 a +10"</f>
        <v>0 a +10</v>
      </c>
      <c r="D64" s="3" t="s">
        <v>151</v>
      </c>
      <c r="G64" s="20">
        <v>0.9</v>
      </c>
    </row>
    <row r="65" spans="3:7" x14ac:dyDescent="0.25">
      <c r="C65" s="3" t="str">
        <f>"+10 a +20"</f>
        <v>+10 a +20</v>
      </c>
      <c r="D65" s="3" t="s">
        <v>152</v>
      </c>
      <c r="G65" s="20">
        <v>0.75</v>
      </c>
    </row>
    <row r="68" spans="3:7" ht="18" customHeight="1" x14ac:dyDescent="0.25">
      <c r="C68" s="163" t="s">
        <v>159</v>
      </c>
      <c r="D68" s="163"/>
    </row>
    <row r="69" spans="3:7" ht="33.75" customHeight="1" x14ac:dyDescent="0.25">
      <c r="C69" s="18" t="s">
        <v>153</v>
      </c>
      <c r="D69" s="17" t="s">
        <v>154</v>
      </c>
    </row>
    <row r="70" spans="3:7" ht="15" customHeight="1" x14ac:dyDescent="0.25">
      <c r="C70" s="43" t="s">
        <v>160</v>
      </c>
      <c r="D70" s="44">
        <v>1</v>
      </c>
      <c r="G70" s="20">
        <f>D70</f>
        <v>1</v>
      </c>
    </row>
    <row r="71" spans="3:7" x14ac:dyDescent="0.25">
      <c r="C71" s="3" t="s">
        <v>155</v>
      </c>
      <c r="D71" s="4">
        <v>0.98</v>
      </c>
      <c r="G71" s="20">
        <f>D71</f>
        <v>0.98</v>
      </c>
    </row>
    <row r="72" spans="3:7" x14ac:dyDescent="0.25">
      <c r="C72" s="3" t="s">
        <v>156</v>
      </c>
      <c r="D72" s="4">
        <v>0.95</v>
      </c>
      <c r="G72" s="20">
        <f>D72</f>
        <v>0.95</v>
      </c>
    </row>
    <row r="73" spans="3:7" x14ac:dyDescent="0.25">
      <c r="C73" s="3" t="s">
        <v>157</v>
      </c>
      <c r="D73" s="4">
        <v>0.9</v>
      </c>
      <c r="G73" s="20">
        <f>D73</f>
        <v>0.9</v>
      </c>
    </row>
    <row r="74" spans="3:7" x14ac:dyDescent="0.25">
      <c r="C74" s="3" t="s">
        <v>158</v>
      </c>
      <c r="D74" s="4">
        <v>0.83</v>
      </c>
      <c r="G74" s="20">
        <f>D74</f>
        <v>0.83</v>
      </c>
    </row>
    <row r="77" spans="3:7" x14ac:dyDescent="0.25">
      <c r="C77" s="167" t="s">
        <v>171</v>
      </c>
      <c r="D77" s="167"/>
      <c r="E77" s="167"/>
      <c r="F77" s="167"/>
    </row>
    <row r="78" spans="3:7" ht="33.75" customHeight="1" x14ac:dyDescent="0.25">
      <c r="C78" s="22" t="s">
        <v>161</v>
      </c>
      <c r="D78" s="45" t="s">
        <v>162</v>
      </c>
      <c r="E78" s="166" t="s">
        <v>173</v>
      </c>
      <c r="F78" s="166"/>
    </row>
    <row r="79" spans="3:7" ht="15" customHeight="1" x14ac:dyDescent="0.25">
      <c r="C79" s="24" t="s">
        <v>163</v>
      </c>
      <c r="D79" s="24" t="s">
        <v>167</v>
      </c>
      <c r="E79" s="165" t="s">
        <v>172</v>
      </c>
      <c r="F79" s="165"/>
    </row>
    <row r="80" spans="3:7" x14ac:dyDescent="0.25">
      <c r="C80" s="24" t="s">
        <v>164</v>
      </c>
      <c r="D80" s="24" t="s">
        <v>168</v>
      </c>
      <c r="E80" s="165"/>
      <c r="F80" s="165"/>
      <c r="G80" s="21">
        <v>0.85</v>
      </c>
    </row>
    <row r="81" spans="3:7" x14ac:dyDescent="0.25">
      <c r="C81" s="24" t="s">
        <v>165</v>
      </c>
      <c r="D81" s="24" t="s">
        <v>169</v>
      </c>
      <c r="E81" s="165"/>
      <c r="F81" s="165"/>
    </row>
    <row r="82" spans="3:7" x14ac:dyDescent="0.25">
      <c r="C82" s="24" t="s">
        <v>166</v>
      </c>
      <c r="D82" s="24" t="s">
        <v>170</v>
      </c>
      <c r="E82" s="165"/>
      <c r="F82" s="165"/>
    </row>
    <row r="85" spans="3:7" ht="18" customHeight="1" x14ac:dyDescent="0.25">
      <c r="C85" s="163" t="s">
        <v>175</v>
      </c>
      <c r="D85" s="163"/>
    </row>
    <row r="86" spans="3:7" x14ac:dyDescent="0.25">
      <c r="C86" s="3" t="s">
        <v>174</v>
      </c>
      <c r="D86" s="4">
        <v>0.85</v>
      </c>
      <c r="G86" s="20">
        <f>D86</f>
        <v>0.85</v>
      </c>
    </row>
  </sheetData>
  <mergeCells count="24">
    <mergeCell ref="C39:D39"/>
    <mergeCell ref="C47:D47"/>
    <mergeCell ref="B1:G1"/>
    <mergeCell ref="C22:D22"/>
    <mergeCell ref="C31:D31"/>
    <mergeCell ref="C36:D36"/>
    <mergeCell ref="C35:D35"/>
    <mergeCell ref="C34:D34"/>
    <mergeCell ref="C33:D33"/>
    <mergeCell ref="C32:D32"/>
    <mergeCell ref="C30:F30"/>
    <mergeCell ref="B4:G4"/>
    <mergeCell ref="B3:G3"/>
    <mergeCell ref="C6:E6"/>
    <mergeCell ref="C14:D14"/>
    <mergeCell ref="E48:E49"/>
    <mergeCell ref="C46:E46"/>
    <mergeCell ref="C52:D52"/>
    <mergeCell ref="C85:D85"/>
    <mergeCell ref="C68:D68"/>
    <mergeCell ref="E79:F82"/>
    <mergeCell ref="E78:F78"/>
    <mergeCell ref="C77:F77"/>
    <mergeCell ref="C59:D59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1"/>
  <sheetViews>
    <sheetView zoomScaleNormal="100" workbookViewId="0"/>
  </sheetViews>
  <sheetFormatPr baseColWidth="10" defaultRowHeight="15" x14ac:dyDescent="0.25"/>
  <cols>
    <col min="1" max="1" width="3.5703125" style="11" customWidth="1"/>
    <col min="2" max="2" width="7.85546875" style="1" customWidth="1"/>
    <col min="3" max="3" width="10.140625" style="1" customWidth="1"/>
    <col min="4" max="4" width="12.7109375" style="1" customWidth="1"/>
    <col min="5" max="5" width="35.7109375" style="1" customWidth="1"/>
    <col min="6" max="6" width="41.85546875" style="1" customWidth="1"/>
    <col min="7" max="7" width="8.7109375" style="1" customWidth="1"/>
    <col min="8" max="8" width="3.42578125" style="1" customWidth="1"/>
    <col min="9" max="9" width="10.5703125" style="1" customWidth="1"/>
    <col min="10" max="16384" width="11.42578125" style="11"/>
  </cols>
  <sheetData>
    <row r="1" spans="2:9" x14ac:dyDescent="0.25">
      <c r="B1" s="178" t="s">
        <v>95</v>
      </c>
      <c r="C1" s="178"/>
      <c r="D1" s="178"/>
      <c r="E1" s="178"/>
      <c r="F1" s="178"/>
      <c r="G1" s="178"/>
      <c r="H1" s="178"/>
      <c r="I1" s="178"/>
    </row>
    <row r="3" spans="2:9" ht="16.5" customHeight="1" x14ac:dyDescent="0.25">
      <c r="B3" s="177" t="s">
        <v>3</v>
      </c>
      <c r="C3" s="177" t="s">
        <v>54</v>
      </c>
      <c r="D3" s="177" t="s">
        <v>4</v>
      </c>
      <c r="E3" s="177" t="s">
        <v>5</v>
      </c>
      <c r="F3" s="177" t="s">
        <v>72</v>
      </c>
      <c r="G3" s="177" t="s">
        <v>22</v>
      </c>
      <c r="H3" s="177" t="s">
        <v>58</v>
      </c>
      <c r="I3" s="177"/>
    </row>
    <row r="4" spans="2:9" ht="16.5" customHeight="1" x14ac:dyDescent="0.25">
      <c r="B4" s="177"/>
      <c r="C4" s="177"/>
      <c r="D4" s="177"/>
      <c r="E4" s="177"/>
      <c r="F4" s="177"/>
      <c r="G4" s="177"/>
      <c r="H4" s="177"/>
      <c r="I4" s="177"/>
    </row>
    <row r="5" spans="2:9" ht="25.5" customHeight="1" x14ac:dyDescent="0.25">
      <c r="B5" s="10">
        <v>2009</v>
      </c>
      <c r="C5" s="10" t="s">
        <v>6</v>
      </c>
      <c r="D5" s="10" t="s">
        <v>0</v>
      </c>
      <c r="E5" s="10" t="s">
        <v>1</v>
      </c>
      <c r="F5" s="12" t="s">
        <v>2</v>
      </c>
      <c r="G5" s="10" t="s">
        <v>13</v>
      </c>
      <c r="H5" s="175" t="s">
        <v>55</v>
      </c>
      <c r="I5" s="176"/>
    </row>
    <row r="6" spans="2:9" ht="25.5" customHeight="1" x14ac:dyDescent="0.25">
      <c r="B6" s="172">
        <v>2009</v>
      </c>
      <c r="C6" s="172" t="s">
        <v>21</v>
      </c>
      <c r="D6" s="172" t="s">
        <v>56</v>
      </c>
      <c r="E6" s="172" t="s">
        <v>7</v>
      </c>
      <c r="F6" s="12" t="s">
        <v>23</v>
      </c>
      <c r="G6" s="10" t="s">
        <v>12</v>
      </c>
      <c r="H6" s="10">
        <v>1</v>
      </c>
      <c r="I6" s="10" t="s">
        <v>26</v>
      </c>
    </row>
    <row r="7" spans="2:9" ht="25.5" customHeight="1" x14ac:dyDescent="0.25">
      <c r="B7" s="174"/>
      <c r="C7" s="174"/>
      <c r="D7" s="174"/>
      <c r="E7" s="174"/>
      <c r="F7" s="12" t="s">
        <v>24</v>
      </c>
      <c r="G7" s="10" t="s">
        <v>13</v>
      </c>
      <c r="H7" s="10">
        <v>2</v>
      </c>
      <c r="I7" s="10" t="s">
        <v>25</v>
      </c>
    </row>
    <row r="8" spans="2:9" ht="25.5" customHeight="1" x14ac:dyDescent="0.25">
      <c r="B8" s="172">
        <v>2010</v>
      </c>
      <c r="C8" s="172" t="s">
        <v>20</v>
      </c>
      <c r="D8" s="172" t="s">
        <v>0</v>
      </c>
      <c r="E8" s="172" t="s">
        <v>33</v>
      </c>
      <c r="F8" s="12" t="s">
        <v>30</v>
      </c>
      <c r="G8" s="10" t="s">
        <v>13</v>
      </c>
      <c r="H8" s="10">
        <v>1</v>
      </c>
      <c r="I8" s="10" t="s">
        <v>29</v>
      </c>
    </row>
    <row r="9" spans="2:9" ht="25.5" customHeight="1" x14ac:dyDescent="0.25">
      <c r="B9" s="173"/>
      <c r="C9" s="173"/>
      <c r="D9" s="173"/>
      <c r="E9" s="173"/>
      <c r="F9" s="12" t="s">
        <v>31</v>
      </c>
      <c r="G9" s="10" t="s">
        <v>27</v>
      </c>
      <c r="H9" s="10">
        <v>2</v>
      </c>
      <c r="I9" s="10" t="s">
        <v>28</v>
      </c>
    </row>
    <row r="10" spans="2:9" ht="25.5" customHeight="1" x14ac:dyDescent="0.25">
      <c r="B10" s="173"/>
      <c r="C10" s="173"/>
      <c r="D10" s="173"/>
      <c r="E10" s="173"/>
      <c r="F10" s="12" t="s">
        <v>32</v>
      </c>
      <c r="G10" s="10" t="s">
        <v>27</v>
      </c>
      <c r="H10" s="10">
        <v>3</v>
      </c>
      <c r="I10" s="10" t="s">
        <v>36</v>
      </c>
    </row>
    <row r="11" spans="2:9" ht="25.5" customHeight="1" x14ac:dyDescent="0.25">
      <c r="B11" s="174"/>
      <c r="C11" s="174"/>
      <c r="D11" s="174"/>
      <c r="E11" s="174"/>
      <c r="F11" s="12" t="s">
        <v>34</v>
      </c>
      <c r="G11" s="10" t="s">
        <v>27</v>
      </c>
      <c r="H11" s="10">
        <v>4</v>
      </c>
      <c r="I11" s="10" t="s">
        <v>35</v>
      </c>
    </row>
  </sheetData>
  <mergeCells count="17">
    <mergeCell ref="C3:C4"/>
    <mergeCell ref="B1:I1"/>
    <mergeCell ref="B6:B7"/>
    <mergeCell ref="B3:B4"/>
    <mergeCell ref="H3:I4"/>
    <mergeCell ref="G3:G4"/>
    <mergeCell ref="F3:F4"/>
    <mergeCell ref="E3:E4"/>
    <mergeCell ref="D3:D4"/>
    <mergeCell ref="E8:E11"/>
    <mergeCell ref="D8:D11"/>
    <mergeCell ref="C8:C11"/>
    <mergeCell ref="B8:B11"/>
    <mergeCell ref="H5:I5"/>
    <mergeCell ref="E6:E7"/>
    <mergeCell ref="D6:D7"/>
    <mergeCell ref="C6:C7"/>
  </mergeCells>
  <pageMargins left="0.31496062992125984" right="0.31496062992125984" top="0.74803149606299213" bottom="0.74803149606299213" header="0.31496062992125984" footer="0.31496062992125984"/>
  <pageSetup paperSize="9" scale="72" fitToHeight="0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47"/>
  <sheetViews>
    <sheetView workbookViewId="0"/>
  </sheetViews>
  <sheetFormatPr baseColWidth="10" defaultRowHeight="15" x14ac:dyDescent="0.25"/>
  <cols>
    <col min="1" max="1" width="3.7109375" style="5" customWidth="1"/>
    <col min="2" max="2" width="5.85546875" style="5" customWidth="1"/>
    <col min="3" max="3" width="20.28515625" style="6" customWidth="1"/>
    <col min="4" max="4" width="7.28515625" style="13" bestFit="1" customWidth="1"/>
    <col min="5" max="5" width="13.28515625" style="7" customWidth="1"/>
    <col min="6" max="6" width="5.28515625" style="7" hidden="1" customWidth="1"/>
    <col min="7" max="7" width="8" style="5" customWidth="1"/>
    <col min="8" max="8" width="30.140625" style="6" bestFit="1" customWidth="1"/>
    <col min="9" max="9" width="8.140625" style="5" customWidth="1"/>
    <col min="10" max="10" width="8.140625" style="5" hidden="1" customWidth="1"/>
    <col min="11" max="11" width="8.5703125" style="5" bestFit="1" customWidth="1"/>
    <col min="12" max="12" width="6.140625" style="5" customWidth="1"/>
    <col min="13" max="13" width="5.5703125" style="5" bestFit="1" customWidth="1"/>
    <col min="14" max="14" width="6.5703125" style="5" bestFit="1" customWidth="1"/>
    <col min="15" max="15" width="6.7109375" style="5" customWidth="1"/>
    <col min="16" max="16" width="20.42578125" style="5" bestFit="1" customWidth="1"/>
    <col min="17" max="17" width="13.28515625" style="5" hidden="1" customWidth="1"/>
    <col min="18" max="20" width="11.42578125" style="5"/>
    <col min="21" max="21" width="6.7109375" style="5" customWidth="1"/>
    <col min="22" max="22" width="13" style="5" customWidth="1"/>
    <col min="23" max="23" width="4.5703125" style="5" bestFit="1" customWidth="1"/>
    <col min="24" max="24" width="6.7109375" style="5" bestFit="1" customWidth="1"/>
    <col min="25" max="25" width="30.140625" style="5" hidden="1" customWidth="1"/>
    <col min="26" max="26" width="5.7109375" style="5" hidden="1" customWidth="1"/>
    <col min="27" max="27" width="5.5703125" style="5" bestFit="1" customWidth="1"/>
    <col min="28" max="28" width="8.5703125" style="5" bestFit="1" customWidth="1"/>
    <col min="29" max="32" width="4.7109375" style="5" customWidth="1"/>
    <col min="33" max="34" width="5.5703125" style="5" bestFit="1" customWidth="1"/>
    <col min="35" max="35" width="6.5703125" style="5" bestFit="1" customWidth="1"/>
    <col min="36" max="36" width="4.5703125" style="5" bestFit="1" customWidth="1"/>
    <col min="37" max="37" width="20.5703125" style="5" hidden="1" customWidth="1"/>
    <col min="38" max="38" width="13.85546875" style="5" hidden="1" customWidth="1"/>
    <col min="39" max="16384" width="11.42578125" style="5"/>
  </cols>
  <sheetData>
    <row r="1" spans="2:38" x14ac:dyDescent="0.25">
      <c r="B1" s="196" t="s">
        <v>95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3" spans="2:38" s="50" customFormat="1" ht="30" customHeight="1" x14ac:dyDescent="0.25">
      <c r="B3" s="141" t="s">
        <v>10</v>
      </c>
      <c r="C3" s="141" t="s">
        <v>5</v>
      </c>
      <c r="D3" s="145" t="s">
        <v>57</v>
      </c>
      <c r="E3" s="99" t="s">
        <v>19</v>
      </c>
      <c r="F3" s="98" t="s">
        <v>223</v>
      </c>
      <c r="G3" s="141" t="s">
        <v>11</v>
      </c>
      <c r="H3" s="141" t="s">
        <v>72</v>
      </c>
      <c r="I3" s="141" t="s">
        <v>8</v>
      </c>
      <c r="J3" s="141" t="s">
        <v>229</v>
      </c>
      <c r="K3" s="97" t="s">
        <v>203</v>
      </c>
      <c r="L3" s="96" t="s">
        <v>228</v>
      </c>
      <c r="M3" s="96" t="s">
        <v>235</v>
      </c>
      <c r="N3" s="96" t="s">
        <v>232</v>
      </c>
      <c r="O3" s="96" t="s">
        <v>233</v>
      </c>
      <c r="P3" s="141" t="s">
        <v>234</v>
      </c>
      <c r="Q3" s="141" t="s">
        <v>255</v>
      </c>
      <c r="T3" s="141" t="s">
        <v>5</v>
      </c>
      <c r="U3" s="145" t="s">
        <v>57</v>
      </c>
      <c r="V3" s="144" t="s">
        <v>19</v>
      </c>
      <c r="W3" s="143" t="s">
        <v>223</v>
      </c>
      <c r="X3" s="141" t="s">
        <v>11</v>
      </c>
      <c r="Y3" s="141" t="s">
        <v>72</v>
      </c>
      <c r="Z3" s="141" t="s">
        <v>8</v>
      </c>
      <c r="AA3" s="141" t="s">
        <v>229</v>
      </c>
      <c r="AB3" s="142" t="s">
        <v>203</v>
      </c>
      <c r="AC3" s="142" t="s">
        <v>251</v>
      </c>
      <c r="AD3" s="142" t="s">
        <v>252</v>
      </c>
      <c r="AE3" s="142" t="s">
        <v>253</v>
      </c>
      <c r="AF3" s="142" t="s">
        <v>254</v>
      </c>
      <c r="AG3" s="141" t="s">
        <v>228</v>
      </c>
      <c r="AH3" s="141" t="s">
        <v>235</v>
      </c>
      <c r="AI3" s="141" t="s">
        <v>232</v>
      </c>
      <c r="AJ3" s="141" t="s">
        <v>233</v>
      </c>
      <c r="AK3" s="141" t="s">
        <v>234</v>
      </c>
      <c r="AL3" s="141" t="s">
        <v>255</v>
      </c>
    </row>
    <row r="4" spans="2:38" ht="5.25" customHeight="1" x14ac:dyDescent="0.25"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21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19"/>
    </row>
    <row r="5" spans="2:38" x14ac:dyDescent="0.25">
      <c r="B5" s="180">
        <v>2009</v>
      </c>
      <c r="C5" s="180" t="s">
        <v>7</v>
      </c>
      <c r="D5" s="165">
        <v>1</v>
      </c>
      <c r="E5" s="2" t="s">
        <v>59</v>
      </c>
      <c r="F5" s="54">
        <v>4</v>
      </c>
      <c r="G5" s="49" t="s">
        <v>12</v>
      </c>
      <c r="H5" s="9" t="s">
        <v>51</v>
      </c>
      <c r="I5" s="49" t="s">
        <v>9</v>
      </c>
      <c r="J5" s="54">
        <v>33</v>
      </c>
      <c r="K5" s="138">
        <v>17.8</v>
      </c>
      <c r="L5" s="136">
        <f>AG5</f>
        <v>19.8</v>
      </c>
      <c r="M5" s="95">
        <f>((1/((F5*K5)/100))^0.5)</f>
        <v>1.185113657849943</v>
      </c>
      <c r="N5" s="90">
        <f>M5*L5</f>
        <v>23.465250425428874</v>
      </c>
      <c r="O5" s="54">
        <f>((L5/(17+(24*((K5*F5)/100))))^0.5)</f>
        <v>0.76213487377866229</v>
      </c>
      <c r="P5" s="77" t="str">
        <f>IF(O5&lt;0.15,"Muy suelto",IF(AND(O5&gt;0.15,O5&lt;0.5),"Suelto",IF(AND(O5&gt;0.5,O5&lt;0.7),"Medianamente denso",IF(AND(O5&gt;0.7,O5&lt;0.85),"Denso","Muy denso"))))</f>
        <v>Denso</v>
      </c>
      <c r="Q5" s="121"/>
      <c r="T5" s="180" t="s">
        <v>7</v>
      </c>
      <c r="U5" s="165">
        <v>1</v>
      </c>
      <c r="V5" s="120" t="s">
        <v>59</v>
      </c>
      <c r="W5" s="136">
        <f>4-0</f>
        <v>4</v>
      </c>
      <c r="X5" s="121" t="s">
        <v>12</v>
      </c>
      <c r="Y5" s="122" t="s">
        <v>51</v>
      </c>
      <c r="Z5" s="121" t="s">
        <v>9</v>
      </c>
      <c r="AA5" s="136">
        <f>J5</f>
        <v>33</v>
      </c>
      <c r="AB5" s="134">
        <f>K5</f>
        <v>17.8</v>
      </c>
      <c r="AC5" s="121">
        <v>45</v>
      </c>
      <c r="AD5" s="121">
        <v>1</v>
      </c>
      <c r="AE5" s="121">
        <v>1</v>
      </c>
      <c r="AF5" s="121">
        <v>0.8</v>
      </c>
      <c r="AG5" s="136">
        <f>(AA5*AC5*AD5*AE5*AF5)/60</f>
        <v>19.8</v>
      </c>
      <c r="AH5" s="139">
        <f t="shared" ref="AH5:AH12" si="0">((1/((W5*AB5)/100))^0.5)</f>
        <v>1.185113657849943</v>
      </c>
      <c r="AI5" s="138">
        <f>AH5*AG5</f>
        <v>23.465250425428874</v>
      </c>
      <c r="AJ5" s="136">
        <f t="shared" ref="AJ5:AJ12" si="1">((AG5/(17+(24*((AB5*W5)/100))))^0.5)</f>
        <v>0.76213487377866229</v>
      </c>
      <c r="AK5" s="134" t="str">
        <f>IF(AJ5&lt;0.15,"Muy suelto",IF(AND(AJ5&gt;0.15,AJ5&lt;0.5),"Suelto",IF(AND(AJ5&gt;0.5,AJ5&lt;0.7),"Medianamente denso",IF(AND(AJ5&gt;0.7,AJ5&lt;0.85),"Denso","Muy denso"))))</f>
        <v>Denso</v>
      </c>
      <c r="AL5" s="119"/>
    </row>
    <row r="6" spans="2:38" x14ac:dyDescent="0.25">
      <c r="B6" s="180"/>
      <c r="C6" s="180"/>
      <c r="D6" s="165"/>
      <c r="E6" s="2" t="s">
        <v>60</v>
      </c>
      <c r="F6" s="54">
        <v>7</v>
      </c>
      <c r="G6" s="49" t="s">
        <v>13</v>
      </c>
      <c r="H6" s="9" t="s">
        <v>52</v>
      </c>
      <c r="I6" s="49" t="s">
        <v>9</v>
      </c>
      <c r="J6" s="54">
        <v>47</v>
      </c>
      <c r="K6" s="138">
        <v>19</v>
      </c>
      <c r="L6" s="136">
        <f t="shared" ref="L6:L12" si="2">AG6</f>
        <v>31.725000000000001</v>
      </c>
      <c r="M6" s="95">
        <f t="shared" ref="M6:M12" si="3">((1/((F6*K6)/100))^0.5)</f>
        <v>0.86710996952412001</v>
      </c>
      <c r="N6" s="90">
        <f t="shared" ref="N6:N12" si="4">M6*L6</f>
        <v>27.509063783152708</v>
      </c>
      <c r="O6" s="54">
        <f t="shared" ref="O6:O12" si="5">((L6/(17+(24*((K6*F6)/100))))^0.5)</f>
        <v>0.80529979994045531</v>
      </c>
      <c r="P6" s="80" t="str">
        <f t="shared" ref="P6:P12" si="6">IF(O6&lt;0.15,"Muy suelto",IF(AND(O6&gt;0.15,O6&lt;0.5),"Suelto",IF(AND(O6&gt;0.5,O6&lt;0.7),"Medianamente denso",IF(AND(O6&gt;0.7,O6&lt;0.85),"Denso","Muy denso"))))</f>
        <v>Denso</v>
      </c>
      <c r="Q6" s="121"/>
      <c r="T6" s="180"/>
      <c r="U6" s="165"/>
      <c r="V6" s="120" t="s">
        <v>60</v>
      </c>
      <c r="W6" s="136">
        <v>7</v>
      </c>
      <c r="X6" s="121" t="s">
        <v>13</v>
      </c>
      <c r="Y6" s="122" t="s">
        <v>52</v>
      </c>
      <c r="Z6" s="121" t="s">
        <v>9</v>
      </c>
      <c r="AA6" s="136">
        <f t="shared" ref="AA6:AA12" si="7">J6</f>
        <v>47</v>
      </c>
      <c r="AB6" s="134">
        <f t="shared" ref="AB6:AB12" si="8">K6</f>
        <v>19</v>
      </c>
      <c r="AC6" s="121">
        <v>45</v>
      </c>
      <c r="AD6" s="121">
        <v>1</v>
      </c>
      <c r="AE6" s="121">
        <v>1</v>
      </c>
      <c r="AF6" s="121">
        <v>0.9</v>
      </c>
      <c r="AG6" s="136">
        <f t="shared" ref="AG6:AG12" si="9">(AA6*AC6*AD6*AE6*AF6)/60</f>
        <v>31.725000000000001</v>
      </c>
      <c r="AH6" s="139">
        <f t="shared" si="0"/>
        <v>0.86710996952412001</v>
      </c>
      <c r="AI6" s="138">
        <f t="shared" ref="AI6:AI12" si="10">AH6*AG6</f>
        <v>27.509063783152708</v>
      </c>
      <c r="AJ6" s="136">
        <f t="shared" si="1"/>
        <v>0.80529979994045531</v>
      </c>
      <c r="AK6" s="134" t="str">
        <f t="shared" ref="AK6:AK12" si="11">IF(AJ6&lt;0.15,"Muy suelto",IF(AND(AJ6&gt;0.15,AJ6&lt;0.5),"Suelto",IF(AND(AJ6&gt;0.5,AJ6&lt;0.7),"Medianamente denso",IF(AND(AJ6&gt;0.7,AJ6&lt;0.85),"Denso","Muy denso"))))</f>
        <v>Denso</v>
      </c>
      <c r="AL6" s="119"/>
    </row>
    <row r="7" spans="2:38" x14ac:dyDescent="0.25">
      <c r="B7" s="180"/>
      <c r="C7" s="180"/>
      <c r="D7" s="165">
        <v>2</v>
      </c>
      <c r="E7" s="2" t="s">
        <v>61</v>
      </c>
      <c r="F7" s="54">
        <v>3</v>
      </c>
      <c r="G7" s="49" t="s">
        <v>12</v>
      </c>
      <c r="H7" s="9" t="s">
        <v>51</v>
      </c>
      <c r="I7" s="2" t="s">
        <v>45</v>
      </c>
      <c r="J7" s="54">
        <v>13</v>
      </c>
      <c r="K7" s="138">
        <v>17.8</v>
      </c>
      <c r="L7" s="136">
        <f t="shared" si="2"/>
        <v>7.8</v>
      </c>
      <c r="M7" s="95">
        <f t="shared" si="3"/>
        <v>1.3684513787599333</v>
      </c>
      <c r="N7" s="90">
        <f t="shared" si="4"/>
        <v>10.673920754327479</v>
      </c>
      <c r="O7" s="54">
        <f t="shared" si="5"/>
        <v>0.51147288065634622</v>
      </c>
      <c r="P7" s="80" t="str">
        <f t="shared" si="6"/>
        <v>Medianamente denso</v>
      </c>
      <c r="Q7" s="121"/>
      <c r="T7" s="180"/>
      <c r="U7" s="165">
        <v>2</v>
      </c>
      <c r="V7" s="120" t="s">
        <v>61</v>
      </c>
      <c r="W7" s="136">
        <f>3-0</f>
        <v>3</v>
      </c>
      <c r="X7" s="121" t="s">
        <v>12</v>
      </c>
      <c r="Y7" s="146" t="s">
        <v>51</v>
      </c>
      <c r="Z7" s="120" t="s">
        <v>45</v>
      </c>
      <c r="AA7" s="136">
        <f t="shared" si="7"/>
        <v>13</v>
      </c>
      <c r="AB7" s="134">
        <f t="shared" si="8"/>
        <v>17.8</v>
      </c>
      <c r="AC7" s="121">
        <v>45</v>
      </c>
      <c r="AD7" s="140">
        <v>1</v>
      </c>
      <c r="AE7" s="140">
        <v>1</v>
      </c>
      <c r="AF7" s="140">
        <v>0.8</v>
      </c>
      <c r="AG7" s="136">
        <f t="shared" si="9"/>
        <v>7.8</v>
      </c>
      <c r="AH7" s="139">
        <f t="shared" si="0"/>
        <v>1.3684513787599333</v>
      </c>
      <c r="AI7" s="138">
        <f t="shared" si="10"/>
        <v>10.673920754327479</v>
      </c>
      <c r="AJ7" s="136">
        <f t="shared" si="1"/>
        <v>0.51147288065634622</v>
      </c>
      <c r="AK7" s="134" t="str">
        <f t="shared" si="11"/>
        <v>Medianamente denso</v>
      </c>
      <c r="AL7" s="119"/>
    </row>
    <row r="8" spans="2:38" x14ac:dyDescent="0.25">
      <c r="B8" s="180"/>
      <c r="C8" s="180"/>
      <c r="D8" s="165"/>
      <c r="E8" s="2" t="s">
        <v>62</v>
      </c>
      <c r="F8" s="54">
        <v>5</v>
      </c>
      <c r="G8" s="49" t="s">
        <v>13</v>
      </c>
      <c r="H8" s="9" t="s">
        <v>52</v>
      </c>
      <c r="I8" s="49">
        <v>11</v>
      </c>
      <c r="J8" s="54">
        <v>11</v>
      </c>
      <c r="K8" s="138">
        <v>19</v>
      </c>
      <c r="L8" s="136">
        <f t="shared" si="2"/>
        <v>7.4249999999999998</v>
      </c>
      <c r="M8" s="95">
        <f t="shared" si="3"/>
        <v>1.025978352085154</v>
      </c>
      <c r="N8" s="90">
        <f t="shared" si="4"/>
        <v>7.617889264232268</v>
      </c>
      <c r="O8" s="54">
        <f t="shared" si="5"/>
        <v>0.43192336003592541</v>
      </c>
      <c r="P8" s="80" t="str">
        <f t="shared" si="6"/>
        <v>Suelto</v>
      </c>
      <c r="Q8" s="121"/>
      <c r="T8" s="180"/>
      <c r="U8" s="165"/>
      <c r="V8" s="120" t="s">
        <v>62</v>
      </c>
      <c r="W8" s="136">
        <v>5</v>
      </c>
      <c r="X8" s="121" t="s">
        <v>13</v>
      </c>
      <c r="Y8" s="146" t="s">
        <v>52</v>
      </c>
      <c r="Z8" s="121">
        <v>11</v>
      </c>
      <c r="AA8" s="136">
        <f t="shared" si="7"/>
        <v>11</v>
      </c>
      <c r="AB8" s="134">
        <f t="shared" si="8"/>
        <v>19</v>
      </c>
      <c r="AC8" s="121">
        <v>45</v>
      </c>
      <c r="AD8" s="121">
        <v>1</v>
      </c>
      <c r="AE8" s="121">
        <v>1</v>
      </c>
      <c r="AF8" s="121">
        <v>0.9</v>
      </c>
      <c r="AG8" s="136">
        <f t="shared" si="9"/>
        <v>7.4249999999999998</v>
      </c>
      <c r="AH8" s="139">
        <f t="shared" si="0"/>
        <v>1.025978352085154</v>
      </c>
      <c r="AI8" s="138">
        <f t="shared" si="10"/>
        <v>7.617889264232268</v>
      </c>
      <c r="AJ8" s="136">
        <f t="shared" si="1"/>
        <v>0.43192336003592541</v>
      </c>
      <c r="AK8" s="134" t="str">
        <f t="shared" si="11"/>
        <v>Suelto</v>
      </c>
      <c r="AL8" s="119"/>
    </row>
    <row r="9" spans="2:38" x14ac:dyDescent="0.25">
      <c r="B9" s="180"/>
      <c r="C9" s="180"/>
      <c r="D9" s="165"/>
      <c r="E9" s="2" t="s">
        <v>63</v>
      </c>
      <c r="F9" s="54">
        <v>7</v>
      </c>
      <c r="G9" s="49" t="s">
        <v>13</v>
      </c>
      <c r="H9" s="9" t="s">
        <v>52</v>
      </c>
      <c r="I9" s="49" t="s">
        <v>9</v>
      </c>
      <c r="J9" s="54">
        <v>41</v>
      </c>
      <c r="K9" s="138">
        <v>19</v>
      </c>
      <c r="L9" s="136">
        <f t="shared" si="2"/>
        <v>30.75</v>
      </c>
      <c r="M9" s="95">
        <f t="shared" si="3"/>
        <v>0.86710996952412001</v>
      </c>
      <c r="N9" s="90">
        <f t="shared" si="4"/>
        <v>26.663631562866691</v>
      </c>
      <c r="O9" s="54">
        <f t="shared" si="5"/>
        <v>0.79282865047286832</v>
      </c>
      <c r="P9" s="80" t="str">
        <f t="shared" si="6"/>
        <v>Denso</v>
      </c>
      <c r="Q9" s="121"/>
      <c r="T9" s="180"/>
      <c r="U9" s="165"/>
      <c r="V9" s="120" t="s">
        <v>63</v>
      </c>
      <c r="W9" s="136">
        <v>7</v>
      </c>
      <c r="X9" s="121" t="s">
        <v>13</v>
      </c>
      <c r="Y9" s="122" t="s">
        <v>52</v>
      </c>
      <c r="Z9" s="121" t="s">
        <v>9</v>
      </c>
      <c r="AA9" s="136">
        <f t="shared" si="7"/>
        <v>41</v>
      </c>
      <c r="AB9" s="134">
        <f t="shared" si="8"/>
        <v>19</v>
      </c>
      <c r="AC9" s="121">
        <v>45</v>
      </c>
      <c r="AD9" s="121">
        <v>1</v>
      </c>
      <c r="AE9" s="121">
        <v>1</v>
      </c>
      <c r="AF9" s="121">
        <v>1</v>
      </c>
      <c r="AG9" s="136">
        <f t="shared" si="9"/>
        <v>30.75</v>
      </c>
      <c r="AH9" s="139">
        <f t="shared" si="0"/>
        <v>0.86710996952412001</v>
      </c>
      <c r="AI9" s="138">
        <f t="shared" si="10"/>
        <v>26.663631562866691</v>
      </c>
      <c r="AJ9" s="136">
        <f t="shared" si="1"/>
        <v>0.79282865047286832</v>
      </c>
      <c r="AK9" s="134" t="str">
        <f t="shared" si="11"/>
        <v>Denso</v>
      </c>
      <c r="AL9" s="119"/>
    </row>
    <row r="10" spans="2:38" x14ac:dyDescent="0.25">
      <c r="B10" s="180"/>
      <c r="C10" s="180"/>
      <c r="D10" s="165">
        <v>3</v>
      </c>
      <c r="E10" s="2" t="s">
        <v>64</v>
      </c>
      <c r="F10" s="54">
        <v>2</v>
      </c>
      <c r="G10" s="49" t="s">
        <v>13</v>
      </c>
      <c r="H10" s="9" t="s">
        <v>52</v>
      </c>
      <c r="I10" s="49" t="s">
        <v>9</v>
      </c>
      <c r="J10" s="54">
        <v>32</v>
      </c>
      <c r="K10" s="138">
        <v>17.8</v>
      </c>
      <c r="L10" s="136">
        <f t="shared" si="2"/>
        <v>19.2</v>
      </c>
      <c r="M10" s="95">
        <f t="shared" si="3"/>
        <v>1.6760038078849773</v>
      </c>
      <c r="N10" s="90">
        <f t="shared" si="4"/>
        <v>32.179273111391559</v>
      </c>
      <c r="O10" s="54">
        <f t="shared" si="5"/>
        <v>0.8669741759331967</v>
      </c>
      <c r="P10" s="80" t="str">
        <f t="shared" si="6"/>
        <v>Muy denso</v>
      </c>
      <c r="Q10" s="121"/>
      <c r="T10" s="180"/>
      <c r="U10" s="165">
        <v>3</v>
      </c>
      <c r="V10" s="120" t="s">
        <v>64</v>
      </c>
      <c r="W10" s="136">
        <f>2-0</f>
        <v>2</v>
      </c>
      <c r="X10" s="121" t="s">
        <v>13</v>
      </c>
      <c r="Y10" s="122" t="s">
        <v>52</v>
      </c>
      <c r="Z10" s="121" t="s">
        <v>9</v>
      </c>
      <c r="AA10" s="136">
        <f t="shared" si="7"/>
        <v>32</v>
      </c>
      <c r="AB10" s="134">
        <f t="shared" si="8"/>
        <v>17.8</v>
      </c>
      <c r="AC10" s="121">
        <v>45</v>
      </c>
      <c r="AD10" s="121">
        <v>1</v>
      </c>
      <c r="AE10" s="121">
        <v>1</v>
      </c>
      <c r="AF10" s="121">
        <v>0.8</v>
      </c>
      <c r="AG10" s="136">
        <f t="shared" si="9"/>
        <v>19.2</v>
      </c>
      <c r="AH10" s="139">
        <f t="shared" si="0"/>
        <v>1.6760038078849773</v>
      </c>
      <c r="AI10" s="138">
        <f t="shared" si="10"/>
        <v>32.179273111391559</v>
      </c>
      <c r="AJ10" s="136">
        <f t="shared" si="1"/>
        <v>0.8669741759331967</v>
      </c>
      <c r="AK10" s="134" t="str">
        <f t="shared" si="11"/>
        <v>Muy denso</v>
      </c>
      <c r="AL10" s="119"/>
    </row>
    <row r="11" spans="2:38" x14ac:dyDescent="0.25">
      <c r="B11" s="180"/>
      <c r="C11" s="180"/>
      <c r="D11" s="165"/>
      <c r="E11" s="2" t="s">
        <v>65</v>
      </c>
      <c r="F11" s="54">
        <v>4</v>
      </c>
      <c r="G11" s="49" t="s">
        <v>12</v>
      </c>
      <c r="H11" s="9" t="s">
        <v>51</v>
      </c>
      <c r="I11" s="49" t="s">
        <v>9</v>
      </c>
      <c r="J11" s="54">
        <v>36</v>
      </c>
      <c r="K11" s="138">
        <v>17.8</v>
      </c>
      <c r="L11" s="136">
        <f t="shared" si="2"/>
        <v>21.6</v>
      </c>
      <c r="M11" s="95">
        <f t="shared" si="3"/>
        <v>1.185113657849943</v>
      </c>
      <c r="N11" s="90">
        <f t="shared" si="4"/>
        <v>25.598455009558773</v>
      </c>
      <c r="O11" s="54">
        <f t="shared" si="5"/>
        <v>0.796023914096887</v>
      </c>
      <c r="P11" s="80" t="str">
        <f t="shared" si="6"/>
        <v>Denso</v>
      </c>
      <c r="Q11" s="121"/>
      <c r="T11" s="180"/>
      <c r="U11" s="165"/>
      <c r="V11" s="120" t="s">
        <v>65</v>
      </c>
      <c r="W11" s="136">
        <v>4</v>
      </c>
      <c r="X11" s="121" t="s">
        <v>12</v>
      </c>
      <c r="Y11" s="122" t="s">
        <v>51</v>
      </c>
      <c r="Z11" s="121" t="s">
        <v>9</v>
      </c>
      <c r="AA11" s="136">
        <f t="shared" si="7"/>
        <v>36</v>
      </c>
      <c r="AB11" s="134">
        <f t="shared" si="8"/>
        <v>17.8</v>
      </c>
      <c r="AC11" s="121">
        <v>45</v>
      </c>
      <c r="AD11" s="121">
        <v>1</v>
      </c>
      <c r="AE11" s="121">
        <v>1</v>
      </c>
      <c r="AF11" s="121">
        <v>0.8</v>
      </c>
      <c r="AG11" s="136">
        <f t="shared" si="9"/>
        <v>21.6</v>
      </c>
      <c r="AH11" s="139">
        <f t="shared" si="0"/>
        <v>1.185113657849943</v>
      </c>
      <c r="AI11" s="138">
        <f t="shared" si="10"/>
        <v>25.598455009558773</v>
      </c>
      <c r="AJ11" s="136">
        <f t="shared" si="1"/>
        <v>0.796023914096887</v>
      </c>
      <c r="AK11" s="134" t="str">
        <f t="shared" si="11"/>
        <v>Denso</v>
      </c>
      <c r="AL11" s="119"/>
    </row>
    <row r="12" spans="2:38" x14ac:dyDescent="0.25">
      <c r="B12" s="180"/>
      <c r="C12" s="180"/>
      <c r="D12" s="165"/>
      <c r="E12" s="2" t="s">
        <v>60</v>
      </c>
      <c r="F12" s="54">
        <v>7</v>
      </c>
      <c r="G12" s="49" t="s">
        <v>13</v>
      </c>
      <c r="H12" s="9" t="s">
        <v>52</v>
      </c>
      <c r="I12" s="49" t="s">
        <v>9</v>
      </c>
      <c r="J12" s="54">
        <v>45</v>
      </c>
      <c r="K12" s="138">
        <v>19</v>
      </c>
      <c r="L12" s="136">
        <f t="shared" si="2"/>
        <v>30.375</v>
      </c>
      <c r="M12" s="95">
        <f t="shared" si="3"/>
        <v>0.86710996952412001</v>
      </c>
      <c r="N12" s="90">
        <f t="shared" si="4"/>
        <v>26.338465324295147</v>
      </c>
      <c r="O12" s="54">
        <f t="shared" si="5"/>
        <v>0.7879795000882196</v>
      </c>
      <c r="P12" s="80" t="str">
        <f t="shared" si="6"/>
        <v>Denso</v>
      </c>
      <c r="Q12" s="121"/>
      <c r="T12" s="180"/>
      <c r="U12" s="165"/>
      <c r="V12" s="120" t="s">
        <v>60</v>
      </c>
      <c r="W12" s="136">
        <v>7</v>
      </c>
      <c r="X12" s="121" t="s">
        <v>13</v>
      </c>
      <c r="Y12" s="122" t="s">
        <v>52</v>
      </c>
      <c r="Z12" s="121" t="s">
        <v>9</v>
      </c>
      <c r="AA12" s="136">
        <f t="shared" si="7"/>
        <v>45</v>
      </c>
      <c r="AB12" s="134">
        <f t="shared" si="8"/>
        <v>19</v>
      </c>
      <c r="AC12" s="121">
        <v>45</v>
      </c>
      <c r="AD12" s="121">
        <v>1</v>
      </c>
      <c r="AE12" s="121">
        <v>1</v>
      </c>
      <c r="AF12" s="121">
        <v>0.9</v>
      </c>
      <c r="AG12" s="136">
        <f t="shared" si="9"/>
        <v>30.375</v>
      </c>
      <c r="AH12" s="139">
        <f t="shared" si="0"/>
        <v>0.86710996952412001</v>
      </c>
      <c r="AI12" s="138">
        <f t="shared" si="10"/>
        <v>26.338465324295147</v>
      </c>
      <c r="AJ12" s="136">
        <f t="shared" si="1"/>
        <v>0.7879795000882196</v>
      </c>
      <c r="AK12" s="134" t="str">
        <f t="shared" si="11"/>
        <v>Denso</v>
      </c>
      <c r="AL12" s="119"/>
    </row>
    <row r="13" spans="2:38" ht="5.25" customHeight="1" x14ac:dyDescent="0.25"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21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19"/>
    </row>
    <row r="14" spans="2:38" x14ac:dyDescent="0.25">
      <c r="B14" s="180">
        <v>2010</v>
      </c>
      <c r="C14" s="180" t="s">
        <v>50</v>
      </c>
      <c r="D14" s="165">
        <v>1</v>
      </c>
      <c r="E14" s="2" t="s">
        <v>64</v>
      </c>
      <c r="F14" s="54">
        <v>2</v>
      </c>
      <c r="G14" s="49" t="s">
        <v>13</v>
      </c>
      <c r="H14" s="9" t="s">
        <v>52</v>
      </c>
      <c r="I14" s="49" t="s">
        <v>38</v>
      </c>
      <c r="J14" s="54">
        <v>22</v>
      </c>
      <c r="K14" s="138">
        <v>17.8</v>
      </c>
      <c r="L14" s="136">
        <f>AG14</f>
        <v>13.2</v>
      </c>
      <c r="M14" s="95">
        <f>((1/((F14*K14)/100))^0.5)</f>
        <v>1.6760038078849773</v>
      </c>
      <c r="N14" s="90">
        <f>M14*L14</f>
        <v>22.123250264081697</v>
      </c>
      <c r="O14" s="54">
        <f>((L14/(17+(24*((K14*F14)/100))))^0.5)</f>
        <v>0.71885701112449596</v>
      </c>
      <c r="P14" s="49" t="str">
        <f>IF(O14&lt;0.15,"Muy suelto",IF(AND(O14&gt;0.15,O14&lt;0.5),"Suelto",IF(AND(O14&gt;0.5,O14&lt;0.7),"Medianamente denso",IF(AND(O14&gt;0.7,O14&lt;0.85),"Denso","Muy denso"))))</f>
        <v>Denso</v>
      </c>
      <c r="Q14" s="121"/>
      <c r="T14" s="180" t="s">
        <v>50</v>
      </c>
      <c r="U14" s="165">
        <v>1</v>
      </c>
      <c r="V14" s="120" t="s">
        <v>64</v>
      </c>
      <c r="W14" s="136">
        <f>2-0</f>
        <v>2</v>
      </c>
      <c r="X14" s="121" t="s">
        <v>13</v>
      </c>
      <c r="Y14" s="122" t="s">
        <v>52</v>
      </c>
      <c r="Z14" s="121" t="s">
        <v>38</v>
      </c>
      <c r="AA14" s="136">
        <f>J14</f>
        <v>22</v>
      </c>
      <c r="AB14" s="121">
        <f>K14</f>
        <v>17.8</v>
      </c>
      <c r="AC14" s="121">
        <v>45</v>
      </c>
      <c r="AD14" s="121">
        <v>1</v>
      </c>
      <c r="AE14" s="121">
        <v>1</v>
      </c>
      <c r="AF14" s="121">
        <v>0.8</v>
      </c>
      <c r="AG14" s="136">
        <f>(AA14*AC14*AD14*AE14*AF14)/60</f>
        <v>13.2</v>
      </c>
      <c r="AH14" s="139">
        <f t="shared" ref="AH14:AH20" si="12">((1/((W14*AB14)/100))^0.5)</f>
        <v>1.6760038078849773</v>
      </c>
      <c r="AI14" s="138">
        <f>AH14*AG14</f>
        <v>22.123250264081697</v>
      </c>
      <c r="AJ14" s="136">
        <f t="shared" ref="AJ14:AJ20" si="13">((AG14/(17+(24*((AB14*W14)/100))))^0.5)</f>
        <v>0.71885701112449596</v>
      </c>
      <c r="AK14" s="121" t="str">
        <f>IF(AJ14&lt;0.15,"Muy suelto",IF(AND(AJ14&gt;0.15,AJ14&lt;0.5),"Suelto",IF(AND(AJ14&gt;0.5,AJ14&lt;0.7),"Medianamente denso",IF(AND(AJ14&gt;0.7,AJ14&lt;0.85),"Denso","Muy denso"))))</f>
        <v>Denso</v>
      </c>
      <c r="AL14" s="119"/>
    </row>
    <row r="15" spans="2:38" x14ac:dyDescent="0.25">
      <c r="B15" s="180"/>
      <c r="C15" s="180"/>
      <c r="D15" s="165"/>
      <c r="E15" s="2" t="s">
        <v>65</v>
      </c>
      <c r="F15" s="54">
        <v>4</v>
      </c>
      <c r="G15" s="49" t="s">
        <v>27</v>
      </c>
      <c r="H15" s="9" t="s">
        <v>53</v>
      </c>
      <c r="I15" s="49" t="s">
        <v>37</v>
      </c>
      <c r="J15" s="54">
        <v>20</v>
      </c>
      <c r="K15" s="138">
        <v>17.8</v>
      </c>
      <c r="L15" s="136">
        <f t="shared" ref="L15:L20" si="14">AG15</f>
        <v>12</v>
      </c>
      <c r="M15" s="95">
        <f t="shared" ref="M15:M20" si="15">((1/((F15*K15)/100))^0.5)</f>
        <v>1.185113657849943</v>
      </c>
      <c r="N15" s="90">
        <f t="shared" ref="N15:N20" si="16">M15*L15</f>
        <v>14.221363894199317</v>
      </c>
      <c r="O15" s="54">
        <f t="shared" ref="O15:O20" si="17">((L15/(17+(24*((K15*F15)/100))))^0.5)</f>
        <v>0.59332119454536414</v>
      </c>
      <c r="P15" s="79" t="str">
        <f t="shared" ref="P15:P20" si="18">IF(O15&lt;0.15,"Muy suelto",IF(AND(O15&gt;0.15,O15&lt;0.5),"Suelto",IF(AND(O15&gt;0.5,O15&lt;0.7),"Medianamente denso",IF(AND(O15&gt;0.7,O15&lt;0.85),"Denso","Muy denso"))))</f>
        <v>Medianamente denso</v>
      </c>
      <c r="Q15" s="121"/>
      <c r="T15" s="180"/>
      <c r="U15" s="165"/>
      <c r="V15" s="120" t="s">
        <v>65</v>
      </c>
      <c r="W15" s="136">
        <v>4</v>
      </c>
      <c r="X15" s="121" t="s">
        <v>27</v>
      </c>
      <c r="Y15" s="122" t="s">
        <v>53</v>
      </c>
      <c r="Z15" s="121" t="s">
        <v>37</v>
      </c>
      <c r="AA15" s="136">
        <f t="shared" ref="AA15:AA20" si="19">J15</f>
        <v>20</v>
      </c>
      <c r="AB15" s="121">
        <f t="shared" ref="AB15:AB20" si="20">K15</f>
        <v>17.8</v>
      </c>
      <c r="AC15" s="121">
        <v>45</v>
      </c>
      <c r="AD15" s="121">
        <v>1</v>
      </c>
      <c r="AE15" s="121">
        <v>1</v>
      </c>
      <c r="AF15" s="121">
        <v>0.8</v>
      </c>
      <c r="AG15" s="136">
        <f t="shared" ref="AG15:AG20" si="21">(AA15*AC15*AD15*AE15*AF15)/60</f>
        <v>12</v>
      </c>
      <c r="AH15" s="139">
        <f t="shared" si="12"/>
        <v>1.185113657849943</v>
      </c>
      <c r="AI15" s="138">
        <f t="shared" ref="AI15:AI20" si="22">AH15*AG15</f>
        <v>14.221363894199317</v>
      </c>
      <c r="AJ15" s="136">
        <f t="shared" si="13"/>
        <v>0.59332119454536414</v>
      </c>
      <c r="AK15" s="121" t="str">
        <f t="shared" ref="AK15:AK20" si="23">IF(AJ15&lt;0.15,"Muy suelto",IF(AND(AJ15&gt;0.15,AJ15&lt;0.5),"Suelto",IF(AND(AJ15&gt;0.5,AJ15&lt;0.7),"Medianamente denso",IF(AND(AJ15&gt;0.7,AJ15&lt;0.85),"Denso","Muy denso"))))</f>
        <v>Medianamente denso</v>
      </c>
      <c r="AL15" s="119"/>
    </row>
    <row r="16" spans="2:38" x14ac:dyDescent="0.25">
      <c r="B16" s="180"/>
      <c r="C16" s="180"/>
      <c r="D16" s="165"/>
      <c r="E16" s="2" t="s">
        <v>66</v>
      </c>
      <c r="F16" s="54">
        <v>6</v>
      </c>
      <c r="G16" s="49" t="s">
        <v>27</v>
      </c>
      <c r="H16" s="9" t="s">
        <v>53</v>
      </c>
      <c r="I16" s="49" t="s">
        <v>39</v>
      </c>
      <c r="J16" s="54">
        <f>(46+44)/2</f>
        <v>45</v>
      </c>
      <c r="K16" s="138">
        <v>19</v>
      </c>
      <c r="L16" s="136">
        <f t="shared" si="14"/>
        <v>30.375</v>
      </c>
      <c r="M16" s="95">
        <f t="shared" si="15"/>
        <v>0.93658581158169396</v>
      </c>
      <c r="N16" s="90">
        <f t="shared" si="16"/>
        <v>28.448794026793955</v>
      </c>
      <c r="O16" s="54">
        <f t="shared" si="17"/>
        <v>0.82748927676193873</v>
      </c>
      <c r="P16" s="79" t="str">
        <f t="shared" si="18"/>
        <v>Denso</v>
      </c>
      <c r="Q16" s="121"/>
      <c r="T16" s="180"/>
      <c r="U16" s="165"/>
      <c r="V16" s="120" t="s">
        <v>66</v>
      </c>
      <c r="W16" s="136">
        <v>6</v>
      </c>
      <c r="X16" s="121" t="s">
        <v>27</v>
      </c>
      <c r="Y16" s="122" t="s">
        <v>53</v>
      </c>
      <c r="Z16" s="121" t="s">
        <v>39</v>
      </c>
      <c r="AA16" s="136">
        <f t="shared" si="19"/>
        <v>45</v>
      </c>
      <c r="AB16" s="121">
        <f t="shared" si="20"/>
        <v>19</v>
      </c>
      <c r="AC16" s="121">
        <v>45</v>
      </c>
      <c r="AD16" s="121">
        <v>1</v>
      </c>
      <c r="AE16" s="121">
        <v>1</v>
      </c>
      <c r="AF16" s="121">
        <v>0.9</v>
      </c>
      <c r="AG16" s="136">
        <f t="shared" si="21"/>
        <v>30.375</v>
      </c>
      <c r="AH16" s="139">
        <f t="shared" si="12"/>
        <v>0.93658581158169396</v>
      </c>
      <c r="AI16" s="138">
        <f t="shared" si="22"/>
        <v>28.448794026793955</v>
      </c>
      <c r="AJ16" s="136">
        <f t="shared" si="13"/>
        <v>0.82748927676193873</v>
      </c>
      <c r="AK16" s="121" t="str">
        <f t="shared" si="23"/>
        <v>Denso</v>
      </c>
      <c r="AL16" s="119"/>
    </row>
    <row r="17" spans="2:38" x14ac:dyDescent="0.25">
      <c r="B17" s="180"/>
      <c r="C17" s="180"/>
      <c r="D17" s="165">
        <v>2</v>
      </c>
      <c r="E17" s="2" t="s">
        <v>67</v>
      </c>
      <c r="F17" s="54">
        <v>2.5</v>
      </c>
      <c r="G17" s="49" t="s">
        <v>27</v>
      </c>
      <c r="H17" s="9" t="s">
        <v>53</v>
      </c>
      <c r="I17" s="49" t="s">
        <v>40</v>
      </c>
      <c r="J17" s="54">
        <v>30</v>
      </c>
      <c r="K17" s="138">
        <v>17.8</v>
      </c>
      <c r="L17" s="136">
        <f t="shared" si="14"/>
        <v>18</v>
      </c>
      <c r="M17" s="95">
        <f t="shared" si="15"/>
        <v>1.4990633779917228</v>
      </c>
      <c r="N17" s="90">
        <f t="shared" si="16"/>
        <v>26.983140803851011</v>
      </c>
      <c r="O17" s="54">
        <f t="shared" si="17"/>
        <v>0.80640499585570558</v>
      </c>
      <c r="P17" s="79" t="str">
        <f t="shared" si="18"/>
        <v>Denso</v>
      </c>
      <c r="Q17" s="121"/>
      <c r="T17" s="180"/>
      <c r="U17" s="165">
        <v>2</v>
      </c>
      <c r="V17" s="120" t="s">
        <v>67</v>
      </c>
      <c r="W17" s="136">
        <f>2.5-0</f>
        <v>2.5</v>
      </c>
      <c r="X17" s="121" t="s">
        <v>27</v>
      </c>
      <c r="Y17" s="122" t="s">
        <v>53</v>
      </c>
      <c r="Z17" s="121" t="s">
        <v>40</v>
      </c>
      <c r="AA17" s="136">
        <f t="shared" si="19"/>
        <v>30</v>
      </c>
      <c r="AB17" s="121">
        <f t="shared" si="20"/>
        <v>17.8</v>
      </c>
      <c r="AC17" s="121">
        <v>45</v>
      </c>
      <c r="AD17" s="121">
        <v>1</v>
      </c>
      <c r="AE17" s="121">
        <v>1</v>
      </c>
      <c r="AF17" s="121">
        <v>0.8</v>
      </c>
      <c r="AG17" s="136">
        <f t="shared" si="21"/>
        <v>18</v>
      </c>
      <c r="AH17" s="139">
        <f t="shared" si="12"/>
        <v>1.4990633779917228</v>
      </c>
      <c r="AI17" s="138">
        <f t="shared" si="22"/>
        <v>26.983140803851011</v>
      </c>
      <c r="AJ17" s="136">
        <f t="shared" si="13"/>
        <v>0.80640499585570558</v>
      </c>
      <c r="AK17" s="121" t="str">
        <f t="shared" si="23"/>
        <v>Denso</v>
      </c>
      <c r="AL17" s="119"/>
    </row>
    <row r="18" spans="2:38" x14ac:dyDescent="0.25">
      <c r="B18" s="180"/>
      <c r="C18" s="180"/>
      <c r="D18" s="165"/>
      <c r="E18" s="2" t="s">
        <v>68</v>
      </c>
      <c r="F18" s="54">
        <v>3.5</v>
      </c>
      <c r="G18" s="49" t="s">
        <v>27</v>
      </c>
      <c r="H18" s="9" t="s">
        <v>53</v>
      </c>
      <c r="I18" s="49">
        <v>18</v>
      </c>
      <c r="J18" s="54">
        <v>18</v>
      </c>
      <c r="K18" s="138">
        <v>17.8</v>
      </c>
      <c r="L18" s="136">
        <f t="shared" si="14"/>
        <v>10.8</v>
      </c>
      <c r="M18" s="95">
        <f t="shared" si="15"/>
        <v>1.266939792017407</v>
      </c>
      <c r="N18" s="90">
        <f t="shared" si="16"/>
        <v>13.682949753787996</v>
      </c>
      <c r="O18" s="54">
        <f t="shared" si="17"/>
        <v>0.58138370334553902</v>
      </c>
      <c r="P18" s="79" t="str">
        <f t="shared" si="18"/>
        <v>Medianamente denso</v>
      </c>
      <c r="Q18" s="121"/>
      <c r="T18" s="180"/>
      <c r="U18" s="165"/>
      <c r="V18" s="120" t="s">
        <v>68</v>
      </c>
      <c r="W18" s="136">
        <v>3.5</v>
      </c>
      <c r="X18" s="121" t="s">
        <v>27</v>
      </c>
      <c r="Y18" s="122" t="s">
        <v>53</v>
      </c>
      <c r="Z18" s="121">
        <v>18</v>
      </c>
      <c r="AA18" s="136">
        <f t="shared" si="19"/>
        <v>18</v>
      </c>
      <c r="AB18" s="121">
        <f t="shared" si="20"/>
        <v>17.8</v>
      </c>
      <c r="AC18" s="121">
        <v>45</v>
      </c>
      <c r="AD18" s="121">
        <v>1</v>
      </c>
      <c r="AE18" s="121">
        <v>1</v>
      </c>
      <c r="AF18" s="121">
        <v>0.8</v>
      </c>
      <c r="AG18" s="136">
        <f t="shared" si="21"/>
        <v>10.8</v>
      </c>
      <c r="AH18" s="139">
        <f t="shared" si="12"/>
        <v>1.266939792017407</v>
      </c>
      <c r="AI18" s="138">
        <f t="shared" si="22"/>
        <v>13.682949753787996</v>
      </c>
      <c r="AJ18" s="136">
        <f t="shared" si="13"/>
        <v>0.58138370334553902</v>
      </c>
      <c r="AK18" s="121" t="str">
        <f t="shared" si="23"/>
        <v>Medianamente denso</v>
      </c>
      <c r="AL18" s="119"/>
    </row>
    <row r="19" spans="2:38" x14ac:dyDescent="0.25">
      <c r="B19" s="180"/>
      <c r="C19" s="180"/>
      <c r="D19" s="165"/>
      <c r="E19" s="2" t="s">
        <v>69</v>
      </c>
      <c r="F19" s="54">
        <v>5.5</v>
      </c>
      <c r="G19" s="49" t="s">
        <v>27</v>
      </c>
      <c r="H19" s="9" t="s">
        <v>53</v>
      </c>
      <c r="I19" s="49" t="s">
        <v>41</v>
      </c>
      <c r="J19" s="54">
        <v>32</v>
      </c>
      <c r="K19" s="138">
        <v>19</v>
      </c>
      <c r="L19" s="136">
        <f t="shared" si="14"/>
        <v>21.6</v>
      </c>
      <c r="M19" s="95">
        <f t="shared" si="15"/>
        <v>0.978231976089037</v>
      </c>
      <c r="N19" s="90">
        <f t="shared" si="16"/>
        <v>21.1298106835232</v>
      </c>
      <c r="O19" s="54">
        <f t="shared" si="17"/>
        <v>0.71645515197454934</v>
      </c>
      <c r="P19" s="79" t="str">
        <f t="shared" si="18"/>
        <v>Denso</v>
      </c>
      <c r="Q19" s="121"/>
      <c r="T19" s="180"/>
      <c r="U19" s="165"/>
      <c r="V19" s="120" t="s">
        <v>69</v>
      </c>
      <c r="W19" s="136">
        <v>5.5</v>
      </c>
      <c r="X19" s="121" t="s">
        <v>27</v>
      </c>
      <c r="Y19" s="122" t="s">
        <v>53</v>
      </c>
      <c r="Z19" s="121" t="s">
        <v>41</v>
      </c>
      <c r="AA19" s="136">
        <f t="shared" si="19"/>
        <v>32</v>
      </c>
      <c r="AB19" s="121">
        <f t="shared" si="20"/>
        <v>19</v>
      </c>
      <c r="AC19" s="121">
        <v>45</v>
      </c>
      <c r="AD19" s="121">
        <v>1</v>
      </c>
      <c r="AE19" s="121">
        <v>1</v>
      </c>
      <c r="AF19" s="121">
        <v>0.9</v>
      </c>
      <c r="AG19" s="136">
        <f t="shared" si="21"/>
        <v>21.6</v>
      </c>
      <c r="AH19" s="139">
        <f t="shared" si="12"/>
        <v>0.978231976089037</v>
      </c>
      <c r="AI19" s="138">
        <f t="shared" si="22"/>
        <v>21.1298106835232</v>
      </c>
      <c r="AJ19" s="136">
        <f t="shared" si="13"/>
        <v>0.71645515197454934</v>
      </c>
      <c r="AK19" s="121" t="str">
        <f t="shared" si="23"/>
        <v>Denso</v>
      </c>
      <c r="AL19" s="119"/>
    </row>
    <row r="20" spans="2:38" x14ac:dyDescent="0.25">
      <c r="B20" s="180"/>
      <c r="C20" s="180"/>
      <c r="D20" s="165"/>
      <c r="E20" s="2" t="s">
        <v>70</v>
      </c>
      <c r="F20" s="54">
        <v>6.5</v>
      </c>
      <c r="G20" s="49" t="s">
        <v>27</v>
      </c>
      <c r="H20" s="9" t="s">
        <v>53</v>
      </c>
      <c r="I20" s="49">
        <v>52</v>
      </c>
      <c r="J20" s="54">
        <v>52</v>
      </c>
      <c r="K20" s="138">
        <v>19</v>
      </c>
      <c r="L20" s="136">
        <f t="shared" si="14"/>
        <v>39</v>
      </c>
      <c r="M20" s="95">
        <f t="shared" si="15"/>
        <v>0.89984254133169506</v>
      </c>
      <c r="N20" s="90">
        <f t="shared" si="16"/>
        <v>35.093859111936105</v>
      </c>
      <c r="O20" s="54">
        <f t="shared" si="17"/>
        <v>0.91443540492317743</v>
      </c>
      <c r="P20" s="79" t="str">
        <f t="shared" si="18"/>
        <v>Muy denso</v>
      </c>
      <c r="Q20" s="121"/>
      <c r="T20" s="180"/>
      <c r="U20" s="165"/>
      <c r="V20" s="120" t="s">
        <v>70</v>
      </c>
      <c r="W20" s="136">
        <v>6.5</v>
      </c>
      <c r="X20" s="121" t="s">
        <v>27</v>
      </c>
      <c r="Y20" s="122" t="s">
        <v>53</v>
      </c>
      <c r="Z20" s="121">
        <v>52</v>
      </c>
      <c r="AA20" s="136">
        <f t="shared" si="19"/>
        <v>52</v>
      </c>
      <c r="AB20" s="121">
        <f t="shared" si="20"/>
        <v>19</v>
      </c>
      <c r="AC20" s="121">
        <v>45</v>
      </c>
      <c r="AD20" s="121">
        <v>1</v>
      </c>
      <c r="AE20" s="121">
        <v>1</v>
      </c>
      <c r="AF20" s="121">
        <v>1</v>
      </c>
      <c r="AG20" s="136">
        <f t="shared" si="21"/>
        <v>39</v>
      </c>
      <c r="AH20" s="139">
        <f t="shared" si="12"/>
        <v>0.89984254133169506</v>
      </c>
      <c r="AI20" s="138">
        <f t="shared" si="22"/>
        <v>35.093859111936105</v>
      </c>
      <c r="AJ20" s="136">
        <f t="shared" si="13"/>
        <v>0.91443540492317743</v>
      </c>
      <c r="AK20" s="121" t="str">
        <f t="shared" si="23"/>
        <v>Muy denso</v>
      </c>
      <c r="AL20" s="119"/>
    </row>
    <row r="24" spans="2:38" ht="43.5" customHeight="1" x14ac:dyDescent="0.25">
      <c r="C24" s="162"/>
      <c r="D24" s="162"/>
      <c r="E24" s="162"/>
      <c r="F24" s="162"/>
      <c r="G24" s="162"/>
      <c r="H24" s="162"/>
      <c r="I24" s="162"/>
      <c r="L24" s="51"/>
      <c r="M24" s="197"/>
      <c r="N24" s="198"/>
      <c r="O24" s="198"/>
      <c r="P24" s="199"/>
    </row>
    <row r="25" spans="2:38" x14ac:dyDescent="0.25">
      <c r="L25" s="81"/>
    </row>
    <row r="26" spans="2:38" x14ac:dyDescent="0.25">
      <c r="C26" s="182" t="s">
        <v>215</v>
      </c>
      <c r="D26" s="182"/>
      <c r="E26" s="182"/>
      <c r="F26" s="182"/>
      <c r="G26" s="182"/>
      <c r="H26" s="182"/>
      <c r="I26" s="182"/>
      <c r="J26" s="83"/>
      <c r="K26" s="83"/>
      <c r="L26" s="51"/>
      <c r="M26" s="188"/>
      <c r="N26" s="189"/>
      <c r="O26" s="189"/>
      <c r="P26" s="190"/>
    </row>
    <row r="27" spans="2:38" x14ac:dyDescent="0.25">
      <c r="C27" s="84" t="s">
        <v>204</v>
      </c>
      <c r="D27" s="182" t="s">
        <v>205</v>
      </c>
      <c r="E27" s="182"/>
      <c r="F27" s="84"/>
      <c r="G27" s="182" t="s">
        <v>206</v>
      </c>
      <c r="H27" s="182"/>
      <c r="I27" s="85" t="s">
        <v>207</v>
      </c>
      <c r="J27" s="82"/>
      <c r="K27" s="82"/>
      <c r="L27" s="51"/>
      <c r="M27" s="194"/>
      <c r="N27" s="170"/>
      <c r="O27" s="170"/>
      <c r="P27" s="195"/>
    </row>
    <row r="28" spans="2:38" x14ac:dyDescent="0.25">
      <c r="C28" s="181" t="s">
        <v>208</v>
      </c>
      <c r="D28" s="183" t="s">
        <v>243</v>
      </c>
      <c r="E28" s="183"/>
      <c r="F28" s="88"/>
      <c r="G28" s="181" t="s">
        <v>213</v>
      </c>
      <c r="H28" s="181"/>
      <c r="I28" s="49">
        <v>78</v>
      </c>
      <c r="L28" s="81"/>
    </row>
    <row r="29" spans="2:38" x14ac:dyDescent="0.25">
      <c r="C29" s="181"/>
      <c r="D29" s="183" t="s">
        <v>243</v>
      </c>
      <c r="E29" s="183"/>
      <c r="F29" s="88"/>
      <c r="G29" s="181" t="s">
        <v>214</v>
      </c>
      <c r="H29" s="181"/>
      <c r="I29" s="49">
        <v>67</v>
      </c>
      <c r="L29" s="51"/>
      <c r="M29" s="188"/>
      <c r="N29" s="189"/>
      <c r="O29" s="189"/>
      <c r="P29" s="190"/>
    </row>
    <row r="30" spans="2:38" x14ac:dyDescent="0.25">
      <c r="C30" s="181" t="s">
        <v>209</v>
      </c>
      <c r="D30" s="183" t="s">
        <v>212</v>
      </c>
      <c r="E30" s="183"/>
      <c r="F30" s="88"/>
      <c r="G30" s="181" t="s">
        <v>214</v>
      </c>
      <c r="H30" s="181"/>
      <c r="I30" s="49">
        <v>60</v>
      </c>
      <c r="L30" s="51"/>
      <c r="M30" s="194"/>
      <c r="N30" s="170"/>
      <c r="O30" s="170"/>
      <c r="P30" s="195"/>
    </row>
    <row r="31" spans="2:38" x14ac:dyDescent="0.25">
      <c r="C31" s="181"/>
      <c r="D31" s="183" t="s">
        <v>243</v>
      </c>
      <c r="E31" s="183"/>
      <c r="F31" s="88"/>
      <c r="G31" s="181" t="s">
        <v>214</v>
      </c>
      <c r="H31" s="181"/>
      <c r="I31" s="49">
        <v>45</v>
      </c>
      <c r="L31" s="81"/>
    </row>
    <row r="32" spans="2:38" x14ac:dyDescent="0.25">
      <c r="C32" s="9" t="s">
        <v>210</v>
      </c>
      <c r="D32" s="183" t="s">
        <v>243</v>
      </c>
      <c r="E32" s="183"/>
      <c r="F32" s="88"/>
      <c r="G32" s="181" t="s">
        <v>214</v>
      </c>
      <c r="H32" s="181"/>
      <c r="I32" s="49">
        <v>45</v>
      </c>
      <c r="L32" s="51"/>
      <c r="M32" s="188"/>
      <c r="N32" s="189"/>
      <c r="O32" s="189"/>
      <c r="P32" s="190"/>
    </row>
    <row r="33" spans="3:18" x14ac:dyDescent="0.25">
      <c r="C33" s="181" t="s">
        <v>211</v>
      </c>
      <c r="D33" s="183" t="s">
        <v>243</v>
      </c>
      <c r="E33" s="183"/>
      <c r="F33" s="88"/>
      <c r="G33" s="181" t="s">
        <v>213</v>
      </c>
      <c r="H33" s="181"/>
      <c r="I33" s="49">
        <v>60</v>
      </c>
      <c r="L33" s="51"/>
      <c r="M33" s="191"/>
      <c r="N33" s="192"/>
      <c r="O33" s="192"/>
      <c r="P33" s="193"/>
    </row>
    <row r="34" spans="3:18" x14ac:dyDescent="0.25">
      <c r="C34" s="181"/>
      <c r="D34" s="183" t="s">
        <v>243</v>
      </c>
      <c r="E34" s="183"/>
      <c r="F34" s="87"/>
      <c r="G34" s="181" t="s">
        <v>214</v>
      </c>
      <c r="H34" s="181"/>
      <c r="I34" s="49">
        <v>50</v>
      </c>
      <c r="L34" s="51"/>
      <c r="M34" s="194"/>
      <c r="N34" s="170"/>
      <c r="O34" s="170"/>
      <c r="P34" s="195"/>
    </row>
    <row r="35" spans="3:18" ht="7.5" customHeight="1" x14ac:dyDescent="0.25"/>
    <row r="36" spans="3:18" x14ac:dyDescent="0.25">
      <c r="C36" s="182" t="s">
        <v>218</v>
      </c>
      <c r="D36" s="182"/>
      <c r="H36" s="182" t="s">
        <v>230</v>
      </c>
      <c r="I36" s="182"/>
      <c r="J36" s="83"/>
      <c r="K36" s="83"/>
      <c r="M36" s="182" t="s">
        <v>240</v>
      </c>
      <c r="N36" s="182"/>
      <c r="O36" s="182"/>
      <c r="P36" s="101" t="s">
        <v>177</v>
      </c>
      <c r="Q36" s="51"/>
      <c r="R36" s="51"/>
    </row>
    <row r="37" spans="3:18" x14ac:dyDescent="0.25">
      <c r="C37" s="86" t="s">
        <v>216</v>
      </c>
      <c r="D37" s="85" t="s">
        <v>217</v>
      </c>
      <c r="H37" s="84" t="s">
        <v>226</v>
      </c>
      <c r="I37" s="92" t="s">
        <v>231</v>
      </c>
      <c r="J37" s="94"/>
      <c r="K37" s="94"/>
      <c r="M37" s="162" t="str">
        <f>"0 - 15"</f>
        <v>0 - 15</v>
      </c>
      <c r="N37" s="162"/>
      <c r="O37" s="162"/>
      <c r="P37" s="46" t="s">
        <v>238</v>
      </c>
      <c r="Q37" s="51"/>
      <c r="R37" s="51"/>
    </row>
    <row r="38" spans="3:18" x14ac:dyDescent="0.25">
      <c r="C38" s="49" t="str">
        <f>"60 - 120"</f>
        <v>60 - 120</v>
      </c>
      <c r="D38" s="89">
        <v>1</v>
      </c>
      <c r="H38" s="49" t="s">
        <v>227</v>
      </c>
      <c r="I38" s="91">
        <v>1</v>
      </c>
      <c r="J38" s="93"/>
      <c r="K38" s="93"/>
      <c r="M38" s="162" t="str">
        <f>"15 - 50"</f>
        <v>15 - 50</v>
      </c>
      <c r="N38" s="162"/>
      <c r="O38" s="162"/>
      <c r="P38" s="46" t="s">
        <v>126</v>
      </c>
      <c r="Q38" s="51"/>
      <c r="R38" s="51"/>
    </row>
    <row r="39" spans="3:18" x14ac:dyDescent="0.25">
      <c r="C39" s="49">
        <v>150</v>
      </c>
      <c r="D39" s="89">
        <v>1.05</v>
      </c>
      <c r="H39" s="49" t="str">
        <f>"6 - 10"</f>
        <v>6 - 10</v>
      </c>
      <c r="I39" s="91">
        <v>0.95</v>
      </c>
      <c r="J39" s="93"/>
      <c r="K39" s="93"/>
      <c r="M39" s="162" t="str">
        <f>"50 - 70"</f>
        <v>50 - 70</v>
      </c>
      <c r="N39" s="162"/>
      <c r="O39" s="162"/>
      <c r="P39" s="46" t="s">
        <v>241</v>
      </c>
      <c r="Q39" s="51"/>
      <c r="R39" s="51"/>
    </row>
    <row r="40" spans="3:18" x14ac:dyDescent="0.25">
      <c r="C40" s="49">
        <v>200</v>
      </c>
      <c r="D40" s="89">
        <v>1.1499999999999999</v>
      </c>
      <c r="H40" s="49" t="str">
        <f>"4 - 6"</f>
        <v>4 - 6</v>
      </c>
      <c r="I40" s="91">
        <v>0.85</v>
      </c>
      <c r="J40" s="93"/>
      <c r="K40" s="93"/>
      <c r="M40" s="162" t="str">
        <f>"70 - 85"</f>
        <v>70 - 85</v>
      </c>
      <c r="N40" s="162"/>
      <c r="O40" s="162"/>
      <c r="P40" s="46" t="s">
        <v>242</v>
      </c>
      <c r="Q40" s="51"/>
      <c r="R40" s="51"/>
    </row>
    <row r="41" spans="3:18" x14ac:dyDescent="0.25">
      <c r="H41" s="49" t="str">
        <f>"0 - 4"</f>
        <v>0 - 4</v>
      </c>
      <c r="I41" s="91">
        <v>0.75</v>
      </c>
      <c r="J41" s="93"/>
      <c r="K41" s="93"/>
      <c r="M41" s="162" t="str">
        <f>"85 - 100"</f>
        <v>85 - 100</v>
      </c>
      <c r="N41" s="162"/>
      <c r="O41" s="162"/>
      <c r="P41" s="46" t="s">
        <v>239</v>
      </c>
      <c r="Q41" s="51"/>
      <c r="R41" s="51"/>
    </row>
    <row r="42" spans="3:18" ht="7.5" customHeight="1" x14ac:dyDescent="0.25">
      <c r="H42" s="5"/>
      <c r="I42" s="93"/>
      <c r="J42" s="93"/>
      <c r="K42" s="93"/>
      <c r="L42" s="51"/>
      <c r="M42" s="51"/>
      <c r="N42" s="51"/>
      <c r="O42" s="51"/>
      <c r="P42" s="51"/>
      <c r="Q42" s="51"/>
      <c r="R42" s="51"/>
    </row>
    <row r="43" spans="3:18" x14ac:dyDescent="0.25">
      <c r="C43" s="185" t="s">
        <v>224</v>
      </c>
      <c r="D43" s="186"/>
      <c r="E43" s="186"/>
      <c r="F43" s="186"/>
      <c r="G43" s="187"/>
      <c r="I43" s="13"/>
      <c r="J43" s="13"/>
      <c r="K43" s="13"/>
      <c r="L43" s="51"/>
      <c r="M43" s="51"/>
      <c r="N43" s="51"/>
      <c r="O43" s="51"/>
      <c r="P43" s="51"/>
      <c r="Q43" s="51"/>
      <c r="R43" s="51"/>
    </row>
    <row r="44" spans="3:18" x14ac:dyDescent="0.25">
      <c r="C44" s="184" t="s">
        <v>219</v>
      </c>
      <c r="D44" s="184"/>
      <c r="E44" s="184"/>
      <c r="F44" s="86"/>
      <c r="G44" s="84" t="s">
        <v>225</v>
      </c>
    </row>
    <row r="45" spans="3:18" x14ac:dyDescent="0.25">
      <c r="C45" s="181" t="s">
        <v>220</v>
      </c>
      <c r="D45" s="181"/>
      <c r="E45" s="181"/>
      <c r="F45" s="9"/>
      <c r="G45" s="90">
        <v>1</v>
      </c>
    </row>
    <row r="46" spans="3:18" x14ac:dyDescent="0.25">
      <c r="C46" s="181" t="s">
        <v>221</v>
      </c>
      <c r="D46" s="181"/>
      <c r="E46" s="181"/>
      <c r="F46" s="9"/>
      <c r="G46" s="90">
        <v>0.8</v>
      </c>
    </row>
    <row r="47" spans="3:18" x14ac:dyDescent="0.25">
      <c r="C47" s="181" t="s">
        <v>222</v>
      </c>
      <c r="D47" s="181"/>
      <c r="E47" s="181"/>
      <c r="F47" s="9"/>
      <c r="G47" s="90">
        <v>0.9</v>
      </c>
    </row>
  </sheetData>
  <mergeCells count="59">
    <mergeCell ref="M29:P30"/>
    <mergeCell ref="G33:H33"/>
    <mergeCell ref="G32:H32"/>
    <mergeCell ref="G31:H31"/>
    <mergeCell ref="G30:H30"/>
    <mergeCell ref="M32:P34"/>
    <mergeCell ref="B1:P1"/>
    <mergeCell ref="B4:P4"/>
    <mergeCell ref="B5:B12"/>
    <mergeCell ref="C5:C12"/>
    <mergeCell ref="D5:D6"/>
    <mergeCell ref="D7:D9"/>
    <mergeCell ref="D10:D12"/>
    <mergeCell ref="M26:P27"/>
    <mergeCell ref="M24:P24"/>
    <mergeCell ref="B13:P13"/>
    <mergeCell ref="B14:B20"/>
    <mergeCell ref="C14:C20"/>
    <mergeCell ref="D14:D16"/>
    <mergeCell ref="D17:D20"/>
    <mergeCell ref="G28:H28"/>
    <mergeCell ref="H36:I36"/>
    <mergeCell ref="C36:D36"/>
    <mergeCell ref="M41:O41"/>
    <mergeCell ref="M40:O40"/>
    <mergeCell ref="M39:O39"/>
    <mergeCell ref="M38:O38"/>
    <mergeCell ref="M37:O37"/>
    <mergeCell ref="M36:O36"/>
    <mergeCell ref="C47:E47"/>
    <mergeCell ref="C46:E46"/>
    <mergeCell ref="C45:E45"/>
    <mergeCell ref="C44:E44"/>
    <mergeCell ref="C43:G43"/>
    <mergeCell ref="C24:I24"/>
    <mergeCell ref="C33:C34"/>
    <mergeCell ref="C30:C31"/>
    <mergeCell ref="C28:C29"/>
    <mergeCell ref="C26:I26"/>
    <mergeCell ref="D32:E32"/>
    <mergeCell ref="D31:E31"/>
    <mergeCell ref="D30:E30"/>
    <mergeCell ref="D29:E29"/>
    <mergeCell ref="D28:E28"/>
    <mergeCell ref="G34:H34"/>
    <mergeCell ref="D34:E34"/>
    <mergeCell ref="D27:E27"/>
    <mergeCell ref="G27:H27"/>
    <mergeCell ref="G29:H29"/>
    <mergeCell ref="D33:E33"/>
    <mergeCell ref="T13:AK13"/>
    <mergeCell ref="T14:T20"/>
    <mergeCell ref="U14:U16"/>
    <mergeCell ref="U17:U20"/>
    <mergeCell ref="T4:AK4"/>
    <mergeCell ref="T5:T12"/>
    <mergeCell ref="U5:U6"/>
    <mergeCell ref="U7:U9"/>
    <mergeCell ref="U10:U12"/>
  </mergeCells>
  <dataValidations count="1">
    <dataValidation type="list" allowBlank="1" showInputMessage="1" showErrorMessage="1" sqref="P5:P12 P14:P20 AK5:AK12 AK14:AK20">
      <formula1>$P$37:$P$41</formula1>
    </dataValidation>
  </dataValidation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0"/>
  <sheetViews>
    <sheetView topLeftCell="A2" zoomScaleNormal="100" workbookViewId="0">
      <selection activeCell="P17" sqref="P17"/>
    </sheetView>
  </sheetViews>
  <sheetFormatPr baseColWidth="10" defaultRowHeight="15" x14ac:dyDescent="0.25"/>
  <cols>
    <col min="1" max="1" width="1.85546875" customWidth="1"/>
    <col min="2" max="3" width="6.5703125" customWidth="1"/>
    <col min="4" max="4" width="8.7109375" customWidth="1"/>
    <col min="5" max="5" width="6" customWidth="1"/>
    <col min="7" max="7" width="3.7109375" customWidth="1"/>
    <col min="8" max="9" width="6.7109375" customWidth="1"/>
    <col min="10" max="10" width="1.7109375" customWidth="1"/>
    <col min="11" max="11" width="19" customWidth="1"/>
    <col min="12" max="12" width="6.7109375" customWidth="1"/>
    <col min="13" max="13" width="1.85546875" customWidth="1"/>
    <col min="15" max="15" width="14" customWidth="1"/>
    <col min="16" max="16" width="24.7109375" customWidth="1"/>
  </cols>
  <sheetData>
    <row r="3" spans="1:16" x14ac:dyDescent="0.25">
      <c r="A3" s="202" t="s">
        <v>250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4"/>
    </row>
    <row r="4" spans="1:16" ht="4.5" customHeight="1" x14ac:dyDescent="0.25">
      <c r="A4" s="102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1:16" ht="15" customHeight="1" x14ac:dyDescent="0.25">
      <c r="A5" s="102"/>
      <c r="B5" s="205" t="s">
        <v>244</v>
      </c>
      <c r="C5" s="205"/>
      <c r="D5" s="205"/>
      <c r="E5" s="205"/>
      <c r="F5" s="205"/>
      <c r="G5" s="205"/>
      <c r="H5" s="205"/>
      <c r="I5" s="205"/>
      <c r="J5" s="107"/>
      <c r="K5" s="107"/>
      <c r="L5" s="107"/>
      <c r="M5" s="108"/>
    </row>
    <row r="6" spans="1:16" x14ac:dyDescent="0.25">
      <c r="A6" s="102"/>
      <c r="B6" s="201" t="s">
        <v>204</v>
      </c>
      <c r="C6" s="201"/>
      <c r="D6" s="201" t="s">
        <v>205</v>
      </c>
      <c r="E6" s="201"/>
      <c r="F6" s="201" t="s">
        <v>206</v>
      </c>
      <c r="G6" s="201"/>
      <c r="H6" s="201"/>
      <c r="I6" s="111" t="s">
        <v>207</v>
      </c>
      <c r="J6" s="107"/>
      <c r="K6" s="107"/>
      <c r="L6" s="107"/>
      <c r="M6" s="108"/>
    </row>
    <row r="7" spans="1:16" x14ac:dyDescent="0.25">
      <c r="A7" s="102"/>
      <c r="B7" s="200" t="s">
        <v>208</v>
      </c>
      <c r="C7" s="200"/>
      <c r="D7" s="200" t="s">
        <v>243</v>
      </c>
      <c r="E7" s="200"/>
      <c r="F7" s="200" t="s">
        <v>213</v>
      </c>
      <c r="G7" s="200"/>
      <c r="H7" s="200"/>
      <c r="I7" s="110">
        <v>78</v>
      </c>
      <c r="J7" s="107"/>
      <c r="K7" s="205" t="s">
        <v>245</v>
      </c>
      <c r="L7" s="205"/>
      <c r="M7" s="108"/>
      <c r="O7" s="117" t="s">
        <v>240</v>
      </c>
      <c r="P7" s="117" t="s">
        <v>177</v>
      </c>
    </row>
    <row r="8" spans="1:16" x14ac:dyDescent="0.25">
      <c r="A8" s="102"/>
      <c r="B8" s="200"/>
      <c r="C8" s="200"/>
      <c r="D8" s="200" t="s">
        <v>243</v>
      </c>
      <c r="E8" s="200"/>
      <c r="F8" s="200" t="s">
        <v>214</v>
      </c>
      <c r="G8" s="200"/>
      <c r="H8" s="200"/>
      <c r="I8" s="110">
        <v>67</v>
      </c>
      <c r="J8" s="107"/>
      <c r="K8" s="112" t="s">
        <v>226</v>
      </c>
      <c r="L8" s="113" t="s">
        <v>246</v>
      </c>
      <c r="M8" s="108"/>
      <c r="O8" s="79" t="str">
        <f>"0 - 15"</f>
        <v>0 - 15</v>
      </c>
      <c r="P8" s="46" t="s">
        <v>238</v>
      </c>
    </row>
    <row r="9" spans="1:16" x14ac:dyDescent="0.25">
      <c r="A9" s="102"/>
      <c r="B9" s="200" t="s">
        <v>209</v>
      </c>
      <c r="C9" s="200"/>
      <c r="D9" s="200" t="s">
        <v>212</v>
      </c>
      <c r="E9" s="200"/>
      <c r="F9" s="200" t="s">
        <v>214</v>
      </c>
      <c r="G9" s="200"/>
      <c r="H9" s="200"/>
      <c r="I9" s="110">
        <v>60</v>
      </c>
      <c r="J9" s="107"/>
      <c r="K9" s="110" t="s">
        <v>227</v>
      </c>
      <c r="L9" s="114">
        <v>1</v>
      </c>
      <c r="M9" s="108"/>
      <c r="O9" s="79" t="str">
        <f>"15 - 50"</f>
        <v>15 - 50</v>
      </c>
      <c r="P9" s="46" t="s">
        <v>126</v>
      </c>
    </row>
    <row r="10" spans="1:16" x14ac:dyDescent="0.25">
      <c r="A10" s="102"/>
      <c r="B10" s="200"/>
      <c r="C10" s="200"/>
      <c r="D10" s="200" t="s">
        <v>243</v>
      </c>
      <c r="E10" s="200"/>
      <c r="F10" s="200" t="s">
        <v>214</v>
      </c>
      <c r="G10" s="200"/>
      <c r="H10" s="200"/>
      <c r="I10" s="110">
        <v>45</v>
      </c>
      <c r="J10" s="107"/>
      <c r="K10" s="110" t="str">
        <f>"6 - 10"</f>
        <v>6 - 10</v>
      </c>
      <c r="L10" s="114">
        <v>0.95</v>
      </c>
      <c r="M10" s="108"/>
      <c r="O10" s="79" t="str">
        <f>"50 - 70"</f>
        <v>50 - 70</v>
      </c>
      <c r="P10" s="46" t="s">
        <v>241</v>
      </c>
    </row>
    <row r="11" spans="1:16" x14ac:dyDescent="0.25">
      <c r="A11" s="102"/>
      <c r="B11" s="200" t="s">
        <v>210</v>
      </c>
      <c r="C11" s="200"/>
      <c r="D11" s="200" t="s">
        <v>243</v>
      </c>
      <c r="E11" s="200"/>
      <c r="F11" s="200" t="s">
        <v>214</v>
      </c>
      <c r="G11" s="200"/>
      <c r="H11" s="200"/>
      <c r="I11" s="110">
        <v>45</v>
      </c>
      <c r="J11" s="107"/>
      <c r="K11" s="110" t="str">
        <f>"4 - 6"</f>
        <v>4 - 6</v>
      </c>
      <c r="L11" s="114">
        <v>0.85</v>
      </c>
      <c r="M11" s="108"/>
      <c r="O11" s="79" t="str">
        <f>"70 - 85"</f>
        <v>70 - 85</v>
      </c>
      <c r="P11" s="46" t="s">
        <v>242</v>
      </c>
    </row>
    <row r="12" spans="1:16" x14ac:dyDescent="0.25">
      <c r="A12" s="102"/>
      <c r="B12" s="200" t="s">
        <v>211</v>
      </c>
      <c r="C12" s="200"/>
      <c r="D12" s="200" t="s">
        <v>243</v>
      </c>
      <c r="E12" s="200"/>
      <c r="F12" s="200" t="s">
        <v>213</v>
      </c>
      <c r="G12" s="200"/>
      <c r="H12" s="200"/>
      <c r="I12" s="110">
        <v>60</v>
      </c>
      <c r="J12" s="107"/>
      <c r="K12" s="110" t="str">
        <f>"0 - 4"</f>
        <v>0 - 4</v>
      </c>
      <c r="L12" s="114">
        <v>0.75</v>
      </c>
      <c r="M12" s="108"/>
      <c r="O12" s="79" t="str">
        <f>"85 - 100"</f>
        <v>85 - 100</v>
      </c>
      <c r="P12" s="46" t="s">
        <v>239</v>
      </c>
    </row>
    <row r="13" spans="1:16" x14ac:dyDescent="0.25">
      <c r="A13" s="102"/>
      <c r="B13" s="200"/>
      <c r="C13" s="200"/>
      <c r="D13" s="200" t="s">
        <v>243</v>
      </c>
      <c r="E13" s="200"/>
      <c r="F13" s="200" t="s">
        <v>214</v>
      </c>
      <c r="G13" s="200"/>
      <c r="H13" s="200"/>
      <c r="I13" s="110">
        <v>50</v>
      </c>
      <c r="J13" s="107"/>
      <c r="K13" s="107"/>
      <c r="L13" s="107"/>
      <c r="M13" s="108"/>
    </row>
    <row r="14" spans="1:16" ht="15" customHeight="1" x14ac:dyDescent="0.25">
      <c r="A14" s="102"/>
      <c r="B14" s="64"/>
      <c r="C14" s="64"/>
      <c r="D14" s="64"/>
      <c r="E14" s="109"/>
      <c r="F14" s="110"/>
      <c r="G14" s="64"/>
      <c r="H14" s="110"/>
      <c r="I14" s="107"/>
      <c r="J14" s="107"/>
      <c r="K14" s="107"/>
      <c r="L14" s="107"/>
      <c r="M14" s="108"/>
    </row>
    <row r="15" spans="1:16" x14ac:dyDescent="0.25">
      <c r="A15" s="102"/>
      <c r="B15" s="107"/>
      <c r="C15" s="205" t="s">
        <v>247</v>
      </c>
      <c r="D15" s="205"/>
      <c r="E15" s="205"/>
      <c r="F15" s="205"/>
      <c r="G15" s="205"/>
      <c r="H15" s="205"/>
      <c r="I15" s="103"/>
      <c r="J15" s="107"/>
      <c r="K15" s="205" t="s">
        <v>248</v>
      </c>
      <c r="L15" s="205"/>
      <c r="M15" s="108"/>
    </row>
    <row r="16" spans="1:16" x14ac:dyDescent="0.25">
      <c r="A16" s="102"/>
      <c r="B16" s="107"/>
      <c r="C16" s="201" t="s">
        <v>219</v>
      </c>
      <c r="D16" s="201"/>
      <c r="E16" s="201"/>
      <c r="F16" s="201"/>
      <c r="G16" s="201"/>
      <c r="H16" s="112" t="s">
        <v>249</v>
      </c>
      <c r="I16" s="103"/>
      <c r="J16" s="107"/>
      <c r="K16" s="115" t="s">
        <v>216</v>
      </c>
      <c r="L16" s="111" t="s">
        <v>217</v>
      </c>
      <c r="M16" s="108"/>
    </row>
    <row r="17" spans="1:13" x14ac:dyDescent="0.25">
      <c r="A17" s="102"/>
      <c r="B17" s="107"/>
      <c r="C17" s="200" t="s">
        <v>220</v>
      </c>
      <c r="D17" s="200"/>
      <c r="E17" s="200"/>
      <c r="F17" s="200"/>
      <c r="G17" s="200"/>
      <c r="H17" s="114">
        <v>1</v>
      </c>
      <c r="I17" s="103"/>
      <c r="J17" s="107"/>
      <c r="K17" s="110" t="str">
        <f>"60 - 120"</f>
        <v>60 - 120</v>
      </c>
      <c r="L17" s="116">
        <v>1</v>
      </c>
      <c r="M17" s="108"/>
    </row>
    <row r="18" spans="1:13" x14ac:dyDescent="0.25">
      <c r="A18" s="102"/>
      <c r="B18" s="107"/>
      <c r="C18" s="200" t="s">
        <v>221</v>
      </c>
      <c r="D18" s="200"/>
      <c r="E18" s="200"/>
      <c r="F18" s="200"/>
      <c r="G18" s="200"/>
      <c r="H18" s="114">
        <v>0.8</v>
      </c>
      <c r="I18" s="103"/>
      <c r="J18" s="107"/>
      <c r="K18" s="110">
        <v>150</v>
      </c>
      <c r="L18" s="116">
        <v>1.05</v>
      </c>
      <c r="M18" s="108"/>
    </row>
    <row r="19" spans="1:13" x14ac:dyDescent="0.25">
      <c r="A19" s="102"/>
      <c r="B19" s="107"/>
      <c r="C19" s="200" t="s">
        <v>222</v>
      </c>
      <c r="D19" s="200"/>
      <c r="E19" s="200"/>
      <c r="F19" s="200"/>
      <c r="G19" s="200"/>
      <c r="H19" s="114">
        <v>0.9</v>
      </c>
      <c r="I19" s="103"/>
      <c r="J19" s="107"/>
      <c r="K19" s="110">
        <v>200</v>
      </c>
      <c r="L19" s="116">
        <v>1.1499999999999999</v>
      </c>
      <c r="M19" s="108"/>
    </row>
    <row r="20" spans="1:13" x14ac:dyDescent="0.25">
      <c r="A20" s="104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6"/>
    </row>
  </sheetData>
  <mergeCells count="30">
    <mergeCell ref="B12:C13"/>
    <mergeCell ref="B11:C11"/>
    <mergeCell ref="B9:C10"/>
    <mergeCell ref="B7:C8"/>
    <mergeCell ref="B6:C6"/>
    <mergeCell ref="A3:M3"/>
    <mergeCell ref="C19:G19"/>
    <mergeCell ref="C18:G18"/>
    <mergeCell ref="C17:G17"/>
    <mergeCell ref="C15:H15"/>
    <mergeCell ref="C16:G16"/>
    <mergeCell ref="F6:H6"/>
    <mergeCell ref="F13:H13"/>
    <mergeCell ref="F12:H12"/>
    <mergeCell ref="B5:I5"/>
    <mergeCell ref="D12:E12"/>
    <mergeCell ref="D13:E13"/>
    <mergeCell ref="K15:L15"/>
    <mergeCell ref="K7:L7"/>
    <mergeCell ref="D9:E9"/>
    <mergeCell ref="D10:E10"/>
    <mergeCell ref="D11:E11"/>
    <mergeCell ref="F11:H11"/>
    <mergeCell ref="F10:H10"/>
    <mergeCell ref="F9:H9"/>
    <mergeCell ref="D6:E6"/>
    <mergeCell ref="D7:E7"/>
    <mergeCell ref="D8:E8"/>
    <mergeCell ref="F8:H8"/>
    <mergeCell ref="F7:H7"/>
  </mergeCells>
  <pageMargins left="0.7" right="0.7" top="0.75" bottom="0.75" header="0.3" footer="0.3"/>
  <pageSetup paperSize="9" orientation="portrait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0"/>
  <sheetViews>
    <sheetView workbookViewId="0"/>
  </sheetViews>
  <sheetFormatPr baseColWidth="10" defaultRowHeight="15" x14ac:dyDescent="0.25"/>
  <cols>
    <col min="1" max="1" width="3.7109375" style="5" customWidth="1"/>
    <col min="2" max="2" width="5.85546875" style="5" customWidth="1"/>
    <col min="3" max="3" width="20.28515625" style="6" customWidth="1"/>
    <col min="4" max="4" width="7.7109375" style="13" customWidth="1"/>
    <col min="5" max="5" width="14.28515625" style="7" customWidth="1"/>
    <col min="6" max="6" width="8" style="5" customWidth="1"/>
    <col min="7" max="7" width="30.140625" style="6" bestFit="1" customWidth="1"/>
    <col min="8" max="8" width="8.140625" style="5" hidden="1" customWidth="1"/>
    <col min="9" max="9" width="20.42578125" style="5" bestFit="1" customWidth="1"/>
    <col min="10" max="10" width="16" style="5" customWidth="1"/>
    <col min="11" max="11" width="5.42578125" style="5" customWidth="1"/>
    <col min="12" max="12" width="4" style="5" customWidth="1"/>
    <col min="13" max="16384" width="11.42578125" style="5"/>
  </cols>
  <sheetData>
    <row r="1" spans="2:13" x14ac:dyDescent="0.25">
      <c r="B1" s="196" t="s">
        <v>95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3" spans="2:13" s="8" customFormat="1" ht="30" customHeight="1" x14ac:dyDescent="0.25">
      <c r="B3" s="125" t="s">
        <v>10</v>
      </c>
      <c r="C3" s="125" t="s">
        <v>5</v>
      </c>
      <c r="D3" s="126" t="s">
        <v>57</v>
      </c>
      <c r="E3" s="127" t="s">
        <v>19</v>
      </c>
      <c r="F3" s="125" t="s">
        <v>11</v>
      </c>
      <c r="G3" s="125" t="s">
        <v>72</v>
      </c>
      <c r="H3" s="125" t="s">
        <v>8</v>
      </c>
      <c r="I3" s="125" t="s">
        <v>16</v>
      </c>
      <c r="J3" s="125" t="s">
        <v>17</v>
      </c>
      <c r="K3" s="177" t="s">
        <v>18</v>
      </c>
      <c r="L3" s="177"/>
    </row>
    <row r="4" spans="2:13" ht="5.25" customHeight="1" x14ac:dyDescent="0.25">
      <c r="B4" s="180"/>
      <c r="C4" s="180"/>
      <c r="D4" s="180"/>
      <c r="E4" s="180"/>
      <c r="F4" s="180"/>
      <c r="G4" s="180"/>
      <c r="H4" s="180"/>
      <c r="I4" s="180"/>
      <c r="J4" s="180"/>
      <c r="K4" s="172"/>
      <c r="L4" s="172"/>
    </row>
    <row r="5" spans="2:13" x14ac:dyDescent="0.25">
      <c r="B5" s="180">
        <v>2009</v>
      </c>
      <c r="C5" s="180" t="s">
        <v>7</v>
      </c>
      <c r="D5" s="165">
        <v>1</v>
      </c>
      <c r="E5" s="120" t="s">
        <v>59</v>
      </c>
      <c r="F5" s="121" t="s">
        <v>12</v>
      </c>
      <c r="G5" s="122" t="s">
        <v>51</v>
      </c>
      <c r="H5" s="121" t="s">
        <v>9</v>
      </c>
      <c r="I5" s="134" t="str">
        <f>'DENSIDAD RELATIVA SUELO'!P5</f>
        <v>Denso</v>
      </c>
      <c r="J5" s="118" t="str">
        <f>IF(I5="Muy suelto","Muy Fácil",IF(I5="Suelto","Fácil",IF(I5="Medianamente denso","Medio",IF(I5="Denso","Difícil",IF(I5="Muy denso","Muy Difícil")))))</f>
        <v>Difícil</v>
      </c>
      <c r="K5" s="160" t="str">
        <f t="shared" ref="K5:K12" si="0">IF(J5="Muy Fácil","100",IF(J5="Fácil","90",IF(J5="Medio","80",IF(J5="Difícil","70",IF(J5="Muy Difícil","60")))))</f>
        <v>70</v>
      </c>
      <c r="L5" s="130" t="s">
        <v>121</v>
      </c>
      <c r="M5" s="6"/>
    </row>
    <row r="6" spans="2:13" x14ac:dyDescent="0.25">
      <c r="B6" s="180"/>
      <c r="C6" s="180"/>
      <c r="D6" s="165"/>
      <c r="E6" s="120" t="s">
        <v>60</v>
      </c>
      <c r="F6" s="121" t="s">
        <v>13</v>
      </c>
      <c r="G6" s="122" t="s">
        <v>52</v>
      </c>
      <c r="H6" s="121" t="s">
        <v>9</v>
      </c>
      <c r="I6" s="134" t="str">
        <f>'DENSIDAD RELATIVA SUELO'!P6</f>
        <v>Denso</v>
      </c>
      <c r="J6" s="118" t="str">
        <f t="shared" ref="J6:J12" si="1">IF(I6="Muy suelto","Muy Fácil",IF(I6="Suelto","Fácil",IF(I6="Medianamente denso","Medio",IF(I6="Denso","Difícil",IF(I6="Muy denso","Muy Difícil")))))</f>
        <v>Difícil</v>
      </c>
      <c r="K6" s="161" t="str">
        <f>IF(J6="Muy Fácil","100",IF(J6="Fácil","90",IF(J6="Medio","80",IF(J6="Difícil","70",IF(J6="Muy Difícil","60")))))</f>
        <v>70</v>
      </c>
      <c r="L6" s="130" t="s">
        <v>121</v>
      </c>
      <c r="M6" s="6"/>
    </row>
    <row r="7" spans="2:13" x14ac:dyDescent="0.25">
      <c r="B7" s="180"/>
      <c r="C7" s="180"/>
      <c r="D7" s="165">
        <v>2</v>
      </c>
      <c r="E7" s="120" t="s">
        <v>61</v>
      </c>
      <c r="F7" s="121" t="s">
        <v>12</v>
      </c>
      <c r="G7" s="122" t="s">
        <v>51</v>
      </c>
      <c r="H7" s="120" t="s">
        <v>45</v>
      </c>
      <c r="I7" s="134" t="str">
        <f>'DENSIDAD RELATIVA SUELO'!P7</f>
        <v>Medianamente denso</v>
      </c>
      <c r="J7" s="118" t="str">
        <f t="shared" si="1"/>
        <v>Medio</v>
      </c>
      <c r="K7" s="161" t="str">
        <f t="shared" si="0"/>
        <v>80</v>
      </c>
      <c r="L7" s="130" t="s">
        <v>121</v>
      </c>
      <c r="M7" s="6"/>
    </row>
    <row r="8" spans="2:13" x14ac:dyDescent="0.25">
      <c r="B8" s="180"/>
      <c r="C8" s="180"/>
      <c r="D8" s="165"/>
      <c r="E8" s="120" t="s">
        <v>62</v>
      </c>
      <c r="F8" s="121" t="s">
        <v>13</v>
      </c>
      <c r="G8" s="122" t="s">
        <v>52</v>
      </c>
      <c r="H8" s="121">
        <v>11</v>
      </c>
      <c r="I8" s="134" t="str">
        <f>'DENSIDAD RELATIVA SUELO'!P8</f>
        <v>Suelto</v>
      </c>
      <c r="J8" s="118" t="str">
        <f t="shared" si="1"/>
        <v>Fácil</v>
      </c>
      <c r="K8" s="161" t="str">
        <f t="shared" si="0"/>
        <v>90</v>
      </c>
      <c r="L8" s="130" t="s">
        <v>121</v>
      </c>
      <c r="M8" s="6"/>
    </row>
    <row r="9" spans="2:13" x14ac:dyDescent="0.25">
      <c r="B9" s="180"/>
      <c r="C9" s="180"/>
      <c r="D9" s="165"/>
      <c r="E9" s="120" t="s">
        <v>63</v>
      </c>
      <c r="F9" s="121" t="s">
        <v>13</v>
      </c>
      <c r="G9" s="122" t="s">
        <v>52</v>
      </c>
      <c r="H9" s="121" t="s">
        <v>9</v>
      </c>
      <c r="I9" s="134" t="str">
        <f>'DENSIDAD RELATIVA SUELO'!P9</f>
        <v>Denso</v>
      </c>
      <c r="J9" s="118" t="str">
        <f t="shared" si="1"/>
        <v>Difícil</v>
      </c>
      <c r="K9" s="161" t="str">
        <f t="shared" si="0"/>
        <v>70</v>
      </c>
      <c r="L9" s="130" t="s">
        <v>121</v>
      </c>
      <c r="M9" s="6"/>
    </row>
    <row r="10" spans="2:13" x14ac:dyDescent="0.25">
      <c r="B10" s="180"/>
      <c r="C10" s="180"/>
      <c r="D10" s="165">
        <v>3</v>
      </c>
      <c r="E10" s="120" t="s">
        <v>64</v>
      </c>
      <c r="F10" s="121" t="s">
        <v>13</v>
      </c>
      <c r="G10" s="122" t="s">
        <v>52</v>
      </c>
      <c r="H10" s="121" t="s">
        <v>9</v>
      </c>
      <c r="I10" s="134" t="str">
        <f>'DENSIDAD RELATIVA SUELO'!P10</f>
        <v>Muy denso</v>
      </c>
      <c r="J10" s="118" t="str">
        <f t="shared" si="1"/>
        <v>Muy Difícil</v>
      </c>
      <c r="K10" s="161" t="str">
        <f t="shared" si="0"/>
        <v>60</v>
      </c>
      <c r="L10" s="130" t="s">
        <v>121</v>
      </c>
      <c r="M10" s="6"/>
    </row>
    <row r="11" spans="2:13" x14ac:dyDescent="0.25">
      <c r="B11" s="180"/>
      <c r="C11" s="180"/>
      <c r="D11" s="165"/>
      <c r="E11" s="120" t="s">
        <v>65</v>
      </c>
      <c r="F11" s="121" t="s">
        <v>12</v>
      </c>
      <c r="G11" s="122" t="s">
        <v>51</v>
      </c>
      <c r="H11" s="121" t="s">
        <v>9</v>
      </c>
      <c r="I11" s="134" t="str">
        <f>'DENSIDAD RELATIVA SUELO'!P11</f>
        <v>Denso</v>
      </c>
      <c r="J11" s="118" t="str">
        <f t="shared" si="1"/>
        <v>Difícil</v>
      </c>
      <c r="K11" s="161" t="str">
        <f t="shared" si="0"/>
        <v>70</v>
      </c>
      <c r="L11" s="130" t="s">
        <v>121</v>
      </c>
      <c r="M11" s="6"/>
    </row>
    <row r="12" spans="2:13" x14ac:dyDescent="0.25">
      <c r="B12" s="180"/>
      <c r="C12" s="180"/>
      <c r="D12" s="165"/>
      <c r="E12" s="120" t="s">
        <v>60</v>
      </c>
      <c r="F12" s="121" t="s">
        <v>13</v>
      </c>
      <c r="G12" s="122" t="s">
        <v>52</v>
      </c>
      <c r="H12" s="121" t="s">
        <v>9</v>
      </c>
      <c r="I12" s="134" t="str">
        <f>'DENSIDAD RELATIVA SUELO'!P12</f>
        <v>Denso</v>
      </c>
      <c r="J12" s="118" t="str">
        <f t="shared" si="1"/>
        <v>Difícil</v>
      </c>
      <c r="K12" s="161" t="str">
        <f t="shared" si="0"/>
        <v>70</v>
      </c>
      <c r="L12" s="130" t="s">
        <v>121</v>
      </c>
      <c r="M12" s="6"/>
    </row>
    <row r="13" spans="2:13" ht="5.25" customHeight="1" x14ac:dyDescent="0.25">
      <c r="B13" s="179"/>
      <c r="C13" s="179"/>
      <c r="D13" s="179"/>
      <c r="E13" s="179"/>
      <c r="F13" s="179"/>
      <c r="G13" s="179"/>
      <c r="H13" s="179"/>
      <c r="I13" s="179"/>
      <c r="J13" s="179"/>
      <c r="K13" s="206"/>
      <c r="L13" s="206"/>
      <c r="M13" s="6"/>
    </row>
    <row r="14" spans="2:13" x14ac:dyDescent="0.25">
      <c r="B14" s="180">
        <v>2010</v>
      </c>
      <c r="C14" s="180" t="s">
        <v>50</v>
      </c>
      <c r="D14" s="165">
        <v>1</v>
      </c>
      <c r="E14" s="120" t="s">
        <v>64</v>
      </c>
      <c r="F14" s="121" t="s">
        <v>13</v>
      </c>
      <c r="G14" s="122" t="s">
        <v>52</v>
      </c>
      <c r="H14" s="121" t="s">
        <v>38</v>
      </c>
      <c r="I14" s="121" t="str">
        <f>'DENSIDAD RELATIVA SUELO'!P14</f>
        <v>Denso</v>
      </c>
      <c r="J14" s="118" t="str">
        <f>IF(I14="Muy suelto","Muy Fácil",IF(I14="Suelto","Fácil",IF(I14="Medianamente denso","Medio",IF(I14="Denso","Difícil",IF(I14="Muy denso","Muy Difícil")))))</f>
        <v>Difícil</v>
      </c>
      <c r="K14" s="161" t="str">
        <f>IF(J14="Muy Fácil","100",IF(J14="Fácil","90",IF(J14="Medio","80",IF(J14="Difícil","70",IF(J14="Muy Difícil","60")))))</f>
        <v>70</v>
      </c>
      <c r="L14" s="130" t="s">
        <v>121</v>
      </c>
      <c r="M14" s="6"/>
    </row>
    <row r="15" spans="2:13" x14ac:dyDescent="0.25">
      <c r="B15" s="180"/>
      <c r="C15" s="180"/>
      <c r="D15" s="165"/>
      <c r="E15" s="120" t="s">
        <v>65</v>
      </c>
      <c r="F15" s="121" t="s">
        <v>27</v>
      </c>
      <c r="G15" s="122" t="s">
        <v>53</v>
      </c>
      <c r="H15" s="121" t="s">
        <v>37</v>
      </c>
      <c r="I15" s="121" t="str">
        <f>'DENSIDAD RELATIVA SUELO'!P15</f>
        <v>Medianamente denso</v>
      </c>
      <c r="J15" s="118" t="str">
        <f t="shared" ref="J15:J20" si="2">IF(I15="Muy suelto","Muy Fácil",IF(I15="Suelto","Fácil",IF(I15="Medianamente denso","Medio",IF(I15="Denso","Difícil",IF(I15="Muy denso","Muy Difícil")))))</f>
        <v>Medio</v>
      </c>
      <c r="K15" s="161" t="str">
        <f t="shared" ref="K15:K20" si="3">IF(J15="Muy Fácil","100",IF(J15="Fácil","90",IF(J15="Medio","80",IF(J15="Difícil","70",IF(J15="Muy Difícil","60")))))</f>
        <v>80</v>
      </c>
      <c r="L15" s="130" t="s">
        <v>121</v>
      </c>
      <c r="M15" s="6"/>
    </row>
    <row r="16" spans="2:13" x14ac:dyDescent="0.25">
      <c r="B16" s="180"/>
      <c r="C16" s="180"/>
      <c r="D16" s="165"/>
      <c r="E16" s="120" t="s">
        <v>66</v>
      </c>
      <c r="F16" s="121" t="s">
        <v>27</v>
      </c>
      <c r="G16" s="122" t="s">
        <v>53</v>
      </c>
      <c r="H16" s="121" t="s">
        <v>39</v>
      </c>
      <c r="I16" s="121" t="str">
        <f>'DENSIDAD RELATIVA SUELO'!P16</f>
        <v>Denso</v>
      </c>
      <c r="J16" s="118" t="str">
        <f t="shared" si="2"/>
        <v>Difícil</v>
      </c>
      <c r="K16" s="161" t="str">
        <f t="shared" si="3"/>
        <v>70</v>
      </c>
      <c r="L16" s="130" t="s">
        <v>121</v>
      </c>
      <c r="M16" s="6"/>
    </row>
    <row r="17" spans="2:13" x14ac:dyDescent="0.25">
      <c r="B17" s="180"/>
      <c r="C17" s="180"/>
      <c r="D17" s="165">
        <v>2</v>
      </c>
      <c r="E17" s="120" t="s">
        <v>67</v>
      </c>
      <c r="F17" s="121" t="s">
        <v>27</v>
      </c>
      <c r="G17" s="122" t="s">
        <v>53</v>
      </c>
      <c r="H17" s="121" t="s">
        <v>40</v>
      </c>
      <c r="I17" s="121" t="str">
        <f>'DENSIDAD RELATIVA SUELO'!P17</f>
        <v>Denso</v>
      </c>
      <c r="J17" s="118" t="str">
        <f t="shared" si="2"/>
        <v>Difícil</v>
      </c>
      <c r="K17" s="161" t="str">
        <f t="shared" si="3"/>
        <v>70</v>
      </c>
      <c r="L17" s="130" t="s">
        <v>121</v>
      </c>
      <c r="M17" s="6"/>
    </row>
    <row r="18" spans="2:13" x14ac:dyDescent="0.25">
      <c r="B18" s="180"/>
      <c r="C18" s="180"/>
      <c r="D18" s="165"/>
      <c r="E18" s="120" t="s">
        <v>68</v>
      </c>
      <c r="F18" s="121" t="s">
        <v>27</v>
      </c>
      <c r="G18" s="122" t="s">
        <v>53</v>
      </c>
      <c r="H18" s="121">
        <v>18</v>
      </c>
      <c r="I18" s="121" t="str">
        <f>'DENSIDAD RELATIVA SUELO'!P18</f>
        <v>Medianamente denso</v>
      </c>
      <c r="J18" s="118" t="str">
        <f t="shared" si="2"/>
        <v>Medio</v>
      </c>
      <c r="K18" s="161" t="str">
        <f t="shared" si="3"/>
        <v>80</v>
      </c>
      <c r="L18" s="130" t="s">
        <v>121</v>
      </c>
      <c r="M18" s="6"/>
    </row>
    <row r="19" spans="2:13" x14ac:dyDescent="0.25">
      <c r="B19" s="180"/>
      <c r="C19" s="180"/>
      <c r="D19" s="165"/>
      <c r="E19" s="120" t="s">
        <v>69</v>
      </c>
      <c r="F19" s="121" t="s">
        <v>27</v>
      </c>
      <c r="G19" s="122" t="s">
        <v>53</v>
      </c>
      <c r="H19" s="121" t="s">
        <v>41</v>
      </c>
      <c r="I19" s="121" t="str">
        <f>'DENSIDAD RELATIVA SUELO'!P19</f>
        <v>Denso</v>
      </c>
      <c r="J19" s="118" t="str">
        <f t="shared" si="2"/>
        <v>Difícil</v>
      </c>
      <c r="K19" s="161" t="str">
        <f t="shared" si="3"/>
        <v>70</v>
      </c>
      <c r="L19" s="130" t="s">
        <v>121</v>
      </c>
      <c r="M19" s="6"/>
    </row>
    <row r="20" spans="2:13" x14ac:dyDescent="0.25">
      <c r="B20" s="180"/>
      <c r="C20" s="180"/>
      <c r="D20" s="165"/>
      <c r="E20" s="120" t="s">
        <v>70</v>
      </c>
      <c r="F20" s="121" t="s">
        <v>27</v>
      </c>
      <c r="G20" s="122" t="s">
        <v>53</v>
      </c>
      <c r="H20" s="121">
        <v>52</v>
      </c>
      <c r="I20" s="121" t="str">
        <f>'DENSIDAD RELATIVA SUELO'!P20</f>
        <v>Muy denso</v>
      </c>
      <c r="J20" s="118" t="str">
        <f t="shared" si="2"/>
        <v>Muy Difícil</v>
      </c>
      <c r="K20" s="161" t="str">
        <f t="shared" si="3"/>
        <v>60</v>
      </c>
      <c r="L20" s="130" t="s">
        <v>121</v>
      </c>
      <c r="M20" s="6"/>
    </row>
  </sheetData>
  <mergeCells count="13">
    <mergeCell ref="K3:L3"/>
    <mergeCell ref="B4:L4"/>
    <mergeCell ref="B13:L13"/>
    <mergeCell ref="B1:L1"/>
    <mergeCell ref="B14:B20"/>
    <mergeCell ref="C14:C20"/>
    <mergeCell ref="B5:B12"/>
    <mergeCell ref="D17:D20"/>
    <mergeCell ref="D14:D16"/>
    <mergeCell ref="D10:D12"/>
    <mergeCell ref="D7:D9"/>
    <mergeCell ref="D5:D6"/>
    <mergeCell ref="C5:C12"/>
  </mergeCells>
  <pageMargins left="0.31496062992125984" right="0.11811023622047245" top="0.74803149606299213" bottom="0.74803149606299213" header="0.31496062992125984" footer="0.31496062992125984"/>
  <pageSetup paperSize="9" scale="81" fitToHeight="0" orientation="landscape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'FACTORES '!$F$32:$F$36</xm:f>
          </x14:formula1>
          <xm:sqref>J5:J12 J14:J20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="80" zoomScaleNormal="80" workbookViewId="0"/>
  </sheetViews>
  <sheetFormatPr baseColWidth="10" defaultRowHeight="15" x14ac:dyDescent="0.25"/>
  <cols>
    <col min="1" max="1" width="3.7109375" style="5" customWidth="1"/>
    <col min="2" max="2" width="5.28515625" style="5" customWidth="1"/>
    <col min="3" max="3" width="19.28515625" style="6" customWidth="1"/>
    <col min="4" max="4" width="7.7109375" style="13" hidden="1" customWidth="1"/>
    <col min="5" max="5" width="13.5703125" style="7" bestFit="1" customWidth="1"/>
    <col min="6" max="6" width="7.42578125" style="5" customWidth="1"/>
    <col min="7" max="7" width="34.5703125" style="6" bestFit="1" customWidth="1"/>
    <col min="8" max="8" width="8.140625" style="5" hidden="1" customWidth="1"/>
    <col min="9" max="10" width="20.42578125" style="5" hidden="1" customWidth="1"/>
    <col min="11" max="11" width="14.42578125" style="5" hidden="1" customWidth="1"/>
    <col min="12" max="12" width="16.5703125" style="5" bestFit="1" customWidth="1"/>
    <col min="13" max="14" width="4.7109375" style="5" customWidth="1"/>
    <col min="15" max="15" width="11.42578125" style="5"/>
    <col min="16" max="16" width="11.85546875" style="26" bestFit="1" customWidth="1"/>
    <col min="17" max="16384" width="11.42578125" style="5"/>
  </cols>
  <sheetData>
    <row r="1" spans="1:16" x14ac:dyDescent="0.25">
      <c r="B1" s="196" t="s">
        <v>95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23"/>
    </row>
    <row r="2" spans="1:16" x14ac:dyDescent="0.25">
      <c r="A2" s="62"/>
      <c r="B2" s="62"/>
      <c r="C2" s="63"/>
      <c r="D2" s="64"/>
      <c r="E2" s="65"/>
      <c r="F2" s="62"/>
      <c r="G2" s="63"/>
      <c r="H2" s="62"/>
      <c r="I2" s="62"/>
      <c r="J2" s="62"/>
      <c r="K2" s="62"/>
      <c r="L2" s="62"/>
      <c r="M2" s="62"/>
      <c r="N2" s="62"/>
      <c r="O2" s="62"/>
    </row>
    <row r="3" spans="1:16" ht="21" customHeight="1" x14ac:dyDescent="0.25">
      <c r="A3" s="62"/>
      <c r="B3" s="222" t="s">
        <v>118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62"/>
    </row>
    <row r="4" spans="1:16" s="8" customFormat="1" ht="30" customHeight="1" x14ac:dyDescent="0.25">
      <c r="A4" s="66"/>
      <c r="B4" s="32" t="s">
        <v>10</v>
      </c>
      <c r="C4" s="32" t="s">
        <v>5</v>
      </c>
      <c r="D4" s="25" t="s">
        <v>57</v>
      </c>
      <c r="E4" s="30" t="s">
        <v>19</v>
      </c>
      <c r="F4" s="32" t="s">
        <v>11</v>
      </c>
      <c r="G4" s="32" t="s">
        <v>72</v>
      </c>
      <c r="H4" s="32" t="s">
        <v>8</v>
      </c>
      <c r="I4" s="32" t="s">
        <v>16</v>
      </c>
      <c r="J4" s="32" t="s">
        <v>47</v>
      </c>
      <c r="K4" s="32" t="s">
        <v>14</v>
      </c>
      <c r="L4" s="32" t="s">
        <v>17</v>
      </c>
      <c r="M4" s="221" t="s">
        <v>18</v>
      </c>
      <c r="N4" s="221"/>
      <c r="O4" s="66"/>
      <c r="P4" s="27"/>
    </row>
    <row r="5" spans="1:16" x14ac:dyDescent="0.25">
      <c r="A5" s="62"/>
      <c r="B5" s="179">
        <v>2009</v>
      </c>
      <c r="C5" s="179" t="s">
        <v>7</v>
      </c>
      <c r="D5" s="67">
        <v>1</v>
      </c>
      <c r="E5" s="68" t="s">
        <v>59</v>
      </c>
      <c r="F5" s="43" t="s">
        <v>12</v>
      </c>
      <c r="G5" s="69" t="s">
        <v>51</v>
      </c>
      <c r="H5" s="43" t="s">
        <v>9</v>
      </c>
      <c r="I5" s="43" t="s">
        <v>71</v>
      </c>
      <c r="J5" s="43" t="s">
        <v>48</v>
      </c>
      <c r="K5" s="43" t="s">
        <v>15</v>
      </c>
      <c r="L5" s="70" t="str">
        <f>'FACTOR "M"'!J5</f>
        <v>Difícil</v>
      </c>
      <c r="M5" s="35" t="str">
        <f>'FACTOR "M"'!K5</f>
        <v>70</v>
      </c>
      <c r="N5" s="31" t="s">
        <v>121</v>
      </c>
      <c r="O5" s="62"/>
      <c r="P5" s="28">
        <f>M5/100</f>
        <v>0.7</v>
      </c>
    </row>
    <row r="6" spans="1:16" x14ac:dyDescent="0.25">
      <c r="A6" s="62"/>
      <c r="B6" s="179"/>
      <c r="C6" s="179"/>
      <c r="D6" s="67">
        <v>2</v>
      </c>
      <c r="E6" s="68" t="s">
        <v>61</v>
      </c>
      <c r="F6" s="43" t="s">
        <v>12</v>
      </c>
      <c r="G6" s="69" t="s">
        <v>51</v>
      </c>
      <c r="H6" s="68" t="s">
        <v>45</v>
      </c>
      <c r="I6" s="43" t="s">
        <v>71</v>
      </c>
      <c r="J6" s="43" t="s">
        <v>49</v>
      </c>
      <c r="K6" s="43" t="s">
        <v>46</v>
      </c>
      <c r="L6" s="70" t="str">
        <f>'FACTOR "M"'!J7</f>
        <v>Medio</v>
      </c>
      <c r="M6" s="35" t="str">
        <f>'FACTOR "M"'!K7</f>
        <v>80</v>
      </c>
      <c r="N6" s="31" t="s">
        <v>121</v>
      </c>
      <c r="O6" s="62"/>
      <c r="P6" s="28">
        <f>M6/100</f>
        <v>0.8</v>
      </c>
    </row>
    <row r="7" spans="1:16" x14ac:dyDescent="0.25">
      <c r="A7" s="62"/>
      <c r="B7" s="179"/>
      <c r="C7" s="179"/>
      <c r="D7" s="219">
        <v>3</v>
      </c>
      <c r="E7" s="68" t="s">
        <v>65</v>
      </c>
      <c r="F7" s="43" t="s">
        <v>12</v>
      </c>
      <c r="G7" s="69" t="s">
        <v>51</v>
      </c>
      <c r="H7" s="43" t="s">
        <v>9</v>
      </c>
      <c r="I7" s="43" t="s">
        <v>71</v>
      </c>
      <c r="J7" s="43" t="s">
        <v>48</v>
      </c>
      <c r="K7" s="43" t="s">
        <v>15</v>
      </c>
      <c r="L7" s="70" t="str">
        <f>'FACTOR "M"'!J11</f>
        <v>Difícil</v>
      </c>
      <c r="M7" s="35" t="str">
        <f>'FACTOR "M"'!K11</f>
        <v>70</v>
      </c>
      <c r="N7" s="31" t="s">
        <v>121</v>
      </c>
      <c r="O7" s="62"/>
      <c r="P7" s="28">
        <f>M7/100</f>
        <v>0.7</v>
      </c>
    </row>
    <row r="8" spans="1:16" x14ac:dyDescent="0.25">
      <c r="A8" s="62"/>
      <c r="B8" s="66"/>
      <c r="C8" s="66"/>
      <c r="D8" s="71"/>
      <c r="E8" s="65"/>
      <c r="F8" s="62"/>
      <c r="G8" s="63"/>
      <c r="H8" s="62"/>
      <c r="I8" s="62"/>
      <c r="J8" s="62"/>
      <c r="K8" s="62"/>
      <c r="L8" s="33" t="s">
        <v>120</v>
      </c>
      <c r="M8" s="36">
        <f>P8*100</f>
        <v>73.333333333333343</v>
      </c>
      <c r="N8" s="34" t="s">
        <v>121</v>
      </c>
      <c r="O8" s="62"/>
      <c r="P8" s="29">
        <f>AVERAGE(P5:P7)</f>
        <v>0.73333333333333339</v>
      </c>
    </row>
    <row r="9" spans="1:16" x14ac:dyDescent="0.25">
      <c r="A9" s="62"/>
      <c r="B9" s="62"/>
      <c r="C9" s="63"/>
      <c r="D9" s="64"/>
      <c r="E9" s="65"/>
      <c r="F9" s="62"/>
      <c r="G9" s="63"/>
      <c r="H9" s="62"/>
      <c r="I9" s="62"/>
      <c r="J9" s="62"/>
      <c r="K9" s="62"/>
      <c r="L9" s="62"/>
      <c r="M9" s="62"/>
      <c r="N9" s="62"/>
      <c r="O9" s="62"/>
      <c r="P9" s="28"/>
    </row>
    <row r="10" spans="1:16" x14ac:dyDescent="0.25">
      <c r="A10" s="62"/>
      <c r="B10" s="62"/>
      <c r="C10" s="63"/>
      <c r="D10" s="64"/>
      <c r="E10" s="65"/>
      <c r="F10" s="62"/>
      <c r="G10" s="63"/>
      <c r="H10" s="62"/>
      <c r="I10" s="62"/>
      <c r="J10" s="62"/>
      <c r="K10" s="62"/>
      <c r="L10" s="62"/>
      <c r="M10" s="62"/>
      <c r="N10" s="62"/>
      <c r="O10" s="62"/>
      <c r="P10" s="28"/>
    </row>
    <row r="11" spans="1:16" ht="21" customHeight="1" x14ac:dyDescent="0.25">
      <c r="A11" s="62"/>
      <c r="B11" s="222" t="s">
        <v>201</v>
      </c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223"/>
      <c r="O11" s="62"/>
      <c r="P11" s="28"/>
    </row>
    <row r="12" spans="1:16" ht="30" customHeight="1" x14ac:dyDescent="0.25">
      <c r="A12" s="62"/>
      <c r="B12" s="32" t="s">
        <v>10</v>
      </c>
      <c r="C12" s="32" t="s">
        <v>5</v>
      </c>
      <c r="D12" s="25" t="s">
        <v>57</v>
      </c>
      <c r="E12" s="30" t="s">
        <v>19</v>
      </c>
      <c r="F12" s="32" t="s">
        <v>11</v>
      </c>
      <c r="G12" s="32" t="s">
        <v>72</v>
      </c>
      <c r="H12" s="32" t="s">
        <v>8</v>
      </c>
      <c r="I12" s="32" t="s">
        <v>16</v>
      </c>
      <c r="J12" s="32" t="s">
        <v>47</v>
      </c>
      <c r="K12" s="32" t="s">
        <v>14</v>
      </c>
      <c r="L12" s="38" t="s">
        <v>17</v>
      </c>
      <c r="M12" s="221" t="s">
        <v>18</v>
      </c>
      <c r="N12" s="221"/>
      <c r="O12" s="62"/>
      <c r="P12" s="28"/>
    </row>
    <row r="13" spans="1:16" x14ac:dyDescent="0.25">
      <c r="A13" s="62"/>
      <c r="B13" s="207">
        <v>2009</v>
      </c>
      <c r="C13" s="207" t="s">
        <v>7</v>
      </c>
      <c r="D13" s="72">
        <v>1</v>
      </c>
      <c r="E13" s="73" t="s">
        <v>60</v>
      </c>
      <c r="F13" s="74" t="s">
        <v>13</v>
      </c>
      <c r="G13" s="75" t="s">
        <v>52</v>
      </c>
      <c r="H13" s="74" t="s">
        <v>9</v>
      </c>
      <c r="I13" s="74" t="s">
        <v>42</v>
      </c>
      <c r="J13" s="208" t="s">
        <v>71</v>
      </c>
      <c r="K13" s="209"/>
      <c r="L13" s="37" t="str">
        <f>'FACTOR "M"'!J6</f>
        <v>Difícil</v>
      </c>
      <c r="M13" s="39" t="str">
        <f>'FACTOR "M"'!K6</f>
        <v>70</v>
      </c>
      <c r="N13" s="40" t="s">
        <v>121</v>
      </c>
      <c r="O13" s="62"/>
      <c r="P13" s="28">
        <f t="shared" ref="P13:P18" si="0">M13/100</f>
        <v>0.7</v>
      </c>
    </row>
    <row r="14" spans="1:16" x14ac:dyDescent="0.25">
      <c r="A14" s="62"/>
      <c r="B14" s="179"/>
      <c r="C14" s="179"/>
      <c r="D14" s="210">
        <v>2</v>
      </c>
      <c r="E14" s="68" t="s">
        <v>62</v>
      </c>
      <c r="F14" s="43" t="s">
        <v>13</v>
      </c>
      <c r="G14" s="69" t="s">
        <v>52</v>
      </c>
      <c r="H14" s="43">
        <v>11</v>
      </c>
      <c r="I14" s="43" t="s">
        <v>42</v>
      </c>
      <c r="J14" s="212" t="s">
        <v>71</v>
      </c>
      <c r="K14" s="213"/>
      <c r="L14" s="70" t="str">
        <f>'FACTOR "M"'!J8</f>
        <v>Fácil</v>
      </c>
      <c r="M14" s="39" t="str">
        <f>'FACTOR "M"'!K8</f>
        <v>90</v>
      </c>
      <c r="N14" s="40" t="s">
        <v>121</v>
      </c>
      <c r="O14" s="62"/>
      <c r="P14" s="28">
        <f t="shared" si="0"/>
        <v>0.9</v>
      </c>
    </row>
    <row r="15" spans="1:16" x14ac:dyDescent="0.25">
      <c r="A15" s="62"/>
      <c r="B15" s="179"/>
      <c r="C15" s="179"/>
      <c r="D15" s="211"/>
      <c r="E15" s="68" t="s">
        <v>63</v>
      </c>
      <c r="F15" s="43" t="s">
        <v>13</v>
      </c>
      <c r="G15" s="69" t="s">
        <v>52</v>
      </c>
      <c r="H15" s="43" t="s">
        <v>9</v>
      </c>
      <c r="I15" s="43" t="s">
        <v>43</v>
      </c>
      <c r="J15" s="214"/>
      <c r="K15" s="215"/>
      <c r="L15" s="70" t="str">
        <f>'FACTOR "M"'!J9</f>
        <v>Difícil</v>
      </c>
      <c r="M15" s="39" t="str">
        <f>'FACTOR "M"'!K9</f>
        <v>70</v>
      </c>
      <c r="N15" s="40" t="s">
        <v>121</v>
      </c>
      <c r="O15" s="62"/>
      <c r="P15" s="28">
        <f t="shared" si="0"/>
        <v>0.7</v>
      </c>
    </row>
    <row r="16" spans="1:16" x14ac:dyDescent="0.25">
      <c r="A16" s="62"/>
      <c r="B16" s="179"/>
      <c r="C16" s="179"/>
      <c r="D16" s="216">
        <v>3</v>
      </c>
      <c r="E16" s="68" t="s">
        <v>64</v>
      </c>
      <c r="F16" s="43" t="s">
        <v>13</v>
      </c>
      <c r="G16" s="69" t="s">
        <v>52</v>
      </c>
      <c r="H16" s="43" t="s">
        <v>9</v>
      </c>
      <c r="I16" s="43" t="s">
        <v>43</v>
      </c>
      <c r="J16" s="208"/>
      <c r="K16" s="209"/>
      <c r="L16" s="70" t="str">
        <f>'FACTOR "M"'!J10</f>
        <v>Muy Difícil</v>
      </c>
      <c r="M16" s="39" t="str">
        <f>'FACTOR "M"'!K10</f>
        <v>60</v>
      </c>
      <c r="N16" s="40" t="s">
        <v>121</v>
      </c>
      <c r="O16" s="62"/>
      <c r="P16" s="28">
        <f t="shared" si="0"/>
        <v>0.6</v>
      </c>
    </row>
    <row r="17" spans="1:16" x14ac:dyDescent="0.25">
      <c r="A17" s="62"/>
      <c r="B17" s="179"/>
      <c r="C17" s="179"/>
      <c r="D17" s="211"/>
      <c r="E17" s="68" t="s">
        <v>60</v>
      </c>
      <c r="F17" s="43" t="s">
        <v>13</v>
      </c>
      <c r="G17" s="69" t="s">
        <v>52</v>
      </c>
      <c r="H17" s="43" t="s">
        <v>9</v>
      </c>
      <c r="I17" s="43" t="s">
        <v>43</v>
      </c>
      <c r="J17" s="217" t="s">
        <v>71</v>
      </c>
      <c r="K17" s="218"/>
      <c r="L17" s="70" t="str">
        <f>'FACTOR "M"'!J12</f>
        <v>Difícil</v>
      </c>
      <c r="M17" s="39" t="str">
        <f>'FACTOR "M"'!K12</f>
        <v>70</v>
      </c>
      <c r="N17" s="40" t="s">
        <v>121</v>
      </c>
      <c r="O17" s="62"/>
      <c r="P17" s="28">
        <f t="shared" si="0"/>
        <v>0.7</v>
      </c>
    </row>
    <row r="18" spans="1:16" ht="15" customHeight="1" x14ac:dyDescent="0.25">
      <c r="A18" s="62"/>
      <c r="B18" s="76">
        <v>2010</v>
      </c>
      <c r="C18" s="76" t="s">
        <v>119</v>
      </c>
      <c r="D18" s="67">
        <v>1</v>
      </c>
      <c r="E18" s="68" t="s">
        <v>64</v>
      </c>
      <c r="F18" s="43" t="s">
        <v>13</v>
      </c>
      <c r="G18" s="69" t="s">
        <v>52</v>
      </c>
      <c r="H18" s="43" t="s">
        <v>38</v>
      </c>
      <c r="I18" s="43" t="s">
        <v>42</v>
      </c>
      <c r="J18" s="224" t="s">
        <v>71</v>
      </c>
      <c r="K18" s="224"/>
      <c r="L18" s="70" t="str">
        <f>'FACTOR "M"'!J14</f>
        <v>Difícil</v>
      </c>
      <c r="M18" s="39" t="str">
        <f>'FACTOR "M"'!K14</f>
        <v>70</v>
      </c>
      <c r="N18" s="40" t="s">
        <v>121</v>
      </c>
      <c r="O18" s="62"/>
      <c r="P18" s="28">
        <f t="shared" si="0"/>
        <v>0.7</v>
      </c>
    </row>
    <row r="19" spans="1:16" ht="15" customHeight="1" x14ac:dyDescent="0.25">
      <c r="A19" s="62"/>
      <c r="B19" s="66"/>
      <c r="C19" s="66"/>
      <c r="D19" s="71"/>
      <c r="E19" s="65"/>
      <c r="F19" s="62"/>
      <c r="G19" s="63"/>
      <c r="H19" s="62"/>
      <c r="I19" s="62"/>
      <c r="J19" s="62"/>
      <c r="K19" s="62"/>
      <c r="L19" s="33" t="s">
        <v>120</v>
      </c>
      <c r="M19" s="36">
        <f>P19*100</f>
        <v>71.666666666666671</v>
      </c>
      <c r="N19" s="34" t="s">
        <v>121</v>
      </c>
      <c r="O19" s="62"/>
      <c r="P19" s="29">
        <f>AVERAGE(P13:P18)</f>
        <v>0.71666666666666667</v>
      </c>
    </row>
    <row r="20" spans="1:16" x14ac:dyDescent="0.25">
      <c r="A20" s="62"/>
      <c r="B20" s="62"/>
      <c r="C20" s="63"/>
      <c r="D20" s="64"/>
      <c r="E20" s="65"/>
      <c r="F20" s="62"/>
      <c r="G20" s="63"/>
      <c r="H20" s="62"/>
      <c r="I20" s="62"/>
      <c r="J20" s="62"/>
      <c r="K20" s="62"/>
      <c r="L20" s="62"/>
      <c r="M20" s="62"/>
      <c r="N20" s="62"/>
      <c r="O20" s="62"/>
      <c r="P20" s="28"/>
    </row>
    <row r="21" spans="1:16" x14ac:dyDescent="0.25">
      <c r="A21" s="62"/>
      <c r="B21" s="62"/>
      <c r="C21" s="63"/>
      <c r="D21" s="64"/>
      <c r="E21" s="65"/>
      <c r="F21" s="62"/>
      <c r="G21" s="63"/>
      <c r="H21" s="62"/>
      <c r="I21" s="62"/>
      <c r="J21" s="62"/>
      <c r="K21" s="62"/>
      <c r="L21" s="62"/>
      <c r="M21" s="62"/>
      <c r="N21" s="62"/>
      <c r="O21" s="62"/>
      <c r="P21" s="28"/>
    </row>
    <row r="22" spans="1:16" ht="21" customHeight="1" x14ac:dyDescent="0.25">
      <c r="A22" s="62"/>
      <c r="B22" s="222" t="s">
        <v>202</v>
      </c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2"/>
      <c r="N22" s="222"/>
      <c r="O22" s="62"/>
      <c r="P22" s="28"/>
    </row>
    <row r="23" spans="1:16" ht="30" x14ac:dyDescent="0.25">
      <c r="A23" s="62"/>
      <c r="B23" s="32" t="s">
        <v>10</v>
      </c>
      <c r="C23" s="32" t="s">
        <v>5</v>
      </c>
      <c r="D23" s="25" t="s">
        <v>57</v>
      </c>
      <c r="E23" s="30" t="s">
        <v>19</v>
      </c>
      <c r="F23" s="32" t="s">
        <v>11</v>
      </c>
      <c r="G23" s="32" t="s">
        <v>72</v>
      </c>
      <c r="H23" s="32" t="s">
        <v>8</v>
      </c>
      <c r="I23" s="32" t="s">
        <v>16</v>
      </c>
      <c r="J23" s="32" t="s">
        <v>47</v>
      </c>
      <c r="K23" s="32" t="s">
        <v>14</v>
      </c>
      <c r="L23" s="32" t="s">
        <v>17</v>
      </c>
      <c r="M23" s="220" t="s">
        <v>18</v>
      </c>
      <c r="N23" s="220"/>
      <c r="O23" s="62"/>
      <c r="P23" s="28"/>
    </row>
    <row r="24" spans="1:16" x14ac:dyDescent="0.25">
      <c r="A24" s="62"/>
      <c r="B24" s="207">
        <v>2010</v>
      </c>
      <c r="C24" s="207" t="s">
        <v>119</v>
      </c>
      <c r="D24" s="210">
        <v>1</v>
      </c>
      <c r="E24" s="73" t="s">
        <v>65</v>
      </c>
      <c r="F24" s="74" t="s">
        <v>27</v>
      </c>
      <c r="G24" s="75" t="s">
        <v>53</v>
      </c>
      <c r="H24" s="74" t="s">
        <v>37</v>
      </c>
      <c r="I24" s="74" t="s">
        <v>42</v>
      </c>
      <c r="J24" s="214"/>
      <c r="K24" s="215"/>
      <c r="L24" s="37" t="str">
        <f>'FACTOR "M"'!J15</f>
        <v>Medio</v>
      </c>
      <c r="M24" s="35" t="str">
        <f>'FACTOR "M"'!K15</f>
        <v>80</v>
      </c>
      <c r="N24" s="40" t="s">
        <v>121</v>
      </c>
      <c r="O24" s="62"/>
      <c r="P24" s="28">
        <f t="shared" ref="P24:P29" si="1">M24/100</f>
        <v>0.8</v>
      </c>
    </row>
    <row r="25" spans="1:16" x14ac:dyDescent="0.25">
      <c r="A25" s="62"/>
      <c r="B25" s="179"/>
      <c r="C25" s="179"/>
      <c r="D25" s="211"/>
      <c r="E25" s="68" t="s">
        <v>66</v>
      </c>
      <c r="F25" s="43" t="s">
        <v>27</v>
      </c>
      <c r="G25" s="69" t="s">
        <v>53</v>
      </c>
      <c r="H25" s="43" t="s">
        <v>39</v>
      </c>
      <c r="I25" s="43" t="s">
        <v>43</v>
      </c>
      <c r="J25" s="214"/>
      <c r="K25" s="215"/>
      <c r="L25" s="37" t="str">
        <f>'FACTOR "M"'!J16</f>
        <v>Difícil</v>
      </c>
      <c r="M25" s="35" t="str">
        <f>'FACTOR "M"'!K16</f>
        <v>70</v>
      </c>
      <c r="N25" s="40" t="s">
        <v>121</v>
      </c>
      <c r="O25" s="62"/>
      <c r="P25" s="28">
        <f t="shared" si="1"/>
        <v>0.7</v>
      </c>
    </row>
    <row r="26" spans="1:16" x14ac:dyDescent="0.25">
      <c r="A26" s="62"/>
      <c r="B26" s="179"/>
      <c r="C26" s="179"/>
      <c r="D26" s="216">
        <v>2</v>
      </c>
      <c r="E26" s="68" t="s">
        <v>67</v>
      </c>
      <c r="F26" s="43" t="s">
        <v>27</v>
      </c>
      <c r="G26" s="69" t="s">
        <v>53</v>
      </c>
      <c r="H26" s="43" t="s">
        <v>40</v>
      </c>
      <c r="I26" s="43" t="s">
        <v>42</v>
      </c>
      <c r="J26" s="214"/>
      <c r="K26" s="215"/>
      <c r="L26" s="37" t="str">
        <f>'FACTOR "M"'!J17</f>
        <v>Difícil</v>
      </c>
      <c r="M26" s="35" t="str">
        <f>'FACTOR "M"'!K17</f>
        <v>70</v>
      </c>
      <c r="N26" s="40" t="s">
        <v>121</v>
      </c>
      <c r="O26" s="62"/>
      <c r="P26" s="28">
        <f t="shared" si="1"/>
        <v>0.7</v>
      </c>
    </row>
    <row r="27" spans="1:16" x14ac:dyDescent="0.25">
      <c r="A27" s="62"/>
      <c r="B27" s="179"/>
      <c r="C27" s="179"/>
      <c r="D27" s="210"/>
      <c r="E27" s="68" t="s">
        <v>68</v>
      </c>
      <c r="F27" s="43" t="s">
        <v>27</v>
      </c>
      <c r="G27" s="69" t="s">
        <v>53</v>
      </c>
      <c r="H27" s="43">
        <v>18</v>
      </c>
      <c r="I27" s="43" t="s">
        <v>43</v>
      </c>
      <c r="J27" s="214"/>
      <c r="K27" s="215"/>
      <c r="L27" s="37" t="str">
        <f>'FACTOR "M"'!J18</f>
        <v>Medio</v>
      </c>
      <c r="M27" s="35" t="str">
        <f>'FACTOR "M"'!K18</f>
        <v>80</v>
      </c>
      <c r="N27" s="40" t="s">
        <v>121</v>
      </c>
      <c r="O27" s="62"/>
      <c r="P27" s="28">
        <f t="shared" si="1"/>
        <v>0.8</v>
      </c>
    </row>
    <row r="28" spans="1:16" x14ac:dyDescent="0.25">
      <c r="A28" s="62"/>
      <c r="B28" s="179"/>
      <c r="C28" s="179"/>
      <c r="D28" s="210"/>
      <c r="E28" s="68" t="s">
        <v>69</v>
      </c>
      <c r="F28" s="43" t="s">
        <v>27</v>
      </c>
      <c r="G28" s="69" t="s">
        <v>53</v>
      </c>
      <c r="H28" s="43" t="s">
        <v>41</v>
      </c>
      <c r="I28" s="43" t="s">
        <v>44</v>
      </c>
      <c r="J28" s="214"/>
      <c r="K28" s="215"/>
      <c r="L28" s="37" t="str">
        <f>'FACTOR "M"'!J19</f>
        <v>Difícil</v>
      </c>
      <c r="M28" s="35" t="str">
        <f>'FACTOR "M"'!K19</f>
        <v>70</v>
      </c>
      <c r="N28" s="40" t="s">
        <v>121</v>
      </c>
      <c r="O28" s="62"/>
      <c r="P28" s="28">
        <f t="shared" si="1"/>
        <v>0.7</v>
      </c>
    </row>
    <row r="29" spans="1:16" x14ac:dyDescent="0.25">
      <c r="A29" s="62"/>
      <c r="B29" s="179"/>
      <c r="C29" s="179"/>
      <c r="D29" s="211"/>
      <c r="E29" s="68" t="s">
        <v>70</v>
      </c>
      <c r="F29" s="43" t="s">
        <v>27</v>
      </c>
      <c r="G29" s="69" t="s">
        <v>53</v>
      </c>
      <c r="H29" s="43">
        <v>52</v>
      </c>
      <c r="I29" s="43" t="s">
        <v>44</v>
      </c>
      <c r="J29" s="208"/>
      <c r="K29" s="209"/>
      <c r="L29" s="37" t="str">
        <f>'FACTOR "M"'!J20</f>
        <v>Muy Difícil</v>
      </c>
      <c r="M29" s="35" t="str">
        <f>'FACTOR "M"'!K20</f>
        <v>60</v>
      </c>
      <c r="N29" s="40" t="s">
        <v>121</v>
      </c>
      <c r="O29" s="62"/>
      <c r="P29" s="28">
        <f t="shared" si="1"/>
        <v>0.6</v>
      </c>
    </row>
    <row r="30" spans="1:16" x14ac:dyDescent="0.25">
      <c r="A30" s="62"/>
      <c r="B30" s="66"/>
      <c r="C30" s="66"/>
      <c r="D30" s="71"/>
      <c r="E30" s="65"/>
      <c r="F30" s="62"/>
      <c r="G30" s="63"/>
      <c r="H30" s="62"/>
      <c r="I30" s="62"/>
      <c r="J30" s="62"/>
      <c r="K30" s="62"/>
      <c r="L30" s="33" t="s">
        <v>120</v>
      </c>
      <c r="M30" s="36">
        <f>P30*100</f>
        <v>71.666666666666671</v>
      </c>
      <c r="N30" s="34" t="s">
        <v>121</v>
      </c>
      <c r="O30" s="62"/>
      <c r="P30" s="29">
        <f>AVERAGE(P24:P29)</f>
        <v>0.71666666666666667</v>
      </c>
    </row>
    <row r="31" spans="1:16" x14ac:dyDescent="0.25">
      <c r="A31" s="62"/>
      <c r="B31" s="62"/>
      <c r="C31" s="63"/>
      <c r="D31" s="64"/>
      <c r="E31" s="65"/>
      <c r="F31" s="62"/>
      <c r="G31" s="63"/>
      <c r="H31" s="62"/>
      <c r="I31" s="62"/>
      <c r="J31" s="62"/>
      <c r="K31" s="62"/>
      <c r="L31" s="62"/>
      <c r="M31" s="62"/>
      <c r="N31" s="62"/>
      <c r="O31" s="62"/>
    </row>
    <row r="32" spans="1:16" x14ac:dyDescent="0.25">
      <c r="A32" s="62"/>
      <c r="B32" s="62"/>
      <c r="C32" s="63"/>
      <c r="D32" s="64"/>
      <c r="E32" s="65"/>
      <c r="F32" s="62"/>
      <c r="G32" s="63"/>
      <c r="H32" s="62"/>
      <c r="I32" s="62"/>
      <c r="J32" s="62"/>
      <c r="K32" s="62"/>
      <c r="L32" s="62"/>
      <c r="M32" s="62"/>
      <c r="N32" s="62"/>
      <c r="O32" s="62"/>
    </row>
    <row r="35" spans="7:12" x14ac:dyDescent="0.25">
      <c r="G35" s="78" t="s">
        <v>199</v>
      </c>
      <c r="H35" s="78"/>
      <c r="I35" s="78"/>
      <c r="J35" s="78"/>
      <c r="K35" s="78"/>
      <c r="L35" s="78" t="s">
        <v>190</v>
      </c>
    </row>
    <row r="36" spans="7:12" x14ac:dyDescent="0.25">
      <c r="G36" s="9" t="s">
        <v>51</v>
      </c>
      <c r="H36" s="24"/>
      <c r="I36" s="24"/>
      <c r="J36" s="24"/>
      <c r="K36" s="24"/>
      <c r="L36" s="54">
        <f>P8</f>
        <v>0.73333333333333339</v>
      </c>
    </row>
    <row r="37" spans="7:12" x14ac:dyDescent="0.25">
      <c r="G37" s="9" t="s">
        <v>52</v>
      </c>
      <c r="H37" s="24"/>
      <c r="I37" s="24"/>
      <c r="J37" s="24"/>
      <c r="K37" s="24"/>
      <c r="L37" s="54">
        <f>P19</f>
        <v>0.71666666666666667</v>
      </c>
    </row>
    <row r="38" spans="7:12" x14ac:dyDescent="0.25">
      <c r="G38" s="9" t="s">
        <v>53</v>
      </c>
      <c r="H38" s="24"/>
      <c r="I38" s="24"/>
      <c r="J38" s="24"/>
      <c r="K38" s="24"/>
      <c r="L38" s="54">
        <f>P30</f>
        <v>0.71666666666666667</v>
      </c>
    </row>
  </sheetData>
  <mergeCells count="23">
    <mergeCell ref="B1:M1"/>
    <mergeCell ref="B5:B7"/>
    <mergeCell ref="C5:C7"/>
    <mergeCell ref="D7"/>
    <mergeCell ref="B24:B29"/>
    <mergeCell ref="C24:C29"/>
    <mergeCell ref="D24:D25"/>
    <mergeCell ref="J24:K29"/>
    <mergeCell ref="D26:D29"/>
    <mergeCell ref="M23:N23"/>
    <mergeCell ref="M4:N4"/>
    <mergeCell ref="B3:N3"/>
    <mergeCell ref="M12:N12"/>
    <mergeCell ref="B11:N11"/>
    <mergeCell ref="B22:N22"/>
    <mergeCell ref="J18:K18"/>
    <mergeCell ref="B13:B17"/>
    <mergeCell ref="C13:C17"/>
    <mergeCell ref="J13:K13"/>
    <mergeCell ref="D14:D15"/>
    <mergeCell ref="J14:K16"/>
    <mergeCell ref="D16:D17"/>
    <mergeCell ref="J17:K17"/>
  </mergeCells>
  <pageMargins left="0.7" right="0.7" top="0.75" bottom="0.75" header="0.3" footer="0.3"/>
  <pageSetup paperSize="9" orientation="portrait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"/>
  <sheetViews>
    <sheetView workbookViewId="0"/>
  </sheetViews>
  <sheetFormatPr baseColWidth="10" defaultRowHeight="15" x14ac:dyDescent="0.25"/>
  <cols>
    <col min="1" max="1" width="4.28515625" style="124" customWidth="1"/>
    <col min="2" max="2" width="7.5703125" style="124" customWidth="1"/>
    <col min="3" max="3" width="12.28515625" style="124" customWidth="1"/>
    <col min="4" max="4" width="10.28515625" style="124" customWidth="1"/>
    <col min="5" max="5" width="8.42578125" style="124" customWidth="1"/>
    <col min="6" max="6" width="8.85546875" style="124" customWidth="1"/>
    <col min="7" max="7" width="10.140625" style="124" customWidth="1"/>
    <col min="8" max="8" width="5.7109375" style="124" customWidth="1"/>
    <col min="9" max="9" width="6.5703125" style="124" bestFit="1" customWidth="1"/>
    <col min="10" max="10" width="27.5703125" style="148" bestFit="1" customWidth="1"/>
    <col min="11" max="11" width="8.5703125" style="124" customWidth="1"/>
    <col min="12" max="12" width="14" style="124" bestFit="1" customWidth="1"/>
    <col min="13" max="14" width="5" style="124" customWidth="1"/>
    <col min="15" max="15" width="6.28515625" style="124" customWidth="1"/>
    <col min="16" max="16" width="7.5703125" style="124" customWidth="1"/>
    <col min="17" max="16384" width="11.42578125" style="124"/>
  </cols>
  <sheetData>
    <row r="1" spans="2:16" x14ac:dyDescent="0.25">
      <c r="B1" s="196" t="s">
        <v>95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3" spans="2:16" ht="36.75" customHeight="1" x14ac:dyDescent="0.25">
      <c r="B3" s="152" t="s">
        <v>264</v>
      </c>
      <c r="C3" s="152" t="s">
        <v>19</v>
      </c>
      <c r="D3" s="137" t="s">
        <v>22</v>
      </c>
      <c r="E3" s="129" t="s">
        <v>258</v>
      </c>
      <c r="F3" s="129" t="s">
        <v>273</v>
      </c>
      <c r="G3" s="129" t="s">
        <v>256</v>
      </c>
      <c r="H3" s="131" t="s">
        <v>228</v>
      </c>
      <c r="I3" s="131" t="s">
        <v>232</v>
      </c>
      <c r="J3" s="147" t="s">
        <v>72</v>
      </c>
      <c r="K3" s="131" t="s">
        <v>261</v>
      </c>
      <c r="L3" s="129" t="s">
        <v>17</v>
      </c>
      <c r="M3" s="220" t="s">
        <v>257</v>
      </c>
      <c r="N3" s="220"/>
    </row>
    <row r="4" spans="2:16" ht="60" customHeight="1" x14ac:dyDescent="0.25">
      <c r="B4" s="121">
        <v>1</v>
      </c>
      <c r="C4" s="121" t="s">
        <v>59</v>
      </c>
      <c r="D4" s="121" t="s">
        <v>259</v>
      </c>
      <c r="E4" s="136">
        <f>('DENSIDAD RELATIVA SUELO'!K5+'DENSIDAD RELATIVA SUELO'!K7+'DENSIDAD RELATIVA SUELO'!K8+'DENSIDAD RELATIVA SUELO'!K10+'DENSIDAD RELATIVA SUELO'!K11+'DENSIDAD RELATIVA SUELO'!K14+'DENSIDAD RELATIVA SUELO'!K15+'DENSIDAD RELATIVA SUELO'!K17+'DENSIDAD RELATIVA SUELO'!K18)/9</f>
        <v>17.933333333333334</v>
      </c>
      <c r="F4" s="138">
        <v>5</v>
      </c>
      <c r="G4" s="121" t="s">
        <v>270</v>
      </c>
      <c r="H4" s="136">
        <f>('DENSIDAD RELATIVA SUELO'!L5+'DENSIDAD RELATIVA SUELO'!L7+'DENSIDAD RELATIVA SUELO'!L8+'DENSIDAD RELATIVA SUELO'!L10+'DENSIDAD RELATIVA SUELO'!L11+'DENSIDAD RELATIVA SUELO'!L14+'DENSIDAD RELATIVA SUELO'!L15+'DENSIDAD RELATIVA SUELO'!L17+'DENSIDAD RELATIVA SUELO'!L18)/9</f>
        <v>14.424999999999999</v>
      </c>
      <c r="I4" s="136">
        <f>('DENSIDAD RELATIVA SUELO'!N5+'DENSIDAD RELATIVA SUELO'!N7+'DENSIDAD RELATIVA SUELO'!N8+'DENSIDAD RELATIVA SUELO'!N10+'DENSIDAD RELATIVA SUELO'!N11+'DENSIDAD RELATIVA SUELO'!N14+'DENSIDAD RELATIVA SUELO'!N15+'DENSIDAD RELATIVA SUELO'!N17+'DENSIDAD RELATIVA SUELO'!N18)/9</f>
        <v>19.61616592009544</v>
      </c>
      <c r="J4" s="150" t="s">
        <v>271</v>
      </c>
      <c r="K4" s="136">
        <f>(('DENSIDAD RELATIVA SUELO'!O5+'DENSIDAD RELATIVA SUELO'!O7+'DENSIDAD RELATIVA SUELO'!O8+'DENSIDAD RELATIVA SUELO'!O10+'DENSIDAD RELATIVA SUELO'!O11+'DENSIDAD RELATIVA SUELO'!O14+'DENSIDAD RELATIVA SUELO'!O15+'DENSIDAD RELATIVA SUELO'!O17+'DENSIDAD RELATIVA SUELO'!O18)/9)*100</f>
        <v>67.427734548579139</v>
      </c>
      <c r="L4" s="151" t="str">
        <f>IF(K4&lt;15,"Muy fácil",IF(AND(K4&gt;15,K4&lt;50),"Fácil",IF(AND(K4&gt;50,K4&lt;70),"Medio",IF(AND(K4&gt;70,K4&lt;85),"Difícil","Muy difícil"))))</f>
        <v>Medio</v>
      </c>
      <c r="M4" s="132" t="str">
        <f>IF(L4="Muy Fácil","100",IF(L4="Fácil","90",IF(L4="Medio","80",IF(L4="Difícil","70",IF(L4="Muy Difícil","60")))))</f>
        <v>80</v>
      </c>
      <c r="N4" s="130" t="s">
        <v>121</v>
      </c>
      <c r="P4" s="159">
        <f>M4/100</f>
        <v>0.8</v>
      </c>
    </row>
    <row r="5" spans="2:16" ht="59.25" customHeight="1" x14ac:dyDescent="0.25">
      <c r="B5" s="121">
        <v>2</v>
      </c>
      <c r="C5" s="149" t="str">
        <f>"4 - 7"</f>
        <v>4 - 7</v>
      </c>
      <c r="D5" s="121" t="s">
        <v>260</v>
      </c>
      <c r="E5" s="136">
        <f>('DENSIDAD RELATIVA SUELO'!K6+'DENSIDAD RELATIVA SUELO'!K9+'DENSIDAD RELATIVA SUELO'!K12+'DENSIDAD RELATIVA SUELO'!K16+'DENSIDAD RELATIVA SUELO'!K19+'DENSIDAD RELATIVA SUELO'!K20)/6</f>
        <v>19</v>
      </c>
      <c r="F5" s="138">
        <v>8</v>
      </c>
      <c r="G5" s="121" t="s">
        <v>274</v>
      </c>
      <c r="H5" s="121">
        <f>('DENSIDAD RELATIVA SUELO'!L6+'DENSIDAD RELATIVA SUELO'!L9+'DENSIDAD RELATIVA SUELO'!L12+'DENSIDAD RELATIVA SUELO'!L16+'DENSIDAD RELATIVA SUELO'!L19+'DENSIDAD RELATIVA SUELO'!L20)/6</f>
        <v>30.637499999999999</v>
      </c>
      <c r="I5" s="121">
        <f>('DENSIDAD RELATIVA SUELO'!N6+'DENSIDAD RELATIVA SUELO'!N9+'DENSIDAD RELATIVA SUELO'!N12+'DENSIDAD RELATIVA SUELO'!N16+'DENSIDAD RELATIVA SUELO'!N19+'DENSIDAD RELATIVA SUELO'!N20)/6</f>
        <v>27.53060408209463</v>
      </c>
      <c r="J5" s="150" t="s">
        <v>272</v>
      </c>
      <c r="K5" s="136">
        <f>(('DENSIDAD RELATIVA SUELO'!O6+'DENSIDAD RELATIVA SUELO'!O9+'DENSIDAD RELATIVA SUELO'!O12+'DENSIDAD RELATIVA SUELO'!O16+'DENSIDAD RELATIVA SUELO'!O19+'DENSIDAD RELATIVA SUELO'!O20)/6)*100</f>
        <v>80.741463069353486</v>
      </c>
      <c r="L5" s="151" t="str">
        <f>IF(K5&lt;15,"Muy fácil",IF(AND(K5&gt;15,K5&lt;50),"Fácil",IF(AND(K5&gt;50,K5&lt;70),"Medio",IF(AND(K5&gt;70,K5&lt;85),"Difícil","Muy difícil"))))</f>
        <v>Difícil</v>
      </c>
      <c r="M5" s="132" t="str">
        <f>IF(L5="Muy Fácil","100",IF(L5="Fácil","90",IF(L5="Medio","80",IF(L5="Difícil","70",IF(L5="Muy Difícil","60")))))</f>
        <v>70</v>
      </c>
      <c r="N5" s="130" t="s">
        <v>121</v>
      </c>
      <c r="P5" s="159">
        <f>M5/100</f>
        <v>0.7</v>
      </c>
    </row>
  </sheetData>
  <mergeCells count="2">
    <mergeCell ref="M3:N3"/>
    <mergeCell ref="B1:N1"/>
  </mergeCells>
  <pageMargins left="0.7" right="0.7" top="0.75" bottom="0.75" header="0.3" footer="0.3"/>
  <pageSetup paperSize="9" orientation="portrait" horizontalDpi="4294967292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L90"/>
  <sheetViews>
    <sheetView zoomScaleNormal="100" workbookViewId="0"/>
  </sheetViews>
  <sheetFormatPr baseColWidth="10" defaultRowHeight="15" x14ac:dyDescent="0.25"/>
  <cols>
    <col min="1" max="1" width="11.42578125" style="14"/>
    <col min="2" max="2" width="25.7109375" style="14" customWidth="1"/>
    <col min="3" max="3" width="13" style="14" customWidth="1"/>
    <col min="4" max="4" width="34.5703125" style="14" bestFit="1" customWidth="1"/>
    <col min="5" max="5" width="13" style="14" customWidth="1"/>
    <col min="6" max="16384" width="11.42578125" style="14"/>
  </cols>
  <sheetData>
    <row r="1" spans="2:12" s="15" customFormat="1" x14ac:dyDescent="0.25">
      <c r="B1" s="169" t="s">
        <v>95</v>
      </c>
      <c r="C1" s="169"/>
      <c r="D1" s="169"/>
      <c r="E1" s="169"/>
    </row>
    <row r="2" spans="2:12" s="15" customFormat="1" x14ac:dyDescent="0.25"/>
    <row r="3" spans="2:12" s="15" customFormat="1" ht="28.5" customHeight="1" x14ac:dyDescent="0.25">
      <c r="B3" s="242" t="s">
        <v>176</v>
      </c>
      <c r="C3" s="242"/>
      <c r="D3" s="242"/>
      <c r="E3" s="242"/>
    </row>
    <row r="4" spans="2:12" s="15" customFormat="1" ht="51" customHeight="1" x14ac:dyDescent="0.25">
      <c r="B4" s="164"/>
      <c r="C4" s="164"/>
      <c r="D4" s="164"/>
      <c r="E4" s="164"/>
    </row>
    <row r="5" spans="2:12" ht="105.75" customHeight="1" x14ac:dyDescent="0.25">
      <c r="B5" s="164"/>
      <c r="C5" s="164"/>
      <c r="D5" s="164"/>
      <c r="E5" s="164"/>
    </row>
    <row r="6" spans="2:12" ht="15" customHeight="1" x14ac:dyDescent="0.25"/>
    <row r="7" spans="2:12" s="123" customFormat="1" ht="18.75" x14ac:dyDescent="0.25">
      <c r="B7" s="233" t="s">
        <v>262</v>
      </c>
      <c r="C7" s="233"/>
      <c r="D7" s="233"/>
      <c r="E7" s="233"/>
    </row>
    <row r="8" spans="2:12" ht="15" customHeight="1" x14ac:dyDescent="0.25"/>
    <row r="9" spans="2:12" ht="24" customHeight="1" x14ac:dyDescent="0.25">
      <c r="B9" s="244" t="s">
        <v>118</v>
      </c>
      <c r="C9" s="245"/>
      <c r="D9" s="245"/>
      <c r="E9" s="245"/>
    </row>
    <row r="10" spans="2:12" ht="20.25" customHeight="1" x14ac:dyDescent="0.25">
      <c r="B10" s="243" t="s">
        <v>177</v>
      </c>
      <c r="C10" s="243"/>
      <c r="D10" s="48" t="s">
        <v>75</v>
      </c>
      <c r="E10" s="48" t="s">
        <v>178</v>
      </c>
    </row>
    <row r="11" spans="2:12" x14ac:dyDescent="0.25">
      <c r="B11" s="46" t="s">
        <v>179</v>
      </c>
      <c r="C11" s="3" t="s">
        <v>188</v>
      </c>
      <c r="D11" s="3" t="s">
        <v>77</v>
      </c>
      <c r="E11" s="54" t="str">
        <f>IF(D11="Utópico","1",IF(D11="Bueno ","0.83",IF(D11="Medio","0.67",IF(D11="Pobre","0.50"))))</f>
        <v>0.83</v>
      </c>
      <c r="H11" s="51"/>
      <c r="I11" s="51"/>
      <c r="J11" s="51"/>
      <c r="K11" s="51"/>
      <c r="L11" s="51"/>
    </row>
    <row r="12" spans="2:12" x14ac:dyDescent="0.25">
      <c r="B12" s="46" t="s">
        <v>180</v>
      </c>
      <c r="C12" s="3" t="s">
        <v>83</v>
      </c>
      <c r="D12" s="3" t="s">
        <v>89</v>
      </c>
      <c r="E12" s="54" t="str">
        <f>IF(D12="Excelente","0.95",IF(D12="Buena","0.85",IF(D12="Regular ","0.75",IF(D12="Mala","0.65"))))</f>
        <v>0.95</v>
      </c>
      <c r="H12" s="51"/>
      <c r="I12" s="52"/>
      <c r="J12" s="5"/>
      <c r="K12" s="51"/>
      <c r="L12" s="51"/>
    </row>
    <row r="13" spans="2:12" x14ac:dyDescent="0.25">
      <c r="B13" s="46" t="s">
        <v>181</v>
      </c>
      <c r="C13" s="3" t="s">
        <v>189</v>
      </c>
      <c r="D13" s="3" t="s">
        <v>89</v>
      </c>
      <c r="E13" s="54" t="str">
        <f>IF(D13="Excelente","0.93",IF(D13="Bueno","0.85",IF(D13="Regular - Bueno","0.75",IF(D13="Malo - Aceptable","0.65"))))</f>
        <v>0.93</v>
      </c>
      <c r="H13" s="51"/>
      <c r="I13" s="53"/>
      <c r="J13" s="5"/>
      <c r="K13" s="51"/>
      <c r="L13" s="51"/>
    </row>
    <row r="14" spans="2:12" x14ac:dyDescent="0.25">
      <c r="B14" s="46" t="s">
        <v>105</v>
      </c>
      <c r="C14" s="3" t="s">
        <v>190</v>
      </c>
      <c r="D14" s="3" t="s">
        <v>51</v>
      </c>
      <c r="E14" s="54">
        <f>IF(D14="Arcilla de baja plasticidad",'FACTOR M POR SUELO'!P8,IF(D14="Limo arenoso de baja plasticidad",'FACTOR M POR SUELO'!P19,IF(D14="Arena limosa no plástica",'FACTOR M POR SUELO'!P30)))</f>
        <v>0.73333333333333339</v>
      </c>
      <c r="H14" s="51"/>
      <c r="I14" s="53"/>
      <c r="J14" s="5"/>
      <c r="K14" s="51"/>
      <c r="L14" s="51"/>
    </row>
    <row r="15" spans="2:12" x14ac:dyDescent="0.25">
      <c r="B15" s="46" t="s">
        <v>182</v>
      </c>
      <c r="C15" s="3" t="s">
        <v>191</v>
      </c>
      <c r="D15" s="3" t="s">
        <v>127</v>
      </c>
      <c r="E15" s="54" t="str">
        <f>IF(D15="Suelto","1.00",IF(D15="En Banco","0.85",IF(D15="Compactado","Fh")))</f>
        <v>0.85</v>
      </c>
      <c r="H15" s="51"/>
      <c r="I15" s="53"/>
      <c r="J15" s="5"/>
      <c r="K15" s="51"/>
      <c r="L15" s="51"/>
    </row>
    <row r="16" spans="2:12" x14ac:dyDescent="0.25">
      <c r="B16" s="46" t="s">
        <v>183</v>
      </c>
      <c r="C16" s="3" t="s">
        <v>192</v>
      </c>
      <c r="D16" s="3" t="s">
        <v>138</v>
      </c>
      <c r="E16" s="54" t="str">
        <f>IF(D16="Arena y Limos","0.95",IF(D16="Arcilla","0.85"))</f>
        <v>0.85</v>
      </c>
      <c r="H16" s="51"/>
      <c r="I16" s="51"/>
      <c r="J16" s="51"/>
      <c r="K16" s="51"/>
      <c r="L16" s="51"/>
    </row>
    <row r="17" spans="2:12" x14ac:dyDescent="0.25">
      <c r="B17" s="46" t="s">
        <v>184</v>
      </c>
      <c r="C17" s="3" t="s">
        <v>193</v>
      </c>
      <c r="D17" s="3" t="s">
        <v>144</v>
      </c>
      <c r="E17" s="54" t="str">
        <f>IF(D17="90°","1.00",IF(D17="45°","1.30",IF(D17="180°","0.75")))</f>
        <v>1.30</v>
      </c>
      <c r="H17" s="51"/>
      <c r="I17" s="51"/>
      <c r="J17" s="51"/>
      <c r="K17" s="51"/>
      <c r="L17" s="51"/>
    </row>
    <row r="18" spans="2:12" x14ac:dyDescent="0.25">
      <c r="B18" s="46" t="s">
        <v>185</v>
      </c>
      <c r="C18" s="3" t="s">
        <v>194</v>
      </c>
      <c r="D18" s="3" t="s">
        <v>198</v>
      </c>
      <c r="E18" s="54" t="str">
        <f>IF(D18="-10 a -20","1.25",IF(D18="0 a -10","1.10",IF(D18="0","1.00",IF(D18="0 a +10","0.90",IF(D18="+10 a +20","0.75")))))</f>
        <v>1.10</v>
      </c>
    </row>
    <row r="19" spans="2:12" x14ac:dyDescent="0.25">
      <c r="B19" s="46" t="s">
        <v>186</v>
      </c>
      <c r="C19" s="3" t="s">
        <v>195</v>
      </c>
      <c r="D19" s="3" t="s">
        <v>160</v>
      </c>
      <c r="E19" s="54" t="str">
        <f>IF(D19="Máquinas con orugas","1.00",IF(D19="Plano y firme","0.98",IF(D19="Firme - mal conservado","0.95",IF(D19="Arena y grava suelta","0.90",IF(D19="Sin conservar y lodoso","0.83")))))</f>
        <v>1.00</v>
      </c>
    </row>
    <row r="20" spans="2:12" x14ac:dyDescent="0.25">
      <c r="B20" s="46" t="s">
        <v>187</v>
      </c>
      <c r="C20" s="3" t="s">
        <v>196</v>
      </c>
      <c r="D20" s="3" t="s">
        <v>71</v>
      </c>
      <c r="E20" s="54">
        <f>'FACTORES '!G80</f>
        <v>0.85</v>
      </c>
    </row>
    <row r="21" spans="2:12" x14ac:dyDescent="0.25">
      <c r="B21" s="46" t="s">
        <v>174</v>
      </c>
      <c r="C21" s="3" t="s">
        <v>197</v>
      </c>
      <c r="D21" s="3" t="s">
        <v>71</v>
      </c>
      <c r="E21" s="54">
        <v>0.85</v>
      </c>
    </row>
    <row r="22" spans="2:12" ht="17.25" customHeight="1" x14ac:dyDescent="0.25">
      <c r="B22" s="234"/>
      <c r="C22" s="235"/>
      <c r="D22" s="47" t="s">
        <v>200</v>
      </c>
      <c r="E22" s="55">
        <f>E11*E12*E13*E14*E15*E16*E17*E18*E19*E20*E21</f>
        <v>0.40141889642318757</v>
      </c>
    </row>
    <row r="25" spans="2:12" ht="24" customHeight="1" x14ac:dyDescent="0.25">
      <c r="B25" s="236" t="s">
        <v>201</v>
      </c>
      <c r="C25" s="237"/>
      <c r="D25" s="237"/>
      <c r="E25" s="237"/>
    </row>
    <row r="26" spans="2:12" ht="20.25" customHeight="1" x14ac:dyDescent="0.25">
      <c r="B26" s="238" t="s">
        <v>177</v>
      </c>
      <c r="C26" s="238"/>
      <c r="D26" s="61" t="s">
        <v>75</v>
      </c>
      <c r="E26" s="61" t="s">
        <v>178</v>
      </c>
    </row>
    <row r="27" spans="2:12" x14ac:dyDescent="0.25">
      <c r="B27" s="46" t="s">
        <v>179</v>
      </c>
      <c r="C27" s="24" t="s">
        <v>188</v>
      </c>
      <c r="D27" s="24" t="s">
        <v>77</v>
      </c>
      <c r="E27" s="54" t="str">
        <f>IF(D27="Utópico","1",IF(D27="Bueno ","0.83",IF(D27="Medio","0.67",IF(D27="Pobre","0.50"))))</f>
        <v>0.83</v>
      </c>
    </row>
    <row r="28" spans="2:12" x14ac:dyDescent="0.25">
      <c r="B28" s="46" t="s">
        <v>180</v>
      </c>
      <c r="C28" s="24" t="s">
        <v>83</v>
      </c>
      <c r="D28" s="24" t="s">
        <v>89</v>
      </c>
      <c r="E28" s="54" t="str">
        <f>IF(D28="Excelente","0.95",IF(D28="Buena","0.85",IF(D28="Regular ","0.75",IF(D28="Mala","0.65"))))</f>
        <v>0.95</v>
      </c>
    </row>
    <row r="29" spans="2:12" x14ac:dyDescent="0.25">
      <c r="B29" s="46" t="s">
        <v>181</v>
      </c>
      <c r="C29" s="24" t="s">
        <v>189</v>
      </c>
      <c r="D29" s="24" t="s">
        <v>89</v>
      </c>
      <c r="E29" s="54" t="str">
        <f>IF(D29="Excelente","0.93",IF(D29="Bueno","0.85",IF(D29="Regular - Bueno","0.75",IF(D29="Malo - Aceptable","0.65"))))</f>
        <v>0.93</v>
      </c>
    </row>
    <row r="30" spans="2:12" x14ac:dyDescent="0.25">
      <c r="B30" s="46" t="s">
        <v>105</v>
      </c>
      <c r="C30" s="24" t="s">
        <v>190</v>
      </c>
      <c r="D30" s="24" t="s">
        <v>52</v>
      </c>
      <c r="E30" s="54">
        <f>IF(D30="Arcilla de baja plasticidad",'FACTOR M POR SUELO'!P8,IF(D30="Limo arenoso de baja plasticidad",'FACTOR M POR SUELO'!P19,IF(D30="Arena limosa no plástica",'FACTOR M POR SUELO'!P30)))</f>
        <v>0.71666666666666667</v>
      </c>
    </row>
    <row r="31" spans="2:12" x14ac:dyDescent="0.25">
      <c r="B31" s="46" t="s">
        <v>182</v>
      </c>
      <c r="C31" s="24" t="s">
        <v>191</v>
      </c>
      <c r="D31" s="24" t="s">
        <v>127</v>
      </c>
      <c r="E31" s="54" t="str">
        <f>IF(D31="Suelto","1.00",IF(D31="En Banco","0.89",IF(D31="Compactado","Fh")))</f>
        <v>0.89</v>
      </c>
    </row>
    <row r="32" spans="2:12" x14ac:dyDescent="0.25">
      <c r="B32" s="46" t="s">
        <v>183</v>
      </c>
      <c r="C32" s="24" t="s">
        <v>192</v>
      </c>
      <c r="D32" s="24" t="s">
        <v>139</v>
      </c>
      <c r="E32" s="54" t="str">
        <f>IF(D32="Arena y Limos","0.95",IF(D32="Arcilla","0.85"))</f>
        <v>0.95</v>
      </c>
    </row>
    <row r="33" spans="2:5" x14ac:dyDescent="0.25">
      <c r="B33" s="46" t="s">
        <v>184</v>
      </c>
      <c r="C33" s="24" t="s">
        <v>193</v>
      </c>
      <c r="D33" s="24" t="s">
        <v>144</v>
      </c>
      <c r="E33" s="54" t="str">
        <f>IF(D33="90°","1.00",IF(D33="45°","1.30",IF(D33="180°","0.75")))</f>
        <v>1.30</v>
      </c>
    </row>
    <row r="34" spans="2:5" x14ac:dyDescent="0.25">
      <c r="B34" s="46" t="s">
        <v>185</v>
      </c>
      <c r="C34" s="24" t="s">
        <v>194</v>
      </c>
      <c r="D34" s="24" t="s">
        <v>198</v>
      </c>
      <c r="E34" s="54" t="str">
        <f>IF(D34="-10 a -20","1.25",IF(D34="0 a -10","1.10",IF(D34="0","1.00",IF(D34="0 a +10","0.90",IF(D34="+10 a +20","0.75")))))</f>
        <v>1.10</v>
      </c>
    </row>
    <row r="35" spans="2:5" x14ac:dyDescent="0.25">
      <c r="B35" s="46" t="s">
        <v>186</v>
      </c>
      <c r="C35" s="24" t="s">
        <v>195</v>
      </c>
      <c r="D35" s="24" t="s">
        <v>160</v>
      </c>
      <c r="E35" s="54" t="str">
        <f>IF(D35="Máquinas con orugas","1.00",IF(D35="Plano y firme","0.98",IF(D35="Firme - mal conservado","0.95",IF(D35="Arena y grava suelta","0.90",IF(D35="Sin conservar y lodoso","0.83")))))</f>
        <v>1.00</v>
      </c>
    </row>
    <row r="36" spans="2:5" x14ac:dyDescent="0.25">
      <c r="B36" s="46" t="s">
        <v>187</v>
      </c>
      <c r="C36" s="24" t="s">
        <v>196</v>
      </c>
      <c r="D36" s="24" t="s">
        <v>71</v>
      </c>
      <c r="E36" s="54">
        <v>0.85</v>
      </c>
    </row>
    <row r="37" spans="2:5" x14ac:dyDescent="0.25">
      <c r="B37" s="46" t="s">
        <v>174</v>
      </c>
      <c r="C37" s="24" t="s">
        <v>197</v>
      </c>
      <c r="D37" s="24" t="s">
        <v>71</v>
      </c>
      <c r="E37" s="54">
        <v>0.85</v>
      </c>
    </row>
    <row r="38" spans="2:5" x14ac:dyDescent="0.25">
      <c r="B38" s="225"/>
      <c r="C38" s="226"/>
      <c r="D38" s="59" t="s">
        <v>200</v>
      </c>
      <c r="E38" s="60">
        <f>E27*E28*E29*E30*E31*E32*E33*E34*E35*E36*E37</f>
        <v>0.45908103516230309</v>
      </c>
    </row>
    <row r="41" spans="2:5" ht="24" customHeight="1" x14ac:dyDescent="0.25">
      <c r="B41" s="239" t="s">
        <v>202</v>
      </c>
      <c r="C41" s="240"/>
      <c r="D41" s="240"/>
      <c r="E41" s="240"/>
    </row>
    <row r="42" spans="2:5" ht="20.25" customHeight="1" x14ac:dyDescent="0.25">
      <c r="B42" s="241" t="s">
        <v>177</v>
      </c>
      <c r="C42" s="241"/>
      <c r="D42" s="58" t="s">
        <v>75</v>
      </c>
      <c r="E42" s="58" t="s">
        <v>178</v>
      </c>
    </row>
    <row r="43" spans="2:5" x14ac:dyDescent="0.25">
      <c r="B43" s="46" t="s">
        <v>179</v>
      </c>
      <c r="C43" s="24" t="s">
        <v>188</v>
      </c>
      <c r="D43" s="24" t="s">
        <v>77</v>
      </c>
      <c r="E43" s="54" t="str">
        <f>IF(D43="Utópico","1",IF(D43="Bueno ","0.83",IF(D43="Medio","0.67",IF(D43="Pobre","0.50"))))</f>
        <v>0.83</v>
      </c>
    </row>
    <row r="44" spans="2:5" x14ac:dyDescent="0.25">
      <c r="B44" s="46" t="s">
        <v>180</v>
      </c>
      <c r="C44" s="24" t="s">
        <v>83</v>
      </c>
      <c r="D44" s="24" t="s">
        <v>89</v>
      </c>
      <c r="E44" s="54" t="str">
        <f>IF(D44="Excelente","0.95",IF(D44="Buena","0.85",IF(D44="Regular ","0.75",IF(D44="Mala","0.65"))))</f>
        <v>0.95</v>
      </c>
    </row>
    <row r="45" spans="2:5" x14ac:dyDescent="0.25">
      <c r="B45" s="46" t="s">
        <v>181</v>
      </c>
      <c r="C45" s="24" t="s">
        <v>189</v>
      </c>
      <c r="D45" s="24" t="s">
        <v>89</v>
      </c>
      <c r="E45" s="54" t="str">
        <f>IF(D45="Excelente","0.93",IF(D45="Bueno","0.85",IF(D45="Regular - Bueno","0.75",IF(D45="Malo - Aceptable","0.65"))))</f>
        <v>0.93</v>
      </c>
    </row>
    <row r="46" spans="2:5" x14ac:dyDescent="0.25">
      <c r="B46" s="46" t="s">
        <v>105</v>
      </c>
      <c r="C46" s="24" t="s">
        <v>190</v>
      </c>
      <c r="D46" s="24" t="s">
        <v>53</v>
      </c>
      <c r="E46" s="54">
        <f>IF(D46="Arcilla de baja plasticidad",'FACTOR M POR SUELO'!P8,IF(D46="Limo arenoso de baja plasticidad",'FACTOR M POR SUELO'!P19,IF(D46="Arena limosa no plástica",'FACTOR M POR SUELO'!P30)))</f>
        <v>0.71666666666666667</v>
      </c>
    </row>
    <row r="47" spans="2:5" x14ac:dyDescent="0.25">
      <c r="B47" s="46" t="s">
        <v>182</v>
      </c>
      <c r="C47" s="24" t="s">
        <v>191</v>
      </c>
      <c r="D47" s="24" t="s">
        <v>127</v>
      </c>
      <c r="E47" s="54" t="str">
        <f>IF(D47="Suelto","1.00",IF(D47="En Banco","0.89",IF(D47="Compactado","Fh")))</f>
        <v>0.89</v>
      </c>
    </row>
    <row r="48" spans="2:5" x14ac:dyDescent="0.25">
      <c r="B48" s="46" t="s">
        <v>183</v>
      </c>
      <c r="C48" s="24" t="s">
        <v>192</v>
      </c>
      <c r="D48" s="24" t="s">
        <v>139</v>
      </c>
      <c r="E48" s="54" t="str">
        <f>IF(D48="Arena y Limos","0.95",IF(D48="Arcilla","0.85"))</f>
        <v>0.95</v>
      </c>
    </row>
    <row r="49" spans="2:5" x14ac:dyDescent="0.25">
      <c r="B49" s="46" t="s">
        <v>184</v>
      </c>
      <c r="C49" s="24" t="s">
        <v>193</v>
      </c>
      <c r="D49" s="24" t="s">
        <v>144</v>
      </c>
      <c r="E49" s="54" t="str">
        <f>IF(D49="90°","1.00",IF(D49="45°","1.30",IF(D49="180°","0.75")))</f>
        <v>1.30</v>
      </c>
    </row>
    <row r="50" spans="2:5" x14ac:dyDescent="0.25">
      <c r="B50" s="46" t="s">
        <v>185</v>
      </c>
      <c r="C50" s="24" t="s">
        <v>194</v>
      </c>
      <c r="D50" s="24" t="s">
        <v>198</v>
      </c>
      <c r="E50" s="54" t="str">
        <f>IF(D50="-10 a -20","1.25",IF(D50="0 a -10","1.10",IF(D50="0","1.00",IF(D50="0 a +10","0.90",IF(D50="+10 a +20","0.75")))))</f>
        <v>1.10</v>
      </c>
    </row>
    <row r="51" spans="2:5" x14ac:dyDescent="0.25">
      <c r="B51" s="46" t="s">
        <v>186</v>
      </c>
      <c r="C51" s="24" t="s">
        <v>195</v>
      </c>
      <c r="D51" s="24" t="s">
        <v>160</v>
      </c>
      <c r="E51" s="54" t="str">
        <f>IF(D51="Máquinas con orugas","1.00",IF(D51="Plano y firme","0.98",IF(D51="Firme - mal conservado","0.95",IF(D51="Arena y grava suelta","0.90",IF(D51="Sin conservar y lodoso","0.83")))))</f>
        <v>1.00</v>
      </c>
    </row>
    <row r="52" spans="2:5" x14ac:dyDescent="0.25">
      <c r="B52" s="46" t="s">
        <v>187</v>
      </c>
      <c r="C52" s="24" t="s">
        <v>196</v>
      </c>
      <c r="D52" s="24" t="s">
        <v>71</v>
      </c>
      <c r="E52" s="54">
        <v>0.85</v>
      </c>
    </row>
    <row r="53" spans="2:5" x14ac:dyDescent="0.25">
      <c r="B53" s="46" t="s">
        <v>174</v>
      </c>
      <c r="C53" s="24" t="s">
        <v>197</v>
      </c>
      <c r="D53" s="24" t="s">
        <v>71</v>
      </c>
      <c r="E53" s="54">
        <v>0.85</v>
      </c>
    </row>
    <row r="54" spans="2:5" x14ac:dyDescent="0.25">
      <c r="B54" s="225"/>
      <c r="C54" s="226"/>
      <c r="D54" s="56" t="s">
        <v>200</v>
      </c>
      <c r="E54" s="57">
        <f>E43*E44*E45*E46*E47*E48*E49*E50*E51*E52*E53</f>
        <v>0.45908103516230309</v>
      </c>
    </row>
    <row r="58" spans="2:5" ht="18.75" x14ac:dyDescent="0.25">
      <c r="B58" s="233" t="s">
        <v>263</v>
      </c>
      <c r="C58" s="233"/>
      <c r="D58" s="233"/>
      <c r="E58" s="233"/>
    </row>
    <row r="60" spans="2:5" ht="18.75" x14ac:dyDescent="0.25">
      <c r="B60" s="227" t="s">
        <v>266</v>
      </c>
      <c r="C60" s="228"/>
      <c r="D60" s="228"/>
      <c r="E60" s="228"/>
    </row>
    <row r="61" spans="2:5" x14ac:dyDescent="0.25">
      <c r="B61" s="229" t="s">
        <v>177</v>
      </c>
      <c r="C61" s="229"/>
      <c r="D61" s="156" t="s">
        <v>75</v>
      </c>
      <c r="E61" s="156" t="s">
        <v>178</v>
      </c>
    </row>
    <row r="62" spans="2:5" x14ac:dyDescent="0.25">
      <c r="B62" s="135" t="s">
        <v>179</v>
      </c>
      <c r="C62" s="121" t="s">
        <v>188</v>
      </c>
      <c r="D62" s="121" t="s">
        <v>77</v>
      </c>
      <c r="E62" s="136" t="str">
        <f>IF(D62="Utópico","1",IF(D62="Bueno ","0.83",IF(D62="Medio","0.67",IF(D62="Pobre","0.50"))))</f>
        <v>0.83</v>
      </c>
    </row>
    <row r="63" spans="2:5" x14ac:dyDescent="0.25">
      <c r="B63" s="135" t="s">
        <v>180</v>
      </c>
      <c r="C63" s="121" t="s">
        <v>83</v>
      </c>
      <c r="D63" s="121" t="s">
        <v>89</v>
      </c>
      <c r="E63" s="136" t="str">
        <f>IF(D63="Excelente","0.95",IF(D63="Buena","0.85",IF(D63="Regular ","0.75",IF(D63="Mala","0.65"))))</f>
        <v>0.95</v>
      </c>
    </row>
    <row r="64" spans="2:5" x14ac:dyDescent="0.25">
      <c r="B64" s="135" t="s">
        <v>181</v>
      </c>
      <c r="C64" s="121" t="s">
        <v>189</v>
      </c>
      <c r="D64" s="121" t="s">
        <v>89</v>
      </c>
      <c r="E64" s="136" t="str">
        <f>IF(D64="Excelente","0.93",IF(D64="Bueno","0.85",IF(D64="Regular - Bueno","0.75",IF(D64="Malo - Aceptable","0.65"))))</f>
        <v>0.93</v>
      </c>
    </row>
    <row r="65" spans="2:5" x14ac:dyDescent="0.25">
      <c r="B65" s="135" t="s">
        <v>105</v>
      </c>
      <c r="C65" s="121" t="s">
        <v>190</v>
      </c>
      <c r="D65" s="121" t="s">
        <v>267</v>
      </c>
      <c r="E65" s="136">
        <f>IF(D65="Estrato 1",'FACTOR M POR ESTRATIGRAFÍIA'!P4,IF(D65="Estrato 2",'FACTOR M POR ESTRATIGRAFÍIA'!P5))</f>
        <v>0.8</v>
      </c>
    </row>
    <row r="66" spans="2:5" x14ac:dyDescent="0.25">
      <c r="B66" s="135" t="s">
        <v>182</v>
      </c>
      <c r="C66" s="121" t="s">
        <v>191</v>
      </c>
      <c r="D66" s="121" t="s">
        <v>127</v>
      </c>
      <c r="E66" s="136" t="str">
        <f>IF(D66="Suelto","1.00",IF(D66="En Banco","0.85",IF(D66="Compactado","Fh")))</f>
        <v>0.85</v>
      </c>
    </row>
    <row r="67" spans="2:5" x14ac:dyDescent="0.25">
      <c r="B67" s="135" t="s">
        <v>183</v>
      </c>
      <c r="C67" s="121" t="s">
        <v>192</v>
      </c>
      <c r="D67" s="121" t="s">
        <v>269</v>
      </c>
      <c r="E67" s="136" t="str">
        <f>IF(D67="Arena y Limos","0.95",IF(D67="Arcilla","0.85",IF(D67="Limos y Arcillas","0.90")))</f>
        <v>0.90</v>
      </c>
    </row>
    <row r="68" spans="2:5" x14ac:dyDescent="0.25">
      <c r="B68" s="135" t="s">
        <v>184</v>
      </c>
      <c r="C68" s="121" t="s">
        <v>193</v>
      </c>
      <c r="D68" s="121" t="s">
        <v>144</v>
      </c>
      <c r="E68" s="136" t="str">
        <f>IF(D68="90°","1.00",IF(D68="45°","1.30",IF(D68="180°","0.75")))</f>
        <v>1.30</v>
      </c>
    </row>
    <row r="69" spans="2:5" x14ac:dyDescent="0.25">
      <c r="B69" s="135" t="s">
        <v>185</v>
      </c>
      <c r="C69" s="121" t="s">
        <v>194</v>
      </c>
      <c r="D69" s="121" t="s">
        <v>198</v>
      </c>
      <c r="E69" s="136" t="str">
        <f>IF(D69="-10 a -20","1.25",IF(D69="0 a -10","1.10",IF(D69="0","1.00",IF(D69="0 a +10","0.90",IF(D69="+10 a +20","0.75")))))</f>
        <v>1.10</v>
      </c>
    </row>
    <row r="70" spans="2:5" x14ac:dyDescent="0.25">
      <c r="B70" s="135" t="s">
        <v>186</v>
      </c>
      <c r="C70" s="121" t="s">
        <v>195</v>
      </c>
      <c r="D70" s="121" t="s">
        <v>160</v>
      </c>
      <c r="E70" s="136" t="str">
        <f>IF(D70="Máquinas con orugas","1.00",IF(D70="Plano y firme","0.98",IF(D70="Firme - mal conservado","0.95",IF(D70="Arena y grava suelta","0.90",IF(D70="Sin conservar y lodoso","0.83")))))</f>
        <v>1.00</v>
      </c>
    </row>
    <row r="71" spans="2:5" x14ac:dyDescent="0.25">
      <c r="B71" s="135" t="s">
        <v>187</v>
      </c>
      <c r="C71" s="121" t="s">
        <v>196</v>
      </c>
      <c r="D71" s="121" t="s">
        <v>71</v>
      </c>
      <c r="E71" s="136">
        <f>'FACTORES '!G80</f>
        <v>0.85</v>
      </c>
    </row>
    <row r="72" spans="2:5" x14ac:dyDescent="0.25">
      <c r="B72" s="135" t="s">
        <v>174</v>
      </c>
      <c r="C72" s="121" t="s">
        <v>197</v>
      </c>
      <c r="D72" s="121" t="s">
        <v>71</v>
      </c>
      <c r="E72" s="136">
        <v>0.85</v>
      </c>
    </row>
    <row r="73" spans="2:5" x14ac:dyDescent="0.25">
      <c r="B73" s="225"/>
      <c r="C73" s="226"/>
      <c r="D73" s="157" t="s">
        <v>200</v>
      </c>
      <c r="E73" s="158">
        <f>E62*E63*E64*E65*E66*E67*E68*E69*E70*E71*E72</f>
        <v>0.46367102474550004</v>
      </c>
    </row>
    <row r="77" spans="2:5" ht="18.75" x14ac:dyDescent="0.25">
      <c r="B77" s="230" t="s">
        <v>265</v>
      </c>
      <c r="C77" s="231"/>
      <c r="D77" s="231"/>
      <c r="E77" s="231"/>
    </row>
    <row r="78" spans="2:5" x14ac:dyDescent="0.25">
      <c r="B78" s="232" t="s">
        <v>177</v>
      </c>
      <c r="C78" s="232"/>
      <c r="D78" s="153" t="s">
        <v>75</v>
      </c>
      <c r="E78" s="153" t="s">
        <v>178</v>
      </c>
    </row>
    <row r="79" spans="2:5" x14ac:dyDescent="0.25">
      <c r="B79" s="135" t="s">
        <v>179</v>
      </c>
      <c r="C79" s="121" t="s">
        <v>188</v>
      </c>
      <c r="D79" s="121" t="s">
        <v>77</v>
      </c>
      <c r="E79" s="136" t="str">
        <f>IF(D79="Utópico","1",IF(D79="Bueno ","0.83",IF(D79="Medio","0.67",IF(D79="Pobre","0.50"))))</f>
        <v>0.83</v>
      </c>
    </row>
    <row r="80" spans="2:5" x14ac:dyDescent="0.25">
      <c r="B80" s="135" t="s">
        <v>180</v>
      </c>
      <c r="C80" s="121" t="s">
        <v>83</v>
      </c>
      <c r="D80" s="121" t="s">
        <v>89</v>
      </c>
      <c r="E80" s="136" t="str">
        <f>IF(D80="Excelente","0.95",IF(D80="Buena","0.85",IF(D80="Regular ","0.75",IF(D80="Mala","0.65"))))</f>
        <v>0.95</v>
      </c>
    </row>
    <row r="81" spans="2:5" x14ac:dyDescent="0.25">
      <c r="B81" s="135" t="s">
        <v>181</v>
      </c>
      <c r="C81" s="121" t="s">
        <v>189</v>
      </c>
      <c r="D81" s="121" t="s">
        <v>89</v>
      </c>
      <c r="E81" s="136" t="str">
        <f>IF(D81="Excelente","0.93",IF(D81="Bueno","0.85",IF(D81="Regular - Bueno","0.75",IF(D81="Malo - Aceptable","0.65"))))</f>
        <v>0.93</v>
      </c>
    </row>
    <row r="82" spans="2:5" x14ac:dyDescent="0.25">
      <c r="B82" s="135" t="s">
        <v>105</v>
      </c>
      <c r="C82" s="121" t="s">
        <v>190</v>
      </c>
      <c r="D82" s="121" t="s">
        <v>268</v>
      </c>
      <c r="E82" s="136">
        <f>IF(D82="Estrato 1",'FACTOR M POR ESTRATIGRAFÍIA'!P4,IF(D82="Estrato 2",'FACTOR M POR ESTRATIGRAFÍIA'!P5))</f>
        <v>0.7</v>
      </c>
    </row>
    <row r="83" spans="2:5" x14ac:dyDescent="0.25">
      <c r="B83" s="135" t="s">
        <v>182</v>
      </c>
      <c r="C83" s="121" t="s">
        <v>191</v>
      </c>
      <c r="D83" s="121" t="s">
        <v>127</v>
      </c>
      <c r="E83" s="136" t="str">
        <f>IF(D83="Suelto","1.00",IF(D83="En Banco","0.85",IF(D83="Compactado","Fh")))</f>
        <v>0.85</v>
      </c>
    </row>
    <row r="84" spans="2:5" x14ac:dyDescent="0.25">
      <c r="B84" s="135" t="s">
        <v>183</v>
      </c>
      <c r="C84" s="121" t="s">
        <v>192</v>
      </c>
      <c r="D84" s="121" t="s">
        <v>139</v>
      </c>
      <c r="E84" s="136" t="str">
        <f>IF(D84="Arena y Limos","0.95",IF(D84="Arcilla","0.85",IF(D84="Limos y Arcillas","0.90")))</f>
        <v>0.95</v>
      </c>
    </row>
    <row r="85" spans="2:5" x14ac:dyDescent="0.25">
      <c r="B85" s="135" t="s">
        <v>184</v>
      </c>
      <c r="C85" s="121" t="s">
        <v>193</v>
      </c>
      <c r="D85" s="121" t="s">
        <v>144</v>
      </c>
      <c r="E85" s="136" t="str">
        <f>IF(D85="90°","1.00",IF(D85="45°","1.30",IF(D85="180°","0.75")))</f>
        <v>1.30</v>
      </c>
    </row>
    <row r="86" spans="2:5" x14ac:dyDescent="0.25">
      <c r="B86" s="135" t="s">
        <v>185</v>
      </c>
      <c r="C86" s="121" t="s">
        <v>194</v>
      </c>
      <c r="D86" s="121" t="s">
        <v>198</v>
      </c>
      <c r="E86" s="136" t="str">
        <f>IF(D86="-10 a -20","1.25",IF(D86="0 a -10","1.10",IF(D86="0","1.00",IF(D86="0 a +10","0.90",IF(D86="+10 a +20","0.75")))))</f>
        <v>1.10</v>
      </c>
    </row>
    <row r="87" spans="2:5" x14ac:dyDescent="0.25">
      <c r="B87" s="135" t="s">
        <v>186</v>
      </c>
      <c r="C87" s="121" t="s">
        <v>195</v>
      </c>
      <c r="D87" s="121" t="s">
        <v>160</v>
      </c>
      <c r="E87" s="136" t="str">
        <f>IF(D87="Máquinas con orugas","1.00",IF(D87="Plano y firme","0.98",IF(D87="Firme - mal conservado","0.95",IF(D87="Arena y grava suelta","0.90",IF(D87="Sin conservar y lodoso","0.83")))))</f>
        <v>1.00</v>
      </c>
    </row>
    <row r="88" spans="2:5" x14ac:dyDescent="0.25">
      <c r="B88" s="135" t="s">
        <v>187</v>
      </c>
      <c r="C88" s="121" t="s">
        <v>196</v>
      </c>
      <c r="D88" s="121" t="s">
        <v>71</v>
      </c>
      <c r="E88" s="136">
        <f>'FACTORES '!G80</f>
        <v>0.85</v>
      </c>
    </row>
    <row r="89" spans="2:5" x14ac:dyDescent="0.25">
      <c r="B89" s="135" t="s">
        <v>174</v>
      </c>
      <c r="C89" s="121" t="s">
        <v>197</v>
      </c>
      <c r="D89" s="121" t="s">
        <v>71</v>
      </c>
      <c r="E89" s="136">
        <v>0.85</v>
      </c>
    </row>
    <row r="90" spans="2:5" x14ac:dyDescent="0.25">
      <c r="B90" s="225"/>
      <c r="C90" s="226"/>
      <c r="D90" s="154" t="s">
        <v>200</v>
      </c>
      <c r="E90" s="155">
        <f>E79*E80*E81*E82*E83*E84*E85*E86*E87*E88*E89</f>
        <v>0.4282517103552187</v>
      </c>
    </row>
  </sheetData>
  <mergeCells count="21">
    <mergeCell ref="B1:E1"/>
    <mergeCell ref="B3:E3"/>
    <mergeCell ref="B4:E4"/>
    <mergeCell ref="B10:C10"/>
    <mergeCell ref="B9:E9"/>
    <mergeCell ref="B5:E5"/>
    <mergeCell ref="B7:E7"/>
    <mergeCell ref="B58:E58"/>
    <mergeCell ref="B22:C22"/>
    <mergeCell ref="B38:C38"/>
    <mergeCell ref="B54:C54"/>
    <mergeCell ref="B25:E25"/>
    <mergeCell ref="B26:C26"/>
    <mergeCell ref="B41:E41"/>
    <mergeCell ref="B42:C42"/>
    <mergeCell ref="B90:C90"/>
    <mergeCell ref="B73:C73"/>
    <mergeCell ref="B60:E60"/>
    <mergeCell ref="B61:C61"/>
    <mergeCell ref="B77:E77"/>
    <mergeCell ref="B78:C7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0">
        <x14:dataValidation type="list" allowBlank="1" showInputMessage="1" showErrorMessage="1">
          <x14:formula1>
            <xm:f>'FACTORES '!$E$8:$E$11</xm:f>
          </x14:formula1>
          <xm:sqref>D11 D27 D43 D62 D79</xm:sqref>
        </x14:dataValidation>
        <x14:dataValidation type="list" allowBlank="1" showInputMessage="1" showErrorMessage="1">
          <x14:formula1>
            <xm:f>'FACTORES '!$C$16:$C$19</xm:f>
          </x14:formula1>
          <xm:sqref>D12 D28 D44 D63 D80</xm:sqref>
        </x14:dataValidation>
        <x14:dataValidation type="list" allowBlank="1" showInputMessage="1" showErrorMessage="1">
          <x14:formula1>
            <xm:f>'FACTORES '!$C$24:$C$27</xm:f>
          </x14:formula1>
          <xm:sqref>D13 D29 D45 D64 D81</xm:sqref>
        </x14:dataValidation>
        <x14:dataValidation type="list" allowBlank="1" showInputMessage="1" showErrorMessage="1">
          <x14:formula1>
            <xm:f>'FACTORES '!$C$41:$C$43</xm:f>
          </x14:formula1>
          <xm:sqref>D15 D31 D47 D66 D83</xm:sqref>
        </x14:dataValidation>
        <x14:dataValidation type="list" allowBlank="1" showInputMessage="1" showErrorMessage="1">
          <x14:formula1>
            <xm:f>'FACTORES '!$C$54:$C$56</xm:f>
          </x14:formula1>
          <xm:sqref>D17 D33 D49 D68 D85</xm:sqref>
        </x14:dataValidation>
        <x14:dataValidation type="list" allowBlank="1" showInputMessage="1" showErrorMessage="1">
          <x14:formula1>
            <xm:f>'FACTORES '!$C$61:$C$65</xm:f>
          </x14:formula1>
          <xm:sqref>D18 D34 D50 D69 D86</xm:sqref>
        </x14:dataValidation>
        <x14:dataValidation type="list" allowBlank="1" showInputMessage="1" showErrorMessage="1">
          <x14:formula1>
            <xm:f>'FACTORES '!$C$70:$C$74</xm:f>
          </x14:formula1>
          <xm:sqref>D19 D35 D51 D70 D87</xm:sqref>
        </x14:dataValidation>
        <x14:dataValidation type="list" allowBlank="1" showInputMessage="1" showErrorMessage="1">
          <x14:formula1>
            <xm:f>'FACTORES '!$H$48:$H$49</xm:f>
          </x14:formula1>
          <xm:sqref>D16 D32 D48</xm:sqref>
        </x14:dataValidation>
        <x14:dataValidation type="list" allowBlank="1" showInputMessage="1" showErrorMessage="1">
          <x14:formula1>
            <xm:f>'FACTOR M POR SUELO'!$G$36:$G$38</xm:f>
          </x14:formula1>
          <xm:sqref>D14 D30 D46</xm:sqref>
        </x14:dataValidation>
        <x14:dataValidation type="list" allowBlank="1" showInputMessage="1" showErrorMessage="1">
          <x14:formula1>
            <xm:f>'FACTORES '!$H$48:$H$50</xm:f>
          </x14:formula1>
          <xm:sqref>D67 D84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FACTORES </vt:lpstr>
      <vt:lpstr>DESCRIPCIÓN SUELO</vt:lpstr>
      <vt:lpstr>DENSIDAD RELATIVA SUELO</vt:lpstr>
      <vt:lpstr>Hoja1</vt:lpstr>
      <vt:lpstr>FACTOR "M"</vt:lpstr>
      <vt:lpstr>FACTOR M POR SUELO</vt:lpstr>
      <vt:lpstr>FACTOR M POR ESTRATIGRAFÍIA</vt:lpstr>
      <vt:lpstr>CÁLCULO EFICIENCIA 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2017-03-27T17:28:09Z</cp:lastPrinted>
  <dcterms:created xsi:type="dcterms:W3CDTF">2017-01-31T15:46:32Z</dcterms:created>
  <dcterms:modified xsi:type="dcterms:W3CDTF">2017-04-11T16:12:14Z</dcterms:modified>
</cp:coreProperties>
</file>